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0.27.12.90\ALMRiskManagement\REPORT\"/>
    </mc:Choice>
  </mc:AlternateContent>
  <bookViews>
    <workbookView xWindow="0" yWindow="0" windowWidth="19200" windowHeight="5850" tabRatio="817" firstSheet="2" activeTab="5"/>
  </bookViews>
  <sheets>
    <sheet name="Update HSM" sheetId="1" state="hidden" r:id="rId1"/>
    <sheet name="Update Undrawn" sheetId="5" state="hidden" r:id="rId2"/>
    <sheet name="Average GWM" sheetId="8" r:id="rId3"/>
    <sheet name="Update IDR GWM" sheetId="2" r:id="rId4"/>
    <sheet name="Update USD GWM" sheetId="4" r:id="rId5"/>
    <sheet name="Kurs LoanDepo &amp; MM Borrowing" sheetId="3" r:id="rId6"/>
    <sheet name="Closing Rate" sheetId="7" r:id="rId7"/>
    <sheet name="Chart" sheetId="9" r:id="rId8"/>
    <sheet name="FCY Balance Sheet Composition" sheetId="10" r:id="rId9"/>
    <sheet name="SWAP" sheetId="6" state="hidden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_xlnm._FilterDatabase" localSheetId="4" hidden="1">'Update USD GWM'!$B$2:$E$1122</definedName>
    <definedName name="_Regression_Int" hidden="1">1</definedName>
  </definedNames>
  <calcPr calcId="152511"/>
</workbook>
</file>

<file path=xl/calcChain.xml><?xml version="1.0" encoding="utf-8"?>
<calcChain xmlns="http://schemas.openxmlformats.org/spreadsheetml/2006/main">
  <c r="B1754" i="3" l="1"/>
  <c r="C1754" i="3"/>
  <c r="D1754" i="3"/>
  <c r="E1754" i="3"/>
  <c r="F1754" i="3"/>
  <c r="G1754" i="3"/>
  <c r="N1754" i="3"/>
  <c r="H1754" i="3" s="1"/>
  <c r="O1754" i="3"/>
  <c r="P1754" i="3"/>
  <c r="Q1754" i="3"/>
  <c r="T1754" i="3"/>
  <c r="U1754" i="3"/>
  <c r="V1754" i="3"/>
  <c r="W1754" i="3"/>
  <c r="X1754" i="3"/>
  <c r="Y1754" i="3"/>
  <c r="Z1754" i="3"/>
  <c r="M1754" i="3" l="1"/>
  <c r="K1754" i="3"/>
  <c r="J1754" i="3"/>
  <c r="I1754" i="3"/>
  <c r="L1754" i="3" s="1"/>
  <c r="I1759" i="2"/>
  <c r="D1759" i="4"/>
  <c r="C1759" i="2"/>
  <c r="H1759" i="4" l="1"/>
  <c r="C1764" i="4" l="1"/>
  <c r="C1765" i="4"/>
  <c r="C1766" i="4"/>
  <c r="C1767" i="4"/>
  <c r="C1768" i="4"/>
  <c r="C1769" i="4"/>
  <c r="C1770" i="4"/>
  <c r="C1771" i="4"/>
  <c r="C1772" i="4"/>
  <c r="C1773" i="4"/>
  <c r="C1763" i="4"/>
  <c r="B1764" i="2"/>
  <c r="B1765" i="2"/>
  <c r="B1766" i="2"/>
  <c r="B1767" i="2"/>
  <c r="B1768" i="2"/>
  <c r="B1769" i="2"/>
  <c r="B1770" i="2"/>
  <c r="B1771" i="2"/>
  <c r="B1772" i="2"/>
  <c r="B1773" i="2"/>
  <c r="B1763" i="2"/>
  <c r="I1758" i="2" l="1"/>
  <c r="C1758" i="2"/>
  <c r="H1758" i="4" l="1"/>
  <c r="D1758" i="4"/>
  <c r="Z1767" i="3" l="1"/>
  <c r="Y1767" i="3"/>
  <c r="X1767" i="3"/>
  <c r="W1767" i="3"/>
  <c r="V1767" i="3"/>
  <c r="U1767" i="3"/>
  <c r="T1767" i="3"/>
  <c r="S1767" i="3"/>
  <c r="Q1767" i="3"/>
  <c r="P1767" i="3"/>
  <c r="O1767" i="3"/>
  <c r="N1767" i="3"/>
  <c r="M1767" i="3"/>
  <c r="G1767" i="3"/>
  <c r="K1680" i="3" l="1"/>
  <c r="J1680" i="3"/>
  <c r="I1680" i="3"/>
  <c r="H1680" i="3"/>
  <c r="E1680" i="3"/>
  <c r="D1680" i="3"/>
  <c r="C1680" i="3"/>
  <c r="B1680" i="3"/>
  <c r="K1723" i="3"/>
  <c r="J1723" i="3"/>
  <c r="I1723" i="3"/>
  <c r="H1723" i="3"/>
  <c r="E1723" i="3"/>
  <c r="D1723" i="3"/>
  <c r="C1723" i="3"/>
  <c r="F1723" i="3" s="1"/>
  <c r="B1723" i="3"/>
  <c r="L1723" i="3"/>
  <c r="K1700" i="3"/>
  <c r="J1700" i="3"/>
  <c r="I1700" i="3"/>
  <c r="H1700" i="3"/>
  <c r="E1700" i="3"/>
  <c r="D1700" i="3"/>
  <c r="C1700" i="3"/>
  <c r="B1700" i="3"/>
  <c r="K1746" i="3"/>
  <c r="K1767" i="3" s="1"/>
  <c r="J1746" i="3"/>
  <c r="J1767" i="3" s="1"/>
  <c r="I1746" i="3"/>
  <c r="I1767" i="3" s="1"/>
  <c r="H1746" i="3"/>
  <c r="H1767" i="3" s="1"/>
  <c r="E1746" i="3"/>
  <c r="E1767" i="3" s="1"/>
  <c r="D1746" i="3"/>
  <c r="D1767" i="3" s="1"/>
  <c r="C1746" i="3"/>
  <c r="C1767" i="3" s="1"/>
  <c r="B1746" i="3"/>
  <c r="B1767" i="3" s="1"/>
  <c r="L1746" i="3"/>
  <c r="L1767" i="3" s="1"/>
  <c r="F1746" i="3"/>
  <c r="F1767" i="3" s="1"/>
  <c r="A1766" i="3"/>
  <c r="F1700" i="3" l="1"/>
  <c r="L1700" i="3"/>
  <c r="I1757" i="2" l="1"/>
  <c r="D1757" i="4"/>
  <c r="C1757" i="2"/>
  <c r="A1752" i="2" l="1"/>
  <c r="B1752" i="2"/>
  <c r="C1752" i="2"/>
  <c r="F1752" i="2" s="1"/>
  <c r="L1752" i="2" s="1"/>
  <c r="H1752" i="2"/>
  <c r="I1752" i="2"/>
  <c r="M1752" i="2"/>
  <c r="B1752" i="4"/>
  <c r="C1752" i="4"/>
  <c r="D1752" i="4"/>
  <c r="E1752" i="4"/>
  <c r="G1752" i="4"/>
  <c r="H1752" i="4"/>
  <c r="I1752" i="4" s="1"/>
  <c r="J1752" i="4" s="1"/>
  <c r="G1764" i="4" l="1"/>
  <c r="G1765" i="4"/>
  <c r="I1765" i="4" s="1"/>
  <c r="G1766" i="4"/>
  <c r="I1766" i="4" s="1"/>
  <c r="G1767" i="4"/>
  <c r="I1767" i="4" s="1"/>
  <c r="G1768" i="4"/>
  <c r="I1768" i="4" s="1"/>
  <c r="G1769" i="4"/>
  <c r="I1769" i="4" s="1"/>
  <c r="G1770" i="4"/>
  <c r="I1770" i="4" s="1"/>
  <c r="G1771" i="4"/>
  <c r="I1771" i="4" s="1"/>
  <c r="G1772" i="4"/>
  <c r="I1772" i="4" s="1"/>
  <c r="G1773" i="4"/>
  <c r="G1763" i="4"/>
  <c r="I1773" i="4"/>
  <c r="J1773" i="4" s="1"/>
  <c r="I1763" i="4"/>
  <c r="I1764" i="4"/>
  <c r="E1763" i="4"/>
  <c r="E1764" i="4"/>
  <c r="E1765" i="4"/>
  <c r="E1766" i="4"/>
  <c r="E1767" i="4"/>
  <c r="E1768" i="4"/>
  <c r="E1769" i="4"/>
  <c r="E1770" i="4"/>
  <c r="E1771" i="4"/>
  <c r="E1772" i="4"/>
  <c r="E1773" i="4"/>
  <c r="M1764" i="2"/>
  <c r="M1765" i="2"/>
  <c r="M1766" i="2"/>
  <c r="M1767" i="2"/>
  <c r="M1768" i="2"/>
  <c r="M1769" i="2"/>
  <c r="M1770" i="2"/>
  <c r="M1771" i="2"/>
  <c r="M1772" i="2"/>
  <c r="M1773" i="2"/>
  <c r="L1764" i="2"/>
  <c r="L1766" i="2"/>
  <c r="L1767" i="2"/>
  <c r="L1768" i="2"/>
  <c r="L1769" i="2"/>
  <c r="L1770" i="2"/>
  <c r="L1771" i="2"/>
  <c r="L1772" i="2"/>
  <c r="L1773" i="2"/>
  <c r="H1764" i="2"/>
  <c r="H1765" i="2"/>
  <c r="H1766" i="2"/>
  <c r="H1767" i="2"/>
  <c r="H1768" i="2"/>
  <c r="H1769" i="2"/>
  <c r="H1770" i="2"/>
  <c r="H1771" i="2"/>
  <c r="H1772" i="2"/>
  <c r="H1773" i="2"/>
  <c r="F1773" i="2"/>
  <c r="F1763" i="2"/>
  <c r="L1763" i="2" s="1"/>
  <c r="F1764" i="2"/>
  <c r="F1765" i="2"/>
  <c r="L1765" i="2" s="1"/>
  <c r="F1766" i="2"/>
  <c r="F1767" i="2"/>
  <c r="F1768" i="2"/>
  <c r="F1769" i="2"/>
  <c r="F1770" i="2"/>
  <c r="F1771" i="2"/>
  <c r="F1772" i="2"/>
  <c r="H1763" i="2"/>
  <c r="M1763" i="2"/>
  <c r="H1757" i="4"/>
  <c r="J1770" i="4" l="1"/>
  <c r="J1769" i="4"/>
  <c r="J1764" i="4"/>
  <c r="J1772" i="4"/>
  <c r="J1767" i="4"/>
  <c r="J1766" i="4"/>
  <c r="J1763" i="4"/>
  <c r="J1771" i="4"/>
  <c r="J1765" i="4"/>
  <c r="J1768" i="4"/>
  <c r="I1756" i="2" l="1"/>
  <c r="D1756" i="4"/>
  <c r="C1756" i="2"/>
  <c r="H1756" i="4" l="1"/>
  <c r="C1755" i="2" l="1"/>
  <c r="I1755" i="2"/>
  <c r="D1755" i="4" l="1"/>
  <c r="H1755" i="4"/>
  <c r="D1754" i="4" l="1"/>
  <c r="C1754" i="2"/>
  <c r="I1754" i="2"/>
  <c r="H1754" i="4" l="1"/>
  <c r="H1753" i="4"/>
  <c r="G1754" i="4" l="1"/>
  <c r="G1755" i="4"/>
  <c r="G1756" i="4"/>
  <c r="G1757" i="4"/>
  <c r="G1758" i="4"/>
  <c r="G1759" i="4"/>
  <c r="G1760" i="4"/>
  <c r="G1761" i="4"/>
  <c r="G1762" i="4"/>
  <c r="G1753" i="4"/>
  <c r="H1754" i="2"/>
  <c r="H1755" i="2"/>
  <c r="H1756" i="2"/>
  <c r="H1757" i="2"/>
  <c r="H1758" i="2"/>
  <c r="H1759" i="2"/>
  <c r="H1760" i="2"/>
  <c r="H1761" i="2"/>
  <c r="H1762" i="2"/>
  <c r="H1753" i="2"/>
  <c r="C1754" i="4"/>
  <c r="C1755" i="4"/>
  <c r="C1756" i="4"/>
  <c r="C1757" i="4"/>
  <c r="C1758" i="4"/>
  <c r="C1759" i="4"/>
  <c r="C1760" i="4"/>
  <c r="C1761" i="4"/>
  <c r="C1762" i="4"/>
  <c r="C1753" i="4"/>
  <c r="B1754" i="2"/>
  <c r="B1755" i="2"/>
  <c r="B1756" i="2"/>
  <c r="B1757" i="2"/>
  <c r="B1758" i="2"/>
  <c r="B1759" i="2"/>
  <c r="B1760" i="2"/>
  <c r="B1761" i="2"/>
  <c r="B1762" i="2"/>
  <c r="B1753" i="2"/>
  <c r="I1753" i="2" l="1"/>
  <c r="C1753" i="2"/>
  <c r="D1753" i="4" l="1"/>
  <c r="I1751" i="2" l="1"/>
  <c r="C1751" i="2"/>
  <c r="D1751" i="4" l="1"/>
  <c r="H1751" i="4"/>
  <c r="I1750" i="2"/>
  <c r="C1750" i="2" l="1"/>
  <c r="D1750" i="4" l="1"/>
  <c r="H1750" i="4" l="1"/>
  <c r="I1753" i="4" l="1"/>
  <c r="I1754" i="4"/>
  <c r="I1755" i="4"/>
  <c r="I1756" i="4"/>
  <c r="I1757" i="4"/>
  <c r="I1758" i="4"/>
  <c r="I1759" i="4"/>
  <c r="I1760" i="4"/>
  <c r="I1761" i="4"/>
  <c r="I1762" i="4"/>
  <c r="E1753" i="4"/>
  <c r="E1754" i="4"/>
  <c r="E1755" i="4"/>
  <c r="E1756" i="4"/>
  <c r="E1757" i="4"/>
  <c r="E1758" i="4"/>
  <c r="E1759" i="4"/>
  <c r="E1760" i="4"/>
  <c r="E1761" i="4"/>
  <c r="E1762" i="4"/>
  <c r="J1762" i="4" s="1"/>
  <c r="M1753" i="2"/>
  <c r="M1754" i="2"/>
  <c r="M1755" i="2"/>
  <c r="M1756" i="2"/>
  <c r="M1757" i="2"/>
  <c r="M1758" i="2"/>
  <c r="M1759" i="2"/>
  <c r="M1760" i="2"/>
  <c r="L1760" i="2" s="1"/>
  <c r="M1761" i="2"/>
  <c r="L1761" i="2" s="1"/>
  <c r="M1762" i="2"/>
  <c r="L1762" i="2" s="1"/>
  <c r="F1753" i="2"/>
  <c r="F1754" i="2"/>
  <c r="F1755" i="2"/>
  <c r="F1756" i="2"/>
  <c r="F1757" i="2"/>
  <c r="F1758" i="2"/>
  <c r="F1759" i="2"/>
  <c r="F1760" i="2"/>
  <c r="F1761" i="2"/>
  <c r="F1762" i="2"/>
  <c r="L1759" i="2" l="1"/>
  <c r="J1755" i="4"/>
  <c r="J1759" i="4"/>
  <c r="J1757" i="4"/>
  <c r="J1756" i="4"/>
  <c r="J1754" i="4"/>
  <c r="L1758" i="2"/>
  <c r="L1756" i="2"/>
  <c r="L1755" i="2"/>
  <c r="L1757" i="2"/>
  <c r="L1754" i="2"/>
  <c r="L1753" i="2"/>
  <c r="J1760" i="4"/>
  <c r="J1758" i="4"/>
  <c r="J1761" i="4"/>
  <c r="J1753" i="4"/>
  <c r="C1749" i="2"/>
  <c r="I1749" i="2"/>
  <c r="H1749" i="4" l="1"/>
  <c r="D1749" i="4"/>
  <c r="C1748" i="2" l="1"/>
  <c r="I1748" i="2"/>
  <c r="H1748" i="4" l="1"/>
  <c r="D1748" i="4"/>
  <c r="C1747" i="2" l="1"/>
  <c r="I1747" i="2"/>
  <c r="H1747" i="4" l="1"/>
  <c r="D1747" i="4"/>
  <c r="AB1723" i="3" l="1"/>
  <c r="AC1723" i="3" s="1"/>
  <c r="AB1722" i="3"/>
  <c r="AC1722" i="3" s="1"/>
  <c r="AB1721" i="3"/>
  <c r="AC1721" i="3" s="1"/>
  <c r="AB1720" i="3"/>
  <c r="AC1720" i="3" s="1"/>
  <c r="AB1719" i="3"/>
  <c r="AC1719" i="3" s="1"/>
  <c r="AB1718" i="3"/>
  <c r="AC1718" i="3" s="1"/>
  <c r="AB1717" i="3"/>
  <c r="AC1717" i="3" s="1"/>
  <c r="AB1716" i="3"/>
  <c r="AC1716" i="3" s="1"/>
  <c r="AB1715" i="3"/>
  <c r="AC1715" i="3" s="1"/>
  <c r="AB1714" i="3"/>
  <c r="AC1714" i="3" s="1"/>
  <c r="AB1713" i="3"/>
  <c r="AC1713" i="3" s="1"/>
  <c r="AB1712" i="3"/>
  <c r="AC1712" i="3" s="1"/>
  <c r="AB1711" i="3"/>
  <c r="AC1711" i="3" s="1"/>
  <c r="AB1710" i="3"/>
  <c r="AC1710" i="3" s="1"/>
  <c r="AB1709" i="3"/>
  <c r="AC1709" i="3" s="1"/>
  <c r="AB1708" i="3"/>
  <c r="AC1708" i="3" s="1"/>
  <c r="AB1707" i="3"/>
  <c r="AC1707" i="3" s="1"/>
  <c r="AB1706" i="3"/>
  <c r="AC1706" i="3" s="1"/>
  <c r="AB1705" i="3"/>
  <c r="AC1705" i="3" s="1"/>
  <c r="AB1704" i="3"/>
  <c r="AC1704" i="3" s="1"/>
  <c r="AB1703" i="3"/>
  <c r="AC1703" i="3" s="1"/>
  <c r="AB1702" i="3"/>
  <c r="AC1702" i="3" s="1"/>
  <c r="AB1700" i="3"/>
  <c r="AC1700" i="3" s="1"/>
  <c r="AB1699" i="3"/>
  <c r="AC1699" i="3" s="1"/>
  <c r="AB1698" i="3"/>
  <c r="AC1698" i="3" s="1"/>
  <c r="AB1697" i="3"/>
  <c r="AC1697" i="3" s="1"/>
  <c r="AB1696" i="3"/>
  <c r="AC1696" i="3" s="1"/>
  <c r="AB1695" i="3"/>
  <c r="AC1695" i="3" s="1"/>
  <c r="AB1694" i="3"/>
  <c r="AC1694" i="3" s="1"/>
  <c r="AB1693" i="3"/>
  <c r="AC1693" i="3" s="1"/>
  <c r="AB1692" i="3"/>
  <c r="AC1692" i="3" s="1"/>
  <c r="AB1691" i="3"/>
  <c r="AC1691" i="3" s="1"/>
  <c r="AB1690" i="3"/>
  <c r="AC1690" i="3" s="1"/>
  <c r="AB1689" i="3"/>
  <c r="AC1689" i="3" s="1"/>
  <c r="AB1688" i="3"/>
  <c r="AC1688" i="3" s="1"/>
  <c r="AB1687" i="3"/>
  <c r="AC1687" i="3" s="1"/>
  <c r="AB1686" i="3"/>
  <c r="AC1686" i="3" s="1"/>
  <c r="AB1685" i="3"/>
  <c r="AC1685" i="3" s="1"/>
  <c r="AB1684" i="3"/>
  <c r="AC1684" i="3" s="1"/>
  <c r="AB1683" i="3"/>
  <c r="AC1683" i="3" s="1"/>
  <c r="AB1682" i="3"/>
  <c r="AC1682" i="3" s="1"/>
  <c r="AB1681" i="3"/>
  <c r="AC1681" i="3" s="1"/>
  <c r="AB1701" i="3"/>
  <c r="AC1701" i="3" s="1"/>
  <c r="AD1700" i="3" l="1"/>
  <c r="AD1723" i="3"/>
  <c r="I1746" i="2"/>
  <c r="C1746" i="2"/>
  <c r="AE1723" i="3" l="1"/>
  <c r="D1746" i="4"/>
  <c r="H1746" i="4" l="1"/>
  <c r="C1745" i="2" l="1"/>
  <c r="I1745" i="2"/>
  <c r="H1745" i="4" l="1"/>
  <c r="D1745" i="4"/>
  <c r="D1744" i="4" l="1"/>
  <c r="I1744" i="2"/>
  <c r="C1744" i="2"/>
  <c r="H1744" i="4" l="1"/>
  <c r="D1743" i="4" l="1"/>
  <c r="I1743" i="2"/>
  <c r="C1743" i="2"/>
  <c r="H1743" i="4" l="1"/>
  <c r="D1742" i="4" l="1"/>
  <c r="C1742" i="2"/>
  <c r="I1742" i="2"/>
  <c r="H1742" i="4"/>
  <c r="I1741" i="2" l="1"/>
  <c r="D1741" i="4"/>
  <c r="C1741" i="2"/>
  <c r="H1741" i="4" l="1"/>
  <c r="H1740" i="4" l="1"/>
  <c r="D1740" i="4"/>
  <c r="C1740" i="2"/>
  <c r="I1740" i="2"/>
  <c r="I1739" i="2" l="1"/>
  <c r="C1739" i="2"/>
  <c r="D1739" i="4" l="1"/>
  <c r="H1739" i="4" l="1"/>
  <c r="I1738" i="2" l="1"/>
  <c r="C1738" i="2"/>
  <c r="C1737" i="2" l="1"/>
  <c r="I1737" i="2"/>
  <c r="D1738" i="4" l="1"/>
  <c r="H1738" i="4"/>
  <c r="D1737" i="4" l="1"/>
  <c r="H1737" i="4"/>
  <c r="C1736" i="2" l="1"/>
  <c r="I1736" i="2"/>
  <c r="D1736" i="4"/>
  <c r="H1736" i="4" l="1"/>
  <c r="C1735" i="2" l="1"/>
  <c r="I1735" i="2"/>
  <c r="H1735" i="4" l="1"/>
  <c r="D1735" i="4"/>
  <c r="N3" i="9" l="1"/>
  <c r="D1734" i="4" l="1"/>
  <c r="I1734" i="2"/>
  <c r="C1734" i="2"/>
  <c r="H1734" i="4" l="1"/>
  <c r="C1742" i="4" l="1"/>
  <c r="C1743" i="4"/>
  <c r="C1744" i="4"/>
  <c r="C1745" i="4"/>
  <c r="C1746" i="4"/>
  <c r="C1747" i="4"/>
  <c r="C1748" i="4"/>
  <c r="C1749" i="4"/>
  <c r="C1750" i="4"/>
  <c r="C1751" i="4"/>
  <c r="C1741" i="4"/>
  <c r="B1742" i="2"/>
  <c r="B1743" i="2"/>
  <c r="B1744" i="2"/>
  <c r="B1745" i="2"/>
  <c r="B1746" i="2"/>
  <c r="B1747" i="2"/>
  <c r="B1748" i="2"/>
  <c r="B1749" i="2"/>
  <c r="B1750" i="2"/>
  <c r="B1751" i="2"/>
  <c r="B1741" i="2"/>
  <c r="I1733" i="2"/>
  <c r="D1733" i="4"/>
  <c r="H1733" i="4"/>
  <c r="C1733" i="2"/>
  <c r="G1742" i="4" l="1"/>
  <c r="G1743" i="4"/>
  <c r="I1743" i="4" s="1"/>
  <c r="G1744" i="4"/>
  <c r="I1744" i="4" s="1"/>
  <c r="G1745" i="4"/>
  <c r="I1745" i="4" s="1"/>
  <c r="G1746" i="4"/>
  <c r="I1746" i="4" s="1"/>
  <c r="G1747" i="4"/>
  <c r="I1747" i="4" s="1"/>
  <c r="G1748" i="4"/>
  <c r="I1748" i="4" s="1"/>
  <c r="G1749" i="4"/>
  <c r="I1749" i="4" s="1"/>
  <c r="G1750" i="4"/>
  <c r="I1750" i="4" s="1"/>
  <c r="G1751" i="4"/>
  <c r="G1741" i="4"/>
  <c r="I1751" i="4"/>
  <c r="I1741" i="4"/>
  <c r="I1742" i="4"/>
  <c r="E1751" i="4"/>
  <c r="E1741" i="4"/>
  <c r="E1742" i="4"/>
  <c r="E1743" i="4"/>
  <c r="E1744" i="4"/>
  <c r="E1745" i="4"/>
  <c r="E1746" i="4"/>
  <c r="E1747" i="4"/>
  <c r="E1748" i="4"/>
  <c r="E1749" i="4"/>
  <c r="E1750" i="4"/>
  <c r="H1742" i="2"/>
  <c r="H1743" i="2"/>
  <c r="M1743" i="2" s="1"/>
  <c r="H1744" i="2"/>
  <c r="M1744" i="2" s="1"/>
  <c r="H1745" i="2"/>
  <c r="H1746" i="2"/>
  <c r="H1747" i="2"/>
  <c r="H1748" i="2"/>
  <c r="M1748" i="2" s="1"/>
  <c r="H1749" i="2"/>
  <c r="M1749" i="2" s="1"/>
  <c r="H1750" i="2"/>
  <c r="H1751" i="2"/>
  <c r="M1751" i="2" s="1"/>
  <c r="H1741" i="2"/>
  <c r="M1741" i="2" s="1"/>
  <c r="M1742" i="2"/>
  <c r="M1745" i="2"/>
  <c r="M1746" i="2"/>
  <c r="M1747" i="2"/>
  <c r="M1750" i="2"/>
  <c r="F1741" i="2"/>
  <c r="F1742" i="2"/>
  <c r="F1743" i="2"/>
  <c r="F1744" i="2"/>
  <c r="F1745" i="2"/>
  <c r="F1746" i="2"/>
  <c r="F1747" i="2"/>
  <c r="F1748" i="2"/>
  <c r="F1749" i="2"/>
  <c r="F1750" i="2"/>
  <c r="F1751" i="2"/>
  <c r="L1743" i="2" l="1"/>
  <c r="J1748" i="4"/>
  <c r="J1747" i="4"/>
  <c r="J1750" i="4"/>
  <c r="J1749" i="4"/>
  <c r="J1746" i="4"/>
  <c r="J1745" i="4"/>
  <c r="J1744" i="4"/>
  <c r="L1742" i="2"/>
  <c r="L1741" i="2"/>
  <c r="J1751" i="4"/>
  <c r="J1742" i="4"/>
  <c r="J1743" i="4"/>
  <c r="J1741" i="4"/>
  <c r="L1749" i="2"/>
  <c r="L1745" i="2"/>
  <c r="L1751" i="2"/>
  <c r="L1750" i="2"/>
  <c r="L1748" i="2"/>
  <c r="L1747" i="2"/>
  <c r="L1746" i="2"/>
  <c r="L1744" i="2"/>
  <c r="D1732" i="4"/>
  <c r="C1732" i="2"/>
  <c r="I1732" i="2"/>
  <c r="H1732" i="4" l="1"/>
  <c r="I1731" i="2" l="1"/>
  <c r="D1731" i="4"/>
  <c r="C1731" i="2"/>
  <c r="H1731" i="4" l="1"/>
  <c r="I1730" i="2" l="1"/>
  <c r="C1730" i="2"/>
  <c r="H1730" i="4" l="1"/>
  <c r="D1730" i="4"/>
  <c r="C1729" i="2" l="1"/>
  <c r="I1729" i="2" l="1"/>
  <c r="H1729" i="4"/>
  <c r="D1729" i="4"/>
  <c r="I1728" i="2" l="1"/>
  <c r="C1728" i="2"/>
  <c r="D1728" i="4"/>
  <c r="H1728" i="4"/>
  <c r="C1727" i="2" l="1"/>
  <c r="I1727" i="2"/>
  <c r="D1727" i="4" l="1"/>
  <c r="H1727" i="4" l="1"/>
  <c r="I1726" i="2" l="1"/>
  <c r="D1726" i="4"/>
  <c r="C1726" i="2"/>
  <c r="H1726" i="4" l="1"/>
  <c r="H1725" i="4" l="1"/>
  <c r="D1725" i="4"/>
  <c r="C1731" i="4"/>
  <c r="C1732" i="4"/>
  <c r="C1733" i="4"/>
  <c r="C1734" i="4"/>
  <c r="C1735" i="4"/>
  <c r="C1736" i="4"/>
  <c r="C1737" i="4"/>
  <c r="C1738" i="4"/>
  <c r="C1739" i="4"/>
  <c r="C1740" i="4"/>
  <c r="C1730" i="4"/>
  <c r="B1731" i="2"/>
  <c r="B1732" i="2"/>
  <c r="B1733" i="2"/>
  <c r="B1734" i="2"/>
  <c r="B1735" i="2"/>
  <c r="B1736" i="2"/>
  <c r="B1737" i="2"/>
  <c r="B1738" i="2"/>
  <c r="B1739" i="2"/>
  <c r="B1740" i="2"/>
  <c r="B1730" i="2"/>
  <c r="B1729" i="2"/>
  <c r="I1725" i="2"/>
  <c r="C1725" i="2"/>
  <c r="A1830" i="3" l="1"/>
  <c r="A1829" i="3"/>
  <c r="C1724" i="2" l="1"/>
  <c r="I1724" i="2"/>
  <c r="D1724" i="4" l="1"/>
  <c r="H1724" i="4"/>
  <c r="G1731" i="4" l="1"/>
  <c r="G1732" i="4"/>
  <c r="G1733" i="4"/>
  <c r="I1733" i="4" s="1"/>
  <c r="G1734" i="4"/>
  <c r="I1734" i="4" s="1"/>
  <c r="G1735" i="4"/>
  <c r="I1735" i="4" s="1"/>
  <c r="G1736" i="4"/>
  <c r="I1736" i="4" s="1"/>
  <c r="G1737" i="4"/>
  <c r="I1737" i="4" s="1"/>
  <c r="G1738" i="4"/>
  <c r="I1738" i="4" s="1"/>
  <c r="G1739" i="4"/>
  <c r="I1739" i="4" s="1"/>
  <c r="G1740" i="4"/>
  <c r="I1740" i="4" s="1"/>
  <c r="G1730" i="4"/>
  <c r="I1730" i="4"/>
  <c r="I1731" i="4"/>
  <c r="I1732" i="4"/>
  <c r="E1729" i="4"/>
  <c r="J1729" i="4" s="1"/>
  <c r="E1730" i="4"/>
  <c r="E1731" i="4"/>
  <c r="E1732" i="4"/>
  <c r="E1733" i="4"/>
  <c r="E1734" i="4"/>
  <c r="E1735" i="4"/>
  <c r="E1736" i="4"/>
  <c r="E1737" i="4"/>
  <c r="E1738" i="4"/>
  <c r="E1739" i="4"/>
  <c r="E1740" i="4"/>
  <c r="G1729" i="4"/>
  <c r="I1729" i="4" s="1"/>
  <c r="C1729" i="4"/>
  <c r="M1731" i="2"/>
  <c r="M1737" i="2"/>
  <c r="H1731" i="2"/>
  <c r="H1732" i="2"/>
  <c r="M1732" i="2" s="1"/>
  <c r="H1733" i="2"/>
  <c r="M1733" i="2" s="1"/>
  <c r="H1734" i="2"/>
  <c r="M1734" i="2" s="1"/>
  <c r="H1735" i="2"/>
  <c r="M1735" i="2" s="1"/>
  <c r="H1736" i="2"/>
  <c r="M1736" i="2" s="1"/>
  <c r="H1737" i="2"/>
  <c r="H1738" i="2"/>
  <c r="M1738" i="2" s="1"/>
  <c r="H1739" i="2"/>
  <c r="M1739" i="2" s="1"/>
  <c r="H1740" i="2"/>
  <c r="M1740" i="2" s="1"/>
  <c r="H1729" i="2"/>
  <c r="M1729" i="2" s="1"/>
  <c r="H1730" i="2"/>
  <c r="M1730" i="2" s="1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L1729" i="2" l="1"/>
  <c r="L1732" i="2"/>
  <c r="L1736" i="2"/>
  <c r="L1733" i="2"/>
  <c r="J1740" i="4"/>
  <c r="L1734" i="2"/>
  <c r="L1731" i="2"/>
  <c r="J1739" i="4"/>
  <c r="L1740" i="2"/>
  <c r="L1739" i="2"/>
  <c r="J1738" i="4"/>
  <c r="L1738" i="2"/>
  <c r="J1737" i="4"/>
  <c r="L1737" i="2"/>
  <c r="L1735" i="2"/>
  <c r="J1732" i="4"/>
  <c r="L1730" i="2"/>
  <c r="J1731" i="4"/>
  <c r="J1736" i="4"/>
  <c r="J1735" i="4"/>
  <c r="J1734" i="4"/>
  <c r="J1733" i="4"/>
  <c r="J1730" i="4"/>
  <c r="I1723" i="2"/>
  <c r="D1723" i="4"/>
  <c r="C1723" i="2"/>
  <c r="H1723" i="4" l="1"/>
  <c r="C1722" i="2" l="1"/>
  <c r="I1722" i="2"/>
  <c r="H1722" i="4" l="1"/>
  <c r="D1722" i="4"/>
  <c r="D1721" i="4" l="1"/>
  <c r="C1721" i="2"/>
  <c r="I1721" i="2"/>
  <c r="H1721" i="4" l="1"/>
  <c r="D1720" i="4" l="1"/>
  <c r="I1720" i="2"/>
  <c r="C1720" i="2"/>
  <c r="H1720" i="4" l="1"/>
  <c r="D1719" i="4" l="1"/>
  <c r="C1719" i="2"/>
  <c r="I1719" i="2"/>
  <c r="H1719" i="4" l="1"/>
  <c r="I1718" i="2" l="1"/>
  <c r="C1718" i="2"/>
  <c r="D1718" i="4"/>
  <c r="H1718" i="4"/>
  <c r="D1717" i="4" l="1"/>
  <c r="C1717" i="2"/>
  <c r="I1717" i="2"/>
  <c r="H1717" i="4" l="1"/>
  <c r="H1716" i="4" l="1"/>
  <c r="D1716" i="4"/>
  <c r="I1716" i="2"/>
  <c r="C1716" i="2"/>
  <c r="D1715" i="4" l="1"/>
  <c r="C1715" i="2"/>
  <c r="I1715" i="2"/>
  <c r="H1715" i="4" l="1"/>
  <c r="D1714" i="4" l="1"/>
  <c r="C1714" i="2"/>
  <c r="I1714" i="2"/>
  <c r="H1714" i="4" l="1"/>
  <c r="D1713" i="4" l="1"/>
  <c r="H1713" i="4" l="1"/>
  <c r="C1713" i="2"/>
  <c r="I1713" i="2"/>
  <c r="C1719" i="4" l="1"/>
  <c r="C1720" i="4"/>
  <c r="C1721" i="4"/>
  <c r="C1722" i="4"/>
  <c r="C1723" i="4"/>
  <c r="C1724" i="4"/>
  <c r="C1725" i="4"/>
  <c r="C1726" i="4"/>
  <c r="C1727" i="4"/>
  <c r="C1728" i="4"/>
  <c r="C1718" i="4"/>
  <c r="B1719" i="2"/>
  <c r="B1720" i="2"/>
  <c r="B1721" i="2"/>
  <c r="B1722" i="2"/>
  <c r="B1723" i="2"/>
  <c r="B1724" i="2"/>
  <c r="B1725" i="2"/>
  <c r="B1726" i="2"/>
  <c r="B1727" i="2"/>
  <c r="B1728" i="2"/>
  <c r="B1718" i="2"/>
  <c r="C1712" i="2" l="1"/>
  <c r="I1712" i="2"/>
  <c r="H1712" i="4"/>
  <c r="D1712" i="4"/>
  <c r="G1719" i="4" l="1"/>
  <c r="I1719" i="4" s="1"/>
  <c r="G1720" i="4"/>
  <c r="I1720" i="4" s="1"/>
  <c r="G1721" i="4"/>
  <c r="I1721" i="4" s="1"/>
  <c r="G1722" i="4"/>
  <c r="I1722" i="4" s="1"/>
  <c r="G1723" i="4"/>
  <c r="I1723" i="4" s="1"/>
  <c r="G1724" i="4"/>
  <c r="I1724" i="4" s="1"/>
  <c r="G1725" i="4"/>
  <c r="I1725" i="4" s="1"/>
  <c r="G1726" i="4"/>
  <c r="I1726" i="4" s="1"/>
  <c r="G1727" i="4"/>
  <c r="I1727" i="4" s="1"/>
  <c r="G1728" i="4"/>
  <c r="I1728" i="4" s="1"/>
  <c r="G1718" i="4"/>
  <c r="I1718" i="4" s="1"/>
  <c r="E1718" i="4"/>
  <c r="E1719" i="4"/>
  <c r="E1720" i="4"/>
  <c r="E1721" i="4"/>
  <c r="E1722" i="4"/>
  <c r="E1723" i="4"/>
  <c r="E1724" i="4"/>
  <c r="E1725" i="4"/>
  <c r="E1726" i="4"/>
  <c r="E1727" i="4"/>
  <c r="E1728" i="4"/>
  <c r="H1719" i="2"/>
  <c r="M1719" i="2" s="1"/>
  <c r="H1720" i="2"/>
  <c r="M1720" i="2" s="1"/>
  <c r="H1721" i="2"/>
  <c r="H1722" i="2"/>
  <c r="H1723" i="2"/>
  <c r="H1724" i="2"/>
  <c r="H1725" i="2"/>
  <c r="H1726" i="2"/>
  <c r="M1726" i="2" s="1"/>
  <c r="H1727" i="2"/>
  <c r="M1727" i="2" s="1"/>
  <c r="H1728" i="2"/>
  <c r="M1728" i="2" s="1"/>
  <c r="H1718" i="2"/>
  <c r="M1718" i="2" s="1"/>
  <c r="M1721" i="2"/>
  <c r="M1722" i="2"/>
  <c r="M1723" i="2"/>
  <c r="M1724" i="2"/>
  <c r="L1724" i="2" s="1"/>
  <c r="M1725" i="2"/>
  <c r="F1718" i="2"/>
  <c r="F1719" i="2"/>
  <c r="F1720" i="2"/>
  <c r="F1721" i="2"/>
  <c r="F1722" i="2"/>
  <c r="F1723" i="2"/>
  <c r="F1724" i="2"/>
  <c r="F1725" i="2"/>
  <c r="F1726" i="2"/>
  <c r="F1727" i="2"/>
  <c r="F1728" i="2"/>
  <c r="L1727" i="2" l="1"/>
  <c r="L1726" i="2"/>
  <c r="L1725" i="2"/>
  <c r="L1728" i="2"/>
  <c r="J1719" i="4"/>
  <c r="J1718" i="4"/>
  <c r="J1728" i="4"/>
  <c r="J1727" i="4"/>
  <c r="J1726" i="4"/>
  <c r="J1725" i="4"/>
  <c r="J1724" i="4"/>
  <c r="L1723" i="2"/>
  <c r="J1723" i="4"/>
  <c r="J1722" i="4"/>
  <c r="J1721" i="4"/>
  <c r="L1721" i="2"/>
  <c r="J1720" i="4"/>
  <c r="L1720" i="2"/>
  <c r="L1719" i="2"/>
  <c r="L1722" i="2"/>
  <c r="L1718" i="2"/>
  <c r="D1711" i="4"/>
  <c r="H1711" i="4"/>
  <c r="C1711" i="2"/>
  <c r="I1711" i="2"/>
  <c r="C1706" i="4" l="1"/>
  <c r="D1706" i="4"/>
  <c r="E1706" i="4" s="1"/>
  <c r="G1706" i="4"/>
  <c r="H1706" i="4"/>
  <c r="B1706" i="2"/>
  <c r="C1706" i="2"/>
  <c r="F1706" i="2" s="1"/>
  <c r="H1706" i="2"/>
  <c r="I1706" i="2"/>
  <c r="M1706" i="2" s="1"/>
  <c r="L1706" i="2" l="1"/>
  <c r="I1706" i="4"/>
  <c r="J1706" i="4" s="1"/>
  <c r="I1710" i="2"/>
  <c r="C1710" i="2"/>
  <c r="H1710" i="4" l="1"/>
  <c r="D1710" i="4"/>
  <c r="C1709" i="2" l="1"/>
  <c r="I1709" i="2"/>
  <c r="H1709" i="4" l="1"/>
  <c r="D1709" i="4"/>
  <c r="I1708" i="2" l="1"/>
  <c r="C1708" i="2"/>
  <c r="D1708" i="4" l="1"/>
  <c r="H1708" i="4"/>
  <c r="C1707" i="2" l="1"/>
  <c r="I1707" i="2"/>
  <c r="D1707" i="4"/>
  <c r="H1707" i="4"/>
  <c r="I1705" i="2" l="1"/>
  <c r="C1705" i="2"/>
  <c r="H1705" i="4" l="1"/>
  <c r="D1705" i="4"/>
  <c r="C1708" i="4"/>
  <c r="E1708" i="4" s="1"/>
  <c r="C1709" i="4"/>
  <c r="E1709" i="4" s="1"/>
  <c r="C1710" i="4"/>
  <c r="E1710" i="4" s="1"/>
  <c r="C1711" i="4"/>
  <c r="E1711" i="4" s="1"/>
  <c r="C1712" i="4"/>
  <c r="E1712" i="4" s="1"/>
  <c r="C1713" i="4"/>
  <c r="E1713" i="4" s="1"/>
  <c r="C1714" i="4"/>
  <c r="E1714" i="4" s="1"/>
  <c r="C1715" i="4"/>
  <c r="E1715" i="4" s="1"/>
  <c r="C1716" i="4"/>
  <c r="E1716" i="4" s="1"/>
  <c r="C1717" i="4"/>
  <c r="E1717" i="4" s="1"/>
  <c r="C1707" i="4"/>
  <c r="F1707" i="2"/>
  <c r="B1708" i="2"/>
  <c r="B1709" i="2"/>
  <c r="B1710" i="2"/>
  <c r="B1711" i="2"/>
  <c r="B1712" i="2"/>
  <c r="B1713" i="2"/>
  <c r="B1714" i="2"/>
  <c r="B1715" i="2"/>
  <c r="B1716" i="2"/>
  <c r="B1717" i="2"/>
  <c r="B1707" i="2"/>
  <c r="I1704" i="2" l="1"/>
  <c r="C1704" i="2"/>
  <c r="H1704" i="4" l="1"/>
  <c r="D1704" i="4"/>
  <c r="I1703" i="2" l="1"/>
  <c r="C1703" i="2"/>
  <c r="D1703" i="4" l="1"/>
  <c r="H1703" i="4"/>
  <c r="H1708" i="2" l="1"/>
  <c r="H1709" i="2"/>
  <c r="H1710" i="2"/>
  <c r="M1710" i="2" s="1"/>
  <c r="H1711" i="2"/>
  <c r="M1711" i="2" s="1"/>
  <c r="H1712" i="2"/>
  <c r="M1712" i="2" s="1"/>
  <c r="H1713" i="2"/>
  <c r="M1713" i="2" s="1"/>
  <c r="H1714" i="2"/>
  <c r="M1714" i="2" s="1"/>
  <c r="H1715" i="2"/>
  <c r="M1715" i="2" s="1"/>
  <c r="H1716" i="2"/>
  <c r="M1716" i="2" s="1"/>
  <c r="H1717" i="2"/>
  <c r="M1717" i="2" s="1"/>
  <c r="H1707" i="2"/>
  <c r="M1707" i="2" s="1"/>
  <c r="L1707" i="2" s="1"/>
  <c r="G1708" i="4"/>
  <c r="I1708" i="4" s="1"/>
  <c r="J1708" i="4" s="1"/>
  <c r="G1709" i="4"/>
  <c r="I1709" i="4" s="1"/>
  <c r="J1709" i="4" s="1"/>
  <c r="G1710" i="4"/>
  <c r="I1710" i="4" s="1"/>
  <c r="J1710" i="4" s="1"/>
  <c r="G1711" i="4"/>
  <c r="I1711" i="4" s="1"/>
  <c r="J1711" i="4" s="1"/>
  <c r="G1712" i="4"/>
  <c r="I1712" i="4" s="1"/>
  <c r="J1712" i="4" s="1"/>
  <c r="G1713" i="4"/>
  <c r="I1713" i="4" s="1"/>
  <c r="J1713" i="4" s="1"/>
  <c r="G1714" i="4"/>
  <c r="I1714" i="4" s="1"/>
  <c r="J1714" i="4" s="1"/>
  <c r="G1715" i="4"/>
  <c r="I1715" i="4" s="1"/>
  <c r="J1715" i="4" s="1"/>
  <c r="G1716" i="4"/>
  <c r="I1716" i="4" s="1"/>
  <c r="J1716" i="4" s="1"/>
  <c r="G1717" i="4"/>
  <c r="I1717" i="4" s="1"/>
  <c r="J1717" i="4" s="1"/>
  <c r="G1707" i="4"/>
  <c r="M1708" i="2"/>
  <c r="M1709" i="2"/>
  <c r="F1708" i="2"/>
  <c r="F1709" i="2"/>
  <c r="F1710" i="2"/>
  <c r="F1711" i="2"/>
  <c r="F1712" i="2"/>
  <c r="F1713" i="2"/>
  <c r="F1714" i="2"/>
  <c r="F1715" i="2"/>
  <c r="F1716" i="2"/>
  <c r="F1717" i="2"/>
  <c r="L1709" i="2" l="1"/>
  <c r="L1708" i="2"/>
  <c r="L1717" i="2"/>
  <c r="L1714" i="2"/>
  <c r="L1716" i="2"/>
  <c r="L1715" i="2"/>
  <c r="L1713" i="2"/>
  <c r="L1712" i="2"/>
  <c r="L1711" i="2"/>
  <c r="L1710" i="2"/>
  <c r="I1702" i="2" l="1"/>
  <c r="C1702" i="2"/>
  <c r="D1702" i="4"/>
  <c r="H1702" i="4"/>
  <c r="D1701" i="4" l="1"/>
  <c r="I1701" i="2"/>
  <c r="C1701" i="2"/>
  <c r="H1701" i="4"/>
  <c r="C1700" i="2" l="1"/>
  <c r="I1700" i="2"/>
  <c r="H1700" i="4"/>
  <c r="D1700" i="4"/>
  <c r="I1699" i="2" l="1"/>
  <c r="C1699" i="2"/>
  <c r="H1699" i="4" l="1"/>
  <c r="D1699" i="4"/>
  <c r="C1698" i="2" l="1"/>
  <c r="I1698" i="2"/>
  <c r="H1698" i="4"/>
  <c r="D1698" i="4"/>
  <c r="J8" i="10" l="1"/>
  <c r="J9" i="10"/>
  <c r="J10" i="10"/>
  <c r="J11" i="10"/>
  <c r="J12" i="10"/>
  <c r="J13" i="10"/>
  <c r="J14" i="10"/>
  <c r="J15" i="10"/>
  <c r="J16" i="10"/>
  <c r="J17" i="10"/>
  <c r="J7" i="10"/>
  <c r="O5" i="9"/>
  <c r="O4" i="9"/>
  <c r="O3" i="9"/>
  <c r="I1696" i="2" l="1"/>
  <c r="C1696" i="2"/>
  <c r="D1696" i="4"/>
  <c r="H1696" i="4" l="1"/>
  <c r="C1695" i="2" l="1"/>
  <c r="I1695" i="2"/>
  <c r="D1695" i="4" l="1"/>
  <c r="H1695" i="4"/>
  <c r="C1698" i="4" l="1"/>
  <c r="C1699" i="4"/>
  <c r="C1700" i="4"/>
  <c r="C1701" i="4"/>
  <c r="C1702" i="4"/>
  <c r="C1703" i="4"/>
  <c r="C1704" i="4"/>
  <c r="C1705" i="4"/>
  <c r="C1697" i="4"/>
  <c r="B1697" i="2"/>
  <c r="B1698" i="2"/>
  <c r="B1699" i="2"/>
  <c r="B1700" i="2"/>
  <c r="B1701" i="2"/>
  <c r="B1702" i="2"/>
  <c r="B1703" i="2"/>
  <c r="B1704" i="2"/>
  <c r="B1705" i="2"/>
  <c r="I1694" i="2" l="1"/>
  <c r="C1694" i="2"/>
  <c r="D1694" i="4" l="1"/>
  <c r="H1694" i="4"/>
  <c r="G1698" i="4" l="1"/>
  <c r="G1699" i="4"/>
  <c r="G1700" i="4"/>
  <c r="G1701" i="4"/>
  <c r="G1702" i="4"/>
  <c r="I1702" i="4" s="1"/>
  <c r="G1703" i="4"/>
  <c r="I1703" i="4" s="1"/>
  <c r="G1704" i="4"/>
  <c r="I1704" i="4" s="1"/>
  <c r="G1705" i="4"/>
  <c r="I1705" i="4" s="1"/>
  <c r="I1707" i="4"/>
  <c r="G1697" i="4"/>
  <c r="I1697" i="4"/>
  <c r="I1698" i="4"/>
  <c r="I1699" i="4"/>
  <c r="I1700" i="4"/>
  <c r="I1701" i="4"/>
  <c r="E1697" i="4"/>
  <c r="E1698" i="4"/>
  <c r="E1699" i="4"/>
  <c r="E1700" i="4"/>
  <c r="E1701" i="4"/>
  <c r="E1702" i="4"/>
  <c r="E1703" i="4"/>
  <c r="E1704" i="4"/>
  <c r="E1705" i="4"/>
  <c r="E1707" i="4"/>
  <c r="H1697" i="2"/>
  <c r="M1697" i="2" s="1"/>
  <c r="H1698" i="2"/>
  <c r="M1698" i="2" s="1"/>
  <c r="H1699" i="2"/>
  <c r="M1699" i="2" s="1"/>
  <c r="H1700" i="2"/>
  <c r="M1700" i="2" s="1"/>
  <c r="H1701" i="2"/>
  <c r="M1701" i="2" s="1"/>
  <c r="H1702" i="2"/>
  <c r="M1702" i="2" s="1"/>
  <c r="H1703" i="2"/>
  <c r="M1703" i="2" s="1"/>
  <c r="H1704" i="2"/>
  <c r="M1704" i="2" s="1"/>
  <c r="H1705" i="2"/>
  <c r="M1705" i="2" s="1"/>
  <c r="F1697" i="2"/>
  <c r="F1698" i="2"/>
  <c r="F1699" i="2"/>
  <c r="F1700" i="2"/>
  <c r="F1701" i="2"/>
  <c r="F1702" i="2"/>
  <c r="F1703" i="2"/>
  <c r="F1704" i="2"/>
  <c r="F1705" i="2"/>
  <c r="J1707" i="4" l="1"/>
  <c r="L1705" i="2"/>
  <c r="L1704" i="2"/>
  <c r="L1703" i="2"/>
  <c r="L1702" i="2"/>
  <c r="L1701" i="2"/>
  <c r="L1700" i="2"/>
  <c r="L1699" i="2"/>
  <c r="L1698" i="2"/>
  <c r="L1697" i="2"/>
  <c r="J1704" i="4"/>
  <c r="J1700" i="4"/>
  <c r="J1698" i="4"/>
  <c r="J1705" i="4"/>
  <c r="J1702" i="4"/>
  <c r="J1701" i="4"/>
  <c r="J1699" i="4"/>
  <c r="J1703" i="4"/>
  <c r="J1697" i="4"/>
  <c r="D1693" i="4"/>
  <c r="C1693" i="2" l="1"/>
  <c r="I1693" i="2"/>
  <c r="H1693" i="4" l="1"/>
  <c r="I1692" i="2" l="1"/>
  <c r="D1692" i="4"/>
  <c r="C1692" i="2"/>
  <c r="H1692" i="4"/>
  <c r="L1680" i="3" l="1"/>
  <c r="F1680" i="3"/>
  <c r="D1691" i="4"/>
  <c r="C1691" i="2"/>
  <c r="I1691" i="2"/>
  <c r="H1691" i="4" l="1"/>
  <c r="H1690" i="4" l="1"/>
  <c r="D1690" i="4"/>
  <c r="I1690" i="2"/>
  <c r="C1690" i="2"/>
  <c r="H1689" i="4" l="1"/>
  <c r="D1688" i="4"/>
  <c r="D1689" i="4"/>
  <c r="C1689" i="2"/>
  <c r="I1689" i="2"/>
  <c r="C1688" i="2" l="1"/>
  <c r="I1688" i="2"/>
  <c r="H1688" i="4" l="1"/>
  <c r="I1687" i="2" l="1"/>
  <c r="D1687" i="4"/>
  <c r="C1687" i="2"/>
  <c r="C1688" i="4" l="1"/>
  <c r="C1689" i="4"/>
  <c r="C1690" i="4"/>
  <c r="C1691" i="4"/>
  <c r="C1692" i="4"/>
  <c r="C1693" i="4"/>
  <c r="C1694" i="4"/>
  <c r="C1695" i="4"/>
  <c r="C1696" i="4"/>
  <c r="C1687" i="4"/>
  <c r="B1688" i="2"/>
  <c r="B1689" i="2"/>
  <c r="B1690" i="2"/>
  <c r="B1691" i="2"/>
  <c r="B1692" i="2"/>
  <c r="B1693" i="2"/>
  <c r="B1694" i="2"/>
  <c r="B1695" i="2"/>
  <c r="B1696" i="2"/>
  <c r="B1687" i="2"/>
  <c r="H1687" i="4" l="1"/>
  <c r="G1688" i="4"/>
  <c r="G1689" i="4"/>
  <c r="G1690" i="4"/>
  <c r="G1691" i="4"/>
  <c r="G1692" i="4"/>
  <c r="G1693" i="4"/>
  <c r="G1694" i="4"/>
  <c r="G1695" i="4"/>
  <c r="G1696" i="4"/>
  <c r="G1687" i="4"/>
  <c r="H1688" i="2"/>
  <c r="H1689" i="2"/>
  <c r="H1690" i="2"/>
  <c r="H1691" i="2"/>
  <c r="H1692" i="2"/>
  <c r="H1693" i="2"/>
  <c r="H1694" i="2"/>
  <c r="H1695" i="2"/>
  <c r="H1696" i="2"/>
  <c r="M1696" i="2" s="1"/>
  <c r="H1687" i="2"/>
  <c r="H1686" i="4" l="1"/>
  <c r="D1686" i="4"/>
  <c r="C1686" i="2"/>
  <c r="I1686" i="2"/>
  <c r="I1685" i="2" l="1"/>
  <c r="D1685" i="4"/>
  <c r="C1685" i="2"/>
  <c r="H1684" i="4" l="1"/>
  <c r="H1685" i="4"/>
  <c r="I1684" i="2" l="1"/>
  <c r="C1684" i="2"/>
  <c r="D1684" i="4"/>
  <c r="D1683" i="4" l="1"/>
  <c r="H1683" i="4" l="1"/>
  <c r="I1683" i="2" l="1"/>
  <c r="C1683" i="2"/>
  <c r="I1688" i="4" l="1"/>
  <c r="I1689" i="4"/>
  <c r="I1690" i="4"/>
  <c r="I1691" i="4"/>
  <c r="I1692" i="4"/>
  <c r="I1693" i="4"/>
  <c r="I1694" i="4"/>
  <c r="I1695" i="4"/>
  <c r="I1696" i="4"/>
  <c r="E1688" i="4"/>
  <c r="E1689" i="4"/>
  <c r="E1690" i="4"/>
  <c r="E1691" i="4"/>
  <c r="E1692" i="4"/>
  <c r="E1693" i="4"/>
  <c r="E1694" i="4"/>
  <c r="E1695" i="4"/>
  <c r="E1696" i="4"/>
  <c r="F1688" i="2"/>
  <c r="F1689" i="2"/>
  <c r="F1690" i="2"/>
  <c r="F1691" i="2"/>
  <c r="F1692" i="2"/>
  <c r="F1693" i="2"/>
  <c r="F1694" i="2"/>
  <c r="F1695" i="2"/>
  <c r="F1687" i="2"/>
  <c r="H1682" i="4"/>
  <c r="D1682" i="4"/>
  <c r="M1687" i="2"/>
  <c r="M1688" i="2"/>
  <c r="M1689" i="2"/>
  <c r="M1690" i="2"/>
  <c r="M1691" i="2"/>
  <c r="M1692" i="2"/>
  <c r="M1693" i="2"/>
  <c r="M1694" i="2"/>
  <c r="M1695" i="2"/>
  <c r="F1696" i="2"/>
  <c r="L1696" i="2" s="1"/>
  <c r="I1682" i="2"/>
  <c r="C1682" i="2"/>
  <c r="L1695" i="2" l="1"/>
  <c r="L1689" i="2"/>
  <c r="L1688" i="2"/>
  <c r="L1687" i="2"/>
  <c r="J1695" i="4"/>
  <c r="J1693" i="4"/>
  <c r="J1690" i="4"/>
  <c r="J1694" i="4"/>
  <c r="J1691" i="4"/>
  <c r="J1689" i="4"/>
  <c r="J1688" i="4"/>
  <c r="J1696" i="4"/>
  <c r="J1692" i="4"/>
  <c r="L1694" i="2"/>
  <c r="L1692" i="2"/>
  <c r="L1690" i="2"/>
  <c r="L1693" i="2"/>
  <c r="L1691" i="2"/>
  <c r="M1681" i="2"/>
  <c r="H1680" i="4" l="1"/>
  <c r="D1680" i="4"/>
  <c r="C1680" i="2"/>
  <c r="I1680" i="2"/>
  <c r="I1679" i="2" l="1"/>
  <c r="D1679" i="4"/>
  <c r="C1679" i="2"/>
  <c r="H1679" i="4"/>
  <c r="I1678" i="2" l="1"/>
  <c r="C1678" i="2"/>
  <c r="H1678" i="4"/>
  <c r="D1678" i="4"/>
  <c r="D1677" i="4" l="1"/>
  <c r="C1677" i="2"/>
  <c r="I1677" i="2"/>
  <c r="H1677" i="4" l="1"/>
  <c r="D1676" i="4" l="1"/>
  <c r="H1676" i="4" l="1"/>
  <c r="C1676" i="2"/>
  <c r="I1676" i="2"/>
  <c r="M1676" i="2" s="1"/>
  <c r="D1675" i="4" l="1"/>
  <c r="I1675" i="2"/>
  <c r="H1675" i="4"/>
  <c r="C1675" i="2"/>
  <c r="D1674" i="4" l="1"/>
  <c r="H1674" i="4"/>
  <c r="I1674" i="2"/>
  <c r="C1674" i="2"/>
  <c r="C1673" i="2" l="1"/>
  <c r="I1673" i="2"/>
  <c r="D1673" i="4"/>
  <c r="H1673" i="4"/>
  <c r="C1677" i="4" l="1"/>
  <c r="C1678" i="4"/>
  <c r="C1679" i="4"/>
  <c r="C1680" i="4"/>
  <c r="C1682" i="4"/>
  <c r="C1683" i="4"/>
  <c r="C1684" i="4"/>
  <c r="C1685" i="4"/>
  <c r="C1686" i="4"/>
  <c r="C1676" i="4"/>
  <c r="B1677" i="2"/>
  <c r="B1678" i="2"/>
  <c r="B1679" i="2"/>
  <c r="B1680" i="2"/>
  <c r="B1682" i="2"/>
  <c r="B1683" i="2"/>
  <c r="B1684" i="2"/>
  <c r="B1685" i="2"/>
  <c r="B1686" i="2"/>
  <c r="B1676" i="2"/>
  <c r="H1671" i="4"/>
  <c r="D1671" i="4"/>
  <c r="B1672" i="2" l="1"/>
  <c r="F1672" i="2"/>
  <c r="H1672" i="2"/>
  <c r="M1672" i="2" s="1"/>
  <c r="L1672" i="2" s="1"/>
  <c r="I1671" i="2" l="1"/>
  <c r="C1671" i="2"/>
  <c r="G1678" i="4" l="1"/>
  <c r="G1679" i="4"/>
  <c r="G1680" i="4"/>
  <c r="G1682" i="4"/>
  <c r="I1682" i="4" s="1"/>
  <c r="G1683" i="4"/>
  <c r="I1683" i="4" s="1"/>
  <c r="G1684" i="4"/>
  <c r="I1684" i="4" s="1"/>
  <c r="G1685" i="4"/>
  <c r="I1685" i="4" s="1"/>
  <c r="G1686" i="4"/>
  <c r="I1686" i="4" s="1"/>
  <c r="I1687" i="4"/>
  <c r="G1677" i="4"/>
  <c r="I1677" i="4" s="1"/>
  <c r="I1678" i="4"/>
  <c r="I1679" i="4"/>
  <c r="I1680" i="4"/>
  <c r="E1677" i="4"/>
  <c r="E1678" i="4"/>
  <c r="E1679" i="4"/>
  <c r="E1680" i="4"/>
  <c r="E1682" i="4"/>
  <c r="E1683" i="4"/>
  <c r="E1684" i="4"/>
  <c r="E1685" i="4"/>
  <c r="E1686" i="4"/>
  <c r="E1687" i="4"/>
  <c r="H1678" i="2"/>
  <c r="M1678" i="2" s="1"/>
  <c r="H1679" i="2"/>
  <c r="M1679" i="2" s="1"/>
  <c r="H1680" i="2"/>
  <c r="M1680" i="2" s="1"/>
  <c r="H1682" i="2"/>
  <c r="M1682" i="2" s="1"/>
  <c r="H1683" i="2"/>
  <c r="M1683" i="2" s="1"/>
  <c r="H1684" i="2"/>
  <c r="M1684" i="2" s="1"/>
  <c r="H1685" i="2"/>
  <c r="M1685" i="2" s="1"/>
  <c r="H1686" i="2"/>
  <c r="M1686" i="2" s="1"/>
  <c r="H1673" i="2"/>
  <c r="H1674" i="2"/>
  <c r="H1675" i="2"/>
  <c r="H1677" i="2"/>
  <c r="M1677" i="2" s="1"/>
  <c r="F1677" i="2"/>
  <c r="L1677" i="2" s="1"/>
  <c r="F1678" i="2"/>
  <c r="F1679" i="2"/>
  <c r="L1679" i="2" s="1"/>
  <c r="F1680" i="2"/>
  <c r="L1680" i="2" s="1"/>
  <c r="F1682" i="2"/>
  <c r="L1682" i="2" s="1"/>
  <c r="F1683" i="2"/>
  <c r="F1684" i="2"/>
  <c r="F1685" i="2"/>
  <c r="F1686" i="2"/>
  <c r="I1670" i="2"/>
  <c r="C1670" i="2"/>
  <c r="L1686" i="2" l="1"/>
  <c r="L1684" i="2"/>
  <c r="L1685" i="2"/>
  <c r="L1683" i="2"/>
  <c r="L1678" i="2"/>
  <c r="J1685" i="4"/>
  <c r="J1684" i="4"/>
  <c r="J1683" i="4"/>
  <c r="J1687" i="4"/>
  <c r="J1682" i="4"/>
  <c r="J1680" i="4"/>
  <c r="J1679" i="4"/>
  <c r="J1678" i="4"/>
  <c r="J1677" i="4"/>
  <c r="J1686" i="4"/>
  <c r="G1672" i="4"/>
  <c r="G1673" i="4"/>
  <c r="G1674" i="4"/>
  <c r="G1675" i="4"/>
  <c r="C1669" i="2" l="1"/>
  <c r="I1669" i="2"/>
  <c r="D1670" i="4"/>
  <c r="H1670" i="4"/>
  <c r="H1669" i="4" l="1"/>
  <c r="D1669" i="4"/>
  <c r="H1668" i="4" l="1"/>
  <c r="D1668" i="4"/>
  <c r="I1668" i="2"/>
  <c r="C1668" i="2"/>
  <c r="C1667" i="2" l="1"/>
  <c r="D1667" i="4" l="1"/>
  <c r="H1667" i="4"/>
  <c r="I1667" i="2"/>
  <c r="H1665" i="4" l="1"/>
  <c r="D1665" i="4"/>
  <c r="I1665" i="2"/>
  <c r="C1665" i="2"/>
  <c r="D1664" i="4" l="1"/>
  <c r="C1664" i="2"/>
  <c r="I1664" i="2"/>
  <c r="H1664" i="4"/>
  <c r="I1672" i="4" l="1"/>
  <c r="I1673" i="4"/>
  <c r="I1674" i="4"/>
  <c r="I1675" i="4"/>
  <c r="I1676" i="4"/>
  <c r="E1676" i="4"/>
  <c r="C1667" i="4"/>
  <c r="C1668" i="4"/>
  <c r="C1669" i="4"/>
  <c r="C1670" i="4"/>
  <c r="C1671" i="4"/>
  <c r="E1671" i="4" s="1"/>
  <c r="C1672" i="4"/>
  <c r="E1672" i="4" s="1"/>
  <c r="C1673" i="4"/>
  <c r="E1673" i="4" s="1"/>
  <c r="C1674" i="4"/>
  <c r="E1674" i="4" s="1"/>
  <c r="C1675" i="4"/>
  <c r="E1675" i="4" s="1"/>
  <c r="C1666" i="4"/>
  <c r="M1673" i="2"/>
  <c r="M1674" i="2"/>
  <c r="M1675" i="2"/>
  <c r="B1667" i="2"/>
  <c r="B1668" i="2"/>
  <c r="B1669" i="2"/>
  <c r="B1670" i="2"/>
  <c r="B1671" i="2"/>
  <c r="B1673" i="2"/>
  <c r="F1673" i="2" s="1"/>
  <c r="B1674" i="2"/>
  <c r="F1674" i="2" s="1"/>
  <c r="B1675" i="2"/>
  <c r="F1675" i="2" s="1"/>
  <c r="F1676" i="2"/>
  <c r="L1676" i="2" s="1"/>
  <c r="B1666" i="2"/>
  <c r="I1663" i="2"/>
  <c r="D1663" i="4"/>
  <c r="C1663" i="2"/>
  <c r="L1674" i="2" l="1"/>
  <c r="L1673" i="2"/>
  <c r="J1674" i="4"/>
  <c r="J1675" i="4"/>
  <c r="J1673" i="4"/>
  <c r="J1672" i="4"/>
  <c r="J1676" i="4"/>
  <c r="L1675" i="2"/>
  <c r="H1663" i="4"/>
  <c r="D1662" i="4" l="1"/>
  <c r="I1662" i="2"/>
  <c r="C1662" i="2"/>
  <c r="H1662" i="4" l="1"/>
  <c r="I1661" i="2" l="1"/>
  <c r="C1661" i="2"/>
  <c r="D1661" i="4" l="1"/>
  <c r="H1661" i="4"/>
  <c r="I1660" i="2" l="1"/>
  <c r="D1660" i="4"/>
  <c r="C1660" i="2"/>
  <c r="H1660" i="4" l="1"/>
  <c r="I1659" i="2" l="1"/>
  <c r="C1659" i="2"/>
  <c r="D1659" i="4"/>
  <c r="H1659" i="4"/>
  <c r="I1658" i="2" l="1"/>
  <c r="C1658" i="2"/>
  <c r="H1658" i="4"/>
  <c r="D1658" i="4"/>
  <c r="D1657" i="4" l="1"/>
  <c r="I1657" i="2" l="1"/>
  <c r="C1657" i="2"/>
  <c r="H1657" i="4" l="1"/>
  <c r="D1656" i="4" l="1"/>
  <c r="H1656" i="4"/>
  <c r="C1656" i="2"/>
  <c r="I1656" i="2"/>
  <c r="I1655" i="2" l="1"/>
  <c r="H1655" i="4"/>
  <c r="D1655" i="4"/>
  <c r="C1655" i="2"/>
  <c r="D1654" i="4" l="1"/>
  <c r="I1654" i="2"/>
  <c r="C1654" i="2"/>
  <c r="G1662" i="4" l="1"/>
  <c r="G1663" i="4"/>
  <c r="G1664" i="4"/>
  <c r="G1665" i="4"/>
  <c r="G1666" i="4"/>
  <c r="G1667" i="4"/>
  <c r="G1668" i="4"/>
  <c r="G1669" i="4"/>
  <c r="G1670" i="4"/>
  <c r="G1671" i="4"/>
  <c r="I1671" i="4" s="1"/>
  <c r="G1661" i="4"/>
  <c r="H1662" i="2"/>
  <c r="H1663" i="2"/>
  <c r="H1664" i="2"/>
  <c r="H1665" i="2"/>
  <c r="H1666" i="2"/>
  <c r="H1667" i="2"/>
  <c r="H1668" i="2"/>
  <c r="H1669" i="2"/>
  <c r="H1670" i="2"/>
  <c r="H1671" i="2"/>
  <c r="M1671" i="2" s="1"/>
  <c r="H1661" i="2"/>
  <c r="C1662" i="4" l="1"/>
  <c r="C1663" i="4"/>
  <c r="E1663" i="4" s="1"/>
  <c r="C1664" i="4"/>
  <c r="E1664" i="4" s="1"/>
  <c r="C1665" i="4"/>
  <c r="E1665" i="4" s="1"/>
  <c r="C1661" i="4"/>
  <c r="J1671" i="4"/>
  <c r="I1662" i="4"/>
  <c r="I1663" i="4"/>
  <c r="I1664" i="4"/>
  <c r="I1665" i="4"/>
  <c r="I1666" i="4"/>
  <c r="I1667" i="4"/>
  <c r="I1668" i="4"/>
  <c r="I1669" i="4"/>
  <c r="I1670" i="4"/>
  <c r="E1662" i="4"/>
  <c r="E1666" i="4"/>
  <c r="E1667" i="4"/>
  <c r="E1668" i="4"/>
  <c r="E1669" i="4"/>
  <c r="E1670" i="4"/>
  <c r="M1662" i="2"/>
  <c r="M1663" i="2"/>
  <c r="M1664" i="2"/>
  <c r="M1665" i="2"/>
  <c r="M1666" i="2"/>
  <c r="M1667" i="2"/>
  <c r="M1668" i="2"/>
  <c r="M1669" i="2"/>
  <c r="M1670" i="2"/>
  <c r="F1666" i="2"/>
  <c r="F1667" i="2"/>
  <c r="F1668" i="2"/>
  <c r="F1669" i="2"/>
  <c r="F1670" i="2"/>
  <c r="F1671" i="2"/>
  <c r="L1671" i="2" s="1"/>
  <c r="B1662" i="2"/>
  <c r="F1662" i="2" s="1"/>
  <c r="B1663" i="2"/>
  <c r="F1663" i="2" s="1"/>
  <c r="B1664" i="2"/>
  <c r="F1664" i="2" s="1"/>
  <c r="B1665" i="2"/>
  <c r="F1665" i="2" s="1"/>
  <c r="B1661" i="2"/>
  <c r="H1654" i="4"/>
  <c r="J1667" i="4" l="1"/>
  <c r="L1670" i="2"/>
  <c r="L1668" i="2"/>
  <c r="J1663" i="4"/>
  <c r="J1666" i="4"/>
  <c r="J1670" i="4"/>
  <c r="J1669" i="4"/>
  <c r="J1665" i="4"/>
  <c r="J1662" i="4"/>
  <c r="L1663" i="2"/>
  <c r="L1662" i="2"/>
  <c r="L1669" i="2"/>
  <c r="J1668" i="4"/>
  <c r="L1667" i="2"/>
  <c r="L1666" i="2"/>
  <c r="L1665" i="2"/>
  <c r="J1664" i="4"/>
  <c r="L1664" i="2"/>
  <c r="C1653" i="2"/>
  <c r="D1653" i="4"/>
  <c r="I1653" i="2"/>
  <c r="H1653" i="4" l="1"/>
  <c r="I1652" i="2" l="1"/>
  <c r="C1652" i="2"/>
  <c r="H1652" i="4" l="1"/>
  <c r="D1652" i="4"/>
  <c r="D1651" i="4" l="1"/>
  <c r="D1647" i="4"/>
  <c r="H1647" i="4"/>
  <c r="H1651" i="4"/>
  <c r="C1651" i="2"/>
  <c r="I1651" i="2"/>
  <c r="C1650" i="2" l="1"/>
  <c r="I1650" i="2"/>
  <c r="H1648" i="4" l="1"/>
  <c r="H1649" i="4"/>
  <c r="H1650" i="4"/>
  <c r="C1649" i="4" l="1"/>
  <c r="D1649" i="4"/>
  <c r="G1649" i="4"/>
  <c r="I1649" i="4"/>
  <c r="C1648" i="4"/>
  <c r="D1648" i="4"/>
  <c r="E1648" i="4"/>
  <c r="G1648" i="4"/>
  <c r="I1648" i="4" s="1"/>
  <c r="B1649" i="2"/>
  <c r="C1649" i="2"/>
  <c r="F1649" i="2"/>
  <c r="H1649" i="2"/>
  <c r="I1649" i="2"/>
  <c r="M1649" i="2" s="1"/>
  <c r="L1649" i="2" s="1"/>
  <c r="B1648" i="2"/>
  <c r="C1648" i="2"/>
  <c r="F1648" i="2" s="1"/>
  <c r="H1648" i="2"/>
  <c r="I1648" i="2"/>
  <c r="J1648" i="4" l="1"/>
  <c r="E1649" i="4"/>
  <c r="J1649" i="4" s="1"/>
  <c r="M1648" i="2"/>
  <c r="L1648" i="2" s="1"/>
  <c r="D1650" i="4"/>
  <c r="C1647" i="2" l="1"/>
  <c r="I1647" i="2"/>
  <c r="I1646" i="2" l="1"/>
  <c r="D1646" i="4"/>
  <c r="C1646" i="2"/>
  <c r="H1646" i="4"/>
  <c r="G1652" i="4"/>
  <c r="G1653" i="4"/>
  <c r="G1654" i="4"/>
  <c r="G1655" i="4"/>
  <c r="G1656" i="4"/>
  <c r="G1657" i="4"/>
  <c r="G1658" i="4"/>
  <c r="G1659" i="4"/>
  <c r="G1660" i="4"/>
  <c r="G1651" i="4"/>
  <c r="H1652" i="2"/>
  <c r="H1653" i="2"/>
  <c r="H1654" i="2"/>
  <c r="H1655" i="2"/>
  <c r="H1656" i="2"/>
  <c r="H1657" i="2"/>
  <c r="H1658" i="2"/>
  <c r="H1659" i="2"/>
  <c r="H1660" i="2"/>
  <c r="H1651" i="2"/>
  <c r="D1645" i="4" l="1"/>
  <c r="C1645" i="2"/>
  <c r="I1645" i="2"/>
  <c r="H1645" i="4"/>
  <c r="I1644" i="2" l="1"/>
  <c r="C1644" i="2"/>
  <c r="H1644" i="4" l="1"/>
  <c r="D1644" i="4"/>
  <c r="I1643" i="2" l="1"/>
  <c r="C1643" i="2"/>
  <c r="D1643" i="4"/>
  <c r="H1643" i="4" l="1"/>
  <c r="C1652" i="4" l="1"/>
  <c r="C1653" i="4"/>
  <c r="C1654" i="4"/>
  <c r="E1654" i="4" s="1"/>
  <c r="C1655" i="4"/>
  <c r="E1655" i="4" s="1"/>
  <c r="C1656" i="4"/>
  <c r="E1656" i="4" s="1"/>
  <c r="C1657" i="4"/>
  <c r="E1657" i="4" s="1"/>
  <c r="C1658" i="4"/>
  <c r="E1658" i="4" s="1"/>
  <c r="C1659" i="4"/>
  <c r="E1659" i="4" s="1"/>
  <c r="C1660" i="4"/>
  <c r="E1660" i="4" s="1"/>
  <c r="C1651" i="4"/>
  <c r="I1651" i="4"/>
  <c r="I1652" i="4"/>
  <c r="I1653" i="4"/>
  <c r="I1654" i="4"/>
  <c r="I1655" i="4"/>
  <c r="I1656" i="4"/>
  <c r="I1657" i="4"/>
  <c r="I1658" i="4"/>
  <c r="I1659" i="4"/>
  <c r="I1660" i="4"/>
  <c r="I1661" i="4"/>
  <c r="E1651" i="4"/>
  <c r="E1652" i="4"/>
  <c r="E1653" i="4"/>
  <c r="E1661" i="4"/>
  <c r="M1651" i="2"/>
  <c r="M1652" i="2"/>
  <c r="M1653" i="2"/>
  <c r="M1654" i="2"/>
  <c r="M1655" i="2"/>
  <c r="M1656" i="2"/>
  <c r="M1657" i="2"/>
  <c r="M1658" i="2"/>
  <c r="M1659" i="2"/>
  <c r="M1660" i="2"/>
  <c r="M1661" i="2"/>
  <c r="F1661" i="2"/>
  <c r="B1652" i="2"/>
  <c r="F1652" i="2" s="1"/>
  <c r="B1653" i="2"/>
  <c r="F1653" i="2" s="1"/>
  <c r="B1654" i="2"/>
  <c r="F1654" i="2" s="1"/>
  <c r="B1655" i="2"/>
  <c r="F1655" i="2" s="1"/>
  <c r="B1656" i="2"/>
  <c r="F1656" i="2" s="1"/>
  <c r="B1657" i="2"/>
  <c r="F1657" i="2" s="1"/>
  <c r="B1658" i="2"/>
  <c r="F1658" i="2" s="1"/>
  <c r="B1659" i="2"/>
  <c r="F1659" i="2" s="1"/>
  <c r="B1660" i="2"/>
  <c r="F1660" i="2" s="1"/>
  <c r="B1651" i="2"/>
  <c r="F1651" i="2" s="1"/>
  <c r="D1642" i="4"/>
  <c r="I1642" i="2"/>
  <c r="H1642" i="4"/>
  <c r="C1642" i="2"/>
  <c r="L1661" i="2" l="1"/>
  <c r="J1660" i="4"/>
  <c r="J1659" i="4"/>
  <c r="J1658" i="4"/>
  <c r="J1655" i="4"/>
  <c r="L1659" i="2"/>
  <c r="L1660" i="2"/>
  <c r="L1658" i="2"/>
  <c r="L1656" i="2"/>
  <c r="L1655" i="2"/>
  <c r="L1653" i="2"/>
  <c r="J1661" i="4"/>
  <c r="L1654" i="2"/>
  <c r="L1652" i="2"/>
  <c r="J1651" i="4"/>
  <c r="L1651" i="2"/>
  <c r="L1657" i="2"/>
  <c r="J1656" i="4"/>
  <c r="J1652" i="4"/>
  <c r="J1657" i="4"/>
  <c r="J1654" i="4"/>
  <c r="J1653" i="4"/>
  <c r="D1641" i="4"/>
  <c r="C1641" i="2"/>
  <c r="I1641" i="2"/>
  <c r="H1641" i="4" l="1"/>
  <c r="D1640" i="4" l="1"/>
  <c r="C1640" i="2" l="1"/>
  <c r="I1640" i="2"/>
  <c r="H1640" i="4" l="1"/>
  <c r="H1639" i="4" l="1"/>
  <c r="D1639" i="4" l="1"/>
  <c r="I1639" i="2"/>
  <c r="C1639" i="2"/>
  <c r="C1638" i="2" l="1"/>
  <c r="I1638" i="2"/>
  <c r="D1638" i="4"/>
  <c r="H1638" i="4" l="1"/>
  <c r="D1637" i="4" l="1"/>
  <c r="C1637" i="2"/>
  <c r="I1637" i="2"/>
  <c r="H1637" i="4" l="1"/>
  <c r="I1636" i="2" l="1"/>
  <c r="C1636" i="2"/>
  <c r="H1636" i="4" l="1"/>
  <c r="D1636" i="4"/>
  <c r="I1635" i="2" l="1"/>
  <c r="C1635" i="2"/>
  <c r="H1635" i="4"/>
  <c r="D1635" i="4"/>
  <c r="G1640" i="4" l="1"/>
  <c r="I1640" i="4" s="1"/>
  <c r="G1641" i="4"/>
  <c r="I1641" i="4" s="1"/>
  <c r="G1642" i="4"/>
  <c r="I1642" i="4" s="1"/>
  <c r="G1643" i="4"/>
  <c r="I1643" i="4" s="1"/>
  <c r="G1644" i="4"/>
  <c r="I1644" i="4" s="1"/>
  <c r="G1645" i="4"/>
  <c r="I1645" i="4" s="1"/>
  <c r="G1646" i="4"/>
  <c r="I1646" i="4" s="1"/>
  <c r="G1647" i="4"/>
  <c r="I1647" i="4" s="1"/>
  <c r="G1650" i="4"/>
  <c r="I1650" i="4" s="1"/>
  <c r="G1639" i="4"/>
  <c r="I1639" i="4" s="1"/>
  <c r="H1640" i="2"/>
  <c r="M1640" i="2" s="1"/>
  <c r="H1641" i="2"/>
  <c r="M1641" i="2" s="1"/>
  <c r="H1642" i="2"/>
  <c r="M1642" i="2" s="1"/>
  <c r="H1643" i="2"/>
  <c r="M1643" i="2" s="1"/>
  <c r="H1644" i="2"/>
  <c r="M1644" i="2" s="1"/>
  <c r="H1645" i="2"/>
  <c r="M1645" i="2" s="1"/>
  <c r="H1646" i="2"/>
  <c r="M1646" i="2" s="1"/>
  <c r="H1647" i="2"/>
  <c r="M1647" i="2" s="1"/>
  <c r="H1650" i="2"/>
  <c r="M1650" i="2" s="1"/>
  <c r="H1639" i="2"/>
  <c r="M1639" i="2" s="1"/>
  <c r="C1640" i="4"/>
  <c r="E1640" i="4" s="1"/>
  <c r="C1641" i="4"/>
  <c r="E1641" i="4" s="1"/>
  <c r="C1642" i="4"/>
  <c r="E1642" i="4" s="1"/>
  <c r="C1643" i="4"/>
  <c r="E1643" i="4" s="1"/>
  <c r="C1644" i="4"/>
  <c r="E1644" i="4" s="1"/>
  <c r="C1645" i="4"/>
  <c r="E1645" i="4" s="1"/>
  <c r="C1646" i="4"/>
  <c r="E1646" i="4" s="1"/>
  <c r="C1647" i="4"/>
  <c r="E1647" i="4" s="1"/>
  <c r="C1650" i="4"/>
  <c r="E1650" i="4" s="1"/>
  <c r="C1639" i="4"/>
  <c r="E1639" i="4" s="1"/>
  <c r="B1640" i="2"/>
  <c r="F1640" i="2" s="1"/>
  <c r="B1641" i="2"/>
  <c r="F1641" i="2" s="1"/>
  <c r="B1642" i="2"/>
  <c r="F1642" i="2" s="1"/>
  <c r="B1643" i="2"/>
  <c r="F1643" i="2" s="1"/>
  <c r="B1644" i="2"/>
  <c r="F1644" i="2" s="1"/>
  <c r="B1645" i="2"/>
  <c r="F1645" i="2" s="1"/>
  <c r="B1646" i="2"/>
  <c r="F1646" i="2" s="1"/>
  <c r="B1647" i="2"/>
  <c r="F1647" i="2" s="1"/>
  <c r="B1650" i="2"/>
  <c r="F1650" i="2" s="1"/>
  <c r="B1639" i="2"/>
  <c r="F1639" i="2" s="1"/>
  <c r="L1646" i="2" l="1"/>
  <c r="J1641" i="4"/>
  <c r="J1650" i="4"/>
  <c r="J1640" i="4"/>
  <c r="L1644" i="2"/>
  <c r="L1643" i="2"/>
  <c r="L1642" i="2"/>
  <c r="L1640" i="2"/>
  <c r="L1645" i="2"/>
  <c r="L1647" i="2"/>
  <c r="J1639" i="4"/>
  <c r="L1641" i="2"/>
  <c r="L1650" i="2"/>
  <c r="L1639" i="2"/>
  <c r="J1644" i="4"/>
  <c r="J1646" i="4"/>
  <c r="J1643" i="4"/>
  <c r="J1647" i="4"/>
  <c r="J1645" i="4"/>
  <c r="J1642" i="4"/>
  <c r="H1634" i="4" l="1"/>
  <c r="D1634" i="4"/>
  <c r="D1633" i="4"/>
  <c r="I1634" i="2"/>
  <c r="C1634" i="2"/>
  <c r="I1633" i="2" l="1"/>
  <c r="C1633" i="2"/>
  <c r="H1633" i="4" l="1"/>
  <c r="D1632" i="4" l="1"/>
  <c r="I1632" i="2"/>
  <c r="C1632" i="2"/>
  <c r="H1632" i="4" l="1"/>
  <c r="D1631" i="4" l="1"/>
  <c r="H1631" i="4"/>
  <c r="C1631" i="2" l="1"/>
  <c r="I1631" i="2"/>
  <c r="H1630" i="4" l="1"/>
  <c r="D1630" i="4"/>
  <c r="I1630" i="2"/>
  <c r="C1630" i="2"/>
  <c r="G1630" i="4"/>
  <c r="G1631" i="4"/>
  <c r="G1632" i="4"/>
  <c r="G1633" i="4"/>
  <c r="G1634" i="4"/>
  <c r="G1635" i="4"/>
  <c r="G1636" i="4"/>
  <c r="G1637" i="4"/>
  <c r="G1638" i="4"/>
  <c r="I1638" i="4" s="1"/>
  <c r="G1629" i="4"/>
  <c r="H1630" i="2"/>
  <c r="H1631" i="2"/>
  <c r="H1632" i="2"/>
  <c r="H1633" i="2"/>
  <c r="H1634" i="2"/>
  <c r="H1635" i="2"/>
  <c r="H1636" i="2"/>
  <c r="H1637" i="2"/>
  <c r="H1638" i="2"/>
  <c r="M1638" i="2" s="1"/>
  <c r="H1629" i="2"/>
  <c r="C1630" i="4" l="1"/>
  <c r="C1631" i="4"/>
  <c r="C1632" i="4"/>
  <c r="C1633" i="4"/>
  <c r="C1634" i="4"/>
  <c r="C1635" i="4"/>
  <c r="C1636" i="4"/>
  <c r="C1637" i="4"/>
  <c r="C1638" i="4"/>
  <c r="C1629" i="4"/>
  <c r="B1630" i="2"/>
  <c r="B1631" i="2"/>
  <c r="B1632" i="2"/>
  <c r="B1633" i="2"/>
  <c r="B1634" i="2"/>
  <c r="B1635" i="2"/>
  <c r="B1636" i="2"/>
  <c r="B1637" i="2"/>
  <c r="B1638" i="2"/>
  <c r="F1638" i="2" s="1"/>
  <c r="L1638" i="2" s="1"/>
  <c r="B1629" i="2"/>
  <c r="H1629" i="4" l="1"/>
  <c r="D1629" i="4"/>
  <c r="C1629" i="2" l="1"/>
  <c r="I1629" i="2"/>
  <c r="D1628" i="4" l="1"/>
  <c r="H1628" i="4"/>
  <c r="C1628" i="2"/>
  <c r="I1628" i="2"/>
  <c r="C1627" i="2"/>
  <c r="E1634" i="4" l="1"/>
  <c r="E1635" i="4"/>
  <c r="E1636" i="4"/>
  <c r="E1637" i="4"/>
  <c r="E1638" i="4"/>
  <c r="I1629" i="4"/>
  <c r="I1630" i="4"/>
  <c r="I1631" i="4"/>
  <c r="I1632" i="4"/>
  <c r="I1633" i="4"/>
  <c r="I1634" i="4"/>
  <c r="I1635" i="4"/>
  <c r="I1636" i="4"/>
  <c r="I1637" i="4"/>
  <c r="E1629" i="4"/>
  <c r="E1630" i="4"/>
  <c r="E1631" i="4"/>
  <c r="E1632" i="4"/>
  <c r="J1632" i="4" s="1"/>
  <c r="E1633" i="4"/>
  <c r="J1633" i="4" s="1"/>
  <c r="M1629" i="2"/>
  <c r="M1630" i="2"/>
  <c r="M1631" i="2"/>
  <c r="M1632" i="2"/>
  <c r="M1633" i="2"/>
  <c r="M1634" i="2"/>
  <c r="M1635" i="2"/>
  <c r="M1636" i="2"/>
  <c r="M1637" i="2"/>
  <c r="F1629" i="2"/>
  <c r="F1630" i="2"/>
  <c r="F1631" i="2"/>
  <c r="F1632" i="2"/>
  <c r="F1633" i="2"/>
  <c r="F1634" i="2"/>
  <c r="F1635" i="2"/>
  <c r="F1636" i="2"/>
  <c r="F1637" i="2"/>
  <c r="J1631" i="4" l="1"/>
  <c r="L1637" i="2"/>
  <c r="L1630" i="2"/>
  <c r="J1638" i="4"/>
  <c r="J1637" i="4"/>
  <c r="J1636" i="4"/>
  <c r="J1635" i="4"/>
  <c r="J1634" i="4"/>
  <c r="J1630" i="4"/>
  <c r="L1636" i="2"/>
  <c r="L1632" i="2"/>
  <c r="L1635" i="2"/>
  <c r="L1634" i="2"/>
  <c r="L1633" i="2"/>
  <c r="L1631" i="2"/>
  <c r="J1629" i="4"/>
  <c r="L1629" i="2"/>
  <c r="I1627" i="2"/>
  <c r="D1627" i="4" l="1"/>
  <c r="H1627" i="4"/>
  <c r="G1628" i="4"/>
  <c r="I1628" i="4" s="1"/>
  <c r="C1628" i="4"/>
  <c r="E1628" i="4" s="1"/>
  <c r="B1628" i="2"/>
  <c r="F1628" i="2" s="1"/>
  <c r="H1628" i="2"/>
  <c r="M1628" i="2"/>
  <c r="J1628" i="4" l="1"/>
  <c r="L1628" i="2"/>
  <c r="D1626" i="4"/>
  <c r="H1626" i="4"/>
  <c r="C1626" i="2"/>
  <c r="I1626" i="2"/>
  <c r="D1625" i="4" l="1"/>
  <c r="C1625" i="2"/>
  <c r="I1625" i="2"/>
  <c r="H1625" i="4"/>
  <c r="D1624" i="4" l="1"/>
  <c r="C1624" i="2"/>
  <c r="I1624" i="2"/>
  <c r="H1624" i="4" l="1"/>
  <c r="D1623" i="4" l="1"/>
  <c r="C1623" i="2"/>
  <c r="I1623" i="2"/>
  <c r="H1623" i="4"/>
  <c r="C1622" i="2" l="1"/>
  <c r="I1622" i="2"/>
  <c r="D1622" i="4"/>
  <c r="H1622" i="4"/>
  <c r="C1621" i="2" l="1"/>
  <c r="D1621" i="4"/>
  <c r="H1621" i="4"/>
  <c r="I1621" i="2"/>
  <c r="C1620" i="2" l="1"/>
  <c r="I1620" i="2"/>
  <c r="D1620" i="4" l="1"/>
  <c r="H1620" i="4"/>
  <c r="H1619" i="4" l="1"/>
  <c r="D1619" i="4"/>
  <c r="C1619" i="2"/>
  <c r="I1619" i="2"/>
  <c r="D1618" i="4" l="1"/>
  <c r="I1618" i="2"/>
  <c r="C1618" i="2"/>
  <c r="H1618" i="4" l="1"/>
  <c r="H1617" i="4" l="1"/>
  <c r="D1617" i="4"/>
  <c r="I1617" i="2"/>
  <c r="C1617" i="2"/>
  <c r="I1616" i="2" l="1"/>
  <c r="D1616" i="4"/>
  <c r="C1616" i="2"/>
  <c r="G1620" i="4" l="1"/>
  <c r="G1621" i="4"/>
  <c r="G1622" i="4"/>
  <c r="G1623" i="4"/>
  <c r="G1624" i="4"/>
  <c r="G1625" i="4"/>
  <c r="G1626" i="4"/>
  <c r="G1627" i="4"/>
  <c r="G1619" i="4"/>
  <c r="H1620" i="2"/>
  <c r="H1621" i="2"/>
  <c r="H1622" i="2"/>
  <c r="H1623" i="2"/>
  <c r="H1624" i="2"/>
  <c r="H1625" i="2"/>
  <c r="H1626" i="2"/>
  <c r="H1627" i="2"/>
  <c r="H1619" i="2"/>
  <c r="I1619" i="4" l="1"/>
  <c r="I1620" i="4"/>
  <c r="I1621" i="4"/>
  <c r="I1622" i="4"/>
  <c r="I1623" i="4"/>
  <c r="I1624" i="4"/>
  <c r="I1625" i="4"/>
  <c r="I1626" i="4"/>
  <c r="I1627" i="4"/>
  <c r="C1620" i="4"/>
  <c r="E1620" i="4" s="1"/>
  <c r="C1621" i="4"/>
  <c r="E1621" i="4" s="1"/>
  <c r="C1622" i="4"/>
  <c r="E1622" i="4" s="1"/>
  <c r="C1623" i="4"/>
  <c r="E1623" i="4" s="1"/>
  <c r="C1624" i="4"/>
  <c r="E1624" i="4" s="1"/>
  <c r="C1625" i="4"/>
  <c r="E1625" i="4" s="1"/>
  <c r="C1626" i="4"/>
  <c r="E1626" i="4" s="1"/>
  <c r="C1627" i="4"/>
  <c r="E1627" i="4" s="1"/>
  <c r="C1619" i="4"/>
  <c r="E1619" i="4" s="1"/>
  <c r="M1619" i="2"/>
  <c r="M1620" i="2"/>
  <c r="M1621" i="2"/>
  <c r="M1622" i="2"/>
  <c r="M1623" i="2"/>
  <c r="M1624" i="2"/>
  <c r="M1625" i="2"/>
  <c r="M1626" i="2"/>
  <c r="M1627" i="2"/>
  <c r="B1620" i="2"/>
  <c r="F1620" i="2" s="1"/>
  <c r="B1621" i="2"/>
  <c r="F1621" i="2" s="1"/>
  <c r="B1622" i="2"/>
  <c r="F1622" i="2" s="1"/>
  <c r="B1623" i="2"/>
  <c r="F1623" i="2" s="1"/>
  <c r="B1624" i="2"/>
  <c r="F1624" i="2" s="1"/>
  <c r="B1625" i="2"/>
  <c r="F1625" i="2" s="1"/>
  <c r="B1626" i="2"/>
  <c r="F1626" i="2" s="1"/>
  <c r="B1627" i="2"/>
  <c r="F1627" i="2" s="1"/>
  <c r="B1619" i="2"/>
  <c r="F1619" i="2"/>
  <c r="H1616" i="4"/>
  <c r="L1627" i="2" l="1"/>
  <c r="J1627" i="4"/>
  <c r="J1626" i="4"/>
  <c r="L1626" i="2"/>
  <c r="L1625" i="2"/>
  <c r="J1625" i="4"/>
  <c r="J1624" i="4"/>
  <c r="L1624" i="2"/>
  <c r="J1623" i="4"/>
  <c r="L1623" i="2"/>
  <c r="J1622" i="4"/>
  <c r="L1621" i="2"/>
  <c r="J1621" i="4"/>
  <c r="L1622" i="2"/>
  <c r="L1620" i="2"/>
  <c r="J1620" i="4"/>
  <c r="J1619" i="4"/>
  <c r="L1619" i="2"/>
  <c r="I1615" i="2"/>
  <c r="D1615" i="4"/>
  <c r="C1615" i="2"/>
  <c r="H1615" i="4" l="1"/>
  <c r="H1614" i="4" l="1"/>
  <c r="D1614" i="4"/>
  <c r="I1614" i="2"/>
  <c r="C1614" i="2"/>
  <c r="C1613" i="2" l="1"/>
  <c r="D1613" i="4" l="1"/>
  <c r="I1613" i="2"/>
  <c r="H1613" i="4" l="1"/>
  <c r="I1612" i="2" l="1"/>
  <c r="C1612" i="2"/>
  <c r="D1612" i="4" l="1"/>
  <c r="H1612" i="4" l="1"/>
  <c r="I1611" i="2" l="1"/>
  <c r="C1611" i="2"/>
  <c r="C1608" i="2"/>
  <c r="D1611" i="4"/>
  <c r="H1611" i="4" l="1"/>
  <c r="D1610" i="4" l="1"/>
  <c r="I1610" i="2"/>
  <c r="C1610" i="2"/>
  <c r="H1610" i="4" l="1"/>
  <c r="H1609" i="4" l="1"/>
  <c r="D1609" i="4"/>
  <c r="I1609" i="2"/>
  <c r="C1609" i="2"/>
  <c r="I1608" i="2" l="1"/>
  <c r="H1608" i="4" l="1"/>
  <c r="D1608" i="4"/>
  <c r="C1610" i="4" l="1"/>
  <c r="C1611" i="4"/>
  <c r="C1612" i="4"/>
  <c r="C1613" i="4"/>
  <c r="C1614" i="4"/>
  <c r="C1615" i="4"/>
  <c r="C1616" i="4"/>
  <c r="E1616" i="4" s="1"/>
  <c r="C1617" i="4"/>
  <c r="E1617" i="4" s="1"/>
  <c r="C1618" i="4"/>
  <c r="E1618" i="4" s="1"/>
  <c r="C1609" i="4"/>
  <c r="E1609" i="4" s="1"/>
  <c r="B1610" i="2"/>
  <c r="F1610" i="2" s="1"/>
  <c r="B1611" i="2"/>
  <c r="F1611" i="2" s="1"/>
  <c r="B1612" i="2"/>
  <c r="F1612" i="2" s="1"/>
  <c r="B1613" i="2"/>
  <c r="F1613" i="2" s="1"/>
  <c r="B1614" i="2"/>
  <c r="F1614" i="2" s="1"/>
  <c r="B1615" i="2"/>
  <c r="F1615" i="2" s="1"/>
  <c r="B1616" i="2"/>
  <c r="F1616" i="2" s="1"/>
  <c r="B1617" i="2"/>
  <c r="F1617" i="2" s="1"/>
  <c r="B1618" i="2"/>
  <c r="F1618" i="2" s="1"/>
  <c r="B1609" i="2"/>
  <c r="F1609" i="2" s="1"/>
  <c r="I1609" i="4"/>
  <c r="I1610" i="4"/>
  <c r="I1611" i="4"/>
  <c r="I1612" i="4"/>
  <c r="G1610" i="4"/>
  <c r="G1611" i="4"/>
  <c r="G1612" i="4"/>
  <c r="G1613" i="4"/>
  <c r="I1613" i="4" s="1"/>
  <c r="G1614" i="4"/>
  <c r="I1614" i="4" s="1"/>
  <c r="G1615" i="4"/>
  <c r="I1615" i="4" s="1"/>
  <c r="G1616" i="4"/>
  <c r="I1616" i="4" s="1"/>
  <c r="G1617" i="4"/>
  <c r="I1617" i="4" s="1"/>
  <c r="G1618" i="4"/>
  <c r="I1618" i="4" s="1"/>
  <c r="G1609" i="4"/>
  <c r="E1610" i="4"/>
  <c r="E1611" i="4"/>
  <c r="E1612" i="4"/>
  <c r="E1613" i="4"/>
  <c r="E1614" i="4"/>
  <c r="E1615" i="4"/>
  <c r="H1610" i="2"/>
  <c r="M1610" i="2" s="1"/>
  <c r="H1611" i="2"/>
  <c r="M1611" i="2" s="1"/>
  <c r="H1612" i="2"/>
  <c r="M1612" i="2" s="1"/>
  <c r="H1613" i="2"/>
  <c r="M1613" i="2" s="1"/>
  <c r="H1614" i="2"/>
  <c r="M1614" i="2" s="1"/>
  <c r="H1615" i="2"/>
  <c r="M1615" i="2" s="1"/>
  <c r="H1616" i="2"/>
  <c r="M1616" i="2" s="1"/>
  <c r="H1617" i="2"/>
  <c r="M1617" i="2" s="1"/>
  <c r="H1618" i="2"/>
  <c r="M1618" i="2" s="1"/>
  <c r="H1609" i="2"/>
  <c r="M1609" i="2" s="1"/>
  <c r="D1607" i="4"/>
  <c r="I1607" i="2"/>
  <c r="C1607" i="2"/>
  <c r="H1607" i="4"/>
  <c r="J1615" i="4" l="1"/>
  <c r="J1614" i="4"/>
  <c r="J1611" i="4"/>
  <c r="J1618" i="4"/>
  <c r="J1617" i="4"/>
  <c r="J1616" i="4"/>
  <c r="L1618" i="2"/>
  <c r="L1616" i="2"/>
  <c r="L1617" i="2"/>
  <c r="L1615" i="2"/>
  <c r="L1614" i="2"/>
  <c r="L1611" i="2"/>
  <c r="J1613" i="4"/>
  <c r="L1613" i="2"/>
  <c r="L1612" i="2"/>
  <c r="J1612" i="4"/>
  <c r="L1610" i="2"/>
  <c r="J1610" i="4"/>
  <c r="J1609" i="4"/>
  <c r="L1609" i="2"/>
  <c r="I1606" i="2"/>
  <c r="C1606" i="2"/>
  <c r="H1606" i="4"/>
  <c r="D1606" i="4"/>
  <c r="D1605" i="4" l="1"/>
  <c r="C1605" i="2"/>
  <c r="I1605" i="2"/>
  <c r="H1605" i="4" l="1"/>
  <c r="I1604" i="2" l="1"/>
  <c r="C1604" i="2"/>
  <c r="D1604" i="4" l="1"/>
  <c r="H1604" i="4" l="1"/>
  <c r="H1603" i="4" l="1"/>
  <c r="D1603" i="4"/>
  <c r="C1603" i="2"/>
  <c r="I1603" i="2"/>
  <c r="I1602" i="2" l="1"/>
  <c r="C1602" i="2"/>
  <c r="H1602" i="4" l="1"/>
  <c r="D1602" i="4"/>
  <c r="I1601" i="2" l="1"/>
  <c r="C1601" i="2"/>
  <c r="D1601" i="4" l="1"/>
  <c r="H1601" i="4" l="1"/>
  <c r="I1600" i="2" l="1"/>
  <c r="C1600" i="2"/>
  <c r="D1600" i="4"/>
  <c r="H1600" i="4"/>
  <c r="C1599" i="2" l="1"/>
  <c r="I1599" i="2"/>
  <c r="D1598" i="4" l="1"/>
  <c r="D1599" i="4"/>
  <c r="H1599" i="4" l="1"/>
  <c r="I1598" i="2" l="1"/>
  <c r="C1598" i="2"/>
  <c r="H1598" i="4"/>
  <c r="I1597" i="2" l="1"/>
  <c r="D1597" i="4"/>
  <c r="C1597" i="2"/>
  <c r="H1597" i="4" l="1"/>
  <c r="D1596" i="4"/>
  <c r="C1596" i="2" l="1"/>
  <c r="I1596" i="2"/>
  <c r="H1596" i="4" l="1"/>
  <c r="I1595" i="2" l="1"/>
  <c r="C1595" i="2"/>
  <c r="D1595" i="4" l="1"/>
  <c r="H1595" i="4"/>
  <c r="C1598" i="4" l="1"/>
  <c r="C1599" i="4"/>
  <c r="C1600" i="4"/>
  <c r="C1601" i="4"/>
  <c r="C1602" i="4"/>
  <c r="C1603" i="4"/>
  <c r="C1604" i="4"/>
  <c r="C1605" i="4"/>
  <c r="C1606" i="4"/>
  <c r="C1607" i="4"/>
  <c r="C1608" i="4"/>
  <c r="E1608" i="4" s="1"/>
  <c r="C1597" i="4"/>
  <c r="B1598" i="2"/>
  <c r="B1599" i="2"/>
  <c r="B1600" i="2"/>
  <c r="B1601" i="2"/>
  <c r="B1602" i="2"/>
  <c r="B1603" i="2"/>
  <c r="B1604" i="2"/>
  <c r="B1605" i="2"/>
  <c r="B1606" i="2"/>
  <c r="B1607" i="2"/>
  <c r="B1608" i="2"/>
  <c r="B1597" i="2"/>
  <c r="G1598" i="4" l="1"/>
  <c r="G1599" i="4"/>
  <c r="G1600" i="4"/>
  <c r="G1601" i="4"/>
  <c r="G1602" i="4"/>
  <c r="G1603" i="4"/>
  <c r="G1604" i="4"/>
  <c r="G1605" i="4"/>
  <c r="G1606" i="4"/>
  <c r="G1607" i="4"/>
  <c r="G1608" i="4"/>
  <c r="G1597" i="4"/>
  <c r="H1598" i="2"/>
  <c r="H1599" i="2"/>
  <c r="H1600" i="2"/>
  <c r="H1601" i="2"/>
  <c r="H1602" i="2"/>
  <c r="H1603" i="2"/>
  <c r="H1604" i="2"/>
  <c r="H1605" i="2"/>
  <c r="H1606" i="2"/>
  <c r="H1607" i="2"/>
  <c r="H1608" i="2"/>
  <c r="H1597" i="2"/>
  <c r="I1594" i="2" l="1"/>
  <c r="D1594" i="4"/>
  <c r="C1594" i="2"/>
  <c r="H1594" i="4" l="1"/>
  <c r="C1593" i="2" l="1"/>
  <c r="I1593" i="2"/>
  <c r="H1593" i="4" l="1"/>
  <c r="D1593" i="4"/>
  <c r="I1592" i="2" l="1"/>
  <c r="C1592" i="2"/>
  <c r="I1600" i="4" l="1"/>
  <c r="I1601" i="4"/>
  <c r="I1602" i="4"/>
  <c r="I1603" i="4"/>
  <c r="I1604" i="4"/>
  <c r="I1605" i="4"/>
  <c r="I1606" i="4"/>
  <c r="I1607" i="4"/>
  <c r="I1608" i="4"/>
  <c r="J1608" i="4" s="1"/>
  <c r="I1597" i="4"/>
  <c r="I1598" i="4"/>
  <c r="I1599" i="4"/>
  <c r="E1597" i="4"/>
  <c r="E1598" i="4"/>
  <c r="E1599" i="4"/>
  <c r="E1600" i="4"/>
  <c r="E1601" i="4"/>
  <c r="E1602" i="4"/>
  <c r="E1603" i="4"/>
  <c r="E1604" i="4"/>
  <c r="E1605" i="4"/>
  <c r="E1606" i="4"/>
  <c r="E1607" i="4"/>
  <c r="M1598" i="2"/>
  <c r="M1599" i="2"/>
  <c r="M1600" i="2"/>
  <c r="M1597" i="2"/>
  <c r="M1601" i="2"/>
  <c r="M1602" i="2"/>
  <c r="M1603" i="2"/>
  <c r="M1604" i="2"/>
  <c r="M1605" i="2"/>
  <c r="M1606" i="2"/>
  <c r="M1607" i="2"/>
  <c r="M1608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J1606" i="4" l="1"/>
  <c r="L1608" i="2"/>
  <c r="L1601" i="2"/>
  <c r="L1600" i="2"/>
  <c r="L1607" i="2"/>
  <c r="L1606" i="2"/>
  <c r="L1605" i="2"/>
  <c r="L1604" i="2"/>
  <c r="L1603" i="2"/>
  <c r="L1602" i="2"/>
  <c r="L1599" i="2"/>
  <c r="L1597" i="2"/>
  <c r="J1599" i="4"/>
  <c r="J1598" i="4"/>
  <c r="J1605" i="4"/>
  <c r="J1602" i="4"/>
  <c r="J1601" i="4"/>
  <c r="J1600" i="4"/>
  <c r="J1597" i="4"/>
  <c r="L1598" i="2"/>
  <c r="J1607" i="4"/>
  <c r="J1604" i="4"/>
  <c r="J1603" i="4"/>
  <c r="H1592" i="4"/>
  <c r="D1592" i="4"/>
  <c r="C1585" i="4" l="1"/>
  <c r="D1585" i="4"/>
  <c r="E1585" i="4"/>
  <c r="G1585" i="4"/>
  <c r="H1585" i="4"/>
  <c r="I1585" i="4" s="1"/>
  <c r="J1585" i="4" s="1"/>
  <c r="B1585" i="2"/>
  <c r="C1585" i="2"/>
  <c r="F1585" i="2" s="1"/>
  <c r="H1585" i="2"/>
  <c r="I1585" i="2"/>
  <c r="M1585" i="2" l="1"/>
  <c r="L1585" i="2" s="1"/>
  <c r="H1591" i="4"/>
  <c r="I1591" i="2"/>
  <c r="C1591" i="2"/>
  <c r="D1591" i="4" l="1"/>
  <c r="C1590" i="2" l="1"/>
  <c r="I1590" i="2"/>
  <c r="H1590" i="4"/>
  <c r="D1590" i="4"/>
  <c r="D1589" i="4" l="1"/>
  <c r="C1589" i="2"/>
  <c r="I1589" i="2"/>
  <c r="H1589" i="4"/>
  <c r="D1588" i="4" l="1"/>
  <c r="H1588" i="4"/>
  <c r="I1588" i="2"/>
  <c r="C1588" i="2"/>
  <c r="H1587" i="4" l="1"/>
  <c r="I1587" i="2"/>
  <c r="C1587" i="2"/>
  <c r="D1587" i="4"/>
  <c r="D1586" i="4" l="1"/>
  <c r="D1584" i="4"/>
  <c r="I1586" i="2"/>
  <c r="C1586" i="2"/>
  <c r="H1586" i="4" l="1"/>
  <c r="I1584" i="2" l="1"/>
  <c r="C1584" i="2"/>
  <c r="H1584" i="4" l="1"/>
  <c r="C1583" i="2" l="1"/>
  <c r="I1583" i="2"/>
  <c r="H1583" i="4" l="1"/>
  <c r="D1583" i="4"/>
  <c r="I1582" i="2" l="1"/>
  <c r="C1582" i="2"/>
  <c r="D1582" i="4"/>
  <c r="H1582" i="4" l="1"/>
  <c r="I1581" i="2" l="1"/>
  <c r="C1581" i="2"/>
  <c r="C1587" i="4" l="1"/>
  <c r="C1588" i="4"/>
  <c r="C1589" i="4"/>
  <c r="C1590" i="4"/>
  <c r="C1591" i="4"/>
  <c r="C1592" i="4"/>
  <c r="C1593" i="4"/>
  <c r="C1594" i="4"/>
  <c r="C1595" i="4"/>
  <c r="C1596" i="4"/>
  <c r="B1587" i="2"/>
  <c r="B1588" i="2"/>
  <c r="B1589" i="2"/>
  <c r="B1590" i="2"/>
  <c r="B1591" i="2"/>
  <c r="B1592" i="2"/>
  <c r="B1593" i="2"/>
  <c r="B1594" i="2"/>
  <c r="B1595" i="2"/>
  <c r="B1596" i="2"/>
  <c r="H1581" i="4"/>
  <c r="D1581" i="4"/>
  <c r="C1580" i="2" l="1"/>
  <c r="I1580" i="2"/>
  <c r="H1580" i="4" l="1"/>
  <c r="D1580" i="4"/>
  <c r="H1579" i="4" l="1"/>
  <c r="D1579" i="4"/>
  <c r="C1579" i="2"/>
  <c r="I1579" i="2"/>
  <c r="C1578" i="2" l="1"/>
  <c r="I1578" i="2"/>
  <c r="D1578" i="4"/>
  <c r="H1578" i="4" l="1"/>
  <c r="G1587" i="4" l="1"/>
  <c r="G1588" i="4"/>
  <c r="G1589" i="4"/>
  <c r="I1589" i="4" s="1"/>
  <c r="G1590" i="4"/>
  <c r="I1590" i="4" s="1"/>
  <c r="G1591" i="4"/>
  <c r="I1591" i="4" s="1"/>
  <c r="G1592" i="4"/>
  <c r="I1592" i="4" s="1"/>
  <c r="G1593" i="4"/>
  <c r="I1593" i="4" s="1"/>
  <c r="G1594" i="4"/>
  <c r="I1594" i="4" s="1"/>
  <c r="G1595" i="4"/>
  <c r="I1595" i="4" s="1"/>
  <c r="G1596" i="4"/>
  <c r="I1596" i="4" s="1"/>
  <c r="I1586" i="4"/>
  <c r="I1587" i="4"/>
  <c r="I1588" i="4"/>
  <c r="E1586" i="4"/>
  <c r="E1587" i="4"/>
  <c r="E1588" i="4"/>
  <c r="E1589" i="4"/>
  <c r="E1590" i="4"/>
  <c r="E1591" i="4"/>
  <c r="E1592" i="4"/>
  <c r="E1593" i="4"/>
  <c r="E1594" i="4"/>
  <c r="E1595" i="4"/>
  <c r="E1596" i="4"/>
  <c r="H1587" i="2"/>
  <c r="H1588" i="2"/>
  <c r="H1589" i="2"/>
  <c r="H1590" i="2"/>
  <c r="H1591" i="2"/>
  <c r="H1592" i="2"/>
  <c r="M1592" i="2" s="1"/>
  <c r="H1593" i="2"/>
  <c r="M1593" i="2" s="1"/>
  <c r="L1593" i="2" s="1"/>
  <c r="H1594" i="2"/>
  <c r="M1594" i="2" s="1"/>
  <c r="L1594" i="2" s="1"/>
  <c r="H1595" i="2"/>
  <c r="H1596" i="2"/>
  <c r="M1596" i="2" s="1"/>
  <c r="M1586" i="2"/>
  <c r="M1587" i="2"/>
  <c r="M1588" i="2"/>
  <c r="M1589" i="2"/>
  <c r="M1590" i="2"/>
  <c r="M1591" i="2"/>
  <c r="M1595" i="2"/>
  <c r="F1586" i="2"/>
  <c r="F1587" i="2"/>
  <c r="F1588" i="2"/>
  <c r="F1589" i="2"/>
  <c r="F1590" i="2"/>
  <c r="F1591" i="2"/>
  <c r="F1592" i="2"/>
  <c r="F1593" i="2"/>
  <c r="F1594" i="2"/>
  <c r="F1595" i="2"/>
  <c r="F1596" i="2"/>
  <c r="L1591" i="2" l="1"/>
  <c r="L1587" i="2"/>
  <c r="L1590" i="2"/>
  <c r="L1592" i="2"/>
  <c r="L1595" i="2"/>
  <c r="L1596" i="2"/>
  <c r="L1589" i="2"/>
  <c r="J1596" i="4"/>
  <c r="L1588" i="2"/>
  <c r="L1586" i="2"/>
  <c r="J1588" i="4"/>
  <c r="J1595" i="4"/>
  <c r="J1586" i="4"/>
  <c r="J1594" i="4"/>
  <c r="J1589" i="4"/>
  <c r="J1592" i="4"/>
  <c r="J1587" i="4"/>
  <c r="J1593" i="4"/>
  <c r="J1591" i="4"/>
  <c r="J1590" i="4"/>
  <c r="C1577" i="2"/>
  <c r="I1577" i="2"/>
  <c r="H1577" i="4" l="1"/>
  <c r="D1577" i="4"/>
  <c r="I1576" i="2" l="1"/>
  <c r="C1576" i="2" l="1"/>
  <c r="H1576" i="4"/>
  <c r="D1576" i="4"/>
  <c r="C1577" i="4" l="1"/>
  <c r="C1578" i="4"/>
  <c r="C1579" i="4"/>
  <c r="C1580" i="4"/>
  <c r="C1581" i="4"/>
  <c r="C1582" i="4"/>
  <c r="C1583" i="4"/>
  <c r="C1584" i="4"/>
  <c r="C1576" i="4"/>
  <c r="B1577" i="2"/>
  <c r="B1578" i="2"/>
  <c r="B1579" i="2"/>
  <c r="B1580" i="2"/>
  <c r="B1581" i="2"/>
  <c r="B1582" i="2"/>
  <c r="B1583" i="2"/>
  <c r="B1584" i="2"/>
  <c r="B1576" i="2"/>
  <c r="C1575" i="2" l="1"/>
  <c r="I1575" i="2"/>
  <c r="H1575" i="4"/>
  <c r="D1575" i="4"/>
  <c r="I1574" i="2" l="1"/>
  <c r="C1574" i="2"/>
  <c r="H1574" i="4" l="1"/>
  <c r="D1574" i="4"/>
  <c r="C1573" i="2" l="1"/>
  <c r="I1573" i="2"/>
  <c r="H1573" i="4"/>
  <c r="D1573" i="4"/>
  <c r="D1572" i="4" l="1"/>
  <c r="C1572" i="2"/>
  <c r="I1572" i="2"/>
  <c r="H1572" i="4" l="1"/>
  <c r="I1571" i="2" l="1"/>
  <c r="C1571" i="2"/>
  <c r="H1571" i="4" l="1"/>
  <c r="D1571" i="4"/>
  <c r="C1570" i="2" l="1"/>
  <c r="I1570" i="2"/>
  <c r="D1570" i="4"/>
  <c r="H1570" i="4" l="1"/>
  <c r="D1569" i="4" l="1"/>
  <c r="I1569" i="2" l="1"/>
  <c r="C1569" i="2"/>
  <c r="G1577" i="4" l="1"/>
  <c r="G1578" i="4"/>
  <c r="G1579" i="4"/>
  <c r="G1580" i="4"/>
  <c r="G1581" i="4"/>
  <c r="G1582" i="4"/>
  <c r="G1583" i="4"/>
  <c r="G1584" i="4"/>
  <c r="G1576" i="4"/>
  <c r="H1584" i="2"/>
  <c r="H1577" i="2"/>
  <c r="H1578" i="2"/>
  <c r="H1579" i="2"/>
  <c r="H1580" i="2"/>
  <c r="H1581" i="2"/>
  <c r="H1582" i="2"/>
  <c r="H1583" i="2"/>
  <c r="H1576" i="2"/>
  <c r="H1569" i="4"/>
  <c r="D1568" i="4" l="1"/>
  <c r="I1568" i="2"/>
  <c r="C1568" i="2"/>
  <c r="H1566" i="2" l="1"/>
  <c r="H1567" i="2"/>
  <c r="H1565" i="2"/>
  <c r="B1569" i="2"/>
  <c r="B1570" i="2"/>
  <c r="B1571" i="2"/>
  <c r="B1572" i="2"/>
  <c r="B1573" i="2"/>
  <c r="B1574" i="2"/>
  <c r="B1575" i="2"/>
  <c r="B1568" i="2"/>
  <c r="H1568" i="4" l="1"/>
  <c r="G1566" i="4" l="1"/>
  <c r="G1567" i="4"/>
  <c r="G1568" i="4"/>
  <c r="G1569" i="4"/>
  <c r="G1570" i="4"/>
  <c r="G1571" i="4"/>
  <c r="G1572" i="4"/>
  <c r="G1573" i="4"/>
  <c r="G1574" i="4"/>
  <c r="G1575" i="4"/>
  <c r="G1565" i="4"/>
  <c r="H1568" i="2"/>
  <c r="H1569" i="2"/>
  <c r="H1570" i="2"/>
  <c r="H1571" i="2"/>
  <c r="H1572" i="2"/>
  <c r="H1573" i="2"/>
  <c r="H1574" i="2"/>
  <c r="H1575" i="2"/>
  <c r="M1574" i="2" l="1"/>
  <c r="M1575" i="2"/>
  <c r="M1576" i="2"/>
  <c r="M1577" i="2"/>
  <c r="M1578" i="2"/>
  <c r="M1579" i="2"/>
  <c r="M1580" i="2"/>
  <c r="M1581" i="2"/>
  <c r="M1582" i="2"/>
  <c r="M1583" i="2"/>
  <c r="M1584" i="2"/>
  <c r="F1576" i="2"/>
  <c r="L1576" i="2" s="1"/>
  <c r="F1577" i="2"/>
  <c r="L1577" i="2" s="1"/>
  <c r="F1578" i="2"/>
  <c r="L1578" i="2" s="1"/>
  <c r="F1579" i="2"/>
  <c r="L1579" i="2" s="1"/>
  <c r="F1580" i="2"/>
  <c r="L1580" i="2" s="1"/>
  <c r="F1581" i="2"/>
  <c r="F1582" i="2"/>
  <c r="L1582" i="2" s="1"/>
  <c r="F1583" i="2"/>
  <c r="L1583" i="2" s="1"/>
  <c r="F1584" i="2"/>
  <c r="I1576" i="4"/>
  <c r="I1577" i="4"/>
  <c r="I1578" i="4"/>
  <c r="I1579" i="4"/>
  <c r="I1580" i="4"/>
  <c r="I1581" i="4"/>
  <c r="I1582" i="4"/>
  <c r="I1583" i="4"/>
  <c r="I1584" i="4"/>
  <c r="E1576" i="4"/>
  <c r="E1577" i="4"/>
  <c r="E1578" i="4"/>
  <c r="E1579" i="4"/>
  <c r="E1580" i="4"/>
  <c r="E1581" i="4"/>
  <c r="E1582" i="4"/>
  <c r="E1583" i="4"/>
  <c r="E1584" i="4"/>
  <c r="D1567" i="4"/>
  <c r="C1567" i="2"/>
  <c r="I1567" i="2"/>
  <c r="L1581" i="2" l="1"/>
  <c r="J1584" i="4"/>
  <c r="J1583" i="4"/>
  <c r="J1582" i="4"/>
  <c r="J1581" i="4"/>
  <c r="J1580" i="4"/>
  <c r="L1584" i="2"/>
  <c r="J1579" i="4"/>
  <c r="J1578" i="4"/>
  <c r="J1577" i="4"/>
  <c r="J1576" i="4"/>
  <c r="H1567" i="4"/>
  <c r="C1566" i="2" l="1"/>
  <c r="I1566" i="2"/>
  <c r="H1566" i="4" l="1"/>
  <c r="D1566" i="4"/>
  <c r="I1565" i="2" l="1"/>
  <c r="C1565" i="2"/>
  <c r="H1565" i="4" l="1"/>
  <c r="D1565" i="4"/>
  <c r="C1564" i="2" l="1"/>
  <c r="D1564" i="4" l="1"/>
  <c r="I1564" i="2" l="1"/>
  <c r="I1563" i="2" l="1"/>
  <c r="C1563" i="2"/>
  <c r="I1566" i="4" l="1"/>
  <c r="I1567" i="4"/>
  <c r="I1568" i="4"/>
  <c r="I1569" i="4"/>
  <c r="I1570" i="4"/>
  <c r="I1571" i="4"/>
  <c r="I1572" i="4"/>
  <c r="I1573" i="4"/>
  <c r="I1574" i="4"/>
  <c r="I1575" i="4"/>
  <c r="M1565" i="2"/>
  <c r="M1566" i="2"/>
  <c r="M1567" i="2"/>
  <c r="M1568" i="2"/>
  <c r="M1569" i="2"/>
  <c r="L1569" i="2" s="1"/>
  <c r="M1570" i="2"/>
  <c r="L1570" i="2" s="1"/>
  <c r="M1571" i="2"/>
  <c r="M1572" i="2"/>
  <c r="M1573" i="2"/>
  <c r="C1566" i="4"/>
  <c r="E1566" i="4" s="1"/>
  <c r="J1566" i="4" s="1"/>
  <c r="C1567" i="4"/>
  <c r="E1567" i="4" s="1"/>
  <c r="J1567" i="4" s="1"/>
  <c r="C1568" i="4"/>
  <c r="E1568" i="4" s="1"/>
  <c r="J1568" i="4" s="1"/>
  <c r="C1569" i="4"/>
  <c r="E1569" i="4" s="1"/>
  <c r="C1570" i="4"/>
  <c r="E1570" i="4" s="1"/>
  <c r="C1571" i="4"/>
  <c r="E1571" i="4" s="1"/>
  <c r="C1572" i="4"/>
  <c r="E1572" i="4" s="1"/>
  <c r="C1573" i="4"/>
  <c r="E1573" i="4" s="1"/>
  <c r="C1574" i="4"/>
  <c r="E1574" i="4" s="1"/>
  <c r="C1575" i="4"/>
  <c r="E1575" i="4" s="1"/>
  <c r="C1565" i="4"/>
  <c r="B1566" i="2"/>
  <c r="F1566" i="2" s="1"/>
  <c r="B1567" i="2"/>
  <c r="F1567" i="2" s="1"/>
  <c r="F1568" i="2"/>
  <c r="F1569" i="2"/>
  <c r="F1570" i="2"/>
  <c r="F1571" i="2"/>
  <c r="F1572" i="2"/>
  <c r="F1573" i="2"/>
  <c r="F1574" i="2"/>
  <c r="F1575" i="2"/>
  <c r="B1565" i="2"/>
  <c r="F1565" i="2" s="1"/>
  <c r="H1563" i="4"/>
  <c r="D1563" i="4"/>
  <c r="L1572" i="2" l="1"/>
  <c r="J1572" i="4"/>
  <c r="L1567" i="2"/>
  <c r="L1568" i="2"/>
  <c r="J1569" i="4"/>
  <c r="J1575" i="4"/>
  <c r="J1573" i="4"/>
  <c r="L1566" i="2"/>
  <c r="L1571" i="2"/>
  <c r="J1571" i="4"/>
  <c r="J1570" i="4"/>
  <c r="L1573" i="2"/>
  <c r="J1574" i="4"/>
  <c r="L1575" i="2"/>
  <c r="L1565" i="2"/>
  <c r="L1574" i="2"/>
  <c r="H1562" i="4"/>
  <c r="D1562" i="4"/>
  <c r="I1562" i="2"/>
  <c r="C1562" i="2"/>
  <c r="I1561" i="2" l="1"/>
  <c r="C1561" i="2"/>
  <c r="H1561" i="4"/>
  <c r="D1561" i="4"/>
  <c r="I1560" i="2" l="1"/>
  <c r="C1560" i="2"/>
  <c r="H1560" i="4" l="1"/>
  <c r="D1560" i="4"/>
  <c r="C1559" i="2"/>
  <c r="D1559" i="4" l="1"/>
  <c r="I1559" i="2"/>
  <c r="H1559" i="4" l="1"/>
  <c r="D1558" i="4" l="1"/>
  <c r="C1558" i="2" l="1"/>
  <c r="I1558" i="2"/>
  <c r="H1558" i="4" l="1"/>
  <c r="D1557" i="4" l="1"/>
  <c r="I1557" i="2" l="1"/>
  <c r="C1557" i="2"/>
  <c r="H1557" i="4" l="1"/>
  <c r="I1556" i="2" l="1"/>
  <c r="C1556" i="2"/>
  <c r="H1556" i="4"/>
  <c r="D1556" i="4"/>
  <c r="D1555" i="4" l="1"/>
  <c r="C1555" i="2" l="1"/>
  <c r="I1555" i="2"/>
  <c r="H1555" i="4" l="1"/>
  <c r="I1554" i="2" l="1"/>
  <c r="C1554" i="2"/>
  <c r="D1554" i="4"/>
  <c r="H1554" i="4"/>
  <c r="I1553" i="2" l="1"/>
  <c r="C1553" i="2"/>
  <c r="D1553" i="4" l="1"/>
  <c r="H1553" i="4" l="1"/>
  <c r="C1552" i="2" l="1"/>
  <c r="I1552" i="2"/>
  <c r="H1552" i="4" l="1"/>
  <c r="D1552" i="4"/>
  <c r="I1551" i="2" l="1"/>
  <c r="D1551" i="4"/>
  <c r="C1551" i="2"/>
  <c r="H1551" i="4" l="1"/>
  <c r="I1550" i="2" l="1"/>
  <c r="C1550" i="2"/>
  <c r="H1550" i="4" l="1"/>
  <c r="D1550" i="4"/>
  <c r="H1549" i="4" l="1"/>
  <c r="I1549" i="2" l="1"/>
  <c r="C1549" i="2"/>
  <c r="D1549" i="4" l="1"/>
  <c r="C1555" i="4"/>
  <c r="C1556" i="4"/>
  <c r="C1557" i="4"/>
  <c r="C1558" i="4"/>
  <c r="C1559" i="4"/>
  <c r="C1560" i="4"/>
  <c r="C1561" i="4"/>
  <c r="C1562" i="4"/>
  <c r="C1563" i="4"/>
  <c r="C1564" i="4"/>
  <c r="C1554" i="4"/>
  <c r="B1555" i="2"/>
  <c r="B1556" i="2"/>
  <c r="B1557" i="2"/>
  <c r="B1558" i="2"/>
  <c r="B1559" i="2"/>
  <c r="B1560" i="2"/>
  <c r="B1561" i="2"/>
  <c r="B1562" i="2"/>
  <c r="B1563" i="2"/>
  <c r="B1564" i="2"/>
  <c r="B1554" i="2"/>
  <c r="C1548" i="2" l="1"/>
  <c r="I1548" i="2"/>
  <c r="D1548" i="4" l="1"/>
  <c r="G1564" i="4"/>
  <c r="I1564" i="4" s="1"/>
  <c r="G1555" i="4"/>
  <c r="G1556" i="4"/>
  <c r="I1556" i="4" s="1"/>
  <c r="G1557" i="4"/>
  <c r="I1557" i="4" s="1"/>
  <c r="G1558" i="4"/>
  <c r="I1558" i="4" s="1"/>
  <c r="G1559" i="4"/>
  <c r="I1559" i="4" s="1"/>
  <c r="G1560" i="4"/>
  <c r="I1560" i="4" s="1"/>
  <c r="G1561" i="4"/>
  <c r="I1561" i="4" s="1"/>
  <c r="G1562" i="4"/>
  <c r="I1562" i="4" s="1"/>
  <c r="G1563" i="4"/>
  <c r="I1563" i="4" s="1"/>
  <c r="G1554" i="4"/>
  <c r="I1554" i="4" s="1"/>
  <c r="I1555" i="4"/>
  <c r="I1565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H1555" i="2"/>
  <c r="M1555" i="2" s="1"/>
  <c r="H1556" i="2"/>
  <c r="M1556" i="2" s="1"/>
  <c r="H1557" i="2"/>
  <c r="M1557" i="2" s="1"/>
  <c r="H1558" i="2"/>
  <c r="M1558" i="2" s="1"/>
  <c r="H1559" i="2"/>
  <c r="M1559" i="2" s="1"/>
  <c r="H1560" i="2"/>
  <c r="M1560" i="2" s="1"/>
  <c r="H1561" i="2"/>
  <c r="M1561" i="2" s="1"/>
  <c r="H1562" i="2"/>
  <c r="M1562" i="2" s="1"/>
  <c r="H1563" i="2"/>
  <c r="M1563" i="2" s="1"/>
  <c r="H1564" i="2"/>
  <c r="M1564" i="2" s="1"/>
  <c r="F1554" i="2"/>
  <c r="F1555" i="2"/>
  <c r="F1556" i="2"/>
  <c r="F1557" i="2"/>
  <c r="F1558" i="2"/>
  <c r="F1559" i="2"/>
  <c r="F1560" i="2"/>
  <c r="F1561" i="2"/>
  <c r="F1562" i="2"/>
  <c r="F1563" i="2"/>
  <c r="F1564" i="2"/>
  <c r="H1554" i="2"/>
  <c r="M1554" i="2" s="1"/>
  <c r="J1563" i="4" l="1"/>
  <c r="J1562" i="4"/>
  <c r="J1561" i="4"/>
  <c r="L1563" i="2"/>
  <c r="L1558" i="2"/>
  <c r="L1561" i="2"/>
  <c r="L1559" i="2"/>
  <c r="L1560" i="2"/>
  <c r="L1557" i="2"/>
  <c r="L1562" i="2"/>
  <c r="J1560" i="4"/>
  <c r="J1558" i="4"/>
  <c r="J1559" i="4"/>
  <c r="J1557" i="4"/>
  <c r="J1564" i="4"/>
  <c r="L1556" i="2"/>
  <c r="L1555" i="2"/>
  <c r="L1554" i="2"/>
  <c r="J1565" i="4"/>
  <c r="J1555" i="4"/>
  <c r="J1556" i="4"/>
  <c r="L1564" i="2"/>
  <c r="J1554" i="4"/>
  <c r="H1548" i="4"/>
  <c r="C1547" i="2" l="1"/>
  <c r="I1547" i="2"/>
  <c r="D1547" i="4" l="1"/>
  <c r="H1547" i="4"/>
  <c r="I1546" i="2" l="1"/>
  <c r="C1546" i="2"/>
  <c r="D1546" i="4" l="1"/>
  <c r="H1546" i="4" l="1"/>
  <c r="I1545" i="2" l="1"/>
  <c r="D1545" i="4"/>
  <c r="C1545" i="2"/>
  <c r="N1455" i="3" l="1"/>
  <c r="H1545" i="4" l="1"/>
  <c r="D1544" i="4" l="1"/>
  <c r="C1544" i="2"/>
  <c r="I1544" i="2"/>
  <c r="H1544" i="4" l="1"/>
  <c r="I1543" i="2" l="1"/>
  <c r="C1543" i="2"/>
  <c r="I1542" i="2" l="1"/>
  <c r="C1542" i="2"/>
  <c r="D1543" i="4" l="1"/>
  <c r="H1543" i="4"/>
  <c r="D1542" i="4" l="1"/>
  <c r="H1542" i="4"/>
  <c r="D1541" i="4" l="1"/>
  <c r="I1541" i="2"/>
  <c r="C1541" i="2"/>
  <c r="H1541" i="4"/>
  <c r="I1540" i="2" l="1"/>
  <c r="D1540" i="4"/>
  <c r="C1540" i="2"/>
  <c r="H1540" i="4" l="1"/>
  <c r="I1539" i="2" l="1"/>
  <c r="D1539" i="4"/>
  <c r="C1539" i="2"/>
  <c r="H1539" i="4" l="1"/>
  <c r="D1538" i="4" l="1"/>
  <c r="C1538" i="2"/>
  <c r="I1538" i="2"/>
  <c r="H1538" i="4" l="1"/>
  <c r="D1537" i="4" l="1"/>
  <c r="I1537" i="2"/>
  <c r="C1537" i="2"/>
  <c r="H1537" i="4" l="1"/>
  <c r="D1536" i="4" l="1"/>
  <c r="H1536" i="4"/>
  <c r="I1536" i="2"/>
  <c r="C1536" i="2"/>
  <c r="I1535" i="2" l="1"/>
  <c r="D1535" i="4"/>
  <c r="C1535" i="2"/>
  <c r="C1534" i="2" l="1"/>
  <c r="I1534" i="2"/>
  <c r="H1535" i="4" l="1"/>
  <c r="H1534" i="4" l="1"/>
  <c r="D1534" i="4"/>
  <c r="G1544" i="4" l="1"/>
  <c r="I1544" i="4" s="1"/>
  <c r="G1545" i="4"/>
  <c r="I1545" i="4" s="1"/>
  <c r="G1546" i="4"/>
  <c r="I1546" i="4" s="1"/>
  <c r="G1547" i="4"/>
  <c r="I1547" i="4" s="1"/>
  <c r="G1548" i="4"/>
  <c r="I1548" i="4" s="1"/>
  <c r="G1549" i="4"/>
  <c r="I1549" i="4" s="1"/>
  <c r="G1550" i="4"/>
  <c r="I1550" i="4" s="1"/>
  <c r="G1551" i="4"/>
  <c r="I1551" i="4" s="1"/>
  <c r="G1552" i="4"/>
  <c r="I1552" i="4" s="1"/>
  <c r="G1553" i="4"/>
  <c r="I1553" i="4" s="1"/>
  <c r="G1543" i="4"/>
  <c r="I1543" i="4" s="1"/>
  <c r="H1544" i="2"/>
  <c r="M1544" i="2" s="1"/>
  <c r="H1545" i="2"/>
  <c r="M1545" i="2" s="1"/>
  <c r="H1546" i="2"/>
  <c r="M1546" i="2" s="1"/>
  <c r="H1547" i="2"/>
  <c r="M1547" i="2" s="1"/>
  <c r="H1548" i="2"/>
  <c r="M1548" i="2" s="1"/>
  <c r="H1549" i="2"/>
  <c r="M1549" i="2" s="1"/>
  <c r="H1550" i="2"/>
  <c r="M1550" i="2" s="1"/>
  <c r="H1551" i="2"/>
  <c r="M1551" i="2" s="1"/>
  <c r="H1552" i="2"/>
  <c r="M1552" i="2" s="1"/>
  <c r="H1553" i="2"/>
  <c r="M1553" i="2" s="1"/>
  <c r="H1543" i="2"/>
  <c r="M1543" i="2" s="1"/>
  <c r="C1544" i="4"/>
  <c r="E1544" i="4" s="1"/>
  <c r="C1545" i="4"/>
  <c r="E1545" i="4" s="1"/>
  <c r="C1546" i="4"/>
  <c r="E1546" i="4" s="1"/>
  <c r="C1547" i="4"/>
  <c r="E1547" i="4" s="1"/>
  <c r="C1548" i="4"/>
  <c r="E1548" i="4" s="1"/>
  <c r="C1549" i="4"/>
  <c r="E1549" i="4" s="1"/>
  <c r="C1550" i="4"/>
  <c r="E1550" i="4" s="1"/>
  <c r="C1551" i="4"/>
  <c r="E1551" i="4" s="1"/>
  <c r="C1552" i="4"/>
  <c r="E1552" i="4" s="1"/>
  <c r="C1553" i="4"/>
  <c r="E1553" i="4" s="1"/>
  <c r="C1543" i="4"/>
  <c r="E1543" i="4" s="1"/>
  <c r="B1544" i="2"/>
  <c r="F1544" i="2" s="1"/>
  <c r="B1545" i="2"/>
  <c r="F1545" i="2" s="1"/>
  <c r="B1546" i="2"/>
  <c r="F1546" i="2" s="1"/>
  <c r="B1547" i="2"/>
  <c r="F1547" i="2" s="1"/>
  <c r="B1548" i="2"/>
  <c r="F1548" i="2" s="1"/>
  <c r="B1549" i="2"/>
  <c r="F1549" i="2" s="1"/>
  <c r="B1550" i="2"/>
  <c r="F1550" i="2" s="1"/>
  <c r="B1551" i="2"/>
  <c r="F1551" i="2" s="1"/>
  <c r="B1552" i="2"/>
  <c r="F1552" i="2" s="1"/>
  <c r="B1553" i="2"/>
  <c r="F1553" i="2" s="1"/>
  <c r="B1543" i="2"/>
  <c r="F1543" i="2" s="1"/>
  <c r="D1533" i="4"/>
  <c r="C1533" i="2"/>
  <c r="I1533" i="2"/>
  <c r="J1553" i="4" l="1"/>
  <c r="L1546" i="2"/>
  <c r="J1552" i="4"/>
  <c r="J1548" i="4"/>
  <c r="L1550" i="2"/>
  <c r="L1548" i="2"/>
  <c r="L1553" i="2"/>
  <c r="L1545" i="2"/>
  <c r="L1551" i="2"/>
  <c r="L1549" i="2"/>
  <c r="L1552" i="2"/>
  <c r="L1547" i="2"/>
  <c r="J1551" i="4"/>
  <c r="L1544" i="2"/>
  <c r="J1546" i="4"/>
  <c r="J1545" i="4"/>
  <c r="J1544" i="4"/>
  <c r="J1547" i="4"/>
  <c r="J1550" i="4"/>
  <c r="J1549" i="4"/>
  <c r="J1543" i="4"/>
  <c r="H1533" i="4"/>
  <c r="I1532" i="2" l="1"/>
  <c r="C1532" i="2"/>
  <c r="D1532" i="4" l="1"/>
  <c r="H1532" i="4"/>
  <c r="I1531" i="2" l="1"/>
  <c r="C1531" i="2"/>
  <c r="D1531" i="4" l="1"/>
  <c r="H1531" i="4"/>
  <c r="D1530" i="4" l="1"/>
  <c r="C1530" i="2" l="1"/>
  <c r="I1530" i="2"/>
  <c r="H1530" i="4" l="1"/>
  <c r="C1532" i="4" l="1"/>
  <c r="C1533" i="4"/>
  <c r="C1534" i="4"/>
  <c r="C1535" i="4"/>
  <c r="C1536" i="4"/>
  <c r="C1537" i="4"/>
  <c r="C1538" i="4"/>
  <c r="C1539" i="4"/>
  <c r="C1540" i="4"/>
  <c r="C1541" i="4"/>
  <c r="C1542" i="4"/>
  <c r="E1542" i="4" s="1"/>
  <c r="C1531" i="4"/>
  <c r="B1532" i="2"/>
  <c r="B1533" i="2"/>
  <c r="B1534" i="2"/>
  <c r="B1535" i="2"/>
  <c r="B1536" i="2"/>
  <c r="B1537" i="2"/>
  <c r="B1538" i="2"/>
  <c r="B1539" i="2"/>
  <c r="B1540" i="2"/>
  <c r="B1541" i="2"/>
  <c r="B1542" i="2"/>
  <c r="B1531" i="2"/>
  <c r="D1529" i="4" l="1"/>
  <c r="I1529" i="2"/>
  <c r="C1529" i="2"/>
  <c r="H1529" i="4" l="1"/>
  <c r="H1528" i="4"/>
  <c r="D1528" i="4" l="1"/>
  <c r="I1528" i="2"/>
  <c r="C1528" i="2"/>
  <c r="G1532" i="4" l="1"/>
  <c r="G1533" i="4"/>
  <c r="G1534" i="4"/>
  <c r="G1535" i="4"/>
  <c r="I1535" i="4" s="1"/>
  <c r="G1536" i="4"/>
  <c r="I1536" i="4" s="1"/>
  <c r="G1537" i="4"/>
  <c r="I1537" i="4" s="1"/>
  <c r="G1538" i="4"/>
  <c r="I1538" i="4" s="1"/>
  <c r="G1539" i="4"/>
  <c r="I1539" i="4" s="1"/>
  <c r="G1540" i="4"/>
  <c r="I1540" i="4" s="1"/>
  <c r="G1541" i="4"/>
  <c r="I1541" i="4" s="1"/>
  <c r="G1542" i="4"/>
  <c r="I1542" i="4" s="1"/>
  <c r="J1542" i="4" s="1"/>
  <c r="G1531" i="4"/>
  <c r="I1531" i="4" s="1"/>
  <c r="H1532" i="2"/>
  <c r="M1532" i="2" s="1"/>
  <c r="H1533" i="2"/>
  <c r="M1533" i="2" s="1"/>
  <c r="H1534" i="2"/>
  <c r="M1534" i="2" s="1"/>
  <c r="L1534" i="2" s="1"/>
  <c r="H1535" i="2"/>
  <c r="M1535" i="2" s="1"/>
  <c r="L1535" i="2" s="1"/>
  <c r="H1536" i="2"/>
  <c r="M1536" i="2" s="1"/>
  <c r="H1537" i="2"/>
  <c r="M1537" i="2" s="1"/>
  <c r="H1538" i="2"/>
  <c r="M1538" i="2" s="1"/>
  <c r="L1538" i="2" s="1"/>
  <c r="H1539" i="2"/>
  <c r="M1539" i="2" s="1"/>
  <c r="L1539" i="2" s="1"/>
  <c r="H1540" i="2"/>
  <c r="M1540" i="2" s="1"/>
  <c r="H1541" i="2"/>
  <c r="M1541" i="2" s="1"/>
  <c r="H1542" i="2"/>
  <c r="H1531" i="2"/>
  <c r="M1531" i="2" s="1"/>
  <c r="L1543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I1532" i="4"/>
  <c r="I1533" i="4"/>
  <c r="I1534" i="4"/>
  <c r="E1531" i="4"/>
  <c r="E1532" i="4"/>
  <c r="E1533" i="4"/>
  <c r="E1534" i="4"/>
  <c r="E1535" i="4"/>
  <c r="E1536" i="4"/>
  <c r="E1537" i="4"/>
  <c r="E1538" i="4"/>
  <c r="E1539" i="4"/>
  <c r="E1540" i="4"/>
  <c r="E1541" i="4"/>
  <c r="C1522" i="4"/>
  <c r="C1523" i="4"/>
  <c r="C1524" i="4"/>
  <c r="C1525" i="4"/>
  <c r="C1526" i="4"/>
  <c r="C1527" i="4"/>
  <c r="C1528" i="4"/>
  <c r="C1529" i="4"/>
  <c r="C1530" i="4"/>
  <c r="C1521" i="4"/>
  <c r="B1522" i="2"/>
  <c r="B1523" i="2"/>
  <c r="B1524" i="2"/>
  <c r="B1525" i="2"/>
  <c r="B1526" i="2"/>
  <c r="B1527" i="2"/>
  <c r="B1528" i="2"/>
  <c r="B1529" i="2"/>
  <c r="B1530" i="2"/>
  <c r="B1521" i="2"/>
  <c r="G1522" i="4"/>
  <c r="G1523" i="4"/>
  <c r="G1524" i="4"/>
  <c r="G1525" i="4"/>
  <c r="G1526" i="4"/>
  <c r="G1527" i="4"/>
  <c r="G1528" i="4"/>
  <c r="G1529" i="4"/>
  <c r="G1530" i="4"/>
  <c r="G1521" i="4"/>
  <c r="H1522" i="2"/>
  <c r="H1523" i="2"/>
  <c r="H1524" i="2"/>
  <c r="H1525" i="2"/>
  <c r="H1526" i="2"/>
  <c r="H1527" i="2"/>
  <c r="H1528" i="2"/>
  <c r="H1529" i="2"/>
  <c r="H1530" i="2"/>
  <c r="M1530" i="2" s="1"/>
  <c r="H1521" i="2"/>
  <c r="L1541" i="2" l="1"/>
  <c r="L1540" i="2"/>
  <c r="L1532" i="2"/>
  <c r="L1537" i="2"/>
  <c r="J1531" i="4"/>
  <c r="L1536" i="2"/>
  <c r="M1542" i="2"/>
  <c r="L1542" i="2" s="1"/>
  <c r="L1533" i="2"/>
  <c r="L1531" i="2"/>
  <c r="J1532" i="4"/>
  <c r="J1538" i="4"/>
  <c r="J1541" i="4"/>
  <c r="J1535" i="4"/>
  <c r="J1534" i="4"/>
  <c r="J1540" i="4"/>
  <c r="J1537" i="4"/>
  <c r="J1539" i="4"/>
  <c r="J1536" i="4"/>
  <c r="J1533" i="4"/>
  <c r="I1527" i="2"/>
  <c r="C1527" i="2"/>
  <c r="D1527" i="4" l="1"/>
  <c r="H1527" i="4"/>
  <c r="I1526" i="2" l="1"/>
  <c r="C1526" i="2"/>
  <c r="C1517" i="2"/>
  <c r="D1526" i="4" l="1"/>
  <c r="H1526" i="4" l="1"/>
  <c r="C1525" i="2" l="1"/>
  <c r="D1525" i="4"/>
  <c r="I1525" i="2"/>
  <c r="B1520" i="2" l="1"/>
  <c r="C1520" i="2"/>
  <c r="H1520" i="2"/>
  <c r="I1520" i="2"/>
  <c r="M1520" i="2" s="1"/>
  <c r="C1520" i="4"/>
  <c r="D1520" i="4"/>
  <c r="E1520" i="4" s="1"/>
  <c r="G1520" i="4"/>
  <c r="H1520" i="4"/>
  <c r="I1520" i="4" l="1"/>
  <c r="J1520" i="4" s="1"/>
  <c r="F1520" i="2"/>
  <c r="L1520" i="2" s="1"/>
  <c r="H1525" i="4" l="1"/>
  <c r="I1524" i="2" l="1"/>
  <c r="C1524" i="2"/>
  <c r="D1524" i="4"/>
  <c r="H1524" i="4" l="1"/>
  <c r="C1523" i="2" l="1"/>
  <c r="I1523" i="2"/>
  <c r="H1523" i="4"/>
  <c r="D1523" i="4"/>
  <c r="C1522" i="2" l="1"/>
  <c r="I1522" i="2"/>
  <c r="H1522" i="4" l="1"/>
  <c r="D1522" i="4"/>
  <c r="I1521" i="2" l="1"/>
  <c r="C1521" i="2"/>
  <c r="D1519" i="4" l="1"/>
  <c r="H1521" i="4"/>
  <c r="D1521" i="4"/>
  <c r="H1518" i="4" l="1"/>
  <c r="I1519" i="2" l="1"/>
  <c r="C1519" i="2"/>
  <c r="H1519" i="4" l="1"/>
  <c r="I1518" i="2" l="1"/>
  <c r="I1517" i="2"/>
  <c r="C1518" i="2"/>
  <c r="D1518" i="4"/>
  <c r="H1517" i="4" l="1"/>
  <c r="D1517" i="4"/>
  <c r="C1516" i="2" l="1"/>
  <c r="I1516" i="2"/>
  <c r="D1516" i="4" l="1"/>
  <c r="H1516" i="4"/>
  <c r="I1525" i="4" l="1"/>
  <c r="I1526" i="4"/>
  <c r="I1527" i="4"/>
  <c r="I1528" i="4"/>
  <c r="I1529" i="4"/>
  <c r="I1530" i="4"/>
  <c r="I1521" i="4"/>
  <c r="I1522" i="4"/>
  <c r="I1523" i="4"/>
  <c r="I1524" i="4"/>
  <c r="E1521" i="4"/>
  <c r="E1522" i="4"/>
  <c r="E1523" i="4"/>
  <c r="E1524" i="4"/>
  <c r="E1525" i="4"/>
  <c r="E1526" i="4"/>
  <c r="E1527" i="4"/>
  <c r="E1528" i="4"/>
  <c r="E1529" i="4"/>
  <c r="E1530" i="4"/>
  <c r="M1521" i="2"/>
  <c r="M1522" i="2"/>
  <c r="M1523" i="2"/>
  <c r="M1524" i="2"/>
  <c r="M1525" i="2"/>
  <c r="M1526" i="2"/>
  <c r="M1527" i="2"/>
  <c r="M1528" i="2"/>
  <c r="M1529" i="2"/>
  <c r="F1521" i="2"/>
  <c r="F1522" i="2"/>
  <c r="F1523" i="2"/>
  <c r="F1524" i="2"/>
  <c r="F1525" i="2"/>
  <c r="F1526" i="2"/>
  <c r="F1527" i="2"/>
  <c r="F1528" i="2"/>
  <c r="F1529" i="2"/>
  <c r="F1530" i="2"/>
  <c r="J1530" i="4" l="1"/>
  <c r="L1524" i="2"/>
  <c r="L1521" i="2"/>
  <c r="L1522" i="2"/>
  <c r="L1523" i="2"/>
  <c r="L1529" i="2"/>
  <c r="J1523" i="4"/>
  <c r="J1524" i="4"/>
  <c r="L1530" i="2"/>
  <c r="J1522" i="4"/>
  <c r="J1521" i="4"/>
  <c r="L1528" i="2"/>
  <c r="L1527" i="2"/>
  <c r="L1526" i="2"/>
  <c r="J1529" i="4"/>
  <c r="L1525" i="2"/>
  <c r="J1528" i="4"/>
  <c r="J1527" i="4"/>
  <c r="J1526" i="4"/>
  <c r="J1525" i="4"/>
  <c r="I1515" i="2"/>
  <c r="C1515" i="2"/>
  <c r="D1515" i="4" l="1"/>
  <c r="H1515" i="4"/>
  <c r="C1514" i="2" l="1"/>
  <c r="I1514" i="2"/>
  <c r="H1514" i="4" l="1"/>
  <c r="D1514" i="4"/>
  <c r="C1513" i="2" l="1"/>
  <c r="I1513" i="2"/>
  <c r="D1513" i="4"/>
  <c r="H1513" i="4"/>
  <c r="I1512" i="2" l="1"/>
  <c r="D1512" i="4"/>
  <c r="C1512" i="2"/>
  <c r="H1512" i="4" l="1"/>
  <c r="I1511" i="2" l="1"/>
  <c r="D1511" i="4"/>
  <c r="C1511" i="2"/>
  <c r="H1511" i="4" l="1"/>
  <c r="D1510" i="4" l="1"/>
  <c r="C1510" i="2"/>
  <c r="I1510" i="2"/>
  <c r="H1510" i="4" l="1"/>
  <c r="I1509" i="2" l="1"/>
  <c r="C1509" i="2"/>
  <c r="H1509" i="4" l="1"/>
  <c r="D1509" i="4"/>
  <c r="I1508" i="2" l="1"/>
  <c r="D1508" i="4"/>
  <c r="C1508" i="2"/>
  <c r="H1508" i="4" l="1"/>
  <c r="I1507" i="2" l="1"/>
  <c r="C1507" i="2"/>
  <c r="D1507" i="4"/>
  <c r="H1507" i="4" l="1"/>
  <c r="D1506" i="4" l="1"/>
  <c r="C1506" i="2"/>
  <c r="I1506" i="2"/>
  <c r="H1506" i="4" l="1"/>
  <c r="C1511" i="4" l="1"/>
  <c r="C1512" i="4"/>
  <c r="C1513" i="4"/>
  <c r="C1514" i="4"/>
  <c r="C1515" i="4"/>
  <c r="C1516" i="4"/>
  <c r="C1517" i="4"/>
  <c r="C1518" i="4"/>
  <c r="C1519" i="4"/>
  <c r="C1510" i="4"/>
  <c r="B1511" i="2"/>
  <c r="B1512" i="2"/>
  <c r="B1513" i="2"/>
  <c r="B1514" i="2"/>
  <c r="B1515" i="2"/>
  <c r="B1516" i="2"/>
  <c r="B1517" i="2"/>
  <c r="B1518" i="2"/>
  <c r="B1519" i="2"/>
  <c r="B1510" i="2"/>
  <c r="I1505" i="2" l="1"/>
  <c r="D1505" i="4"/>
  <c r="C1505" i="2"/>
  <c r="H1505" i="4" l="1"/>
  <c r="I1504" i="2" l="1"/>
  <c r="C1504" i="2"/>
  <c r="H1504" i="4" l="1"/>
  <c r="D1504" i="4"/>
  <c r="I1503" i="2" l="1"/>
  <c r="D1503" i="4"/>
  <c r="C1503" i="2"/>
  <c r="H1503" i="4"/>
  <c r="H1511" i="2" l="1"/>
  <c r="M1511" i="2" s="1"/>
  <c r="H1512" i="2"/>
  <c r="M1512" i="2" s="1"/>
  <c r="H1513" i="2"/>
  <c r="M1513" i="2" s="1"/>
  <c r="H1514" i="2"/>
  <c r="M1514" i="2" s="1"/>
  <c r="H1515" i="2"/>
  <c r="M1515" i="2" s="1"/>
  <c r="H1516" i="2"/>
  <c r="M1516" i="2" s="1"/>
  <c r="H1517" i="2"/>
  <c r="M1517" i="2" s="1"/>
  <c r="H1518" i="2"/>
  <c r="M1518" i="2" s="1"/>
  <c r="H1519" i="2"/>
  <c r="H1510" i="2"/>
  <c r="M1510" i="2" s="1"/>
  <c r="G1511" i="4"/>
  <c r="I1511" i="4" s="1"/>
  <c r="G1512" i="4"/>
  <c r="I1512" i="4" s="1"/>
  <c r="G1513" i="4"/>
  <c r="I1513" i="4" s="1"/>
  <c r="G1514" i="4"/>
  <c r="I1514" i="4" s="1"/>
  <c r="G1515" i="4"/>
  <c r="I1515" i="4" s="1"/>
  <c r="G1516" i="4"/>
  <c r="I1516" i="4" s="1"/>
  <c r="G1517" i="4"/>
  <c r="I1517" i="4" s="1"/>
  <c r="G1518" i="4"/>
  <c r="G1519" i="4"/>
  <c r="I1519" i="4" s="1"/>
  <c r="G1510" i="4"/>
  <c r="I1518" i="4"/>
  <c r="I1510" i="4"/>
  <c r="E1510" i="4"/>
  <c r="E1511" i="4"/>
  <c r="E1512" i="4"/>
  <c r="E1513" i="4"/>
  <c r="E1514" i="4"/>
  <c r="E1515" i="4"/>
  <c r="E1516" i="4"/>
  <c r="E1517" i="4"/>
  <c r="E1518" i="4"/>
  <c r="E1519" i="4"/>
  <c r="M1519" i="2"/>
  <c r="F1510" i="2"/>
  <c r="F1511" i="2"/>
  <c r="F1512" i="2"/>
  <c r="F1513" i="2"/>
  <c r="F1514" i="2"/>
  <c r="F1515" i="2"/>
  <c r="F1516" i="2"/>
  <c r="F1517" i="2"/>
  <c r="F1518" i="2"/>
  <c r="F1519" i="2"/>
  <c r="L1513" i="2" l="1"/>
  <c r="J1510" i="4"/>
  <c r="J1517" i="4"/>
  <c r="J1518" i="4"/>
  <c r="J1516" i="4"/>
  <c r="L1519" i="2"/>
  <c r="L1518" i="2"/>
  <c r="L1517" i="2"/>
  <c r="L1516" i="2"/>
  <c r="L1515" i="2"/>
  <c r="L1514" i="2"/>
  <c r="L1512" i="2"/>
  <c r="L1511" i="2"/>
  <c r="J1519" i="4"/>
  <c r="J1515" i="4"/>
  <c r="J1514" i="4"/>
  <c r="J1513" i="4"/>
  <c r="J1512" i="4"/>
  <c r="J1511" i="4"/>
  <c r="L1510" i="2"/>
  <c r="D1502" i="4"/>
  <c r="H1502" i="4"/>
  <c r="C1502" i="2"/>
  <c r="I1502" i="2"/>
  <c r="D1501" i="4" l="1"/>
  <c r="H1500" i="4"/>
  <c r="H1501" i="4"/>
  <c r="C1501" i="2" l="1"/>
  <c r="I1501" i="2"/>
  <c r="D1500" i="4" l="1"/>
  <c r="C1500" i="2" l="1"/>
  <c r="I1500" i="2"/>
  <c r="H1499" i="4" l="1"/>
  <c r="D1499" i="4"/>
  <c r="I1499" i="2"/>
  <c r="C1499" i="2"/>
  <c r="D1498" i="4" l="1"/>
  <c r="C1498" i="2"/>
  <c r="I1498" i="2"/>
  <c r="H1498" i="4"/>
  <c r="G1500" i="4" l="1"/>
  <c r="G1501" i="4"/>
  <c r="G1502" i="4"/>
  <c r="G1503" i="4"/>
  <c r="I1503" i="4" s="1"/>
  <c r="G1504" i="4"/>
  <c r="I1504" i="4" s="1"/>
  <c r="G1505" i="4"/>
  <c r="I1505" i="4" s="1"/>
  <c r="G1506" i="4"/>
  <c r="I1506" i="4" s="1"/>
  <c r="G1507" i="4"/>
  <c r="I1507" i="4" s="1"/>
  <c r="G1508" i="4"/>
  <c r="I1508" i="4" s="1"/>
  <c r="G1509" i="4"/>
  <c r="I1509" i="4" s="1"/>
  <c r="I1501" i="4"/>
  <c r="I1502" i="4"/>
  <c r="G1499" i="4"/>
  <c r="H1500" i="2"/>
  <c r="M1500" i="2" s="1"/>
  <c r="H1501" i="2"/>
  <c r="M1501" i="2" s="1"/>
  <c r="H1502" i="2"/>
  <c r="M1502" i="2" s="1"/>
  <c r="H1503" i="2"/>
  <c r="M1503" i="2" s="1"/>
  <c r="H1504" i="2"/>
  <c r="M1504" i="2" s="1"/>
  <c r="H1505" i="2"/>
  <c r="H1506" i="2"/>
  <c r="M1506" i="2" s="1"/>
  <c r="H1507" i="2"/>
  <c r="M1507" i="2" s="1"/>
  <c r="H1508" i="2"/>
  <c r="M1508" i="2" s="1"/>
  <c r="H1509" i="2"/>
  <c r="M1509" i="2" s="1"/>
  <c r="H1499" i="2"/>
  <c r="C1500" i="4"/>
  <c r="E1500" i="4" s="1"/>
  <c r="C1501" i="4"/>
  <c r="E1501" i="4" s="1"/>
  <c r="C1502" i="4"/>
  <c r="E1502" i="4" s="1"/>
  <c r="C1503" i="4"/>
  <c r="E1503" i="4" s="1"/>
  <c r="C1504" i="4"/>
  <c r="E1504" i="4" s="1"/>
  <c r="C1505" i="4"/>
  <c r="E1505" i="4" s="1"/>
  <c r="C1506" i="4"/>
  <c r="E1506" i="4" s="1"/>
  <c r="C1507" i="4"/>
  <c r="E1507" i="4" s="1"/>
  <c r="C1508" i="4"/>
  <c r="E1508" i="4" s="1"/>
  <c r="C1509" i="4"/>
  <c r="E1509" i="4" s="1"/>
  <c r="C1499" i="4"/>
  <c r="E1499" i="4" s="1"/>
  <c r="B1500" i="2"/>
  <c r="F1500" i="2" s="1"/>
  <c r="B1501" i="2"/>
  <c r="F1501" i="2" s="1"/>
  <c r="B1502" i="2"/>
  <c r="F1502" i="2" s="1"/>
  <c r="B1503" i="2"/>
  <c r="F1503" i="2" s="1"/>
  <c r="B1504" i="2"/>
  <c r="F1504" i="2" s="1"/>
  <c r="B1505" i="2"/>
  <c r="F1505" i="2" s="1"/>
  <c r="B1506" i="2"/>
  <c r="F1506" i="2" s="1"/>
  <c r="B1507" i="2"/>
  <c r="F1507" i="2" s="1"/>
  <c r="B1508" i="2"/>
  <c r="F1508" i="2" s="1"/>
  <c r="B1509" i="2"/>
  <c r="F1509" i="2" s="1"/>
  <c r="B1499" i="2"/>
  <c r="I1500" i="4"/>
  <c r="M1505" i="2"/>
  <c r="L1505" i="2" l="1"/>
  <c r="J1501" i="4"/>
  <c r="L1504" i="2"/>
  <c r="L1503" i="2"/>
  <c r="L1502" i="2"/>
  <c r="L1501" i="2"/>
  <c r="L1500" i="2"/>
  <c r="L1508" i="2"/>
  <c r="L1506" i="2"/>
  <c r="L1507" i="2"/>
  <c r="J1500" i="4"/>
  <c r="J1502" i="4"/>
  <c r="J1508" i="4"/>
  <c r="J1503" i="4"/>
  <c r="J1509" i="4"/>
  <c r="J1504" i="4"/>
  <c r="J1507" i="4"/>
  <c r="J1506" i="4"/>
  <c r="J1505" i="4"/>
  <c r="L1509" i="2"/>
  <c r="D1497" i="4" l="1"/>
  <c r="C1497" i="2"/>
  <c r="I1497" i="2"/>
  <c r="H1497" i="4"/>
  <c r="I1496" i="2" l="1"/>
  <c r="C1496" i="2"/>
  <c r="D1496" i="4" l="1"/>
  <c r="H1496" i="4" l="1"/>
  <c r="I1495" i="2" l="1"/>
  <c r="D1495" i="4"/>
  <c r="C1495" i="2"/>
  <c r="H1495" i="4" l="1"/>
  <c r="C1494" i="2" l="1"/>
  <c r="I1494" i="2"/>
  <c r="H1494" i="4"/>
  <c r="D1494" i="4"/>
  <c r="I1493" i="2" l="1"/>
  <c r="C1493" i="2"/>
  <c r="H1493" i="4"/>
  <c r="D1493" i="4"/>
  <c r="I1492" i="2" l="1"/>
  <c r="D1492" i="4"/>
  <c r="C1492" i="2"/>
  <c r="H1492" i="4" l="1"/>
  <c r="C1491" i="2" l="1"/>
  <c r="I1491" i="2"/>
  <c r="I1490" i="2" l="1"/>
  <c r="C1490" i="2"/>
  <c r="D1491" i="4" l="1"/>
  <c r="H1491" i="4"/>
  <c r="D1490" i="4" l="1"/>
  <c r="H1490" i="4" l="1"/>
  <c r="C1488" i="4" l="1"/>
  <c r="D1488" i="4"/>
  <c r="G1488" i="4"/>
  <c r="H1488" i="4"/>
  <c r="I1488" i="4" s="1"/>
  <c r="B1488" i="2"/>
  <c r="C1488" i="2"/>
  <c r="F1488" i="2" s="1"/>
  <c r="H1488" i="2"/>
  <c r="I1488" i="2"/>
  <c r="E1488" i="4" l="1"/>
  <c r="J1488" i="4" s="1"/>
  <c r="M1488" i="2"/>
  <c r="L1488" i="2" s="1"/>
  <c r="I1489" i="2"/>
  <c r="C1489" i="2"/>
  <c r="D1489" i="4" l="1"/>
  <c r="H1489" i="4" l="1"/>
  <c r="I1487" i="2" l="1"/>
  <c r="C1487" i="2"/>
  <c r="H1487" i="4"/>
  <c r="D1487" i="4"/>
  <c r="D1480" i="4" l="1"/>
  <c r="D1485" i="4"/>
  <c r="H1486" i="4" l="1"/>
  <c r="D1486" i="4"/>
  <c r="I1486" i="2"/>
  <c r="C1486" i="2"/>
  <c r="C1485" i="2" l="1"/>
  <c r="I1485" i="2"/>
  <c r="H1485" i="4" l="1"/>
  <c r="H1484" i="4" l="1"/>
  <c r="D1484" i="4"/>
  <c r="I1484" i="2" l="1"/>
  <c r="C1484" i="2"/>
  <c r="C1489" i="4" l="1"/>
  <c r="C1490" i="4"/>
  <c r="C1491" i="4"/>
  <c r="C1492" i="4"/>
  <c r="C1493" i="4"/>
  <c r="C1494" i="4"/>
  <c r="C1495" i="4"/>
  <c r="C1496" i="4"/>
  <c r="C1497" i="4"/>
  <c r="C1498" i="4"/>
  <c r="C1487" i="4"/>
  <c r="B1489" i="2"/>
  <c r="B1490" i="2"/>
  <c r="B1491" i="2"/>
  <c r="B1492" i="2"/>
  <c r="B1493" i="2"/>
  <c r="B1494" i="2"/>
  <c r="B1495" i="2"/>
  <c r="B1496" i="2"/>
  <c r="B1497" i="2"/>
  <c r="B1498" i="2"/>
  <c r="B1487" i="2"/>
  <c r="H1483" i="4" l="1"/>
  <c r="D1483" i="4"/>
  <c r="I1483" i="2"/>
  <c r="C1483" i="2"/>
  <c r="I1482" i="2" l="1"/>
  <c r="C1482" i="2"/>
  <c r="H1482" i="4" l="1"/>
  <c r="D1482" i="4"/>
  <c r="G1489" i="4" l="1"/>
  <c r="I1489" i="4" s="1"/>
  <c r="G1490" i="4"/>
  <c r="I1490" i="4" s="1"/>
  <c r="G1491" i="4"/>
  <c r="I1491" i="4" s="1"/>
  <c r="G1492" i="4"/>
  <c r="I1492" i="4" s="1"/>
  <c r="G1493" i="4"/>
  <c r="I1493" i="4" s="1"/>
  <c r="G1494" i="4"/>
  <c r="I1494" i="4" s="1"/>
  <c r="G1495" i="4"/>
  <c r="I1495" i="4" s="1"/>
  <c r="G1496" i="4"/>
  <c r="I1496" i="4" s="1"/>
  <c r="G1497" i="4"/>
  <c r="I1497" i="4" s="1"/>
  <c r="G1498" i="4"/>
  <c r="I1498" i="4" s="1"/>
  <c r="G1487" i="4"/>
  <c r="I1487" i="4" s="1"/>
  <c r="H1489" i="2"/>
  <c r="M1489" i="2" s="1"/>
  <c r="H1490" i="2"/>
  <c r="M1490" i="2" s="1"/>
  <c r="H1491" i="2"/>
  <c r="M1491" i="2" s="1"/>
  <c r="H1492" i="2"/>
  <c r="M1492" i="2" s="1"/>
  <c r="H1493" i="2"/>
  <c r="M1493" i="2" s="1"/>
  <c r="H1494" i="2"/>
  <c r="M1494" i="2" s="1"/>
  <c r="H1495" i="2"/>
  <c r="M1495" i="2" s="1"/>
  <c r="H1496" i="2"/>
  <c r="M1496" i="2" s="1"/>
  <c r="H1497" i="2"/>
  <c r="M1497" i="2" s="1"/>
  <c r="H1498" i="2"/>
  <c r="M1498" i="2" s="1"/>
  <c r="M1499" i="2"/>
  <c r="H1487" i="2"/>
  <c r="M1487" i="2" s="1"/>
  <c r="I1499" i="4"/>
  <c r="J1499" i="4" s="1"/>
  <c r="E1487" i="4"/>
  <c r="E1489" i="4"/>
  <c r="E1490" i="4"/>
  <c r="E1491" i="4"/>
  <c r="E1492" i="4"/>
  <c r="E1493" i="4"/>
  <c r="E1494" i="4"/>
  <c r="E1495" i="4"/>
  <c r="E1496" i="4"/>
  <c r="E1497" i="4"/>
  <c r="E1498" i="4"/>
  <c r="F1487" i="2"/>
  <c r="F1489" i="2"/>
  <c r="F1490" i="2"/>
  <c r="F1491" i="2"/>
  <c r="F1492" i="2"/>
  <c r="F1493" i="2"/>
  <c r="F1494" i="2"/>
  <c r="F1495" i="2"/>
  <c r="F1496" i="2"/>
  <c r="F1497" i="2"/>
  <c r="F1498" i="2"/>
  <c r="F1499" i="2"/>
  <c r="J1487" i="4" l="1"/>
  <c r="L1487" i="2"/>
  <c r="J1496" i="4"/>
  <c r="J1492" i="4"/>
  <c r="J1497" i="4"/>
  <c r="J1495" i="4"/>
  <c r="J1493" i="4"/>
  <c r="J1491" i="4"/>
  <c r="J1490" i="4"/>
  <c r="J1489" i="4"/>
  <c r="L1497" i="2"/>
  <c r="L1499" i="2"/>
  <c r="L1495" i="2"/>
  <c r="L1493" i="2"/>
  <c r="L1491" i="2"/>
  <c r="L1489" i="2"/>
  <c r="L1498" i="2"/>
  <c r="L1496" i="2"/>
  <c r="L1494" i="2"/>
  <c r="L1492" i="2"/>
  <c r="L1490" i="2"/>
  <c r="J1494" i="4"/>
  <c r="J1498" i="4"/>
  <c r="H1481" i="4" l="1"/>
  <c r="D1481" i="4"/>
  <c r="I1481" i="2"/>
  <c r="C1481" i="2"/>
  <c r="I1480" i="2" l="1"/>
  <c r="C1480" i="2"/>
  <c r="H1480" i="4"/>
  <c r="D1479" i="4" l="1"/>
  <c r="I1479" i="2"/>
  <c r="C1479" i="2"/>
  <c r="H1479" i="4" l="1"/>
  <c r="I1478" i="2" l="1"/>
  <c r="D1478" i="4"/>
  <c r="C1478" i="2"/>
  <c r="H1478" i="4" l="1"/>
  <c r="I1477" i="2" l="1"/>
  <c r="C1477" i="2"/>
  <c r="H1477" i="4"/>
  <c r="D1477" i="4"/>
  <c r="I1476" i="2" l="1"/>
  <c r="C1476" i="2"/>
  <c r="D1476" i="4" l="1"/>
  <c r="H1476" i="4"/>
  <c r="H1475" i="4" l="1"/>
  <c r="D1475" i="4"/>
  <c r="I1475" i="2"/>
  <c r="C1475" i="2"/>
  <c r="H1474" i="4" l="1"/>
  <c r="D1474" i="4"/>
  <c r="I1474" i="2"/>
  <c r="C1474" i="2"/>
  <c r="I1473" i="2" l="1"/>
  <c r="C1473" i="2"/>
  <c r="H1473" i="4" l="1"/>
  <c r="D1473" i="4"/>
  <c r="I1472" i="2" l="1"/>
  <c r="C1477" i="4" l="1"/>
  <c r="C1478" i="4"/>
  <c r="C1479" i="4"/>
  <c r="C1480" i="4"/>
  <c r="C1481" i="4"/>
  <c r="C1482" i="4"/>
  <c r="C1483" i="4"/>
  <c r="C1484" i="4"/>
  <c r="C1485" i="4"/>
  <c r="C1486" i="4"/>
  <c r="C1476" i="4"/>
  <c r="B1477" i="2"/>
  <c r="B1478" i="2"/>
  <c r="B1479" i="2"/>
  <c r="B1480" i="2"/>
  <c r="B1481" i="2"/>
  <c r="B1482" i="2"/>
  <c r="B1483" i="2"/>
  <c r="B1484" i="2"/>
  <c r="B1485" i="2"/>
  <c r="B1486" i="2"/>
  <c r="B1476" i="2"/>
  <c r="C1472" i="2"/>
  <c r="D1472" i="4" l="1"/>
  <c r="H1472" i="4"/>
  <c r="I1471" i="2" l="1"/>
  <c r="C1471" i="2"/>
  <c r="H1471" i="4"/>
  <c r="D1471" i="4"/>
  <c r="G1477" i="4" l="1"/>
  <c r="I1477" i="4" s="1"/>
  <c r="G1478" i="4"/>
  <c r="I1478" i="4" s="1"/>
  <c r="G1479" i="4"/>
  <c r="I1479" i="4" s="1"/>
  <c r="G1480" i="4"/>
  <c r="I1480" i="4" s="1"/>
  <c r="G1481" i="4"/>
  <c r="I1481" i="4" s="1"/>
  <c r="G1482" i="4"/>
  <c r="I1482" i="4" s="1"/>
  <c r="G1483" i="4"/>
  <c r="I1483" i="4" s="1"/>
  <c r="G1484" i="4"/>
  <c r="I1484" i="4" s="1"/>
  <c r="G1485" i="4"/>
  <c r="I1485" i="4" s="1"/>
  <c r="G1486" i="4"/>
  <c r="I1486" i="4" s="1"/>
  <c r="G1476" i="4"/>
  <c r="I1476" i="4" s="1"/>
  <c r="H1477" i="2"/>
  <c r="M1477" i="2" s="1"/>
  <c r="H1478" i="2"/>
  <c r="M1478" i="2" s="1"/>
  <c r="H1479" i="2"/>
  <c r="M1479" i="2" s="1"/>
  <c r="H1480" i="2"/>
  <c r="M1480" i="2" s="1"/>
  <c r="H1481" i="2"/>
  <c r="M1481" i="2" s="1"/>
  <c r="H1482" i="2"/>
  <c r="M1482" i="2" s="1"/>
  <c r="H1483" i="2"/>
  <c r="M1483" i="2" s="1"/>
  <c r="H1484" i="2"/>
  <c r="M1484" i="2" s="1"/>
  <c r="H1485" i="2"/>
  <c r="M1485" i="2" s="1"/>
  <c r="H1486" i="2"/>
  <c r="M1486" i="2" s="1"/>
  <c r="H1476" i="2"/>
  <c r="M1476" i="2" s="1"/>
  <c r="F1476" i="2"/>
  <c r="F1477" i="2"/>
  <c r="F1478" i="2"/>
  <c r="F1479" i="2"/>
  <c r="F1480" i="2"/>
  <c r="F1481" i="2"/>
  <c r="F1482" i="2"/>
  <c r="F1483" i="2"/>
  <c r="F1484" i="2"/>
  <c r="F1485" i="2"/>
  <c r="F1486" i="2"/>
  <c r="E1476" i="4"/>
  <c r="E1477" i="4"/>
  <c r="E1478" i="4"/>
  <c r="E1479" i="4"/>
  <c r="E1480" i="4"/>
  <c r="E1481" i="4"/>
  <c r="E1482" i="4"/>
  <c r="E1483" i="4"/>
  <c r="E1484" i="4"/>
  <c r="E1485" i="4"/>
  <c r="E1486" i="4"/>
  <c r="L1485" i="2" l="1"/>
  <c r="L1480" i="2"/>
  <c r="L1477" i="2"/>
  <c r="L1483" i="2"/>
  <c r="J1476" i="4"/>
  <c r="L1478" i="2"/>
  <c r="L1484" i="2"/>
  <c r="J1480" i="4"/>
  <c r="L1479" i="2"/>
  <c r="J1479" i="4"/>
  <c r="J1477" i="4"/>
  <c r="J1486" i="4"/>
  <c r="J1482" i="4"/>
  <c r="J1485" i="4"/>
  <c r="J1484" i="4"/>
  <c r="J1483" i="4"/>
  <c r="L1486" i="2"/>
  <c r="L1482" i="2"/>
  <c r="L1481" i="2"/>
  <c r="L1476" i="2"/>
  <c r="J1478" i="4"/>
  <c r="J1481" i="4"/>
  <c r="I1470" i="2"/>
  <c r="C1470" i="2"/>
  <c r="D1470" i="4" l="1"/>
  <c r="H1470" i="4"/>
  <c r="I1469" i="2" l="1"/>
  <c r="D1469" i="4"/>
  <c r="C1469" i="2"/>
  <c r="H1469" i="4" l="1"/>
  <c r="I1468" i="2" l="1"/>
  <c r="C1468" i="2"/>
  <c r="H1468" i="4" l="1"/>
  <c r="D1468" i="4"/>
  <c r="I1467" i="2" l="1"/>
  <c r="C1467" i="2"/>
  <c r="H1467" i="4"/>
  <c r="D1467" i="4"/>
  <c r="I1466" i="2" l="1"/>
  <c r="C1466" i="2"/>
  <c r="H1466" i="4" l="1"/>
  <c r="D1466" i="4"/>
  <c r="I1465" i="2" l="1"/>
  <c r="C1465" i="2"/>
  <c r="D1465" i="4"/>
  <c r="O1461" i="3"/>
  <c r="D1464" i="4" l="1"/>
  <c r="I1464" i="2"/>
  <c r="C1464" i="2"/>
  <c r="C1463" i="2" l="1"/>
  <c r="I1463" i="2"/>
  <c r="H1463" i="4" l="1"/>
  <c r="D1463" i="4"/>
  <c r="I1462" i="2" l="1"/>
  <c r="C1462" i="2"/>
  <c r="H1462" i="4" l="1"/>
  <c r="D1462" i="4"/>
  <c r="I1461" i="2" l="1"/>
  <c r="C1461" i="2"/>
  <c r="D1461" i="4" l="1"/>
  <c r="C1466" i="4"/>
  <c r="C1467" i="4"/>
  <c r="C1468" i="4"/>
  <c r="C1469" i="4"/>
  <c r="C1470" i="4"/>
  <c r="C1471" i="4"/>
  <c r="C1472" i="4"/>
  <c r="C1473" i="4"/>
  <c r="C1474" i="4"/>
  <c r="C1475" i="4"/>
  <c r="C1465" i="4"/>
  <c r="B1466" i="2"/>
  <c r="B1467" i="2"/>
  <c r="B1468" i="2"/>
  <c r="B1469" i="2"/>
  <c r="B1470" i="2"/>
  <c r="B1471" i="2"/>
  <c r="B1472" i="2"/>
  <c r="B1473" i="2"/>
  <c r="B1474" i="2"/>
  <c r="B1475" i="2"/>
  <c r="B1465" i="2"/>
  <c r="H1461" i="4" l="1"/>
  <c r="I1460" i="2" l="1"/>
  <c r="H1460" i="4" l="1"/>
  <c r="D1460" i="4"/>
  <c r="C1460" i="2"/>
  <c r="I1459" i="2" l="1"/>
  <c r="C1459" i="2"/>
  <c r="D1459" i="4"/>
  <c r="H1459" i="4" l="1"/>
  <c r="I1458" i="2" l="1"/>
  <c r="D1458" i="4"/>
  <c r="C1458" i="2"/>
  <c r="H1458" i="4"/>
  <c r="E1465" i="4" l="1"/>
  <c r="E1466" i="4"/>
  <c r="E1467" i="4"/>
  <c r="E1468" i="4"/>
  <c r="E1469" i="4"/>
  <c r="E1470" i="4"/>
  <c r="E1471" i="4"/>
  <c r="E1472" i="4"/>
  <c r="E1473" i="4"/>
  <c r="E1474" i="4"/>
  <c r="E1475" i="4"/>
  <c r="G1466" i="4"/>
  <c r="I1466" i="4" s="1"/>
  <c r="G1467" i="4"/>
  <c r="I1467" i="4" s="1"/>
  <c r="G1468" i="4"/>
  <c r="I1468" i="4" s="1"/>
  <c r="G1469" i="4"/>
  <c r="I1469" i="4" s="1"/>
  <c r="G1470" i="4"/>
  <c r="I1470" i="4" s="1"/>
  <c r="G1471" i="4"/>
  <c r="I1471" i="4" s="1"/>
  <c r="G1472" i="4"/>
  <c r="I1472" i="4" s="1"/>
  <c r="G1473" i="4"/>
  <c r="I1473" i="4" s="1"/>
  <c r="G1474" i="4"/>
  <c r="I1474" i="4" s="1"/>
  <c r="G1475" i="4"/>
  <c r="I1475" i="4" s="1"/>
  <c r="G1465" i="4"/>
  <c r="I1465" i="4" s="1"/>
  <c r="H1466" i="2"/>
  <c r="H1467" i="2"/>
  <c r="H1468" i="2"/>
  <c r="H1469" i="2"/>
  <c r="M1469" i="2" s="1"/>
  <c r="H1470" i="2"/>
  <c r="M1470" i="2" s="1"/>
  <c r="H1471" i="2"/>
  <c r="M1471" i="2" s="1"/>
  <c r="H1472" i="2"/>
  <c r="M1472" i="2" s="1"/>
  <c r="H1473" i="2"/>
  <c r="M1473" i="2" s="1"/>
  <c r="H1474" i="2"/>
  <c r="M1474" i="2" s="1"/>
  <c r="H1475" i="2"/>
  <c r="M1475" i="2" s="1"/>
  <c r="F1468" i="2"/>
  <c r="F1469" i="2"/>
  <c r="F1470" i="2"/>
  <c r="F1471" i="2"/>
  <c r="F1472" i="2"/>
  <c r="F1473" i="2"/>
  <c r="F1474" i="2"/>
  <c r="F1475" i="2"/>
  <c r="H1465" i="2"/>
  <c r="L1471" i="2" l="1"/>
  <c r="J1473" i="4"/>
  <c r="L1475" i="2"/>
  <c r="L1472" i="2"/>
  <c r="L1473" i="2"/>
  <c r="L1469" i="2"/>
  <c r="J1472" i="4"/>
  <c r="J1470" i="4"/>
  <c r="J1475" i="4"/>
  <c r="J1471" i="4"/>
  <c r="L1474" i="2"/>
  <c r="J1474" i="4"/>
  <c r="J1469" i="4"/>
  <c r="L1470" i="2"/>
  <c r="J1465" i="4"/>
  <c r="J1468" i="4"/>
  <c r="J1467" i="4"/>
  <c r="J1466" i="4"/>
  <c r="I1457" i="2"/>
  <c r="C1457" i="2"/>
  <c r="H1457" i="4" l="1"/>
  <c r="D1457" i="4"/>
  <c r="I1456" i="2" l="1"/>
  <c r="C1456" i="2"/>
  <c r="D1456" i="4"/>
  <c r="H1456" i="4" l="1"/>
  <c r="H1455" i="4" l="1"/>
  <c r="D1455" i="4"/>
  <c r="I1455" i="2"/>
  <c r="C1455" i="2"/>
  <c r="O1455" i="3" l="1"/>
  <c r="H1454" i="4" l="1"/>
  <c r="D1454" i="4"/>
  <c r="B1454" i="2"/>
  <c r="C1454" i="2"/>
  <c r="H1454" i="2"/>
  <c r="I1454" i="2"/>
  <c r="F1454" i="2" l="1"/>
  <c r="M1454" i="2"/>
  <c r="I1453" i="2"/>
  <c r="D1453" i="4"/>
  <c r="C1453" i="2"/>
  <c r="L1454" i="2" l="1"/>
  <c r="H1453" i="4"/>
  <c r="AB1110" i="3" l="1"/>
  <c r="C1452" i="2" l="1"/>
  <c r="I1452" i="2"/>
  <c r="H1452" i="4" l="1"/>
  <c r="D1452" i="4"/>
  <c r="I1451" i="2" l="1"/>
  <c r="C1451" i="2"/>
  <c r="H1451" i="4" l="1"/>
  <c r="D1451" i="4"/>
  <c r="C1456" i="4"/>
  <c r="C1457" i="4"/>
  <c r="C1458" i="4"/>
  <c r="C1459" i="4"/>
  <c r="C1460" i="4"/>
  <c r="C1461" i="4"/>
  <c r="C1462" i="4"/>
  <c r="C1463" i="4"/>
  <c r="C1464" i="4"/>
  <c r="C1455" i="4"/>
  <c r="B1459" i="2"/>
  <c r="B1460" i="2"/>
  <c r="B1461" i="2"/>
  <c r="B1462" i="2"/>
  <c r="B1463" i="2"/>
  <c r="B1464" i="2"/>
  <c r="B1458" i="2"/>
  <c r="C1450" i="2" l="1"/>
  <c r="I1450" i="2"/>
  <c r="D1450" i="4" l="1"/>
  <c r="H1450" i="4"/>
  <c r="G1456" i="4" l="1"/>
  <c r="G1457" i="4"/>
  <c r="I1457" i="4" s="1"/>
  <c r="G1458" i="4"/>
  <c r="I1458" i="4" s="1"/>
  <c r="G1459" i="4"/>
  <c r="I1459" i="4" s="1"/>
  <c r="G1460" i="4"/>
  <c r="I1460" i="4" s="1"/>
  <c r="G1461" i="4"/>
  <c r="I1461" i="4" s="1"/>
  <c r="G1462" i="4"/>
  <c r="I1462" i="4" s="1"/>
  <c r="G1463" i="4"/>
  <c r="I1463" i="4" s="1"/>
  <c r="G1464" i="4"/>
  <c r="I1464" i="4" s="1"/>
  <c r="G1455" i="4"/>
  <c r="E1455" i="4"/>
  <c r="E1456" i="4"/>
  <c r="E1457" i="4"/>
  <c r="E1458" i="4"/>
  <c r="E1459" i="4"/>
  <c r="E1460" i="4"/>
  <c r="E1461" i="4"/>
  <c r="E1462" i="4"/>
  <c r="E1463" i="4"/>
  <c r="E1464" i="4"/>
  <c r="H1459" i="2"/>
  <c r="M1459" i="2" s="1"/>
  <c r="H1460" i="2"/>
  <c r="M1460" i="2" s="1"/>
  <c r="H1461" i="2"/>
  <c r="M1461" i="2" s="1"/>
  <c r="H1462" i="2"/>
  <c r="M1462" i="2" s="1"/>
  <c r="L1462" i="2" s="1"/>
  <c r="H1463" i="2"/>
  <c r="M1463" i="2" s="1"/>
  <c r="H1464" i="2"/>
  <c r="M1464" i="2" s="1"/>
  <c r="M1465" i="2"/>
  <c r="M1466" i="2"/>
  <c r="M1467" i="2"/>
  <c r="M1468" i="2"/>
  <c r="L1468" i="2" s="1"/>
  <c r="F1458" i="2"/>
  <c r="F1459" i="2"/>
  <c r="F1460" i="2"/>
  <c r="F1461" i="2"/>
  <c r="F1462" i="2"/>
  <c r="F1463" i="2"/>
  <c r="F1464" i="2"/>
  <c r="F1465" i="2"/>
  <c r="F1466" i="2"/>
  <c r="F1467" i="2"/>
  <c r="H1458" i="2"/>
  <c r="M1458" i="2" s="1"/>
  <c r="L1464" i="2" l="1"/>
  <c r="L1463" i="2"/>
  <c r="L1467" i="2"/>
  <c r="L1466" i="2"/>
  <c r="L1460" i="2"/>
  <c r="L1461" i="2"/>
  <c r="L1465" i="2"/>
  <c r="L1458" i="2"/>
  <c r="J1460" i="4"/>
  <c r="J1458" i="4"/>
  <c r="J1459" i="4"/>
  <c r="J1463" i="4"/>
  <c r="J1462" i="4"/>
  <c r="J1457" i="4"/>
  <c r="J1464" i="4"/>
  <c r="L1459" i="2"/>
  <c r="J1461" i="4"/>
  <c r="D1449" i="4"/>
  <c r="I1449" i="2"/>
  <c r="C1449" i="2"/>
  <c r="H1449" i="4"/>
  <c r="I1448" i="2" l="1"/>
  <c r="C1448" i="2"/>
  <c r="D1448" i="4" l="1"/>
  <c r="H1448" i="4"/>
  <c r="I1447" i="2" l="1"/>
  <c r="C1447" i="2"/>
  <c r="D1447" i="4" l="1"/>
  <c r="H1447" i="4" l="1"/>
  <c r="C1446" i="2" l="1"/>
  <c r="I1446" i="2"/>
  <c r="D1446" i="4" l="1"/>
  <c r="H1446" i="4" l="1"/>
  <c r="C1445" i="2" l="1"/>
  <c r="I1445" i="2"/>
  <c r="F7" i="8"/>
  <c r="C7" i="8"/>
  <c r="I6" i="8"/>
  <c r="I5" i="8"/>
  <c r="B5" i="8"/>
  <c r="A6" i="8"/>
  <c r="I7" i="8" l="1"/>
  <c r="B6" i="8"/>
  <c r="D1445" i="4"/>
  <c r="H1445" i="4"/>
  <c r="I1444" i="2" l="1"/>
  <c r="D1444" i="4"/>
  <c r="C1444" i="2"/>
  <c r="H1444" i="4"/>
  <c r="G1447" i="4" l="1"/>
  <c r="G1448" i="4"/>
  <c r="G1449" i="4"/>
  <c r="G1450" i="4"/>
  <c r="G1451" i="4"/>
  <c r="G1452" i="4"/>
  <c r="G1453" i="4"/>
  <c r="G1454" i="4"/>
  <c r="G1446" i="4"/>
  <c r="H1447" i="2"/>
  <c r="H1448" i="2"/>
  <c r="H1449" i="2"/>
  <c r="H1450" i="2"/>
  <c r="H1451" i="2"/>
  <c r="H1452" i="2"/>
  <c r="H1453" i="2"/>
  <c r="H1455" i="2"/>
  <c r="H1456" i="2"/>
  <c r="H1457" i="2"/>
  <c r="H1446" i="2"/>
  <c r="I1446" i="4" l="1"/>
  <c r="I1447" i="4"/>
  <c r="I1448" i="4"/>
  <c r="I1449" i="4"/>
  <c r="I1450" i="4"/>
  <c r="I1451" i="4"/>
  <c r="I1452" i="4"/>
  <c r="I1453" i="4"/>
  <c r="I1454" i="4"/>
  <c r="I1455" i="4"/>
  <c r="J1455" i="4" s="1"/>
  <c r="I1456" i="4"/>
  <c r="J1456" i="4" s="1"/>
  <c r="E1446" i="4"/>
  <c r="E1447" i="4"/>
  <c r="E1448" i="4"/>
  <c r="E1449" i="4"/>
  <c r="E1450" i="4"/>
  <c r="E1451" i="4"/>
  <c r="E1452" i="4"/>
  <c r="E1453" i="4"/>
  <c r="E1454" i="4"/>
  <c r="M1446" i="2"/>
  <c r="M1447" i="2"/>
  <c r="M1448" i="2"/>
  <c r="M1449" i="2"/>
  <c r="M1450" i="2"/>
  <c r="M1451" i="2"/>
  <c r="M1452" i="2"/>
  <c r="M1453" i="2"/>
  <c r="M1455" i="2"/>
  <c r="M1456" i="2"/>
  <c r="M1457" i="2"/>
  <c r="B1447" i="2"/>
  <c r="F1447" i="2" s="1"/>
  <c r="B1448" i="2"/>
  <c r="F1448" i="2" s="1"/>
  <c r="B1449" i="2"/>
  <c r="F1449" i="2" s="1"/>
  <c r="B1450" i="2"/>
  <c r="F1450" i="2" s="1"/>
  <c r="B1451" i="2"/>
  <c r="F1451" i="2" s="1"/>
  <c r="B1452" i="2"/>
  <c r="F1452" i="2" s="1"/>
  <c r="B1453" i="2"/>
  <c r="F1453" i="2" s="1"/>
  <c r="B1455" i="2"/>
  <c r="F1455" i="2" s="1"/>
  <c r="B1456" i="2"/>
  <c r="F1456" i="2" s="1"/>
  <c r="B1457" i="2"/>
  <c r="F1457" i="2" s="1"/>
  <c r="B1446" i="2"/>
  <c r="F1446" i="2" s="1"/>
  <c r="L1446" i="2" l="1"/>
  <c r="J1453" i="4"/>
  <c r="J1452" i="4"/>
  <c r="J1451" i="4"/>
  <c r="J1448" i="4"/>
  <c r="J1447" i="4"/>
  <c r="L1450" i="2"/>
  <c r="L1449" i="2"/>
  <c r="L1452" i="2"/>
  <c r="L1451" i="2"/>
  <c r="J1450" i="4"/>
  <c r="J1449" i="4"/>
  <c r="L1453" i="2"/>
  <c r="L1448" i="2"/>
  <c r="L1455" i="2"/>
  <c r="L1447" i="2"/>
  <c r="L1457" i="2"/>
  <c r="L1456" i="2"/>
  <c r="J1454" i="4"/>
  <c r="J1446" i="4"/>
  <c r="D1443" i="4"/>
  <c r="I1443" i="2"/>
  <c r="C1443" i="2"/>
  <c r="H1443" i="4" l="1"/>
  <c r="D1442" i="4" l="1"/>
  <c r="I1442" i="2"/>
  <c r="C1442" i="2"/>
  <c r="H1442" i="4" l="1"/>
  <c r="D1441" i="4" l="1"/>
  <c r="I1441" i="2"/>
  <c r="C1441" i="2"/>
  <c r="H1441" i="4" l="1"/>
  <c r="D1440" i="4" l="1"/>
  <c r="I1440" i="2"/>
  <c r="C1440" i="2"/>
  <c r="H1440" i="4" l="1"/>
  <c r="C1440" i="4"/>
  <c r="E1440" i="4" s="1"/>
  <c r="G1440" i="4"/>
  <c r="I1440" i="4" l="1"/>
  <c r="J1440" i="4" s="1"/>
  <c r="I1439" i="2"/>
  <c r="H1439" i="4"/>
  <c r="D1439" i="4"/>
  <c r="C1439" i="2"/>
  <c r="I1438" i="2" l="1"/>
  <c r="D1438" i="4"/>
  <c r="C1438" i="2"/>
  <c r="H1438" i="4" l="1"/>
  <c r="I1437" i="2" l="1"/>
  <c r="D1437" i="4"/>
  <c r="C1437" i="2"/>
  <c r="H1437" i="4" l="1"/>
  <c r="H1436" i="4" l="1"/>
  <c r="D1436" i="4"/>
  <c r="I1436" i="2"/>
  <c r="C1436" i="2"/>
  <c r="H1435" i="4" l="1"/>
  <c r="D1435" i="4" l="1"/>
  <c r="I1435" i="2"/>
  <c r="C1435" i="2"/>
  <c r="G1436" i="4" l="1"/>
  <c r="G1437" i="4"/>
  <c r="G1438" i="4"/>
  <c r="G1439" i="4"/>
  <c r="G1441" i="4"/>
  <c r="G1442" i="4"/>
  <c r="G1443" i="4"/>
  <c r="G1444" i="4"/>
  <c r="G1445" i="4"/>
  <c r="H1436" i="2"/>
  <c r="H1437" i="2"/>
  <c r="H1438" i="2"/>
  <c r="H1439" i="2"/>
  <c r="H1440" i="2"/>
  <c r="H1441" i="2"/>
  <c r="H1442" i="2"/>
  <c r="H1443" i="2"/>
  <c r="H1444" i="2"/>
  <c r="H1445" i="2"/>
  <c r="C1445" i="4"/>
  <c r="C1436" i="4"/>
  <c r="C1437" i="4"/>
  <c r="C1438" i="4"/>
  <c r="C1439" i="4"/>
  <c r="C1441" i="4"/>
  <c r="C1442" i="4"/>
  <c r="C1443" i="4"/>
  <c r="C1444" i="4"/>
  <c r="B1436" i="2"/>
  <c r="B1437" i="2"/>
  <c r="B1438" i="2"/>
  <c r="B1439" i="2"/>
  <c r="B1440" i="2"/>
  <c r="B1441" i="2"/>
  <c r="B1442" i="2"/>
  <c r="B1443" i="2"/>
  <c r="B1444" i="2"/>
  <c r="B1445" i="2"/>
  <c r="D1434" i="4" l="1"/>
  <c r="I1434" i="2"/>
  <c r="C1434" i="2"/>
  <c r="B1435" i="2"/>
  <c r="E1436" i="4"/>
  <c r="E1437" i="4"/>
  <c r="E1438" i="4"/>
  <c r="E1439" i="4"/>
  <c r="E1441" i="4"/>
  <c r="E1442" i="4"/>
  <c r="E1443" i="4"/>
  <c r="E1444" i="4"/>
  <c r="E1445" i="4"/>
  <c r="I1436" i="4"/>
  <c r="I1437" i="4"/>
  <c r="I1438" i="4"/>
  <c r="I1439" i="4"/>
  <c r="I1441" i="4"/>
  <c r="I1442" i="4"/>
  <c r="I1443" i="4"/>
  <c r="I1444" i="4"/>
  <c r="I1445" i="4"/>
  <c r="M1436" i="2"/>
  <c r="M1437" i="2"/>
  <c r="M1438" i="2"/>
  <c r="M1439" i="2"/>
  <c r="M1440" i="2"/>
  <c r="M1441" i="2"/>
  <c r="M1442" i="2"/>
  <c r="M1443" i="2"/>
  <c r="M1444" i="2"/>
  <c r="M1445" i="2"/>
  <c r="F1436" i="2"/>
  <c r="F1437" i="2"/>
  <c r="F1438" i="2"/>
  <c r="F1439" i="2"/>
  <c r="F1440" i="2"/>
  <c r="F1441" i="2"/>
  <c r="F1442" i="2"/>
  <c r="F1443" i="2"/>
  <c r="F1444" i="2"/>
  <c r="F1445" i="2"/>
  <c r="J1441" i="4" l="1"/>
  <c r="J1443" i="4"/>
  <c r="L1439" i="2"/>
  <c r="J1442" i="4"/>
  <c r="J1445" i="4"/>
  <c r="J1444" i="4"/>
  <c r="L1445" i="2"/>
  <c r="L1442" i="2"/>
  <c r="L1444" i="2"/>
  <c r="J1439" i="4"/>
  <c r="J1438" i="4"/>
  <c r="J1437" i="4"/>
  <c r="J1436" i="4"/>
  <c r="L1440" i="2"/>
  <c r="L1436" i="2"/>
  <c r="L1441" i="2"/>
  <c r="L1438" i="2"/>
  <c r="L1437" i="2"/>
  <c r="L1443" i="2"/>
  <c r="H1434" i="4"/>
  <c r="D1433" i="4" l="1"/>
  <c r="I1433" i="2"/>
  <c r="C1433" i="2"/>
  <c r="H1433" i="4" l="1"/>
  <c r="D1432" i="4" l="1"/>
  <c r="I1432" i="2"/>
  <c r="C1432" i="2"/>
  <c r="H1432" i="4" l="1"/>
  <c r="C1431" i="2" l="1"/>
  <c r="I1431" i="2"/>
  <c r="D1431" i="4" l="1"/>
  <c r="H1431" i="4" l="1"/>
  <c r="D1430" i="4" l="1"/>
  <c r="H1430" i="4" l="1"/>
  <c r="I1430" i="2"/>
  <c r="C1430" i="2"/>
  <c r="I1429" i="2" l="1"/>
  <c r="D1429" i="4"/>
  <c r="C1429" i="2"/>
  <c r="H1429" i="4"/>
  <c r="D1428" i="4" l="1"/>
  <c r="I1428" i="2"/>
  <c r="C1428" i="2"/>
  <c r="H1428" i="4" l="1"/>
  <c r="H1427" i="4" l="1"/>
  <c r="D1427" i="4"/>
  <c r="I1427" i="2"/>
  <c r="C1427" i="2"/>
  <c r="H1426" i="4" l="1"/>
  <c r="D1426" i="4"/>
  <c r="I1426" i="2"/>
  <c r="C1426" i="2"/>
  <c r="D1425" i="4" l="1"/>
  <c r="C1425" i="2"/>
  <c r="I1425" i="2"/>
  <c r="H1425" i="4" l="1"/>
  <c r="I1424" i="2" l="1"/>
  <c r="C1424" i="2" l="1"/>
  <c r="D1424" i="4"/>
  <c r="H1424" i="4" l="1"/>
  <c r="G1425" i="4" l="1"/>
  <c r="G1426" i="4"/>
  <c r="G1427" i="4"/>
  <c r="G1428" i="4"/>
  <c r="G1429" i="4"/>
  <c r="G1430" i="4"/>
  <c r="G1431" i="4"/>
  <c r="G1432" i="4"/>
  <c r="G1433" i="4"/>
  <c r="G1434" i="4"/>
  <c r="G1435" i="4"/>
  <c r="G1424" i="4"/>
  <c r="H1425" i="2"/>
  <c r="H1426" i="2"/>
  <c r="H1427" i="2"/>
  <c r="H1428" i="2"/>
  <c r="H1429" i="2"/>
  <c r="H1430" i="2"/>
  <c r="H1431" i="2"/>
  <c r="H1432" i="2"/>
  <c r="H1433" i="2"/>
  <c r="H1434" i="2"/>
  <c r="H1435" i="2"/>
  <c r="H1424" i="2"/>
  <c r="I1423" i="2"/>
  <c r="D1423" i="4"/>
  <c r="C1423" i="2"/>
  <c r="O1423" i="2" l="1"/>
  <c r="C1425" i="4"/>
  <c r="C1426" i="4"/>
  <c r="C1427" i="4"/>
  <c r="C1428" i="4"/>
  <c r="C1429" i="4"/>
  <c r="C1430" i="4"/>
  <c r="C1431" i="4"/>
  <c r="C1432" i="4"/>
  <c r="C1433" i="4"/>
  <c r="C1434" i="4"/>
  <c r="C1435" i="4"/>
  <c r="C1423" i="4"/>
  <c r="C1424" i="4"/>
  <c r="B1425" i="2"/>
  <c r="B1426" i="2"/>
  <c r="B1427" i="2"/>
  <c r="B1428" i="2"/>
  <c r="B1429" i="2"/>
  <c r="B1430" i="2"/>
  <c r="B1431" i="2"/>
  <c r="B1432" i="2"/>
  <c r="B1433" i="2"/>
  <c r="B1434" i="2"/>
  <c r="B1424" i="2"/>
  <c r="E1426" i="4" l="1"/>
  <c r="E1427" i="4"/>
  <c r="E1428" i="4"/>
  <c r="E1429" i="4"/>
  <c r="E1430" i="4"/>
  <c r="E1431" i="4"/>
  <c r="E1432" i="4"/>
  <c r="E1433" i="4"/>
  <c r="E1434" i="4"/>
  <c r="E1435" i="4"/>
  <c r="M1425" i="2"/>
  <c r="M1426" i="2"/>
  <c r="M1427" i="2"/>
  <c r="M1428" i="2"/>
  <c r="M1429" i="2"/>
  <c r="M1430" i="2"/>
  <c r="M1431" i="2"/>
  <c r="M1432" i="2"/>
  <c r="M1433" i="2"/>
  <c r="M1434" i="2"/>
  <c r="M1435" i="2"/>
  <c r="F1425" i="2"/>
  <c r="F1426" i="2"/>
  <c r="F1427" i="2"/>
  <c r="F1428" i="2"/>
  <c r="F1429" i="2"/>
  <c r="F1430" i="2"/>
  <c r="F1431" i="2"/>
  <c r="F1432" i="2"/>
  <c r="F1433" i="2"/>
  <c r="F1434" i="2"/>
  <c r="F1435" i="2"/>
  <c r="I1425" i="4"/>
  <c r="I1426" i="4"/>
  <c r="I1427" i="4"/>
  <c r="I1428" i="4"/>
  <c r="I1429" i="4"/>
  <c r="I1430" i="4"/>
  <c r="I1431" i="4"/>
  <c r="I1432" i="4"/>
  <c r="I1433" i="4"/>
  <c r="I1434" i="4"/>
  <c r="I1435" i="4"/>
  <c r="E1425" i="4"/>
  <c r="H1423" i="4"/>
  <c r="L1435" i="2" l="1"/>
  <c r="J1435" i="4"/>
  <c r="J1434" i="4"/>
  <c r="J1433" i="4"/>
  <c r="J1432" i="4"/>
  <c r="J1431" i="4"/>
  <c r="J1430" i="4"/>
  <c r="J1429" i="4"/>
  <c r="J1428" i="4"/>
  <c r="J1427" i="4"/>
  <c r="J1426" i="4"/>
  <c r="J1425" i="4"/>
  <c r="L1434" i="2"/>
  <c r="L1433" i="2"/>
  <c r="L1432" i="2"/>
  <c r="L1431" i="2"/>
  <c r="L1430" i="2"/>
  <c r="L1429" i="2"/>
  <c r="L1428" i="2"/>
  <c r="L1427" i="2"/>
  <c r="L1426" i="2"/>
  <c r="L1425" i="2"/>
  <c r="D1422" i="4"/>
  <c r="I1422" i="2"/>
  <c r="C1422" i="2"/>
  <c r="O1422" i="2" l="1"/>
  <c r="H1422" i="4"/>
  <c r="H1421" i="4" l="1"/>
  <c r="D1421" i="4"/>
  <c r="I1421" i="2"/>
  <c r="C1421" i="2"/>
  <c r="O1421" i="2" l="1"/>
  <c r="D1420" i="4"/>
  <c r="C1420" i="2"/>
  <c r="I1420" i="2"/>
  <c r="O1420" i="2" l="1"/>
  <c r="H1420" i="4"/>
  <c r="C1412" i="4" l="1"/>
  <c r="D1412" i="4"/>
  <c r="G1412" i="4"/>
  <c r="H1412" i="4"/>
  <c r="I1412" i="4" s="1"/>
  <c r="B1412" i="2"/>
  <c r="C1412" i="2"/>
  <c r="H1412" i="2"/>
  <c r="I1412" i="2"/>
  <c r="E1412" i="4" l="1"/>
  <c r="J1412" i="4" s="1"/>
  <c r="F1412" i="2"/>
  <c r="M1412" i="2"/>
  <c r="L1412" i="2" l="1"/>
  <c r="D1419" i="4"/>
  <c r="I1419" i="2"/>
  <c r="C1419" i="2"/>
  <c r="O1419" i="2" s="1"/>
  <c r="H1419" i="4" l="1"/>
  <c r="I1418" i="2" l="1"/>
  <c r="D1418" i="4"/>
  <c r="C1418" i="2"/>
  <c r="H1418" i="4"/>
  <c r="O1418" i="2" l="1"/>
  <c r="D1417" i="4"/>
  <c r="I1417" i="2"/>
  <c r="C1417" i="2"/>
  <c r="O1417" i="2" l="1"/>
  <c r="H1417" i="4"/>
  <c r="I1416" i="2" l="1"/>
  <c r="D1416" i="4"/>
  <c r="C1416" i="2"/>
  <c r="H1416" i="4"/>
  <c r="O1416" i="2" l="1"/>
  <c r="H1415" i="4"/>
  <c r="D1415" i="4"/>
  <c r="I1415" i="2"/>
  <c r="C1415" i="2"/>
  <c r="O1415" i="2" s="1"/>
  <c r="D1414" i="4" l="1"/>
  <c r="I1414" i="2"/>
  <c r="C1414" i="2"/>
  <c r="O1414" i="2" s="1"/>
  <c r="H1414" i="4" l="1"/>
  <c r="D1413" i="4" l="1"/>
  <c r="E1413" i="4" s="1"/>
  <c r="H1413" i="4"/>
  <c r="I1413" i="4" s="1"/>
  <c r="C1413" i="2"/>
  <c r="F1413" i="2" s="1"/>
  <c r="I1413" i="2"/>
  <c r="M1413" i="2" s="1"/>
  <c r="J1413" i="4" l="1"/>
  <c r="L1413" i="2"/>
  <c r="H1411" i="4"/>
  <c r="D1411" i="4"/>
  <c r="I1411" i="2"/>
  <c r="C1411" i="2"/>
  <c r="I1409" i="2" l="1"/>
  <c r="C1409" i="2"/>
  <c r="M1419" i="2" l="1"/>
  <c r="M1420" i="2"/>
  <c r="M1421" i="2"/>
  <c r="M1422" i="2"/>
  <c r="M1423" i="2"/>
  <c r="M1424" i="2"/>
  <c r="I1419" i="4"/>
  <c r="I1420" i="4"/>
  <c r="I1421" i="4"/>
  <c r="I1422" i="4"/>
  <c r="I1423" i="4"/>
  <c r="I1424" i="4"/>
  <c r="C1415" i="4"/>
  <c r="C1416" i="4"/>
  <c r="C1417" i="4"/>
  <c r="C1418" i="4"/>
  <c r="C1419" i="4"/>
  <c r="E1419" i="4" s="1"/>
  <c r="C1420" i="4"/>
  <c r="E1420" i="4" s="1"/>
  <c r="C1421" i="4"/>
  <c r="E1421" i="4" s="1"/>
  <c r="C1422" i="4"/>
  <c r="E1422" i="4" s="1"/>
  <c r="E1423" i="4"/>
  <c r="E1424" i="4"/>
  <c r="C1414" i="4"/>
  <c r="B1415" i="2"/>
  <c r="B1416" i="2"/>
  <c r="B1417" i="2"/>
  <c r="B1418" i="2"/>
  <c r="B1419" i="2"/>
  <c r="F1419" i="2" s="1"/>
  <c r="B1420" i="2"/>
  <c r="F1420" i="2" s="1"/>
  <c r="B1421" i="2"/>
  <c r="F1421" i="2" s="1"/>
  <c r="B1422" i="2"/>
  <c r="F1422" i="2" s="1"/>
  <c r="B1423" i="2"/>
  <c r="F1423" i="2" s="1"/>
  <c r="F1424" i="2"/>
  <c r="B1414" i="2"/>
  <c r="L1419" i="2" l="1"/>
  <c r="J1422" i="4"/>
  <c r="J1421" i="4"/>
  <c r="L1421" i="2"/>
  <c r="J1424" i="4"/>
  <c r="L1420" i="2"/>
  <c r="J1423" i="4"/>
  <c r="J1420" i="4"/>
  <c r="J1419" i="4"/>
  <c r="L1424" i="2"/>
  <c r="L1423" i="2"/>
  <c r="L1422" i="2"/>
  <c r="H1410" i="4"/>
  <c r="D1410" i="4"/>
  <c r="C1410" i="2"/>
  <c r="I1410" i="2"/>
  <c r="H1409" i="4" l="1"/>
  <c r="D1409" i="4"/>
  <c r="I1408" i="2" l="1"/>
  <c r="D1408" i="4"/>
  <c r="C1408" i="2"/>
  <c r="H1408" i="4" l="1"/>
  <c r="D1407" i="4" l="1"/>
  <c r="C1407" i="2"/>
  <c r="I1407" i="2"/>
  <c r="H1407" i="4" l="1"/>
  <c r="D1406" i="4" l="1"/>
  <c r="I1406" i="2"/>
  <c r="C1406" i="2"/>
  <c r="H1406" i="4" l="1"/>
  <c r="C1408" i="4" l="1"/>
  <c r="C1409" i="4"/>
  <c r="C1410" i="4"/>
  <c r="C1411" i="4"/>
  <c r="C1407" i="4"/>
  <c r="B1408" i="2"/>
  <c r="B1409" i="2"/>
  <c r="B1410" i="2"/>
  <c r="B1411" i="2"/>
  <c r="B1407" i="2"/>
  <c r="G1408" i="4" l="1"/>
  <c r="I1408" i="4" s="1"/>
  <c r="G1409" i="4"/>
  <c r="G1410" i="4"/>
  <c r="I1410" i="4" s="1"/>
  <c r="G1411" i="4"/>
  <c r="I1411" i="4" s="1"/>
  <c r="I1414" i="4"/>
  <c r="I1415" i="4"/>
  <c r="I1416" i="4"/>
  <c r="I1417" i="4"/>
  <c r="I1418" i="4"/>
  <c r="G1407" i="4"/>
  <c r="I1407" i="4" s="1"/>
  <c r="I1409" i="4"/>
  <c r="E1407" i="4"/>
  <c r="E1408" i="4"/>
  <c r="E1409" i="4"/>
  <c r="E1410" i="4"/>
  <c r="E1411" i="4"/>
  <c r="E1414" i="4"/>
  <c r="E1415" i="4"/>
  <c r="E1416" i="4"/>
  <c r="E1417" i="4"/>
  <c r="E1418" i="4"/>
  <c r="H1408" i="2"/>
  <c r="M1408" i="2" s="1"/>
  <c r="H1409" i="2"/>
  <c r="M1409" i="2" s="1"/>
  <c r="H1410" i="2"/>
  <c r="M1410" i="2" s="1"/>
  <c r="H1411" i="2"/>
  <c r="M1411" i="2" s="1"/>
  <c r="M1414" i="2"/>
  <c r="M1415" i="2"/>
  <c r="M1416" i="2"/>
  <c r="M1417" i="2"/>
  <c r="M1418" i="2"/>
  <c r="H1407" i="2"/>
  <c r="M1407" i="2" s="1"/>
  <c r="F1407" i="2"/>
  <c r="F1408" i="2"/>
  <c r="F1409" i="2"/>
  <c r="F1410" i="2"/>
  <c r="F1411" i="2"/>
  <c r="F1414" i="2"/>
  <c r="F1415" i="2"/>
  <c r="F1416" i="2"/>
  <c r="F1417" i="2"/>
  <c r="F1418" i="2"/>
  <c r="D1405" i="4"/>
  <c r="I1405" i="2"/>
  <c r="C1405" i="2"/>
  <c r="L1409" i="2" l="1"/>
  <c r="L1415" i="2"/>
  <c r="L1418" i="2"/>
  <c r="L1408" i="2"/>
  <c r="L1414" i="2"/>
  <c r="L1411" i="2"/>
  <c r="L1410" i="2"/>
  <c r="L1417" i="2"/>
  <c r="L1416" i="2"/>
  <c r="L1407" i="2"/>
  <c r="J1418" i="4"/>
  <c r="J1411" i="4"/>
  <c r="J1409" i="4"/>
  <c r="J1415" i="4"/>
  <c r="J1410" i="4"/>
  <c r="J1408" i="4"/>
  <c r="J1417" i="4"/>
  <c r="J1416" i="4"/>
  <c r="J1414" i="4"/>
  <c r="J1407" i="4"/>
  <c r="H1405" i="4"/>
  <c r="H1404" i="4"/>
  <c r="I1404" i="2" l="1"/>
  <c r="C1404" i="2"/>
  <c r="D1404" i="4"/>
  <c r="D1403" i="4" l="1"/>
  <c r="I1403" i="2"/>
  <c r="C1403" i="2"/>
  <c r="H1403" i="4" l="1"/>
  <c r="I1402" i="2" l="1"/>
  <c r="D1402" i="4"/>
  <c r="C1402" i="2"/>
  <c r="H1402" i="4"/>
  <c r="C1401" i="2" l="1"/>
  <c r="I1401" i="2"/>
  <c r="D1401" i="4"/>
  <c r="H1401" i="4" l="1"/>
  <c r="D1400" i="4" l="1"/>
  <c r="I1400" i="2"/>
  <c r="C1400" i="2"/>
  <c r="H1400" i="4" l="1"/>
  <c r="I1399" i="2" l="1"/>
  <c r="D1399" i="4"/>
  <c r="C1399" i="2"/>
  <c r="H1399" i="4"/>
  <c r="D1398" i="4" l="1"/>
  <c r="I1398" i="2"/>
  <c r="C1398" i="2"/>
  <c r="H1398" i="4" l="1"/>
  <c r="D1397" i="4" l="1"/>
  <c r="C1397" i="2"/>
  <c r="I1397" i="2"/>
  <c r="H1397" i="4" l="1"/>
  <c r="H1396" i="4" l="1"/>
  <c r="D1396" i="4"/>
  <c r="I1396" i="2"/>
  <c r="C1396" i="2"/>
  <c r="E1402" i="4" l="1"/>
  <c r="G1402" i="4"/>
  <c r="I1402" i="4" s="1"/>
  <c r="J1402" i="4" l="1"/>
  <c r="G1406" i="4"/>
  <c r="I1406" i="4" s="1"/>
  <c r="M1400" i="2"/>
  <c r="M1401" i="2"/>
  <c r="M1402" i="2"/>
  <c r="M1403" i="2"/>
  <c r="M1404" i="2"/>
  <c r="M1405" i="2"/>
  <c r="M1406" i="2"/>
  <c r="F1400" i="2"/>
  <c r="F1401" i="2"/>
  <c r="F1402" i="2"/>
  <c r="F1403" i="2"/>
  <c r="F1404" i="2"/>
  <c r="F1405" i="2"/>
  <c r="F1406" i="2"/>
  <c r="E1400" i="4"/>
  <c r="E1401" i="4"/>
  <c r="E1403" i="4"/>
  <c r="E1404" i="4"/>
  <c r="E1405" i="4"/>
  <c r="E1406" i="4"/>
  <c r="G1399" i="4"/>
  <c r="G1400" i="4"/>
  <c r="I1400" i="4" s="1"/>
  <c r="G1401" i="4"/>
  <c r="I1401" i="4" s="1"/>
  <c r="G1403" i="4"/>
  <c r="I1403" i="4" s="1"/>
  <c r="G1404" i="4"/>
  <c r="I1404" i="4" s="1"/>
  <c r="G1405" i="4"/>
  <c r="I1405" i="4" s="1"/>
  <c r="G1398" i="4"/>
  <c r="D1395" i="4"/>
  <c r="I1395" i="2"/>
  <c r="C1395" i="2"/>
  <c r="H1395" i="4"/>
  <c r="J1406" i="4" l="1"/>
  <c r="J1403" i="4"/>
  <c r="J1405" i="4"/>
  <c r="J1404" i="4"/>
  <c r="J1401" i="4"/>
  <c r="J1400" i="4"/>
  <c r="L1406" i="2"/>
  <c r="L1405" i="2"/>
  <c r="L1403" i="2"/>
  <c r="L1402" i="2"/>
  <c r="L1401" i="2"/>
  <c r="L1404" i="2"/>
  <c r="L1400" i="2"/>
  <c r="H1394" i="4"/>
  <c r="D1394" i="4"/>
  <c r="I1394" i="2"/>
  <c r="C1394" i="2"/>
  <c r="D1393" i="4" l="1"/>
  <c r="I1393" i="2"/>
  <c r="C1393" i="2"/>
  <c r="H1393" i="4" l="1"/>
  <c r="I1392" i="2" l="1"/>
  <c r="C1392" i="2"/>
  <c r="D1392" i="4"/>
  <c r="H1392" i="4" l="1"/>
  <c r="D1391" i="4" l="1"/>
  <c r="I1391" i="2"/>
  <c r="C1391" i="2"/>
  <c r="H1391" i="4" l="1"/>
  <c r="D1390" i="4" l="1"/>
  <c r="I1390" i="2"/>
  <c r="C1390" i="2"/>
  <c r="H1390" i="4" l="1"/>
  <c r="D1389" i="4" l="1"/>
  <c r="C1389" i="2"/>
  <c r="I1389" i="2"/>
  <c r="H1389" i="4" l="1"/>
  <c r="D1388" i="4" l="1"/>
  <c r="C1388" i="2"/>
  <c r="I1388" i="2"/>
  <c r="H1388" i="4"/>
  <c r="D1387" i="4" l="1"/>
  <c r="I1387" i="2"/>
  <c r="C1387" i="2"/>
  <c r="H1387" i="4" l="1"/>
  <c r="C1389" i="4" l="1"/>
  <c r="C1390" i="4"/>
  <c r="C1391" i="4"/>
  <c r="C1392" i="4"/>
  <c r="C1393" i="4"/>
  <c r="C1394" i="4"/>
  <c r="C1395" i="4"/>
  <c r="C1396" i="4"/>
  <c r="C1397" i="4"/>
  <c r="C1388" i="4"/>
  <c r="B1389" i="2"/>
  <c r="B1390" i="2"/>
  <c r="B1391" i="2"/>
  <c r="B1392" i="2"/>
  <c r="B1393" i="2"/>
  <c r="B1394" i="2"/>
  <c r="B1395" i="2"/>
  <c r="B1396" i="2"/>
  <c r="B1397" i="2"/>
  <c r="B1388" i="2"/>
  <c r="D1386" i="4" l="1"/>
  <c r="I1386" i="2"/>
  <c r="C1386" i="2"/>
  <c r="H1386" i="4" l="1"/>
  <c r="G1389" i="4" l="1"/>
  <c r="G1390" i="4"/>
  <c r="G1391" i="4"/>
  <c r="G1392" i="4"/>
  <c r="G1393" i="4"/>
  <c r="G1394" i="4"/>
  <c r="G1395" i="4"/>
  <c r="G1396" i="4"/>
  <c r="G1397" i="4"/>
  <c r="G1388" i="4"/>
  <c r="H1389" i="2"/>
  <c r="H1390" i="2"/>
  <c r="H1391" i="2"/>
  <c r="H1392" i="2"/>
  <c r="H1393" i="2"/>
  <c r="H1394" i="2"/>
  <c r="H1395" i="2"/>
  <c r="H1396" i="2"/>
  <c r="H1397" i="2"/>
  <c r="H1388" i="2"/>
  <c r="E1391" i="4" l="1"/>
  <c r="E1392" i="4"/>
  <c r="E1393" i="4"/>
  <c r="E1394" i="4"/>
  <c r="E1395" i="4"/>
  <c r="E1396" i="4"/>
  <c r="E1399" i="4"/>
  <c r="F1391" i="2"/>
  <c r="F1392" i="2"/>
  <c r="F1393" i="2"/>
  <c r="F1394" i="2"/>
  <c r="F1395" i="2"/>
  <c r="F1396" i="2"/>
  <c r="F1399" i="2"/>
  <c r="F1388" i="2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E1388" i="4"/>
  <c r="E1389" i="4"/>
  <c r="E1390" i="4"/>
  <c r="E1397" i="4"/>
  <c r="E1398" i="4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F1389" i="2"/>
  <c r="F1390" i="2"/>
  <c r="F1397" i="2"/>
  <c r="L1397" i="2" s="1"/>
  <c r="F1398" i="2"/>
  <c r="J1390" i="4" l="1"/>
  <c r="L1389" i="2"/>
  <c r="J1389" i="4"/>
  <c r="J1397" i="4"/>
  <c r="J1388" i="4"/>
  <c r="L1390" i="2"/>
  <c r="J1399" i="4"/>
  <c r="L1399" i="2"/>
  <c r="J1396" i="4"/>
  <c r="L1396" i="2"/>
  <c r="J1395" i="4"/>
  <c r="J1394" i="4"/>
  <c r="J1392" i="4"/>
  <c r="J1391" i="4"/>
  <c r="J1393" i="4"/>
  <c r="J1398" i="4"/>
  <c r="L1391" i="2"/>
  <c r="L1398" i="2"/>
  <c r="L1388" i="2"/>
  <c r="L1392" i="2"/>
  <c r="L1395" i="2"/>
  <c r="L1394" i="2"/>
  <c r="L1393" i="2"/>
  <c r="I1385" i="2" l="1"/>
  <c r="D1385" i="4"/>
  <c r="C1385" i="2"/>
  <c r="H1385" i="4" l="1"/>
  <c r="D1384" i="4" l="1"/>
  <c r="I1384" i="2"/>
  <c r="C1384" i="2"/>
  <c r="H1384" i="4" l="1"/>
  <c r="I1383" i="2" l="1"/>
  <c r="C1383" i="2"/>
  <c r="H1383" i="4"/>
  <c r="H1382" i="4"/>
  <c r="D1383" i="4"/>
  <c r="D1382" i="4" l="1"/>
  <c r="C1382" i="2"/>
  <c r="I1382" i="2"/>
  <c r="D1381" i="4"/>
  <c r="C1381" i="2" l="1"/>
  <c r="H1381" i="4" l="1"/>
  <c r="I1381" i="2"/>
  <c r="H1380" i="4" l="1"/>
  <c r="D1380" i="4"/>
  <c r="I1380" i="2"/>
  <c r="C1380" i="2"/>
  <c r="C1379" i="2" l="1"/>
  <c r="I1379" i="2"/>
  <c r="D1378" i="4" l="1"/>
  <c r="D1379" i="4"/>
  <c r="H1379" i="4" l="1"/>
  <c r="I1378" i="2" l="1"/>
  <c r="C1378" i="2"/>
  <c r="H1378" i="4" l="1"/>
  <c r="D1377" i="4" l="1"/>
  <c r="I1377" i="2"/>
  <c r="C1377" i="2"/>
  <c r="H1377" i="4" l="1"/>
  <c r="C1376" i="2" l="1"/>
  <c r="I1376" i="2"/>
  <c r="D1376" i="4"/>
  <c r="G1378" i="4" l="1"/>
  <c r="G1379" i="4"/>
  <c r="G1380" i="4"/>
  <c r="G1381" i="4"/>
  <c r="G1382" i="4"/>
  <c r="G1383" i="4"/>
  <c r="G1384" i="4"/>
  <c r="G1385" i="4"/>
  <c r="G1386" i="4"/>
  <c r="G1387" i="4"/>
  <c r="G1377" i="4"/>
  <c r="H1378" i="2"/>
  <c r="H1379" i="2"/>
  <c r="H1380" i="2"/>
  <c r="H1381" i="2"/>
  <c r="H1382" i="2"/>
  <c r="H1383" i="2"/>
  <c r="H1384" i="2"/>
  <c r="H1385" i="2"/>
  <c r="H1377" i="2"/>
  <c r="H1376" i="4" l="1"/>
  <c r="I1377" i="4" l="1"/>
  <c r="I1378" i="4"/>
  <c r="I1379" i="4"/>
  <c r="I1380" i="4"/>
  <c r="I1381" i="4"/>
  <c r="I1382" i="4"/>
  <c r="I1383" i="4"/>
  <c r="I1384" i="4"/>
  <c r="I1385" i="4"/>
  <c r="I1386" i="4"/>
  <c r="I1387" i="4"/>
  <c r="E1377" i="4"/>
  <c r="E1378" i="4"/>
  <c r="E1379" i="4"/>
  <c r="E1380" i="4"/>
  <c r="E1381" i="4"/>
  <c r="E1382" i="4"/>
  <c r="E1383" i="4"/>
  <c r="E1384" i="4"/>
  <c r="E1385" i="4"/>
  <c r="E1386" i="4"/>
  <c r="E1387" i="4"/>
  <c r="M1377" i="2"/>
  <c r="M1378" i="2"/>
  <c r="M1379" i="2"/>
  <c r="M1380" i="2"/>
  <c r="M1381" i="2"/>
  <c r="M1382" i="2"/>
  <c r="M1383" i="2"/>
  <c r="M1384" i="2"/>
  <c r="M1385" i="2"/>
  <c r="M1386" i="2"/>
  <c r="M1387" i="2"/>
  <c r="B1378" i="2"/>
  <c r="F1378" i="2" s="1"/>
  <c r="B1379" i="2"/>
  <c r="F1379" i="2" s="1"/>
  <c r="B1380" i="2"/>
  <c r="F1380" i="2" s="1"/>
  <c r="L1380" i="2" s="1"/>
  <c r="B1381" i="2"/>
  <c r="F1381" i="2" s="1"/>
  <c r="B1382" i="2"/>
  <c r="F1382" i="2" s="1"/>
  <c r="B1383" i="2"/>
  <c r="F1383" i="2" s="1"/>
  <c r="B1384" i="2"/>
  <c r="F1384" i="2" s="1"/>
  <c r="B1385" i="2"/>
  <c r="F1385" i="2" s="1"/>
  <c r="F1386" i="2"/>
  <c r="F1387" i="2"/>
  <c r="B1377" i="2"/>
  <c r="F1377" i="2" s="1"/>
  <c r="L1387" i="2" l="1"/>
  <c r="L1381" i="2"/>
  <c r="L1386" i="2"/>
  <c r="L1385" i="2"/>
  <c r="J1380" i="4"/>
  <c r="J1387" i="4"/>
  <c r="J1381" i="4"/>
  <c r="J1379" i="4"/>
  <c r="J1378" i="4"/>
  <c r="J1386" i="4"/>
  <c r="J1385" i="4"/>
  <c r="L1383" i="2"/>
  <c r="J1384" i="4"/>
  <c r="L1384" i="2"/>
  <c r="L1382" i="2"/>
  <c r="L1379" i="2"/>
  <c r="J1383" i="4"/>
  <c r="L1378" i="2"/>
  <c r="J1382" i="4"/>
  <c r="J1377" i="4"/>
  <c r="L1377" i="2"/>
  <c r="D1375" i="4"/>
  <c r="C1375" i="2"/>
  <c r="H1375" i="4" l="1"/>
  <c r="I1375" i="2"/>
  <c r="I1374" i="2" l="1"/>
  <c r="D1374" i="4"/>
  <c r="C1374" i="2"/>
  <c r="H1374" i="4"/>
  <c r="D1373" i="4" l="1"/>
  <c r="I1373" i="2"/>
  <c r="C1373" i="2"/>
  <c r="H1373" i="4" l="1"/>
  <c r="H1372" i="4"/>
  <c r="I1372" i="2" l="1"/>
  <c r="D1372" i="4"/>
  <c r="C1372" i="2"/>
  <c r="H1371" i="4" l="1"/>
  <c r="D1371" i="4"/>
  <c r="I1371" i="2"/>
  <c r="C1371" i="2"/>
  <c r="C1370" i="2" l="1"/>
  <c r="D1370" i="4" l="1"/>
  <c r="I1370" i="2" l="1"/>
  <c r="H1370" i="4" l="1"/>
  <c r="D1369" i="4" l="1"/>
  <c r="C1369" i="2"/>
  <c r="I1369" i="2"/>
  <c r="C1368" i="2"/>
  <c r="H1369" i="4"/>
  <c r="I1368" i="2" l="1"/>
  <c r="D1368" i="4"/>
  <c r="H1368" i="4"/>
  <c r="D1367" i="4" l="1"/>
  <c r="I1367" i="2"/>
  <c r="C1367" i="2"/>
  <c r="H1367" i="4" l="1"/>
  <c r="D1366" i="4" l="1"/>
  <c r="I1366" i="2"/>
  <c r="C1366" i="2"/>
  <c r="H1366" i="4"/>
  <c r="C1369" i="4" l="1"/>
  <c r="C1370" i="4"/>
  <c r="C1371" i="4"/>
  <c r="C1372" i="4"/>
  <c r="C1373" i="4"/>
  <c r="C1374" i="4"/>
  <c r="C1375" i="4"/>
  <c r="C1376" i="4"/>
  <c r="C1368" i="4"/>
  <c r="B1369" i="2"/>
  <c r="B1370" i="2"/>
  <c r="B1371" i="2"/>
  <c r="B1372" i="2"/>
  <c r="B1373" i="2"/>
  <c r="B1374" i="2"/>
  <c r="B1375" i="2"/>
  <c r="B1376" i="2"/>
  <c r="B1368" i="2"/>
  <c r="G1369" i="4" l="1"/>
  <c r="I1369" i="4" s="1"/>
  <c r="G1370" i="4"/>
  <c r="G1371" i="4"/>
  <c r="I1371" i="4" s="1"/>
  <c r="G1372" i="4"/>
  <c r="I1372" i="4" s="1"/>
  <c r="G1373" i="4"/>
  <c r="I1373" i="4" s="1"/>
  <c r="G1374" i="4"/>
  <c r="I1374" i="4" s="1"/>
  <c r="G1375" i="4"/>
  <c r="I1375" i="4" s="1"/>
  <c r="G1376" i="4"/>
  <c r="I1376" i="4" s="1"/>
  <c r="G1368" i="4"/>
  <c r="I1368" i="4" s="1"/>
  <c r="H1369" i="2"/>
  <c r="M1369" i="2" s="1"/>
  <c r="H1370" i="2"/>
  <c r="M1370" i="2" s="1"/>
  <c r="H1371" i="2"/>
  <c r="M1371" i="2" s="1"/>
  <c r="H1372" i="2"/>
  <c r="M1372" i="2" s="1"/>
  <c r="H1373" i="2"/>
  <c r="M1373" i="2" s="1"/>
  <c r="H1374" i="2"/>
  <c r="M1374" i="2" s="1"/>
  <c r="H1375" i="2"/>
  <c r="M1375" i="2" s="1"/>
  <c r="H1376" i="2"/>
  <c r="M1376" i="2" s="1"/>
  <c r="H1368" i="2"/>
  <c r="M1368" i="2" s="1"/>
  <c r="I1370" i="4"/>
  <c r="E1368" i="4"/>
  <c r="E1369" i="4"/>
  <c r="E1370" i="4"/>
  <c r="E1371" i="4"/>
  <c r="E1372" i="4"/>
  <c r="E1373" i="4"/>
  <c r="E1374" i="4"/>
  <c r="E1375" i="4"/>
  <c r="E1376" i="4"/>
  <c r="F1368" i="2"/>
  <c r="F1369" i="2"/>
  <c r="F1370" i="2"/>
  <c r="F1371" i="2"/>
  <c r="F1372" i="2"/>
  <c r="F1373" i="2"/>
  <c r="F1374" i="2"/>
  <c r="F1375" i="2"/>
  <c r="F1376" i="2"/>
  <c r="L1371" i="2" l="1"/>
  <c r="J1373" i="4"/>
  <c r="J1374" i="4"/>
  <c r="J1371" i="4"/>
  <c r="J1372" i="4"/>
  <c r="J1370" i="4"/>
  <c r="J1369" i="4"/>
  <c r="L1369" i="2"/>
  <c r="L1368" i="2"/>
  <c r="J1376" i="4"/>
  <c r="J1375" i="4"/>
  <c r="J1368" i="4"/>
  <c r="L1370" i="2"/>
  <c r="L1376" i="2"/>
  <c r="L1375" i="2"/>
  <c r="L1374" i="2"/>
  <c r="L1373" i="2"/>
  <c r="L1372" i="2"/>
  <c r="I1365" i="2"/>
  <c r="D1365" i="4"/>
  <c r="C1365" i="2"/>
  <c r="H1365" i="4" l="1"/>
  <c r="H1364" i="4"/>
  <c r="I1364" i="2" l="1"/>
  <c r="D1364" i="4"/>
  <c r="C1364" i="2"/>
  <c r="I1363" i="2" l="1"/>
  <c r="D1363" i="4"/>
  <c r="C1363" i="2"/>
  <c r="H1363" i="4"/>
  <c r="D1362" i="4" l="1"/>
  <c r="I1362" i="2"/>
  <c r="C1362" i="2"/>
  <c r="H1362" i="4" l="1"/>
  <c r="C1361" i="2" l="1"/>
  <c r="I1361" i="2" l="1"/>
  <c r="D1361" i="4" l="1"/>
  <c r="H1361" i="4" l="1"/>
  <c r="I1360" i="2" l="1"/>
  <c r="D1360" i="4"/>
  <c r="C1360" i="2"/>
  <c r="H1360" i="4" l="1"/>
  <c r="H1359" i="4" l="1"/>
  <c r="I1359" i="2" l="1"/>
  <c r="C1359" i="2"/>
  <c r="D1359" i="4"/>
  <c r="H1358" i="4" l="1"/>
  <c r="D1358" i="4"/>
  <c r="I1358" i="2"/>
  <c r="C1358" i="2"/>
  <c r="H1357" i="4" l="1"/>
  <c r="D1357" i="4"/>
  <c r="I1357" i="2"/>
  <c r="C1357" i="2"/>
  <c r="D1356" i="4" l="1"/>
  <c r="I1356" i="2"/>
  <c r="C1356" i="2"/>
  <c r="H1356" i="4" l="1"/>
  <c r="C1358" i="4" l="1"/>
  <c r="C1359" i="4"/>
  <c r="C1360" i="4"/>
  <c r="C1361" i="4"/>
  <c r="C1362" i="4"/>
  <c r="C1363" i="4"/>
  <c r="C1364" i="4"/>
  <c r="C1365" i="4"/>
  <c r="C1366" i="4"/>
  <c r="C1367" i="4"/>
  <c r="C1357" i="4"/>
  <c r="B1358" i="2"/>
  <c r="B1359" i="2"/>
  <c r="B1360" i="2"/>
  <c r="B1361" i="2"/>
  <c r="B1362" i="2"/>
  <c r="B1363" i="2"/>
  <c r="B1364" i="2"/>
  <c r="B1365" i="2"/>
  <c r="B1366" i="2"/>
  <c r="B1367" i="2"/>
  <c r="B1357" i="2"/>
  <c r="H1355" i="4" l="1"/>
  <c r="D1353" i="4"/>
  <c r="D1355" i="4"/>
  <c r="I1355" i="2"/>
  <c r="C1355" i="2" l="1"/>
  <c r="H1354" i="4" l="1"/>
  <c r="D1354" i="4"/>
  <c r="I1354" i="2"/>
  <c r="C1354" i="2"/>
  <c r="G1358" i="4" l="1"/>
  <c r="I1358" i="4" s="1"/>
  <c r="G1359" i="4"/>
  <c r="I1359" i="4" s="1"/>
  <c r="G1360" i="4"/>
  <c r="I1360" i="4" s="1"/>
  <c r="G1361" i="4"/>
  <c r="I1361" i="4" s="1"/>
  <c r="G1362" i="4"/>
  <c r="I1362" i="4" s="1"/>
  <c r="G1363" i="4"/>
  <c r="I1363" i="4" s="1"/>
  <c r="G1364" i="4"/>
  <c r="I1364" i="4" s="1"/>
  <c r="G1365" i="4"/>
  <c r="I1365" i="4" s="1"/>
  <c r="G1366" i="4"/>
  <c r="I1366" i="4" s="1"/>
  <c r="G1367" i="4"/>
  <c r="I1367" i="4" s="1"/>
  <c r="E1357" i="4"/>
  <c r="E1358" i="4"/>
  <c r="E1359" i="4"/>
  <c r="E1360" i="4"/>
  <c r="E1361" i="4"/>
  <c r="E1362" i="4"/>
  <c r="E1363" i="4"/>
  <c r="E1364" i="4"/>
  <c r="E1365" i="4"/>
  <c r="E1366" i="4"/>
  <c r="E1367" i="4"/>
  <c r="G1357" i="4"/>
  <c r="I1357" i="4" s="1"/>
  <c r="F1357" i="2"/>
  <c r="F1358" i="2"/>
  <c r="F1359" i="2"/>
  <c r="F1360" i="2"/>
  <c r="F1361" i="2"/>
  <c r="F1362" i="2"/>
  <c r="F1363" i="2"/>
  <c r="F1364" i="2"/>
  <c r="F1365" i="2"/>
  <c r="F1366" i="2"/>
  <c r="F1367" i="2"/>
  <c r="H1358" i="2"/>
  <c r="M1358" i="2" s="1"/>
  <c r="H1359" i="2"/>
  <c r="M1359" i="2" s="1"/>
  <c r="H1360" i="2"/>
  <c r="M1360" i="2" s="1"/>
  <c r="H1361" i="2"/>
  <c r="M1361" i="2" s="1"/>
  <c r="H1362" i="2"/>
  <c r="M1362" i="2" s="1"/>
  <c r="H1363" i="2"/>
  <c r="M1363" i="2" s="1"/>
  <c r="H1364" i="2"/>
  <c r="M1364" i="2" s="1"/>
  <c r="H1365" i="2"/>
  <c r="M1365" i="2" s="1"/>
  <c r="H1366" i="2"/>
  <c r="M1366" i="2" s="1"/>
  <c r="H1367" i="2"/>
  <c r="M1367" i="2" s="1"/>
  <c r="H1357" i="2"/>
  <c r="M1357" i="2" s="1"/>
  <c r="L1358" i="2" l="1"/>
  <c r="J1365" i="4"/>
  <c r="L1359" i="2"/>
  <c r="J1360" i="4"/>
  <c r="L1362" i="2"/>
  <c r="L1361" i="2"/>
  <c r="L1360" i="2"/>
  <c r="J1367" i="4"/>
  <c r="L1365" i="2"/>
  <c r="L1357" i="2"/>
  <c r="J1366" i="4"/>
  <c r="J1358" i="4"/>
  <c r="J1359" i="4"/>
  <c r="L1364" i="2"/>
  <c r="J1357" i="4"/>
  <c r="L1367" i="2"/>
  <c r="L1366" i="2"/>
  <c r="L1363" i="2"/>
  <c r="J1364" i="4"/>
  <c r="J1363" i="4"/>
  <c r="J1362" i="4"/>
  <c r="J1361" i="4"/>
  <c r="I1353" i="2"/>
  <c r="C1353" i="2"/>
  <c r="H1353" i="4" l="1"/>
  <c r="D1352" i="4" l="1"/>
  <c r="I1352" i="2"/>
  <c r="C1352" i="2"/>
  <c r="H1352" i="4" l="1"/>
  <c r="H1351" i="4"/>
  <c r="D1351" i="4" l="1"/>
  <c r="I1351" i="2"/>
  <c r="C1351" i="2"/>
  <c r="C1350" i="2" l="1"/>
  <c r="I1350" i="2"/>
  <c r="D1350" i="4"/>
  <c r="H1350" i="4" l="1"/>
  <c r="I1349" i="2" l="1"/>
  <c r="C1349" i="2"/>
  <c r="D1349" i="4"/>
  <c r="H1349" i="4" l="1"/>
  <c r="H1348" i="4" l="1"/>
  <c r="D1348" i="4"/>
  <c r="I1348" i="2"/>
  <c r="C1348" i="2"/>
  <c r="H1347" i="4" l="1"/>
  <c r="D1347" i="4" l="1"/>
  <c r="I1347" i="2"/>
  <c r="C1347" i="2"/>
  <c r="D1346" i="4" l="1"/>
  <c r="C1346" i="2"/>
  <c r="I1346" i="2"/>
  <c r="H1346" i="4"/>
  <c r="H1345" i="4"/>
  <c r="C1345" i="2" l="1"/>
  <c r="D1345" i="4"/>
  <c r="I1345" i="2"/>
  <c r="G1347" i="4" l="1"/>
  <c r="G1348" i="4"/>
  <c r="G1349" i="4"/>
  <c r="G1350" i="4"/>
  <c r="G1351" i="4"/>
  <c r="G1352" i="4"/>
  <c r="G1353" i="4"/>
  <c r="G1354" i="4"/>
  <c r="G1355" i="4"/>
  <c r="G1356" i="4"/>
  <c r="G1346" i="4"/>
  <c r="H1347" i="2"/>
  <c r="H1348" i="2"/>
  <c r="H1349" i="2"/>
  <c r="H1350" i="2"/>
  <c r="H1351" i="2"/>
  <c r="H1352" i="2"/>
  <c r="H1353" i="2"/>
  <c r="H1354" i="2"/>
  <c r="H1355" i="2"/>
  <c r="H1356" i="2"/>
  <c r="H1346" i="2"/>
  <c r="M1346" i="2" l="1"/>
  <c r="M1347" i="2"/>
  <c r="M1348" i="2"/>
  <c r="M1349" i="2"/>
  <c r="M1350" i="2"/>
  <c r="M1351" i="2"/>
  <c r="M1352" i="2"/>
  <c r="M1353" i="2"/>
  <c r="M1354" i="2"/>
  <c r="M1355" i="2"/>
  <c r="M1356" i="2"/>
  <c r="I1346" i="4"/>
  <c r="I1347" i="4"/>
  <c r="I1348" i="4"/>
  <c r="I1349" i="4"/>
  <c r="I1350" i="4"/>
  <c r="I1351" i="4"/>
  <c r="I1352" i="4"/>
  <c r="I1353" i="4"/>
  <c r="I1354" i="4"/>
  <c r="I1355" i="4"/>
  <c r="I1356" i="4"/>
  <c r="C1347" i="4"/>
  <c r="E1347" i="4" s="1"/>
  <c r="C1348" i="4"/>
  <c r="E1348" i="4" s="1"/>
  <c r="C1349" i="4"/>
  <c r="E1349" i="4" s="1"/>
  <c r="C1350" i="4"/>
  <c r="E1350" i="4" s="1"/>
  <c r="C1351" i="4"/>
  <c r="E1351" i="4" s="1"/>
  <c r="C1352" i="4"/>
  <c r="E1352" i="4" s="1"/>
  <c r="C1353" i="4"/>
  <c r="E1353" i="4" s="1"/>
  <c r="C1354" i="4"/>
  <c r="E1354" i="4" s="1"/>
  <c r="C1355" i="4"/>
  <c r="E1355" i="4" s="1"/>
  <c r="C1356" i="4"/>
  <c r="E1356" i="4" s="1"/>
  <c r="C1346" i="4"/>
  <c r="E1346" i="4" s="1"/>
  <c r="B1356" i="2"/>
  <c r="F1356" i="2" s="1"/>
  <c r="B1347" i="2"/>
  <c r="F1347" i="2" s="1"/>
  <c r="B1348" i="2"/>
  <c r="F1348" i="2" s="1"/>
  <c r="B1349" i="2"/>
  <c r="F1349" i="2" s="1"/>
  <c r="B1350" i="2"/>
  <c r="F1350" i="2" s="1"/>
  <c r="B1351" i="2"/>
  <c r="F1351" i="2" s="1"/>
  <c r="B1352" i="2"/>
  <c r="F1352" i="2" s="1"/>
  <c r="B1353" i="2"/>
  <c r="F1353" i="2" s="1"/>
  <c r="B1354" i="2"/>
  <c r="F1354" i="2" s="1"/>
  <c r="B1355" i="2"/>
  <c r="F1355" i="2" s="1"/>
  <c r="B1346" i="2"/>
  <c r="F1346" i="2" s="1"/>
  <c r="L1354" i="2" l="1"/>
  <c r="L1350" i="2"/>
  <c r="L1349" i="2"/>
  <c r="L1347" i="2"/>
  <c r="L1352" i="2"/>
  <c r="L1348" i="2"/>
  <c r="L1356" i="2"/>
  <c r="L1355" i="2"/>
  <c r="L1353" i="2"/>
  <c r="J1347" i="4"/>
  <c r="J1353" i="4"/>
  <c r="J1351" i="4"/>
  <c r="J1349" i="4"/>
  <c r="J1356" i="4"/>
  <c r="J1348" i="4"/>
  <c r="J1355" i="4"/>
  <c r="J1354" i="4"/>
  <c r="J1346" i="4"/>
  <c r="J1352" i="4"/>
  <c r="L1351" i="2"/>
  <c r="J1350" i="4"/>
  <c r="L1346" i="2"/>
  <c r="H1344" i="4"/>
  <c r="H1343" i="4"/>
  <c r="I1344" i="2" l="1"/>
  <c r="D1344" i="4"/>
  <c r="C1344" i="2"/>
  <c r="I1343" i="2" l="1"/>
  <c r="D1343" i="4"/>
  <c r="C1343" i="2"/>
  <c r="I1342" i="2" l="1"/>
  <c r="D1342" i="4"/>
  <c r="C1342" i="2"/>
  <c r="H1342" i="4" l="1"/>
  <c r="I1341" i="2" l="1"/>
  <c r="D1341" i="4"/>
  <c r="C1341" i="2"/>
  <c r="H1341" i="4"/>
  <c r="C1340" i="2" l="1"/>
  <c r="H1340" i="4"/>
  <c r="D1340" i="4"/>
  <c r="I1340" i="2"/>
  <c r="I1339" i="2" l="1"/>
  <c r="D1339" i="4"/>
  <c r="C1339" i="2"/>
  <c r="H1339" i="4" l="1"/>
  <c r="I1338" i="2" l="1"/>
  <c r="D1338" i="4"/>
  <c r="C1338" i="2"/>
  <c r="H1338" i="4" l="1"/>
  <c r="I1337" i="2" l="1"/>
  <c r="D1337" i="4"/>
  <c r="C1337" i="2"/>
  <c r="H1337" i="4" l="1"/>
  <c r="H1336" i="4" l="1"/>
  <c r="I1336" i="2"/>
  <c r="D1336" i="4"/>
  <c r="C1336" i="2"/>
  <c r="C1335" i="2" l="1"/>
  <c r="F1335" i="2" s="1"/>
  <c r="I1335" i="2"/>
  <c r="M1335" i="2" s="1"/>
  <c r="D1335" i="4"/>
  <c r="E1335" i="4" s="1"/>
  <c r="H1335" i="4"/>
  <c r="I1335" i="4" s="1"/>
  <c r="J1335" i="4" l="1"/>
  <c r="L1335" i="2"/>
  <c r="H1334" i="4"/>
  <c r="D1334" i="4"/>
  <c r="I1334" i="2"/>
  <c r="C1334" i="2"/>
  <c r="I1333" i="2" l="1"/>
  <c r="D1333" i="4"/>
  <c r="C1333" i="2"/>
  <c r="H1333" i="4" l="1"/>
  <c r="C1337" i="4"/>
  <c r="C1338" i="4"/>
  <c r="C1339" i="4"/>
  <c r="C1340" i="4"/>
  <c r="C1341" i="4"/>
  <c r="C1342" i="4"/>
  <c r="C1343" i="4"/>
  <c r="C1344" i="4"/>
  <c r="C1345" i="4"/>
  <c r="E1345" i="4" s="1"/>
  <c r="C1336" i="4"/>
  <c r="B1337" i="2"/>
  <c r="B1338" i="2"/>
  <c r="B1339" i="2"/>
  <c r="B1340" i="2"/>
  <c r="B1341" i="2"/>
  <c r="B1342" i="2"/>
  <c r="B1343" i="2"/>
  <c r="B1344" i="2"/>
  <c r="B1345" i="2"/>
  <c r="B1336" i="2"/>
  <c r="D1332" i="4" l="1"/>
  <c r="I1332" i="2"/>
  <c r="C1332" i="2"/>
  <c r="H1332" i="4" l="1"/>
  <c r="G1345" i="4" l="1"/>
  <c r="I1345" i="4" s="1"/>
  <c r="J1345" i="4" s="1"/>
  <c r="G1337" i="4"/>
  <c r="I1337" i="4" s="1"/>
  <c r="G1338" i="4"/>
  <c r="I1338" i="4" s="1"/>
  <c r="G1339" i="4"/>
  <c r="I1339" i="4" s="1"/>
  <c r="G1340" i="4"/>
  <c r="I1340" i="4" s="1"/>
  <c r="G1341" i="4"/>
  <c r="I1341" i="4" s="1"/>
  <c r="G1342" i="4"/>
  <c r="I1342" i="4" s="1"/>
  <c r="G1343" i="4"/>
  <c r="I1343" i="4" s="1"/>
  <c r="G1344" i="4"/>
  <c r="I1344" i="4" s="1"/>
  <c r="G1336" i="4"/>
  <c r="I1336" i="4" s="1"/>
  <c r="E1336" i="4"/>
  <c r="E1337" i="4"/>
  <c r="E1338" i="4"/>
  <c r="E1339" i="4"/>
  <c r="E1340" i="4"/>
  <c r="E1341" i="4"/>
  <c r="E1342" i="4"/>
  <c r="E1343" i="4"/>
  <c r="E1344" i="4"/>
  <c r="F1336" i="2"/>
  <c r="F1337" i="2"/>
  <c r="F1338" i="2"/>
  <c r="F1339" i="2"/>
  <c r="F1340" i="2"/>
  <c r="F1341" i="2"/>
  <c r="F1342" i="2"/>
  <c r="F1343" i="2"/>
  <c r="F1344" i="2"/>
  <c r="F1345" i="2"/>
  <c r="H1337" i="2"/>
  <c r="M1337" i="2" s="1"/>
  <c r="H1338" i="2"/>
  <c r="M1338" i="2" s="1"/>
  <c r="H1339" i="2"/>
  <c r="M1339" i="2" s="1"/>
  <c r="H1340" i="2"/>
  <c r="M1340" i="2" s="1"/>
  <c r="H1341" i="2"/>
  <c r="M1341" i="2" s="1"/>
  <c r="H1342" i="2"/>
  <c r="M1342" i="2" s="1"/>
  <c r="H1343" i="2"/>
  <c r="M1343" i="2" s="1"/>
  <c r="H1344" i="2"/>
  <c r="M1344" i="2" s="1"/>
  <c r="H1345" i="2"/>
  <c r="M1345" i="2" s="1"/>
  <c r="H1336" i="2"/>
  <c r="M1336" i="2" s="1"/>
  <c r="L1337" i="2" l="1"/>
  <c r="L1340" i="2"/>
  <c r="L1338" i="2"/>
  <c r="L1339" i="2"/>
  <c r="L1336" i="2"/>
  <c r="L1345" i="2"/>
  <c r="L1344" i="2"/>
  <c r="L1343" i="2"/>
  <c r="L1342" i="2"/>
  <c r="L1341" i="2"/>
  <c r="J1338" i="4"/>
  <c r="J1336" i="4"/>
  <c r="J1343" i="4"/>
  <c r="J1340" i="4"/>
  <c r="J1337" i="4"/>
  <c r="J1344" i="4"/>
  <c r="J1342" i="4"/>
  <c r="J1341" i="4"/>
  <c r="J1339" i="4"/>
  <c r="I1331" i="2"/>
  <c r="D1331" i="4"/>
  <c r="C1331" i="2"/>
  <c r="H1331" i="4" l="1"/>
  <c r="I1330" i="2" l="1"/>
  <c r="C1330" i="2"/>
  <c r="H1330" i="4" l="1"/>
  <c r="D1330" i="4"/>
  <c r="I1329" i="2" l="1"/>
  <c r="C1329" i="2"/>
  <c r="H1329" i="4"/>
  <c r="D1329" i="4"/>
  <c r="H1326" i="4" l="1"/>
  <c r="H1327" i="4"/>
  <c r="H1328" i="4"/>
  <c r="I1328" i="2"/>
  <c r="D1328" i="4"/>
  <c r="C1328" i="2"/>
  <c r="D1327" i="4" l="1"/>
  <c r="I1327" i="2"/>
  <c r="C1327" i="2"/>
  <c r="C1326" i="2" l="1"/>
  <c r="I1326" i="2" l="1"/>
  <c r="D1326" i="4" l="1"/>
  <c r="D1325" i="4"/>
  <c r="I1325" i="2"/>
  <c r="C1325" i="2"/>
  <c r="H1325" i="4" l="1"/>
  <c r="I1324" i="2" l="1"/>
  <c r="D1324" i="4"/>
  <c r="D1323" i="4"/>
  <c r="C1324" i="2"/>
  <c r="H1324" i="4" l="1"/>
  <c r="D1322" i="4" l="1"/>
  <c r="C1323" i="2"/>
  <c r="I1323" i="2"/>
  <c r="H1323" i="4" l="1"/>
  <c r="I1322" i="2" l="1"/>
  <c r="C1322" i="2"/>
  <c r="H1322" i="4" l="1"/>
  <c r="I1321" i="2" l="1"/>
  <c r="D1321" i="4"/>
  <c r="C1321" i="2"/>
  <c r="H1321" i="4" l="1"/>
  <c r="I1324" i="4"/>
  <c r="I1325" i="4"/>
  <c r="I1326" i="4"/>
  <c r="I1327" i="4"/>
  <c r="I1328" i="4"/>
  <c r="I1329" i="4"/>
  <c r="I1330" i="4"/>
  <c r="I1331" i="4"/>
  <c r="I1332" i="4"/>
  <c r="I1333" i="4"/>
  <c r="I1334" i="4"/>
  <c r="M1324" i="2"/>
  <c r="M1325" i="2"/>
  <c r="M1326" i="2"/>
  <c r="M1327" i="2"/>
  <c r="M1328" i="2"/>
  <c r="M1329" i="2"/>
  <c r="M1330" i="2"/>
  <c r="M1331" i="2"/>
  <c r="M1332" i="2"/>
  <c r="M1333" i="2"/>
  <c r="M1334" i="2"/>
  <c r="E1324" i="4"/>
  <c r="E1325" i="4"/>
  <c r="E1326" i="4"/>
  <c r="E1327" i="4"/>
  <c r="E1328" i="4"/>
  <c r="E1329" i="4"/>
  <c r="E1330" i="4"/>
  <c r="E1331" i="4"/>
  <c r="E1332" i="4"/>
  <c r="E1333" i="4"/>
  <c r="E1334" i="4"/>
  <c r="F1325" i="2"/>
  <c r="F1326" i="2"/>
  <c r="F1327" i="2"/>
  <c r="F1328" i="2"/>
  <c r="F1329" i="2"/>
  <c r="F1330" i="2"/>
  <c r="F1331" i="2"/>
  <c r="F1332" i="2"/>
  <c r="F1333" i="2"/>
  <c r="F1334" i="2"/>
  <c r="F1324" i="2"/>
  <c r="J1324" i="4" l="1"/>
  <c r="L1331" i="2"/>
  <c r="J1334" i="4"/>
  <c r="L1329" i="2"/>
  <c r="L1328" i="2"/>
  <c r="J1331" i="4"/>
  <c r="J1330" i="4"/>
  <c r="J1329" i="4"/>
  <c r="J1327" i="4"/>
  <c r="J1326" i="4"/>
  <c r="L1334" i="2"/>
  <c r="J1333" i="4"/>
  <c r="L1333" i="2"/>
  <c r="L1332" i="2"/>
  <c r="J1332" i="4"/>
  <c r="L1330" i="2"/>
  <c r="J1328" i="4"/>
  <c r="L1327" i="2"/>
  <c r="L1326" i="2"/>
  <c r="J1325" i="4"/>
  <c r="L1325" i="2"/>
  <c r="L1324" i="2"/>
  <c r="I1320" i="2"/>
  <c r="D1320" i="4"/>
  <c r="C1320" i="2"/>
  <c r="H1320" i="4" l="1"/>
  <c r="I1319" i="2" l="1"/>
  <c r="H1319" i="4"/>
  <c r="D1319" i="4"/>
  <c r="C1319" i="2"/>
  <c r="I1318" i="2" l="1"/>
  <c r="D1318" i="4"/>
  <c r="C1318" i="2"/>
  <c r="D1317" i="4" l="1"/>
  <c r="I1317" i="2"/>
  <c r="C1317" i="2"/>
  <c r="H1318" i="4" l="1"/>
  <c r="I1316" i="2" l="1"/>
  <c r="C1316" i="2"/>
  <c r="D1316" i="4" l="1"/>
  <c r="H1317" i="4"/>
  <c r="H1316" i="4" l="1"/>
  <c r="I1315" i="2" l="1"/>
  <c r="D1315" i="4"/>
  <c r="C1315" i="2"/>
  <c r="H1315" i="4"/>
  <c r="I1314" i="2" l="1"/>
  <c r="D1314" i="4"/>
  <c r="C1314" i="2"/>
  <c r="H1314" i="4" l="1"/>
  <c r="I1313" i="2" l="1"/>
  <c r="D1313" i="4"/>
  <c r="C1313" i="2"/>
  <c r="H1313" i="4"/>
  <c r="I1312" i="2" l="1"/>
  <c r="C1312" i="2"/>
  <c r="D1312" i="4" l="1"/>
  <c r="H1312" i="4" l="1"/>
  <c r="F1314" i="2"/>
  <c r="F1315" i="2"/>
  <c r="F1316" i="2"/>
  <c r="F1317" i="2"/>
  <c r="F1318" i="2"/>
  <c r="F1319" i="2"/>
  <c r="F1320" i="2"/>
  <c r="F1321" i="2"/>
  <c r="F1322" i="2"/>
  <c r="F1323" i="2"/>
  <c r="C1314" i="4" l="1"/>
  <c r="E1314" i="4" s="1"/>
  <c r="C1315" i="4"/>
  <c r="E1315" i="4" s="1"/>
  <c r="C1316" i="4"/>
  <c r="E1316" i="4" s="1"/>
  <c r="C1317" i="4"/>
  <c r="E1317" i="4" s="1"/>
  <c r="C1318" i="4"/>
  <c r="E1318" i="4" s="1"/>
  <c r="C1319" i="4"/>
  <c r="E1319" i="4" s="1"/>
  <c r="C1320" i="4"/>
  <c r="E1320" i="4" s="1"/>
  <c r="C1321" i="4"/>
  <c r="E1321" i="4" s="1"/>
  <c r="C1322" i="4"/>
  <c r="E1322" i="4" s="1"/>
  <c r="C1323" i="4"/>
  <c r="E1323" i="4" s="1"/>
  <c r="C1313" i="4"/>
  <c r="E1313" i="4" s="1"/>
  <c r="F1313" i="2"/>
  <c r="G1323" i="4" l="1"/>
  <c r="I1323" i="4" s="1"/>
  <c r="J1323" i="4" s="1"/>
  <c r="G1314" i="4"/>
  <c r="I1314" i="4" s="1"/>
  <c r="J1314" i="4" s="1"/>
  <c r="G1315" i="4"/>
  <c r="I1315" i="4" s="1"/>
  <c r="J1315" i="4" s="1"/>
  <c r="G1316" i="4"/>
  <c r="I1316" i="4" s="1"/>
  <c r="J1316" i="4" s="1"/>
  <c r="G1317" i="4"/>
  <c r="I1317" i="4" s="1"/>
  <c r="J1317" i="4" s="1"/>
  <c r="G1318" i="4"/>
  <c r="I1318" i="4" s="1"/>
  <c r="J1318" i="4" s="1"/>
  <c r="G1319" i="4"/>
  <c r="I1319" i="4" s="1"/>
  <c r="J1319" i="4" s="1"/>
  <c r="G1320" i="4"/>
  <c r="I1320" i="4" s="1"/>
  <c r="J1320" i="4" s="1"/>
  <c r="G1321" i="4"/>
  <c r="I1321" i="4" s="1"/>
  <c r="J1321" i="4" s="1"/>
  <c r="G1322" i="4"/>
  <c r="I1322" i="4" s="1"/>
  <c r="J1322" i="4" s="1"/>
  <c r="G1313" i="4"/>
  <c r="I1313" i="4" s="1"/>
  <c r="J1313" i="4" s="1"/>
  <c r="H1314" i="2"/>
  <c r="M1314" i="2" s="1"/>
  <c r="L1314" i="2" s="1"/>
  <c r="H1315" i="2"/>
  <c r="M1315" i="2" s="1"/>
  <c r="L1315" i="2" s="1"/>
  <c r="H1316" i="2"/>
  <c r="M1316" i="2" s="1"/>
  <c r="L1316" i="2" s="1"/>
  <c r="H1317" i="2"/>
  <c r="M1317" i="2" s="1"/>
  <c r="L1317" i="2" s="1"/>
  <c r="H1318" i="2"/>
  <c r="M1318" i="2" s="1"/>
  <c r="L1318" i="2" s="1"/>
  <c r="H1319" i="2"/>
  <c r="M1319" i="2" s="1"/>
  <c r="L1319" i="2" s="1"/>
  <c r="H1320" i="2"/>
  <c r="M1320" i="2" s="1"/>
  <c r="L1320" i="2" s="1"/>
  <c r="H1321" i="2"/>
  <c r="M1321" i="2" s="1"/>
  <c r="L1321" i="2" s="1"/>
  <c r="H1322" i="2"/>
  <c r="M1322" i="2" s="1"/>
  <c r="L1322" i="2" s="1"/>
  <c r="H1323" i="2"/>
  <c r="M1323" i="2" s="1"/>
  <c r="L1323" i="2" s="1"/>
  <c r="H1313" i="2"/>
  <c r="M1313" i="2" s="1"/>
  <c r="L1313" i="2" s="1"/>
  <c r="D1311" i="4" l="1"/>
  <c r="I1311" i="2"/>
  <c r="C1311" i="2"/>
  <c r="H1311" i="4" l="1"/>
  <c r="I1310" i="2" l="1"/>
  <c r="D1310" i="4"/>
  <c r="C1310" i="2"/>
  <c r="H1310" i="4" l="1"/>
  <c r="D1309" i="4" l="1"/>
  <c r="I1309" i="2"/>
  <c r="C1309" i="2"/>
  <c r="H1309" i="4" l="1"/>
  <c r="I1308" i="2" l="1"/>
  <c r="C1308" i="2"/>
  <c r="D1308" i="4"/>
  <c r="H1308" i="4" l="1"/>
  <c r="I1307" i="2" l="1"/>
  <c r="C1307" i="2"/>
  <c r="H1307" i="4"/>
  <c r="D1307" i="4"/>
  <c r="D1306" i="4" l="1"/>
  <c r="I1306" i="2"/>
  <c r="C1306" i="2"/>
  <c r="H1306" i="4" l="1"/>
  <c r="D1305" i="4" l="1"/>
  <c r="I1305" i="2"/>
  <c r="C1305" i="2"/>
  <c r="H1305" i="4" l="1"/>
  <c r="D1296" i="4" l="1"/>
  <c r="I1304" i="2"/>
  <c r="C1304" i="2"/>
  <c r="I1303" i="2"/>
  <c r="C1303" i="2"/>
  <c r="H1304" i="4" l="1"/>
  <c r="D1304" i="4"/>
  <c r="D1303" i="4" l="1"/>
  <c r="H1303" i="4" l="1"/>
  <c r="I1302" i="2" l="1"/>
  <c r="D1302" i="4"/>
  <c r="C1302" i="2"/>
  <c r="H1302" i="4"/>
  <c r="I1302" i="4" l="1"/>
  <c r="I1303" i="4"/>
  <c r="I1304" i="4"/>
  <c r="I1305" i="4"/>
  <c r="I1306" i="4"/>
  <c r="I1307" i="4"/>
  <c r="I1308" i="4"/>
  <c r="I1309" i="4"/>
  <c r="I1310" i="4"/>
  <c r="I1311" i="4"/>
  <c r="I1312" i="4"/>
  <c r="C1312" i="4"/>
  <c r="E1312" i="4" s="1"/>
  <c r="C1303" i="4"/>
  <c r="E1303" i="4" s="1"/>
  <c r="C1304" i="4"/>
  <c r="E1304" i="4" s="1"/>
  <c r="C1305" i="4"/>
  <c r="E1305" i="4" s="1"/>
  <c r="C1306" i="4"/>
  <c r="E1306" i="4" s="1"/>
  <c r="C1307" i="4"/>
  <c r="E1307" i="4" s="1"/>
  <c r="C1308" i="4"/>
  <c r="E1308" i="4" s="1"/>
  <c r="C1309" i="4"/>
  <c r="E1309" i="4" s="1"/>
  <c r="C1310" i="4"/>
  <c r="E1310" i="4" s="1"/>
  <c r="C1311" i="4"/>
  <c r="E1311" i="4" s="1"/>
  <c r="C1302" i="4"/>
  <c r="E1302" i="4" s="1"/>
  <c r="M1302" i="2"/>
  <c r="M1303" i="2"/>
  <c r="M1304" i="2"/>
  <c r="M1305" i="2"/>
  <c r="M1306" i="2"/>
  <c r="M1307" i="2"/>
  <c r="M1308" i="2"/>
  <c r="M1309" i="2"/>
  <c r="M1310" i="2"/>
  <c r="M1311" i="2"/>
  <c r="M1312" i="2"/>
  <c r="F1302" i="2"/>
  <c r="F1303" i="2"/>
  <c r="F1304" i="2"/>
  <c r="F1305" i="2"/>
  <c r="F1306" i="2"/>
  <c r="F1307" i="2"/>
  <c r="F1308" i="2"/>
  <c r="F1309" i="2"/>
  <c r="F1310" i="2"/>
  <c r="F1311" i="2"/>
  <c r="F1312" i="2"/>
  <c r="D1301" i="4"/>
  <c r="I1301" i="2"/>
  <c r="C1301" i="2"/>
  <c r="L1311" i="2" l="1"/>
  <c r="L1305" i="2"/>
  <c r="L1309" i="2"/>
  <c r="L1308" i="2"/>
  <c r="L1306" i="2"/>
  <c r="L1303" i="2"/>
  <c r="L1302" i="2"/>
  <c r="L1312" i="2"/>
  <c r="J1312" i="4"/>
  <c r="J1311" i="4"/>
  <c r="J1310" i="4"/>
  <c r="L1310" i="2"/>
  <c r="J1309" i="4"/>
  <c r="J1308" i="4"/>
  <c r="J1307" i="4"/>
  <c r="L1307" i="2"/>
  <c r="J1306" i="4"/>
  <c r="J1305" i="4"/>
  <c r="L1304" i="2"/>
  <c r="J1304" i="4"/>
  <c r="J1303" i="4"/>
  <c r="J1302" i="4"/>
  <c r="H1301" i="4"/>
  <c r="D1300" i="4" l="1"/>
  <c r="I1300" i="2"/>
  <c r="C1300" i="2"/>
  <c r="H1300" i="4" l="1"/>
  <c r="D1299" i="4" l="1"/>
  <c r="I1299" i="2"/>
  <c r="C1299" i="2"/>
  <c r="H1299" i="4" l="1"/>
  <c r="H1298" i="4" l="1"/>
  <c r="D1298" i="4"/>
  <c r="I1298" i="2"/>
  <c r="C1298" i="2"/>
  <c r="D1297" i="4" l="1"/>
  <c r="I1297" i="2"/>
  <c r="C1297" i="2"/>
  <c r="H1297" i="4" l="1"/>
  <c r="C1296" i="2" l="1"/>
  <c r="I1296" i="2"/>
  <c r="H1296" i="4" l="1"/>
  <c r="H1295" i="4" l="1"/>
  <c r="D1295" i="4"/>
  <c r="I1295" i="2"/>
  <c r="C1295" i="2"/>
  <c r="D1294" i="4" l="1"/>
  <c r="I1294" i="2"/>
  <c r="C1294" i="2"/>
  <c r="H1294" i="4" l="1"/>
  <c r="C1293" i="2" l="1"/>
  <c r="D1293" i="4" l="1"/>
  <c r="I1293" i="2"/>
  <c r="I1292" i="2" l="1"/>
  <c r="H1293" i="4" l="1"/>
  <c r="D1292" i="4" l="1"/>
  <c r="C1292" i="2"/>
  <c r="M1292" i="2" l="1"/>
  <c r="M1293" i="2"/>
  <c r="M1294" i="2"/>
  <c r="M1295" i="2"/>
  <c r="M1296" i="2"/>
  <c r="M1297" i="2"/>
  <c r="M1298" i="2"/>
  <c r="M1299" i="2"/>
  <c r="M1300" i="2"/>
  <c r="M1301" i="2"/>
  <c r="F1292" i="2"/>
  <c r="F1293" i="2"/>
  <c r="F1294" i="2"/>
  <c r="F1295" i="2"/>
  <c r="F1296" i="2"/>
  <c r="F1297" i="2"/>
  <c r="F1298" i="2"/>
  <c r="F1299" i="2"/>
  <c r="F1300" i="2"/>
  <c r="F1301" i="2"/>
  <c r="L1297" i="2" l="1"/>
  <c r="L1296" i="2"/>
  <c r="L1294" i="2"/>
  <c r="L1299" i="2"/>
  <c r="L1298" i="2"/>
  <c r="L1301" i="2"/>
  <c r="L1293" i="2"/>
  <c r="L1300" i="2"/>
  <c r="L1292" i="2"/>
  <c r="L1295" i="2"/>
  <c r="H1292" i="4"/>
  <c r="I1291" i="2" l="1"/>
  <c r="D1291" i="4"/>
  <c r="C1291" i="2"/>
  <c r="H1291" i="4" l="1"/>
  <c r="I1292" i="4" l="1"/>
  <c r="I1293" i="4"/>
  <c r="I1294" i="4"/>
  <c r="I1295" i="4"/>
  <c r="I1296" i="4"/>
  <c r="I1297" i="4"/>
  <c r="I1298" i="4"/>
  <c r="I1299" i="4"/>
  <c r="I1300" i="4"/>
  <c r="I1301" i="4"/>
  <c r="E1292" i="4"/>
  <c r="E1293" i="4"/>
  <c r="E1294" i="4"/>
  <c r="E1295" i="4"/>
  <c r="E1296" i="4"/>
  <c r="E1297" i="4"/>
  <c r="E1298" i="4"/>
  <c r="E1299" i="4"/>
  <c r="E1300" i="4"/>
  <c r="E1301" i="4"/>
  <c r="J1297" i="4" l="1"/>
  <c r="J1296" i="4"/>
  <c r="J1294" i="4"/>
  <c r="J1299" i="4"/>
  <c r="J1298" i="4"/>
  <c r="J1301" i="4"/>
  <c r="J1293" i="4"/>
  <c r="J1300" i="4"/>
  <c r="J1292" i="4"/>
  <c r="J1295" i="4"/>
  <c r="I1290" i="2"/>
  <c r="D1290" i="4"/>
  <c r="C1290" i="2"/>
  <c r="H1290" i="4"/>
  <c r="D1289" i="4" l="1"/>
  <c r="I1289" i="2"/>
  <c r="C1289" i="2"/>
  <c r="H1289" i="4" l="1"/>
  <c r="I1288" i="2" l="1"/>
  <c r="D1288" i="4"/>
  <c r="C1288" i="2"/>
  <c r="H1288" i="4"/>
  <c r="I1291" i="4" l="1"/>
  <c r="M1291" i="2"/>
  <c r="E1291" i="4"/>
  <c r="F1291" i="2"/>
  <c r="J1291" i="4" l="1"/>
  <c r="L1291" i="2"/>
  <c r="H1287" i="4"/>
  <c r="I1287" i="2"/>
  <c r="D1287" i="4"/>
  <c r="C1287" i="2"/>
  <c r="D1286" i="4" l="1"/>
  <c r="I1286" i="2"/>
  <c r="C1286" i="2"/>
  <c r="H1286" i="4" l="1"/>
  <c r="D1285" i="4" l="1"/>
  <c r="I1285" i="2"/>
  <c r="C1285" i="2"/>
  <c r="H1285" i="4" l="1"/>
  <c r="C1284" i="2" l="1"/>
  <c r="I1284" i="2"/>
  <c r="H1284" i="4" l="1"/>
  <c r="D1284" i="4"/>
  <c r="D1283" i="4" l="1"/>
  <c r="I1283" i="2"/>
  <c r="C1283" i="2"/>
  <c r="H1283" i="4"/>
  <c r="D1282" i="4" l="1"/>
  <c r="I1282" i="2"/>
  <c r="C1282" i="2"/>
  <c r="H1282" i="4" l="1"/>
  <c r="H1281" i="4" l="1"/>
  <c r="D1281" i="4"/>
  <c r="I1281" i="2"/>
  <c r="C1281" i="2"/>
  <c r="D1280" i="4" l="1"/>
  <c r="I1280" i="2"/>
  <c r="C1280" i="2"/>
  <c r="H1280" i="4" l="1"/>
  <c r="C1279" i="2" l="1"/>
  <c r="C1278" i="2" l="1"/>
  <c r="D1279" i="4"/>
  <c r="I1279" i="2"/>
  <c r="H1279" i="4" l="1"/>
  <c r="D1278" i="4" l="1"/>
  <c r="I1278" i="2"/>
  <c r="H1278" i="4" l="1"/>
  <c r="D1277" i="4" l="1"/>
  <c r="I1277" i="2"/>
  <c r="C1277" i="2"/>
  <c r="H1277" i="4" l="1"/>
  <c r="D1276" i="4" l="1"/>
  <c r="I1276" i="2"/>
  <c r="C1276" i="2"/>
  <c r="H1276" i="4" l="1"/>
  <c r="H1275" i="4"/>
  <c r="D1275" i="4" l="1"/>
  <c r="I1275" i="2"/>
  <c r="C1275" i="2"/>
  <c r="D1274" i="4" l="1"/>
  <c r="I1274" i="2"/>
  <c r="C1274" i="2"/>
  <c r="H1274" i="4" l="1"/>
  <c r="I1273" i="2" l="1"/>
  <c r="H1273" i="4"/>
  <c r="D1273" i="4"/>
  <c r="C1273" i="2"/>
  <c r="D1272" i="4" l="1"/>
  <c r="I1272" i="2"/>
  <c r="C1272" i="2"/>
  <c r="H1272" i="4" l="1"/>
  <c r="D1271" i="4" l="1"/>
  <c r="I1271" i="2"/>
  <c r="C1271" i="2"/>
  <c r="H1271" i="4" l="1"/>
  <c r="D1270" i="4" l="1"/>
  <c r="I1270" i="2"/>
  <c r="C1270" i="2"/>
  <c r="H1270" i="4" l="1"/>
  <c r="D1269" i="4" l="1"/>
  <c r="I1269" i="2"/>
  <c r="C1269" i="2"/>
  <c r="H1269" i="4" l="1"/>
  <c r="D1268" i="4" l="1"/>
  <c r="I1268" i="2"/>
  <c r="C1268" i="2"/>
  <c r="H1268" i="4" l="1"/>
  <c r="D1267" i="4" l="1"/>
  <c r="I1267" i="2"/>
  <c r="C1267" i="2"/>
  <c r="H1267" i="4" l="1"/>
  <c r="H1266" i="4" l="1"/>
  <c r="I1266" i="2"/>
  <c r="D1266" i="4"/>
  <c r="C1266" i="2"/>
  <c r="E1270" i="4" l="1"/>
  <c r="I1270" i="4"/>
  <c r="E1271" i="4"/>
  <c r="I1271" i="4"/>
  <c r="E1272" i="4"/>
  <c r="I1272" i="4"/>
  <c r="E1273" i="4"/>
  <c r="I1273" i="4"/>
  <c r="E1274" i="4"/>
  <c r="I1274" i="4"/>
  <c r="E1275" i="4"/>
  <c r="I1275" i="4"/>
  <c r="E1276" i="4"/>
  <c r="I1276" i="4"/>
  <c r="E1277" i="4"/>
  <c r="I1277" i="4"/>
  <c r="E1278" i="4"/>
  <c r="I1278" i="4"/>
  <c r="E1279" i="4"/>
  <c r="I1279" i="4"/>
  <c r="E1280" i="4"/>
  <c r="I1280" i="4"/>
  <c r="E1281" i="4"/>
  <c r="I1281" i="4"/>
  <c r="E1282" i="4"/>
  <c r="I1282" i="4"/>
  <c r="E1283" i="4"/>
  <c r="I1283" i="4"/>
  <c r="E1284" i="4"/>
  <c r="I1284" i="4"/>
  <c r="E1285" i="4"/>
  <c r="I1285" i="4"/>
  <c r="E1286" i="4"/>
  <c r="I1286" i="4"/>
  <c r="E1287" i="4"/>
  <c r="I1287" i="4"/>
  <c r="E1288" i="4"/>
  <c r="I1288" i="4"/>
  <c r="E1289" i="4"/>
  <c r="I1289" i="4"/>
  <c r="E1290" i="4"/>
  <c r="I1290" i="4"/>
  <c r="F1270" i="2"/>
  <c r="M1270" i="2"/>
  <c r="F1271" i="2"/>
  <c r="M1271" i="2"/>
  <c r="F1272" i="2"/>
  <c r="M1272" i="2"/>
  <c r="F1273" i="2"/>
  <c r="M1273" i="2"/>
  <c r="F1274" i="2"/>
  <c r="M1274" i="2"/>
  <c r="F1275" i="2"/>
  <c r="M1275" i="2"/>
  <c r="F1276" i="2"/>
  <c r="M1276" i="2"/>
  <c r="F1277" i="2"/>
  <c r="M1277" i="2"/>
  <c r="F1278" i="2"/>
  <c r="M1278" i="2"/>
  <c r="F1279" i="2"/>
  <c r="M1279" i="2"/>
  <c r="F1280" i="2"/>
  <c r="M1280" i="2"/>
  <c r="F1281" i="2"/>
  <c r="M1281" i="2"/>
  <c r="F1282" i="2"/>
  <c r="M1282" i="2"/>
  <c r="F1283" i="2"/>
  <c r="M1283" i="2"/>
  <c r="F1284" i="2"/>
  <c r="M1284" i="2"/>
  <c r="F1285" i="2"/>
  <c r="M1285" i="2"/>
  <c r="F1286" i="2"/>
  <c r="M1286" i="2"/>
  <c r="F1287" i="2"/>
  <c r="M1287" i="2"/>
  <c r="F1288" i="2"/>
  <c r="M1288" i="2"/>
  <c r="F1289" i="2"/>
  <c r="M1289" i="2"/>
  <c r="F1290" i="2"/>
  <c r="M1290" i="2"/>
  <c r="L1285" i="2" l="1"/>
  <c r="J1283" i="4"/>
  <c r="J1289" i="4"/>
  <c r="L1289" i="2"/>
  <c r="L1288" i="2"/>
  <c r="J1288" i="4"/>
  <c r="L1286" i="2"/>
  <c r="J1285" i="4"/>
  <c r="J1284" i="4"/>
  <c r="L1283" i="2"/>
  <c r="J1281" i="4"/>
  <c r="L1279" i="2"/>
  <c r="L1272" i="2"/>
  <c r="J1290" i="4"/>
  <c r="J1280" i="4"/>
  <c r="J1286" i="4"/>
  <c r="J1282" i="4"/>
  <c r="J1278" i="4"/>
  <c r="J1277" i="4"/>
  <c r="L1276" i="2"/>
  <c r="J1274" i="4"/>
  <c r="L1274" i="2"/>
  <c r="J1273" i="4"/>
  <c r="L1273" i="2"/>
  <c r="J1272" i="4"/>
  <c r="J1271" i="4"/>
  <c r="L1271" i="2"/>
  <c r="J1279" i="4"/>
  <c r="J1276" i="4"/>
  <c r="L1277" i="2"/>
  <c r="L1275" i="2"/>
  <c r="J1270" i="4"/>
  <c r="L1270" i="2"/>
  <c r="J1287" i="4"/>
  <c r="J1275" i="4"/>
  <c r="L1280" i="2"/>
  <c r="L1287" i="2"/>
  <c r="L1282" i="2"/>
  <c r="L1290" i="2"/>
  <c r="L1281" i="2"/>
  <c r="L1278" i="2"/>
  <c r="L1284" i="2"/>
  <c r="H1265" i="4"/>
  <c r="D1265" i="4"/>
  <c r="I1265" i="2"/>
  <c r="C1265" i="2"/>
  <c r="D1264" i="4" l="1"/>
  <c r="I1264" i="2"/>
  <c r="C1264" i="2"/>
  <c r="H1264" i="4" l="1"/>
  <c r="D1263" i="4" l="1"/>
  <c r="C1263" i="2"/>
  <c r="H1263" i="4"/>
  <c r="I1263" i="2"/>
  <c r="I1262" i="2" l="1"/>
  <c r="D1262" i="4"/>
  <c r="C1262" i="2"/>
  <c r="H1262" i="4" l="1"/>
  <c r="D1261" i="4" l="1"/>
  <c r="I1261" i="2"/>
  <c r="C1261" i="2"/>
  <c r="H1261" i="4" l="1"/>
  <c r="I1260" i="2" l="1"/>
  <c r="C1260" i="2"/>
  <c r="D1260" i="4"/>
  <c r="H1260" i="4" l="1"/>
  <c r="D1259" i="4" l="1"/>
  <c r="C1259" i="2"/>
  <c r="I1259" i="2"/>
  <c r="H1259" i="4" l="1"/>
  <c r="D1258" i="4" l="1"/>
  <c r="I1258" i="2"/>
  <c r="C1258" i="2"/>
  <c r="H1258" i="4"/>
  <c r="H1257" i="4"/>
  <c r="D1257" i="4" l="1"/>
  <c r="I1257" i="2"/>
  <c r="C1257" i="2"/>
  <c r="E1263" i="4" l="1"/>
  <c r="I1263" i="4"/>
  <c r="E1264" i="4"/>
  <c r="I1264" i="4"/>
  <c r="E1265" i="4"/>
  <c r="I1265" i="4"/>
  <c r="E1266" i="4"/>
  <c r="I1266" i="4"/>
  <c r="E1267" i="4"/>
  <c r="I1267" i="4"/>
  <c r="E1268" i="4"/>
  <c r="I1268" i="4"/>
  <c r="E1269" i="4"/>
  <c r="I1269" i="4"/>
  <c r="F1263" i="2"/>
  <c r="M1263" i="2"/>
  <c r="F1264" i="2"/>
  <c r="M1264" i="2"/>
  <c r="F1265" i="2"/>
  <c r="M1265" i="2"/>
  <c r="F1266" i="2"/>
  <c r="M1266" i="2"/>
  <c r="F1267" i="2"/>
  <c r="M1267" i="2"/>
  <c r="F1268" i="2"/>
  <c r="M1268" i="2"/>
  <c r="F1269" i="2"/>
  <c r="M1269" i="2"/>
  <c r="L1269" i="2" l="1"/>
  <c r="J1263" i="4"/>
  <c r="L1263" i="2"/>
  <c r="J1266" i="4"/>
  <c r="L1266" i="2"/>
  <c r="J1265" i="4"/>
  <c r="J1269" i="4"/>
  <c r="L1268" i="2"/>
  <c r="J1268" i="4"/>
  <c r="J1267" i="4"/>
  <c r="L1267" i="2"/>
  <c r="L1265" i="2"/>
  <c r="J1264" i="4"/>
  <c r="L1264" i="2"/>
  <c r="I1256" i="2"/>
  <c r="D1256" i="4"/>
  <c r="C1256" i="2"/>
  <c r="H1256" i="4"/>
  <c r="D1255" i="4" l="1"/>
  <c r="I1255" i="2"/>
  <c r="C1255" i="2"/>
  <c r="H1255" i="4" l="1"/>
  <c r="D1254" i="4"/>
  <c r="I1254" i="2"/>
  <c r="C1254" i="2"/>
  <c r="H1254" i="4" l="1"/>
  <c r="I1253" i="2" l="1"/>
  <c r="D1253" i="4"/>
  <c r="C1253" i="2"/>
  <c r="H1253" i="4"/>
  <c r="H1252" i="4" l="1"/>
  <c r="D1252" i="4"/>
  <c r="I1252" i="2"/>
  <c r="C1252" i="2"/>
  <c r="H1251" i="4" l="1"/>
  <c r="D1251" i="4"/>
  <c r="I1251" i="2"/>
  <c r="C1251" i="2"/>
  <c r="H1250" i="4" l="1"/>
  <c r="D1250" i="4"/>
  <c r="I1250" i="2"/>
  <c r="C1250" i="2"/>
  <c r="H1249" i="4" l="1"/>
  <c r="I1249" i="2"/>
  <c r="D1249" i="4"/>
  <c r="C1249" i="2"/>
  <c r="H1248" i="4" l="1"/>
  <c r="I1248" i="2"/>
  <c r="D1248" i="4"/>
  <c r="C1248" i="2"/>
  <c r="I1250" i="4" l="1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E1250" i="4"/>
  <c r="E1251" i="4"/>
  <c r="J1251" i="4" s="1"/>
  <c r="E1252" i="4"/>
  <c r="E1253" i="4"/>
  <c r="E1254" i="4"/>
  <c r="E1255" i="4"/>
  <c r="E1256" i="4"/>
  <c r="E1257" i="4"/>
  <c r="E1258" i="4"/>
  <c r="J1258" i="4" s="1"/>
  <c r="E1259" i="4"/>
  <c r="E1260" i="4"/>
  <c r="E1261" i="4"/>
  <c r="E1262" i="4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J1261" i="4" l="1"/>
  <c r="J1250" i="4"/>
  <c r="J1262" i="4"/>
  <c r="L1258" i="2"/>
  <c r="J1260" i="4"/>
  <c r="L1262" i="2"/>
  <c r="L1261" i="2"/>
  <c r="J1255" i="4"/>
  <c r="J1253" i="4"/>
  <c r="L1257" i="2"/>
  <c r="L1255" i="2"/>
  <c r="L1254" i="2"/>
  <c r="L1252" i="2"/>
  <c r="L1251" i="2"/>
  <c r="L1256" i="2"/>
  <c r="L1253" i="2"/>
  <c r="L1250" i="2"/>
  <c r="J1256" i="4"/>
  <c r="J1254" i="4"/>
  <c r="L1260" i="2"/>
  <c r="J1257" i="4"/>
  <c r="J1259" i="4"/>
  <c r="L1259" i="2"/>
  <c r="J1252" i="4"/>
  <c r="C1247" i="2"/>
  <c r="D1247" i="4"/>
  <c r="I1247" i="2"/>
  <c r="H1247" i="4"/>
  <c r="I1246" i="2" l="1"/>
  <c r="H1246" i="4"/>
  <c r="D1246" i="4"/>
  <c r="C1246" i="2"/>
  <c r="D1245" i="4" l="1"/>
  <c r="C1245" i="2"/>
  <c r="I1245" i="2"/>
  <c r="H1245" i="4"/>
  <c r="I1244" i="2" l="1"/>
  <c r="D1244" i="4"/>
  <c r="C1244" i="2"/>
  <c r="H1244" i="4"/>
  <c r="D1243" i="4" l="1"/>
  <c r="H1243" i="4" l="1"/>
  <c r="I1243" i="2"/>
  <c r="C1243" i="2"/>
  <c r="I1242" i="2" l="1"/>
  <c r="D1242" i="4"/>
  <c r="C1242" i="2"/>
  <c r="H1242" i="4"/>
  <c r="C1241" i="2" l="1"/>
  <c r="I1241" i="2" l="1"/>
  <c r="D1241" i="4"/>
  <c r="H1241" i="4" l="1"/>
  <c r="I1240" i="2"/>
  <c r="C1240" i="2" l="1"/>
  <c r="D1240" i="4" l="1"/>
  <c r="H1240" i="4"/>
  <c r="H1239" i="4" l="1"/>
  <c r="I1239" i="2"/>
  <c r="D1239" i="4"/>
  <c r="C1239" i="2"/>
  <c r="D1237" i="4" l="1"/>
  <c r="E1237" i="4" s="1"/>
  <c r="H1237" i="4"/>
  <c r="I1237" i="4" s="1"/>
  <c r="C1237" i="2"/>
  <c r="F1237" i="2" s="1"/>
  <c r="I1237" i="2"/>
  <c r="M1237" i="2" s="1"/>
  <c r="J1237" i="4" l="1"/>
  <c r="L1237" i="2"/>
  <c r="I1238" i="2"/>
  <c r="D1238" i="4"/>
  <c r="C1238" i="2"/>
  <c r="E1238" i="4" l="1"/>
  <c r="H1238" i="4"/>
  <c r="I1238" i="4" s="1"/>
  <c r="M1238" i="2"/>
  <c r="F1238" i="2"/>
  <c r="J1238" i="4" l="1"/>
  <c r="L1238" i="2"/>
  <c r="I1239" i="4" l="1"/>
  <c r="E1239" i="4"/>
  <c r="M1239" i="2"/>
  <c r="F1239" i="2"/>
  <c r="L1239" i="2" l="1"/>
  <c r="J1239" i="4"/>
  <c r="H1236" i="4" l="1"/>
  <c r="I1236" i="2"/>
  <c r="D1236" i="4"/>
  <c r="C1236" i="2"/>
  <c r="D1235" i="4" l="1"/>
  <c r="C1235" i="2"/>
  <c r="H1235" i="4"/>
  <c r="I1235" i="2"/>
  <c r="I1236" i="4" l="1"/>
  <c r="I1240" i="4"/>
  <c r="I1241" i="4"/>
  <c r="I1242" i="4"/>
  <c r="I1243" i="4"/>
  <c r="I1244" i="4"/>
  <c r="I1245" i="4"/>
  <c r="I1246" i="4"/>
  <c r="I1247" i="4"/>
  <c r="I1248" i="4"/>
  <c r="I1249" i="4"/>
  <c r="E1236" i="4"/>
  <c r="E1240" i="4"/>
  <c r="E1241" i="4"/>
  <c r="E1242" i="4"/>
  <c r="E1243" i="4"/>
  <c r="E1244" i="4"/>
  <c r="E1245" i="4"/>
  <c r="E1246" i="4"/>
  <c r="E1247" i="4"/>
  <c r="E1248" i="4"/>
  <c r="E1249" i="4"/>
  <c r="M1236" i="2"/>
  <c r="M1240" i="2"/>
  <c r="M1241" i="2"/>
  <c r="M1242" i="2"/>
  <c r="M1243" i="2"/>
  <c r="M1244" i="2"/>
  <c r="M1245" i="2"/>
  <c r="M1246" i="2"/>
  <c r="M1247" i="2"/>
  <c r="M1248" i="2"/>
  <c r="M1249" i="2"/>
  <c r="F1236" i="2"/>
  <c r="F1240" i="2"/>
  <c r="F1241" i="2"/>
  <c r="F1242" i="2"/>
  <c r="F1243" i="2"/>
  <c r="F1244" i="2"/>
  <c r="F1245" i="2"/>
  <c r="F1246" i="2"/>
  <c r="F1247" i="2"/>
  <c r="F1248" i="2"/>
  <c r="F1249" i="2"/>
  <c r="J1247" i="4" l="1"/>
  <c r="J1245" i="4"/>
  <c r="J1242" i="4"/>
  <c r="J1248" i="4"/>
  <c r="J1241" i="4"/>
  <c r="J1240" i="4"/>
  <c r="J1249" i="4"/>
  <c r="J1246" i="4"/>
  <c r="L1248" i="2"/>
  <c r="L1247" i="2"/>
  <c r="L1249" i="2"/>
  <c r="J1243" i="4"/>
  <c r="J1244" i="4"/>
  <c r="L1244" i="2"/>
  <c r="L1246" i="2"/>
  <c r="L1242" i="2"/>
  <c r="L1236" i="2"/>
  <c r="L1245" i="2"/>
  <c r="L1241" i="2"/>
  <c r="L1243" i="2"/>
  <c r="L1240" i="2"/>
  <c r="J1236" i="4"/>
  <c r="I1234" i="2"/>
  <c r="C1234" i="2"/>
  <c r="H1234" i="4"/>
  <c r="D1234" i="4"/>
  <c r="F1234" i="2" l="1"/>
  <c r="M1234" i="2"/>
  <c r="F1235" i="2"/>
  <c r="M1235" i="2"/>
  <c r="L1235" i="2" l="1"/>
  <c r="L1234" i="2"/>
  <c r="D1233" i="4" l="1"/>
  <c r="C1233" i="2"/>
  <c r="I1233" i="2"/>
  <c r="D1232" i="4" l="1"/>
  <c r="H1233" i="4"/>
  <c r="C1232" i="2" l="1"/>
  <c r="H1232" i="4"/>
  <c r="I1232" i="2"/>
  <c r="I1231" i="2" l="1"/>
  <c r="C1231" i="2"/>
  <c r="D1231" i="4"/>
  <c r="I1230" i="2" l="1"/>
  <c r="C1230" i="2"/>
  <c r="D1230" i="4"/>
  <c r="D1229" i="4" l="1"/>
  <c r="I1229" i="2"/>
  <c r="C1229" i="2"/>
  <c r="I1228" i="2" l="1"/>
  <c r="C1228" i="2"/>
  <c r="D1228" i="4"/>
  <c r="I1227" i="2" l="1"/>
  <c r="C1227" i="2"/>
  <c r="D1227" i="4"/>
  <c r="I1224" i="4" l="1"/>
  <c r="D1224" i="4"/>
  <c r="E1224" i="4" s="1"/>
  <c r="I1224" i="2"/>
  <c r="M1224" i="2" s="1"/>
  <c r="C1224" i="2"/>
  <c r="B1224" i="2"/>
  <c r="I1226" i="2"/>
  <c r="C1226" i="2"/>
  <c r="F1224" i="2" l="1"/>
  <c r="L1224" i="2" s="1"/>
  <c r="J1224" i="4"/>
  <c r="D1226" i="4"/>
  <c r="I1225" i="2" l="1"/>
  <c r="C1225" i="2"/>
  <c r="D1225" i="4"/>
  <c r="D1223" i="4"/>
  <c r="I1223" i="2" l="1"/>
  <c r="C1223" i="2"/>
  <c r="I1222" i="2" l="1"/>
  <c r="C1222" i="2"/>
  <c r="D1222" i="4" l="1"/>
  <c r="I1225" i="4" l="1"/>
  <c r="I1226" i="4"/>
  <c r="I1227" i="4"/>
  <c r="I1228" i="4"/>
  <c r="I1229" i="4"/>
  <c r="I1230" i="4"/>
  <c r="I1231" i="4"/>
  <c r="I1232" i="4"/>
  <c r="I1233" i="4"/>
  <c r="I1234" i="4"/>
  <c r="I1235" i="4"/>
  <c r="E1225" i="4"/>
  <c r="E1226" i="4"/>
  <c r="E1227" i="4"/>
  <c r="E1228" i="4"/>
  <c r="E1229" i="4"/>
  <c r="E1230" i="4"/>
  <c r="E1231" i="4"/>
  <c r="E1232" i="4"/>
  <c r="E1233" i="4"/>
  <c r="E1234" i="4"/>
  <c r="E1235" i="4"/>
  <c r="M1225" i="2"/>
  <c r="M1226" i="2"/>
  <c r="M1227" i="2"/>
  <c r="M1228" i="2"/>
  <c r="M1229" i="2"/>
  <c r="M1230" i="2"/>
  <c r="M1231" i="2"/>
  <c r="M1232" i="2"/>
  <c r="M1233" i="2"/>
  <c r="F1225" i="2"/>
  <c r="F1226" i="2"/>
  <c r="F1227" i="2"/>
  <c r="F1228" i="2"/>
  <c r="F1229" i="2"/>
  <c r="F1230" i="2"/>
  <c r="F1231" i="2"/>
  <c r="F1232" i="2"/>
  <c r="F1233" i="2"/>
  <c r="D1221" i="4"/>
  <c r="I1221" i="2"/>
  <c r="C1221" i="2"/>
  <c r="J1235" i="4" l="1"/>
  <c r="J1234" i="4"/>
  <c r="J1228" i="4"/>
  <c r="J1233" i="4"/>
  <c r="J1232" i="4"/>
  <c r="J1231" i="4"/>
  <c r="J1230" i="4"/>
  <c r="J1229" i="4"/>
  <c r="J1227" i="4"/>
  <c r="L1227" i="2"/>
  <c r="J1226" i="4"/>
  <c r="L1226" i="2"/>
  <c r="J1225" i="4"/>
  <c r="L1225" i="2"/>
  <c r="L1233" i="2"/>
  <c r="L1232" i="2"/>
  <c r="L1231" i="2"/>
  <c r="L1230" i="2"/>
  <c r="L1229" i="2"/>
  <c r="L1228" i="2"/>
  <c r="C1220" i="2" l="1"/>
  <c r="I1220" i="2"/>
  <c r="D1220" i="4"/>
  <c r="D1219" i="4" l="1"/>
  <c r="C1219" i="2"/>
  <c r="I1219" i="2"/>
  <c r="I1218" i="2" l="1"/>
  <c r="C1218" i="2"/>
  <c r="D1218" i="4" l="1"/>
  <c r="C1217" i="2" l="1"/>
  <c r="I1217" i="2" l="1"/>
  <c r="D1217" i="4"/>
  <c r="I1216" i="2" l="1"/>
  <c r="C1216" i="2"/>
  <c r="D1216" i="4"/>
  <c r="D1215" i="4" l="1"/>
  <c r="I1215" i="2"/>
  <c r="C1215" i="2"/>
  <c r="I1214" i="2" l="1"/>
  <c r="C1214" i="2"/>
  <c r="D1214" i="4"/>
  <c r="C1213" i="2" l="1"/>
  <c r="I1213" i="2"/>
  <c r="D1213" i="4" l="1"/>
  <c r="B1215" i="2" l="1"/>
  <c r="F1215" i="2" s="1"/>
  <c r="B1216" i="2"/>
  <c r="F1216" i="2" s="1"/>
  <c r="B1217" i="2"/>
  <c r="F1217" i="2" s="1"/>
  <c r="B1218" i="2"/>
  <c r="F1218" i="2" s="1"/>
  <c r="B1219" i="2"/>
  <c r="F1219" i="2" s="1"/>
  <c r="B1220" i="2"/>
  <c r="F1220" i="2" s="1"/>
  <c r="B1221" i="2"/>
  <c r="F1221" i="2" s="1"/>
  <c r="B1222" i="2"/>
  <c r="F1222" i="2" s="1"/>
  <c r="B1223" i="2"/>
  <c r="F1223" i="2" s="1"/>
  <c r="B1214" i="2"/>
  <c r="F1214" i="2" s="1"/>
  <c r="I1214" i="4"/>
  <c r="I1215" i="4"/>
  <c r="I1216" i="4"/>
  <c r="I1217" i="4"/>
  <c r="I1218" i="4"/>
  <c r="I1219" i="4"/>
  <c r="I1220" i="4"/>
  <c r="I1221" i="4"/>
  <c r="I1222" i="4"/>
  <c r="I1223" i="4"/>
  <c r="E1214" i="4"/>
  <c r="E1215" i="4"/>
  <c r="E1216" i="4"/>
  <c r="E1217" i="4"/>
  <c r="E1218" i="4"/>
  <c r="E1219" i="4"/>
  <c r="E1220" i="4"/>
  <c r="E1221" i="4"/>
  <c r="E1222" i="4"/>
  <c r="E1223" i="4"/>
  <c r="M1214" i="2"/>
  <c r="M1215" i="2"/>
  <c r="M1216" i="2"/>
  <c r="M1217" i="2"/>
  <c r="M1218" i="2"/>
  <c r="M1219" i="2"/>
  <c r="M1220" i="2"/>
  <c r="M1221" i="2"/>
  <c r="M1222" i="2"/>
  <c r="M1223" i="2"/>
  <c r="J1218" i="4" l="1"/>
  <c r="J1217" i="4"/>
  <c r="J1219" i="4"/>
  <c r="J1222" i="4"/>
  <c r="J1220" i="4"/>
  <c r="J1221" i="4"/>
  <c r="J1216" i="4"/>
  <c r="J1215" i="4"/>
  <c r="J1223" i="4"/>
  <c r="J1214" i="4"/>
  <c r="L1222" i="2"/>
  <c r="L1219" i="2"/>
  <c r="L1217" i="2"/>
  <c r="L1216" i="2"/>
  <c r="L1223" i="2"/>
  <c r="L1221" i="2"/>
  <c r="L1220" i="2"/>
  <c r="L1218" i="2"/>
  <c r="L1215" i="2"/>
  <c r="L1214" i="2"/>
  <c r="I1212" i="2"/>
  <c r="C1212" i="2"/>
  <c r="D1212" i="4"/>
  <c r="D1211" i="4" l="1"/>
  <c r="I1211" i="2"/>
  <c r="C1211" i="2"/>
  <c r="I1210" i="2" l="1"/>
  <c r="C1210" i="2"/>
  <c r="D1210" i="4"/>
  <c r="D1209" i="4" l="1"/>
  <c r="I1209" i="2"/>
  <c r="C1209" i="2"/>
  <c r="D1208" i="4" l="1"/>
  <c r="I1208" i="2"/>
  <c r="C1208" i="2"/>
  <c r="C1207" i="2" l="1"/>
  <c r="I1207" i="2"/>
  <c r="D1207" i="4"/>
  <c r="C1206" i="2" l="1"/>
  <c r="I1206" i="2"/>
  <c r="D1206" i="4"/>
  <c r="D1205" i="4" l="1"/>
  <c r="C1205" i="2"/>
  <c r="I1205" i="2"/>
  <c r="I1204" i="2" l="1"/>
  <c r="C1204" i="2"/>
  <c r="D1204" i="4"/>
  <c r="C1202" i="2" l="1"/>
  <c r="C1203" i="2"/>
  <c r="I1203" i="2"/>
  <c r="D1203" i="4"/>
  <c r="D1202" i="4" l="1"/>
  <c r="I1202" i="2"/>
  <c r="M1203" i="2" l="1"/>
  <c r="M1204" i="2"/>
  <c r="M1205" i="2"/>
  <c r="M1206" i="2"/>
  <c r="M1207" i="2"/>
  <c r="M1208" i="2"/>
  <c r="M1209" i="2"/>
  <c r="M1210" i="2"/>
  <c r="M1211" i="2"/>
  <c r="M1212" i="2"/>
  <c r="M1213" i="2"/>
  <c r="F1203" i="2"/>
  <c r="F1204" i="2"/>
  <c r="F1205" i="2"/>
  <c r="F1206" i="2"/>
  <c r="F1207" i="2"/>
  <c r="F1208" i="2"/>
  <c r="F1209" i="2"/>
  <c r="F1210" i="2"/>
  <c r="F1211" i="2"/>
  <c r="F1212" i="2"/>
  <c r="F1213" i="2"/>
  <c r="I1203" i="4"/>
  <c r="I1204" i="4"/>
  <c r="I1205" i="4"/>
  <c r="I1206" i="4"/>
  <c r="I1207" i="4"/>
  <c r="I1208" i="4"/>
  <c r="I1209" i="4"/>
  <c r="I1210" i="4"/>
  <c r="I1211" i="4"/>
  <c r="I1212" i="4"/>
  <c r="I1213" i="4"/>
  <c r="E1203" i="4"/>
  <c r="E1204" i="4"/>
  <c r="E1205" i="4"/>
  <c r="E1206" i="4"/>
  <c r="E1207" i="4"/>
  <c r="E1208" i="4"/>
  <c r="E1209" i="4"/>
  <c r="E1210" i="4"/>
  <c r="E1211" i="4"/>
  <c r="E1212" i="4"/>
  <c r="E1213" i="4"/>
  <c r="J1204" i="4" l="1"/>
  <c r="J1205" i="4"/>
  <c r="J1209" i="4"/>
  <c r="J1208" i="4"/>
  <c r="J1206" i="4"/>
  <c r="J1212" i="4"/>
  <c r="J1213" i="4"/>
  <c r="J1211" i="4"/>
  <c r="J1207" i="4"/>
  <c r="L1213" i="2"/>
  <c r="L1212" i="2"/>
  <c r="L1211" i="2"/>
  <c r="J1210" i="4"/>
  <c r="L1210" i="2"/>
  <c r="L1209" i="2"/>
  <c r="L1208" i="2"/>
  <c r="L1207" i="2"/>
  <c r="L1206" i="2"/>
  <c r="L1205" i="2"/>
  <c r="L1204" i="2"/>
  <c r="J1203" i="4"/>
  <c r="L1203" i="2"/>
  <c r="I1201" i="2"/>
  <c r="C1201" i="2"/>
  <c r="D1201" i="4"/>
  <c r="D1200" i="4" l="1"/>
  <c r="I1200" i="2"/>
  <c r="C1200" i="2"/>
  <c r="I1199" i="2" l="1"/>
  <c r="C1199" i="2"/>
  <c r="D1199" i="4"/>
  <c r="P2" i="7" l="1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D1198" i="4"/>
  <c r="C1197" i="2" l="1"/>
  <c r="I1197" i="2"/>
  <c r="D1197" i="4"/>
  <c r="I1196" i="2" l="1"/>
  <c r="C1196" i="2"/>
  <c r="D1196" i="4"/>
  <c r="D1195" i="4" l="1"/>
  <c r="I1195" i="2"/>
  <c r="C1195" i="2"/>
  <c r="D1194" i="4" l="1"/>
  <c r="C1194" i="2"/>
  <c r="I1194" i="2"/>
  <c r="C1193" i="2" l="1"/>
  <c r="I1193" i="2"/>
  <c r="D1193" i="4"/>
  <c r="D1192" i="4" l="1"/>
  <c r="C1192" i="2"/>
  <c r="I1192" i="2"/>
  <c r="D1191" i="4" l="1"/>
  <c r="C1191" i="2"/>
  <c r="I1191" i="2"/>
  <c r="M1192" i="2" l="1"/>
  <c r="M1193" i="2"/>
  <c r="M1194" i="2"/>
  <c r="M1195" i="2"/>
  <c r="M1196" i="2"/>
  <c r="M1197" i="2"/>
  <c r="M1198" i="2"/>
  <c r="M1199" i="2"/>
  <c r="M1200" i="2"/>
  <c r="M1201" i="2"/>
  <c r="M1202" i="2"/>
  <c r="F1192" i="2"/>
  <c r="F1193" i="2"/>
  <c r="F1194" i="2"/>
  <c r="F1195" i="2"/>
  <c r="F1196" i="2"/>
  <c r="F1197" i="2"/>
  <c r="F1198" i="2"/>
  <c r="F1199" i="2"/>
  <c r="F1200" i="2"/>
  <c r="F1201" i="2"/>
  <c r="F1202" i="2"/>
  <c r="E1192" i="4"/>
  <c r="E1193" i="4"/>
  <c r="E1194" i="4"/>
  <c r="E1195" i="4"/>
  <c r="E1196" i="4"/>
  <c r="E1197" i="4"/>
  <c r="E1198" i="4"/>
  <c r="E1199" i="4"/>
  <c r="E1200" i="4"/>
  <c r="E1201" i="4"/>
  <c r="E1202" i="4"/>
  <c r="I1192" i="4"/>
  <c r="I1193" i="4"/>
  <c r="I1194" i="4"/>
  <c r="I1195" i="4"/>
  <c r="I1196" i="4"/>
  <c r="I1197" i="4"/>
  <c r="I1198" i="4"/>
  <c r="I1199" i="4"/>
  <c r="I1200" i="4"/>
  <c r="I1201" i="4"/>
  <c r="I1202" i="4"/>
  <c r="J1194" i="4" l="1"/>
  <c r="J1202" i="4"/>
  <c r="J1198" i="4"/>
  <c r="J1197" i="4"/>
  <c r="J1196" i="4"/>
  <c r="L1202" i="2"/>
  <c r="L1201" i="2"/>
  <c r="L1200" i="2"/>
  <c r="L1198" i="2"/>
  <c r="L1197" i="2"/>
  <c r="L1196" i="2"/>
  <c r="L1195" i="2"/>
  <c r="L1194" i="2"/>
  <c r="J1193" i="4"/>
  <c r="J1192" i="4"/>
  <c r="L1199" i="2"/>
  <c r="J1200" i="4"/>
  <c r="J1199" i="4"/>
  <c r="J1195" i="4"/>
  <c r="L1193" i="2"/>
  <c r="L1192" i="2"/>
  <c r="J1201" i="4"/>
  <c r="C1190" i="2"/>
  <c r="I1190" i="2"/>
  <c r="D1190" i="4"/>
  <c r="I1189" i="2" l="1"/>
  <c r="C1189" i="2"/>
  <c r="D1189" i="4"/>
  <c r="I1188" i="2" l="1"/>
  <c r="C1188" i="2"/>
  <c r="D1188" i="4"/>
  <c r="C1187" i="2" l="1"/>
  <c r="I1187" i="2"/>
  <c r="D1187" i="4"/>
  <c r="I1186" i="2" l="1"/>
  <c r="C1186" i="2"/>
  <c r="D1186" i="4"/>
  <c r="C1185" i="2" l="1"/>
  <c r="I1185" i="2"/>
  <c r="D1185" i="4"/>
  <c r="D1184" i="4" l="1"/>
  <c r="C1184" i="2"/>
  <c r="I1184" i="2"/>
  <c r="C1183" i="2" l="1"/>
  <c r="I1183" i="2"/>
  <c r="D1183" i="4"/>
  <c r="I1182" i="2" l="1"/>
  <c r="C1182" i="2"/>
  <c r="F1182" i="2" s="1"/>
  <c r="E1183" i="4"/>
  <c r="E1184" i="4"/>
  <c r="E1185" i="4"/>
  <c r="E1186" i="4"/>
  <c r="E1187" i="4"/>
  <c r="E1188" i="4"/>
  <c r="E1189" i="4"/>
  <c r="E1190" i="4"/>
  <c r="E1191" i="4"/>
  <c r="D1182" i="4"/>
  <c r="E1182" i="4" s="1"/>
  <c r="D1181" i="4"/>
  <c r="E1181" i="4" s="1"/>
  <c r="F1183" i="2"/>
  <c r="F1184" i="2"/>
  <c r="F1185" i="2"/>
  <c r="F1186" i="2"/>
  <c r="F1187" i="2"/>
  <c r="F1188" i="2"/>
  <c r="F1189" i="2"/>
  <c r="F1190" i="2"/>
  <c r="F1191" i="2"/>
  <c r="C1181" i="2" l="1"/>
  <c r="F1181" i="2" s="1"/>
  <c r="I1181" i="2"/>
  <c r="M1181" i="2" s="1"/>
  <c r="L1181" i="2" l="1"/>
  <c r="C1180" i="2"/>
  <c r="I1180" i="2" l="1"/>
  <c r="D1180" i="4" l="1"/>
  <c r="C1179" i="2" l="1"/>
  <c r="I1179" i="2"/>
  <c r="I1178" i="2"/>
  <c r="D1179" i="4"/>
  <c r="I1181" i="4" l="1"/>
  <c r="J1181" i="4" s="1"/>
  <c r="I1182" i="4"/>
  <c r="J1182" i="4" s="1"/>
  <c r="I1183" i="4"/>
  <c r="J1183" i="4" s="1"/>
  <c r="I1184" i="4"/>
  <c r="J1184" i="4" s="1"/>
  <c r="I1185" i="4"/>
  <c r="J1185" i="4" s="1"/>
  <c r="I1186" i="4"/>
  <c r="J1186" i="4" s="1"/>
  <c r="I1187" i="4"/>
  <c r="J1187" i="4" s="1"/>
  <c r="I1188" i="4"/>
  <c r="J1188" i="4" s="1"/>
  <c r="I1189" i="4"/>
  <c r="J1189" i="4" s="1"/>
  <c r="I1190" i="4"/>
  <c r="J1190" i="4" s="1"/>
  <c r="I1191" i="4"/>
  <c r="J1191" i="4" s="1"/>
  <c r="B1181" i="4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A1183" i="2"/>
  <c r="M1182" i="2"/>
  <c r="L1182" i="2" s="1"/>
  <c r="M1183" i="2"/>
  <c r="L1183" i="2" s="1"/>
  <c r="M1184" i="2"/>
  <c r="L1184" i="2" s="1"/>
  <c r="M1185" i="2"/>
  <c r="L1185" i="2" s="1"/>
  <c r="M1186" i="2"/>
  <c r="L1186" i="2" s="1"/>
  <c r="M1187" i="2"/>
  <c r="L1187" i="2" s="1"/>
  <c r="M1188" i="2"/>
  <c r="L1188" i="2" s="1"/>
  <c r="M1189" i="2"/>
  <c r="L1189" i="2" s="1"/>
  <c r="M1190" i="2"/>
  <c r="L1190" i="2" s="1"/>
  <c r="M1191" i="2"/>
  <c r="L1191" i="2" s="1"/>
  <c r="B1225" i="4" l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24" i="4"/>
  <c r="A1184" i="2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V1183" i="3"/>
  <c r="V1182" i="3"/>
  <c r="B1236" i="4" l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A1225" i="2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24" i="2"/>
  <c r="C1178" i="2"/>
  <c r="D1178" i="4"/>
  <c r="B1334" i="4" l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C1177" i="2"/>
  <c r="F1177" i="2" s="1"/>
  <c r="I1177" i="2"/>
  <c r="M1177" i="2" s="1"/>
  <c r="I1177" i="4"/>
  <c r="D1177" i="4"/>
  <c r="E1177" i="4" s="1"/>
  <c r="B1351" i="4" l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J1177" i="4"/>
  <c r="L1177" i="2"/>
  <c r="I1176" i="2"/>
  <c r="C1176" i="2"/>
  <c r="B1403" i="4" l="1"/>
  <c r="B1404" i="4" s="1"/>
  <c r="B1405" i="4" s="1"/>
  <c r="B1406" i="4" s="1"/>
  <c r="B1407" i="4" s="1"/>
  <c r="B1408" i="4" s="1"/>
  <c r="I1175" i="2"/>
  <c r="C1175" i="2"/>
  <c r="B1409" i="4" l="1"/>
  <c r="B1410" i="4" s="1"/>
  <c r="B1411" i="4" s="1"/>
  <c r="B1413" i="4" s="1"/>
  <c r="D1176" i="4"/>
  <c r="B1414" i="4" l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D1175" i="4"/>
  <c r="B1440" i="4" l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C1174" i="2"/>
  <c r="B1455" i="4" l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D1174" i="4"/>
  <c r="I1174" i="2"/>
  <c r="B1491" i="4" l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C1171" i="2"/>
  <c r="B1581" i="4" l="1"/>
  <c r="B1582" i="4" s="1"/>
  <c r="B1583" i="4" s="1"/>
  <c r="B1584" i="4" s="1"/>
  <c r="I1171" i="2"/>
  <c r="B1586" i="4" l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585" i="4"/>
  <c r="I1173" i="2"/>
  <c r="I1172" i="2"/>
  <c r="C1173" i="2"/>
  <c r="C1172" i="2"/>
  <c r="D1173" i="4"/>
  <c r="B1614" i="4" l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D1172" i="4"/>
  <c r="B1635" i="4" l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D1171" i="4"/>
  <c r="I1170" i="2"/>
  <c r="C1170" i="2"/>
  <c r="B1650" i="4" l="1"/>
  <c r="B1651" i="4" s="1"/>
  <c r="B1652" i="4" s="1"/>
  <c r="B1653" i="4" s="1"/>
  <c r="B1654" i="4" s="1"/>
  <c r="B1648" i="4"/>
  <c r="B1649" i="4" s="1"/>
  <c r="D1170" i="4"/>
  <c r="B1655" i="4" l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I1169" i="2"/>
  <c r="C1169" i="2"/>
  <c r="B1672" i="4" l="1"/>
  <c r="B1673" i="4" s="1"/>
  <c r="B1674" i="4" s="1"/>
  <c r="B1675" i="4" s="1"/>
  <c r="B1676" i="4" s="1"/>
  <c r="B1677" i="4" s="1"/>
  <c r="B1678" i="4" s="1"/>
  <c r="B1679" i="4" s="1"/>
  <c r="B1680" i="4" s="1"/>
  <c r="I1168" i="2"/>
  <c r="C1168" i="2"/>
  <c r="D1169" i="4"/>
  <c r="B1681" i="4" l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D1168" i="4"/>
  <c r="I1170" i="4"/>
  <c r="I1171" i="4"/>
  <c r="I1172" i="4"/>
  <c r="I1173" i="4"/>
  <c r="I1174" i="4"/>
  <c r="I1175" i="4"/>
  <c r="I1176" i="4"/>
  <c r="I1178" i="4"/>
  <c r="I1179" i="4"/>
  <c r="I1180" i="4"/>
  <c r="E1170" i="4"/>
  <c r="J1170" i="4" s="1"/>
  <c r="E1171" i="4"/>
  <c r="E1172" i="4"/>
  <c r="E1173" i="4"/>
  <c r="E1174" i="4"/>
  <c r="E1175" i="4"/>
  <c r="E1176" i="4"/>
  <c r="E1178" i="4"/>
  <c r="E1179" i="4"/>
  <c r="E1180" i="4"/>
  <c r="M1170" i="2"/>
  <c r="M1171" i="2"/>
  <c r="M1172" i="2"/>
  <c r="M1173" i="2"/>
  <c r="M1174" i="2"/>
  <c r="M1175" i="2"/>
  <c r="M1176" i="2"/>
  <c r="M1178" i="2"/>
  <c r="M1179" i="2"/>
  <c r="M1180" i="2"/>
  <c r="F1170" i="2"/>
  <c r="F1171" i="2"/>
  <c r="F1172" i="2"/>
  <c r="F1173" i="2"/>
  <c r="F1174" i="2"/>
  <c r="F1175" i="2"/>
  <c r="F1176" i="2"/>
  <c r="F1178" i="2"/>
  <c r="F1179" i="2"/>
  <c r="F1180" i="2"/>
  <c r="B1707" i="4" l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06" i="4"/>
  <c r="J1180" i="4"/>
  <c r="J1179" i="4"/>
  <c r="J1174" i="4"/>
  <c r="J1173" i="4"/>
  <c r="J1172" i="4"/>
  <c r="J1171" i="4"/>
  <c r="L1179" i="2"/>
  <c r="L1178" i="2"/>
  <c r="L1176" i="2"/>
  <c r="L1175" i="2"/>
  <c r="L1174" i="2"/>
  <c r="L1173" i="2"/>
  <c r="L1172" i="2"/>
  <c r="L1171" i="2"/>
  <c r="L1170" i="2"/>
  <c r="L1180" i="2"/>
  <c r="J1175" i="4"/>
  <c r="J1178" i="4"/>
  <c r="J1176" i="4"/>
  <c r="I1167" i="2"/>
  <c r="C1167" i="2"/>
  <c r="D1167" i="4"/>
  <c r="I1166" i="2" l="1"/>
  <c r="C1166" i="2"/>
  <c r="D1166" i="4"/>
  <c r="I1165" i="2" l="1"/>
  <c r="C1165" i="2"/>
  <c r="D1165" i="4"/>
  <c r="D1164" i="4" l="1"/>
  <c r="E1164" i="4" s="1"/>
  <c r="I1164" i="4"/>
  <c r="C1164" i="2"/>
  <c r="F1164" i="2" s="1"/>
  <c r="I1164" i="2"/>
  <c r="M1164" i="2" s="1"/>
  <c r="L1164" i="2" l="1"/>
  <c r="J1164" i="4"/>
  <c r="D1163" i="4"/>
  <c r="I1163" i="2"/>
  <c r="C1163" i="2"/>
  <c r="M1165" i="2" l="1"/>
  <c r="M1166" i="2"/>
  <c r="M1167" i="2"/>
  <c r="M1168" i="2"/>
  <c r="M1169" i="2"/>
  <c r="F1165" i="2"/>
  <c r="F1166" i="2"/>
  <c r="F1167" i="2"/>
  <c r="F1168" i="2"/>
  <c r="F1169" i="2"/>
  <c r="I1165" i="4"/>
  <c r="I1166" i="4"/>
  <c r="I1167" i="4"/>
  <c r="I1168" i="4"/>
  <c r="I1169" i="4"/>
  <c r="E1165" i="4"/>
  <c r="E1166" i="4"/>
  <c r="E1167" i="4"/>
  <c r="E1168" i="4"/>
  <c r="E1169" i="4"/>
  <c r="J1168" i="4" l="1"/>
  <c r="J1167" i="4"/>
  <c r="J1165" i="4"/>
  <c r="J1169" i="4"/>
  <c r="J1166" i="4"/>
  <c r="L1169" i="2"/>
  <c r="L1168" i="2"/>
  <c r="L1167" i="2"/>
  <c r="L1166" i="2"/>
  <c r="L1165" i="2"/>
  <c r="C1162" i="2"/>
  <c r="I1162" i="2"/>
  <c r="D1162" i="4"/>
  <c r="C1161" i="2" l="1"/>
  <c r="I1161" i="2"/>
  <c r="D1161" i="4"/>
  <c r="D1160" i="4" l="1"/>
  <c r="C1160" i="2"/>
  <c r="I1160" i="2"/>
  <c r="D1159" i="4" l="1"/>
  <c r="I1159" i="2"/>
  <c r="C1159" i="2"/>
  <c r="D1158" i="4" l="1"/>
  <c r="I1158" i="2"/>
  <c r="C1158" i="2"/>
  <c r="D1157" i="4" l="1"/>
  <c r="C1157" i="2"/>
  <c r="I1157" i="2"/>
  <c r="D1156" i="4" l="1"/>
  <c r="C1156" i="2"/>
  <c r="I1156" i="2"/>
  <c r="D1155" i="4" l="1"/>
  <c r="I1155" i="2"/>
  <c r="C1155" i="2"/>
  <c r="D1154" i="4" l="1"/>
  <c r="I1154" i="2"/>
  <c r="C1154" i="2"/>
  <c r="I1153" i="2" l="1"/>
  <c r="C1153" i="2"/>
  <c r="D1153" i="4"/>
  <c r="M1163" i="2"/>
  <c r="M1162" i="2"/>
  <c r="M1161" i="2"/>
  <c r="M1160" i="2"/>
  <c r="M1159" i="2"/>
  <c r="M1158" i="2"/>
  <c r="M1157" i="2"/>
  <c r="M1156" i="2"/>
  <c r="M1155" i="2"/>
  <c r="F1155" i="2"/>
  <c r="F1156" i="2"/>
  <c r="F1157" i="2"/>
  <c r="F1158" i="2"/>
  <c r="F1159" i="2"/>
  <c r="F1160" i="2"/>
  <c r="F1161" i="2"/>
  <c r="F1162" i="2"/>
  <c r="F1163" i="2"/>
  <c r="I1155" i="4"/>
  <c r="I1156" i="4"/>
  <c r="I1157" i="4"/>
  <c r="I1158" i="4"/>
  <c r="I1159" i="4"/>
  <c r="I1160" i="4"/>
  <c r="I1161" i="4"/>
  <c r="I1162" i="4"/>
  <c r="I1163" i="4"/>
  <c r="E1155" i="4"/>
  <c r="E1156" i="4"/>
  <c r="E1157" i="4"/>
  <c r="E1158" i="4"/>
  <c r="E1159" i="4"/>
  <c r="E1160" i="4"/>
  <c r="E1161" i="4"/>
  <c r="E1162" i="4"/>
  <c r="E1163" i="4"/>
  <c r="J1158" i="4" l="1"/>
  <c r="J1159" i="4"/>
  <c r="J1156" i="4"/>
  <c r="J1155" i="4"/>
  <c r="L1161" i="2"/>
  <c r="J1157" i="4"/>
  <c r="L1163" i="2"/>
  <c r="J1162" i="4"/>
  <c r="L1160" i="2"/>
  <c r="J1161" i="4"/>
  <c r="J1163" i="4"/>
  <c r="L1158" i="2"/>
  <c r="L1157" i="2"/>
  <c r="L1155" i="2"/>
  <c r="L1162" i="2"/>
  <c r="J1160" i="4"/>
  <c r="L1156" i="2"/>
  <c r="L1159" i="2"/>
  <c r="D1152" i="4"/>
  <c r="I1152" i="2"/>
  <c r="C1152" i="2"/>
  <c r="D1151" i="4" l="1"/>
  <c r="C1151" i="2"/>
  <c r="I1151" i="2"/>
  <c r="B1822" i="3" l="1"/>
  <c r="C1822" i="3"/>
  <c r="D1822" i="3"/>
  <c r="E1822" i="3"/>
  <c r="F1822" i="3"/>
  <c r="G1822" i="3"/>
  <c r="H1822" i="3"/>
  <c r="I1822" i="3"/>
  <c r="J1822" i="3"/>
  <c r="K1822" i="3"/>
  <c r="L1822" i="3"/>
  <c r="M1822" i="3"/>
  <c r="B1823" i="3"/>
  <c r="C1823" i="3"/>
  <c r="D1823" i="3"/>
  <c r="E1823" i="3"/>
  <c r="F1823" i="3"/>
  <c r="G1823" i="3"/>
  <c r="H1823" i="3"/>
  <c r="I1823" i="3"/>
  <c r="J1823" i="3"/>
  <c r="K1823" i="3"/>
  <c r="L1823" i="3"/>
  <c r="M1823" i="3"/>
  <c r="D1150" i="4" l="1"/>
  <c r="I1150" i="2"/>
  <c r="C1150" i="2"/>
  <c r="D1149" i="4" l="1"/>
  <c r="I1149" i="2"/>
  <c r="C1149" i="2"/>
  <c r="D1148" i="4" l="1"/>
  <c r="I1148" i="2"/>
  <c r="C1148" i="2"/>
  <c r="D1147" i="4" l="1"/>
  <c r="C1147" i="2"/>
  <c r="I1147" i="2"/>
  <c r="D1146" i="4" l="1"/>
  <c r="I1146" i="2"/>
  <c r="C1146" i="2"/>
  <c r="I1145" i="2" l="1"/>
  <c r="C1145" i="2"/>
  <c r="D1145" i="4"/>
  <c r="C1144" i="2" l="1"/>
  <c r="C1143" i="2" l="1"/>
  <c r="D1144" i="4"/>
  <c r="I1144" i="2"/>
  <c r="I1143" i="2" l="1"/>
  <c r="D1143" i="4"/>
  <c r="D1142" i="4" l="1"/>
  <c r="I1142" i="2"/>
  <c r="C1142" i="2"/>
  <c r="D1141" i="4" l="1"/>
  <c r="I1141" i="2"/>
  <c r="C1141" i="2"/>
  <c r="D1140" i="4" l="1"/>
  <c r="I1140" i="2"/>
  <c r="C1140" i="2"/>
  <c r="F1145" i="2" l="1"/>
  <c r="F1146" i="2"/>
  <c r="F1147" i="2"/>
  <c r="F1148" i="2"/>
  <c r="F1149" i="2"/>
  <c r="F1150" i="2"/>
  <c r="F1151" i="2"/>
  <c r="F1152" i="2"/>
  <c r="F1153" i="2"/>
  <c r="F1154" i="2"/>
  <c r="M1145" i="2"/>
  <c r="M1146" i="2"/>
  <c r="L1146" i="2" s="1"/>
  <c r="M1147" i="2"/>
  <c r="M1148" i="2"/>
  <c r="M1149" i="2"/>
  <c r="M1150" i="2"/>
  <c r="M1151" i="2"/>
  <c r="M1152" i="2"/>
  <c r="M1153" i="2"/>
  <c r="M1154" i="2"/>
  <c r="E1145" i="4"/>
  <c r="E1146" i="4"/>
  <c r="E1147" i="4"/>
  <c r="E1148" i="4"/>
  <c r="E1149" i="4"/>
  <c r="E1150" i="4"/>
  <c r="E1151" i="4"/>
  <c r="E1152" i="4"/>
  <c r="E1153" i="4"/>
  <c r="E1154" i="4"/>
  <c r="I1145" i="4"/>
  <c r="I1146" i="4"/>
  <c r="I1147" i="4"/>
  <c r="I1148" i="4"/>
  <c r="I1149" i="4"/>
  <c r="I1150" i="4"/>
  <c r="I1151" i="4"/>
  <c r="I1152" i="4"/>
  <c r="I1153" i="4"/>
  <c r="I1154" i="4"/>
  <c r="L1145" i="2" l="1"/>
  <c r="J1148" i="4"/>
  <c r="J1147" i="4"/>
  <c r="L1147" i="2"/>
  <c r="J1146" i="4"/>
  <c r="J1145" i="4"/>
  <c r="J1153" i="4"/>
  <c r="J1151" i="4"/>
  <c r="J1150" i="4"/>
  <c r="J1149" i="4"/>
  <c r="L1150" i="2"/>
  <c r="L1149" i="2"/>
  <c r="L1153" i="2"/>
  <c r="L1152" i="2"/>
  <c r="L1151" i="2"/>
  <c r="L1148" i="2"/>
  <c r="L1154" i="2"/>
  <c r="J1154" i="4"/>
  <c r="J1152" i="4"/>
  <c r="C1139" i="2"/>
  <c r="I1139" i="2"/>
  <c r="I1138" i="2" l="1"/>
  <c r="C1138" i="2"/>
  <c r="D1139" i="4"/>
  <c r="D1138" i="4" l="1"/>
  <c r="D1137" i="4" l="1"/>
  <c r="C1137" i="2"/>
  <c r="I1137" i="2"/>
  <c r="D1136" i="4" l="1"/>
  <c r="I1136" i="2"/>
  <c r="C1136" i="2"/>
  <c r="C1135" i="2" l="1"/>
  <c r="I1135" i="2"/>
  <c r="D1135" i="4"/>
  <c r="D1134" i="4" l="1"/>
  <c r="C1134" i="2"/>
  <c r="I1134" i="2"/>
  <c r="D1133" i="4" l="1"/>
  <c r="I1133" i="2"/>
  <c r="C1133" i="2"/>
  <c r="D1132" i="4" l="1"/>
  <c r="C1132" i="2"/>
  <c r="I1132" i="2"/>
  <c r="M1133" i="2" l="1"/>
  <c r="M1134" i="2"/>
  <c r="M1135" i="2"/>
  <c r="M1136" i="2"/>
  <c r="M1137" i="2"/>
  <c r="M1138" i="2"/>
  <c r="M1139" i="2"/>
  <c r="M1140" i="2"/>
  <c r="M1141" i="2"/>
  <c r="M1142" i="2"/>
  <c r="M1143" i="2"/>
  <c r="M1144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I1134" i="4"/>
  <c r="I1135" i="4"/>
  <c r="I1136" i="4"/>
  <c r="I1137" i="4"/>
  <c r="I1138" i="4"/>
  <c r="I1139" i="4"/>
  <c r="I1140" i="4"/>
  <c r="I1141" i="4"/>
  <c r="I1142" i="4"/>
  <c r="I1143" i="4"/>
  <c r="I1144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I1133" i="4"/>
  <c r="C1131" i="2"/>
  <c r="I1131" i="2"/>
  <c r="J1144" i="4" l="1"/>
  <c r="J1142" i="4"/>
  <c r="L1141" i="2"/>
  <c r="J1143" i="4"/>
  <c r="J1134" i="4"/>
  <c r="J1139" i="4"/>
  <c r="J1135" i="4"/>
  <c r="J1141" i="4"/>
  <c r="J1140" i="4"/>
  <c r="J1137" i="4"/>
  <c r="J1136" i="4"/>
  <c r="L1144" i="2"/>
  <c r="L1143" i="2"/>
  <c r="L1142" i="2"/>
  <c r="L1140" i="2"/>
  <c r="L1139" i="2"/>
  <c r="L1138" i="2"/>
  <c r="J1138" i="4"/>
  <c r="L1137" i="2"/>
  <c r="L1136" i="2"/>
  <c r="L1135" i="2"/>
  <c r="L1134" i="2"/>
  <c r="J1133" i="4"/>
  <c r="L1133" i="2"/>
  <c r="D1131" i="4"/>
  <c r="C1130" i="2" l="1"/>
  <c r="D1130" i="4"/>
  <c r="I1130" i="2"/>
  <c r="C1129" i="2" l="1"/>
  <c r="I1129" i="2"/>
  <c r="D1129" i="4"/>
  <c r="D1128" i="4" l="1"/>
  <c r="C1128" i="2"/>
  <c r="I1128" i="2"/>
  <c r="I1127" i="2" l="1"/>
  <c r="C1127" i="2"/>
  <c r="D1127" i="4"/>
  <c r="D1126" i="4" l="1"/>
  <c r="I1126" i="2"/>
  <c r="C1126" i="2"/>
  <c r="I1125" i="2" l="1"/>
  <c r="C1125" i="2"/>
  <c r="D1125" i="4"/>
  <c r="C1124" i="2" l="1"/>
  <c r="I1124" i="2"/>
  <c r="D1124" i="4"/>
  <c r="I1123" i="2" l="1"/>
  <c r="C1123" i="2"/>
  <c r="D1123" i="4"/>
  <c r="D1122" i="4" l="1"/>
  <c r="I1122" i="2"/>
  <c r="C1122" i="2"/>
  <c r="I1121" i="2" l="1"/>
  <c r="C1121" i="2"/>
  <c r="D1121" i="4" l="1"/>
  <c r="I1122" i="4" l="1"/>
  <c r="I1123" i="4"/>
  <c r="I1124" i="4"/>
  <c r="I1125" i="4"/>
  <c r="I1126" i="4"/>
  <c r="I1127" i="4"/>
  <c r="I1128" i="4"/>
  <c r="I1129" i="4"/>
  <c r="I1130" i="4"/>
  <c r="I1131" i="4"/>
  <c r="I1132" i="4"/>
  <c r="E1122" i="4"/>
  <c r="E1123" i="4"/>
  <c r="E1124" i="4"/>
  <c r="E1125" i="4"/>
  <c r="E1126" i="4"/>
  <c r="E1127" i="4"/>
  <c r="E1128" i="4"/>
  <c r="E1129" i="4"/>
  <c r="E1130" i="4"/>
  <c r="E1131" i="4"/>
  <c r="E1132" i="4"/>
  <c r="M1122" i="2"/>
  <c r="M1123" i="2"/>
  <c r="M1124" i="2"/>
  <c r="M1125" i="2"/>
  <c r="M1126" i="2"/>
  <c r="M1127" i="2"/>
  <c r="M1128" i="2"/>
  <c r="M1129" i="2"/>
  <c r="M1130" i="2"/>
  <c r="M1131" i="2"/>
  <c r="M1132" i="2"/>
  <c r="F1122" i="2"/>
  <c r="F1123" i="2"/>
  <c r="F1124" i="2"/>
  <c r="F1125" i="2"/>
  <c r="F1126" i="2"/>
  <c r="F1127" i="2"/>
  <c r="F1128" i="2"/>
  <c r="F1129" i="2"/>
  <c r="F1130" i="2"/>
  <c r="F1131" i="2"/>
  <c r="F1132" i="2"/>
  <c r="J1132" i="4" l="1"/>
  <c r="J1127" i="4"/>
  <c r="L1127" i="2"/>
  <c r="J1124" i="4"/>
  <c r="J1123" i="4"/>
  <c r="L1132" i="2"/>
  <c r="J1131" i="4"/>
  <c r="L1131" i="2"/>
  <c r="J1130" i="4"/>
  <c r="J1129" i="4"/>
  <c r="J1128" i="4"/>
  <c r="J1126" i="4"/>
  <c r="L1129" i="2"/>
  <c r="L1130" i="2"/>
  <c r="L1128" i="2"/>
  <c r="L1126" i="2"/>
  <c r="J1125" i="4"/>
  <c r="L1125" i="2"/>
  <c r="L1124" i="2"/>
  <c r="L1123" i="2"/>
  <c r="J1122" i="4"/>
  <c r="L1122" i="2"/>
  <c r="C1120" i="2"/>
  <c r="I1120" i="2"/>
  <c r="D1120" i="4"/>
  <c r="D1119" i="4" l="1"/>
  <c r="I1119" i="2"/>
  <c r="C1119" i="2"/>
  <c r="D1118" i="4" l="1"/>
  <c r="I1118" i="2"/>
  <c r="C1118" i="2"/>
  <c r="D1117" i="4" l="1"/>
  <c r="C1117" i="2"/>
  <c r="I1117" i="2"/>
  <c r="I1116" i="2" l="1"/>
  <c r="C1116" i="2"/>
  <c r="D1116" i="4"/>
  <c r="D1115" i="4" l="1"/>
  <c r="C1115" i="2"/>
  <c r="I1115" i="2"/>
  <c r="C1114" i="2" l="1"/>
  <c r="I1114" i="2"/>
  <c r="D1114" i="4"/>
  <c r="C1113" i="2" l="1"/>
  <c r="I1113" i="2"/>
  <c r="D1113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D1112" i="4" l="1"/>
  <c r="I1112" i="2"/>
  <c r="C1112" i="2"/>
  <c r="I1111" i="2" l="1"/>
  <c r="C1111" i="2"/>
  <c r="D1111" i="4"/>
  <c r="C1110" i="2" l="1"/>
  <c r="I1110" i="2"/>
  <c r="D1110" i="4"/>
  <c r="I1109" i="2" l="1"/>
  <c r="C1109" i="2"/>
  <c r="D1109" i="4"/>
  <c r="D1108" i="4" l="1"/>
  <c r="I1108" i="2"/>
  <c r="C1108" i="2"/>
  <c r="D1107" i="4" l="1"/>
  <c r="D1106" i="4"/>
  <c r="I1107" i="2"/>
  <c r="C1107" i="2"/>
  <c r="I1106" i="2" l="1"/>
  <c r="C1106" i="2"/>
  <c r="I1105" i="2" l="1"/>
  <c r="I1104" i="2"/>
  <c r="C1105" i="2"/>
  <c r="C1104" i="2"/>
  <c r="D1105" i="4"/>
  <c r="I1103" i="2" l="1"/>
  <c r="D1104" i="4"/>
  <c r="D1103" i="4" l="1"/>
  <c r="C1103" i="2"/>
  <c r="I1104" i="4" l="1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E1104" i="4"/>
  <c r="E1105" i="4"/>
  <c r="J1105" i="4" s="1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J1119" i="4" l="1"/>
  <c r="J1118" i="4"/>
  <c r="J1112" i="4"/>
  <c r="L1121" i="2"/>
  <c r="L1109" i="2"/>
  <c r="J1108" i="4"/>
  <c r="J1121" i="4"/>
  <c r="L1119" i="2"/>
  <c r="J1120" i="4"/>
  <c r="L1120" i="2"/>
  <c r="L1118" i="2"/>
  <c r="J1117" i="4"/>
  <c r="L1117" i="2"/>
  <c r="J1116" i="4"/>
  <c r="J1115" i="4"/>
  <c r="J1113" i="4"/>
  <c r="L1113" i="2"/>
  <c r="L1115" i="2"/>
  <c r="L1116" i="2"/>
  <c r="L1114" i="2"/>
  <c r="J1114" i="4"/>
  <c r="L1112" i="2"/>
  <c r="J1111" i="4"/>
  <c r="L1111" i="2"/>
  <c r="J1110" i="4"/>
  <c r="L1110" i="2"/>
  <c r="J1109" i="4"/>
  <c r="J1106" i="4"/>
  <c r="L1104" i="2"/>
  <c r="J1107" i="4"/>
  <c r="J1104" i="4"/>
  <c r="L1108" i="2"/>
  <c r="L1107" i="2"/>
  <c r="L1106" i="2"/>
  <c r="L1105" i="2"/>
  <c r="I1102" i="2" l="1"/>
  <c r="C1102" i="2"/>
  <c r="I1101" i="2" l="1"/>
  <c r="C1101" i="2"/>
  <c r="D1102" i="4"/>
  <c r="D1101" i="4" l="1"/>
  <c r="C1100" i="2" l="1"/>
  <c r="I1100" i="2"/>
  <c r="D1100" i="4"/>
  <c r="D1099" i="4" l="1"/>
  <c r="I1099" i="2"/>
  <c r="C1099" i="2"/>
  <c r="I1098" i="2" l="1"/>
  <c r="C1098" i="2"/>
  <c r="D1098" i="4"/>
  <c r="D1097" i="4" l="1"/>
  <c r="I1097" i="2"/>
  <c r="C1097" i="2"/>
  <c r="C1096" i="2" l="1"/>
  <c r="D1096" i="4"/>
  <c r="I1096" i="2"/>
  <c r="C1095" i="2" l="1"/>
  <c r="I1095" i="2"/>
  <c r="D1095" i="4"/>
  <c r="D1094" i="4" l="1"/>
  <c r="I1094" i="2"/>
  <c r="C1094" i="2"/>
  <c r="I1093" i="2" l="1"/>
  <c r="C1093" i="2"/>
  <c r="D1093" i="4"/>
  <c r="D1092" i="4" l="1"/>
  <c r="C1092" i="2"/>
  <c r="I1092" i="2"/>
  <c r="I1091" i="2" l="1"/>
  <c r="C1091" i="2"/>
  <c r="D1091" i="4"/>
  <c r="I1090" i="2" l="1"/>
  <c r="C1090" i="2"/>
  <c r="D1090" i="4"/>
  <c r="D1089" i="4" l="1"/>
  <c r="D1088" i="4"/>
  <c r="I1089" i="2"/>
  <c r="C1089" i="2"/>
  <c r="C1088" i="2" l="1"/>
  <c r="I1088" i="2"/>
  <c r="D1087" i="4" l="1"/>
  <c r="C1087" i="2"/>
  <c r="I1087" i="2"/>
  <c r="D1086" i="4" l="1"/>
  <c r="I1086" i="2"/>
  <c r="C1086" i="2"/>
  <c r="D1085" i="4" l="1"/>
  <c r="I1085" i="2"/>
  <c r="C1085" i="2"/>
  <c r="I1083" i="2" l="1"/>
  <c r="D1084" i="4"/>
  <c r="C1084" i="2"/>
  <c r="I1084" i="2"/>
  <c r="D1083" i="4" l="1"/>
  <c r="C1083" i="2"/>
  <c r="C1082" i="2" l="1"/>
  <c r="C1081" i="2" l="1"/>
  <c r="D1082" i="4" l="1"/>
  <c r="D1081" i="4"/>
  <c r="I1093" i="4" l="1"/>
  <c r="I1094" i="4"/>
  <c r="I1095" i="4"/>
  <c r="I1096" i="4"/>
  <c r="I1097" i="4"/>
  <c r="I1098" i="4"/>
  <c r="I1099" i="4"/>
  <c r="I1100" i="4"/>
  <c r="I1101" i="4"/>
  <c r="I1102" i="4"/>
  <c r="I1103" i="4"/>
  <c r="E1093" i="4"/>
  <c r="E1094" i="4"/>
  <c r="E1095" i="4"/>
  <c r="E1096" i="4"/>
  <c r="E1097" i="4"/>
  <c r="E1098" i="4"/>
  <c r="E1099" i="4"/>
  <c r="E1100" i="4"/>
  <c r="E1101" i="4"/>
  <c r="E1102" i="4"/>
  <c r="E1103" i="4"/>
  <c r="F1093" i="2"/>
  <c r="F1094" i="2"/>
  <c r="F1095" i="2"/>
  <c r="F1096" i="2"/>
  <c r="F1097" i="2"/>
  <c r="F1098" i="2"/>
  <c r="F1099" i="2"/>
  <c r="F1100" i="2"/>
  <c r="F1101" i="2"/>
  <c r="F1102" i="2"/>
  <c r="F1103" i="2"/>
  <c r="M1093" i="2"/>
  <c r="M1094" i="2"/>
  <c r="M1095" i="2"/>
  <c r="M1096" i="2"/>
  <c r="M1097" i="2"/>
  <c r="M1098" i="2"/>
  <c r="M1099" i="2"/>
  <c r="M1100" i="2"/>
  <c r="M1101" i="2"/>
  <c r="M1102" i="2"/>
  <c r="M1103" i="2"/>
  <c r="M1083" i="2"/>
  <c r="M1084" i="2"/>
  <c r="M1085" i="2"/>
  <c r="M1086" i="2"/>
  <c r="M1087" i="2"/>
  <c r="M1088" i="2"/>
  <c r="M1089" i="2"/>
  <c r="M1090" i="2"/>
  <c r="M1091" i="2"/>
  <c r="M1092" i="2"/>
  <c r="F1083" i="2"/>
  <c r="F1084" i="2"/>
  <c r="F1085" i="2"/>
  <c r="F1086" i="2"/>
  <c r="F1087" i="2"/>
  <c r="F1088" i="2"/>
  <c r="F1089" i="2"/>
  <c r="F1090" i="2"/>
  <c r="F1091" i="2"/>
  <c r="F1092" i="2"/>
  <c r="I1083" i="4"/>
  <c r="I1084" i="4"/>
  <c r="I1085" i="4"/>
  <c r="I1086" i="4"/>
  <c r="I1087" i="4"/>
  <c r="I1088" i="4"/>
  <c r="I1089" i="4"/>
  <c r="I1090" i="4"/>
  <c r="I1091" i="4"/>
  <c r="I1092" i="4"/>
  <c r="E1083" i="4"/>
  <c r="E1084" i="4"/>
  <c r="E1085" i="4"/>
  <c r="E1086" i="4"/>
  <c r="E1087" i="4"/>
  <c r="E1088" i="4"/>
  <c r="E1089" i="4"/>
  <c r="E1090" i="4"/>
  <c r="E1091" i="4"/>
  <c r="E1092" i="4"/>
  <c r="J1096" i="4" l="1"/>
  <c r="J1103" i="4"/>
  <c r="J1102" i="4"/>
  <c r="J1095" i="4"/>
  <c r="L1099" i="2"/>
  <c r="J1094" i="4"/>
  <c r="J1090" i="4"/>
  <c r="J1089" i="4"/>
  <c r="J1098" i="4"/>
  <c r="L1093" i="2"/>
  <c r="L1091" i="2"/>
  <c r="J1101" i="4"/>
  <c r="L1101" i="2"/>
  <c r="J1085" i="4"/>
  <c r="L1100" i="2"/>
  <c r="L1097" i="2"/>
  <c r="J1086" i="4"/>
  <c r="J1100" i="4"/>
  <c r="J1092" i="4"/>
  <c r="L1095" i="2"/>
  <c r="J1088" i="4"/>
  <c r="J1087" i="4"/>
  <c r="L1098" i="2"/>
  <c r="L1096" i="2"/>
  <c r="J1091" i="4"/>
  <c r="L1094" i="2"/>
  <c r="L1092" i="2"/>
  <c r="J1099" i="4"/>
  <c r="J1097" i="4"/>
  <c r="J1093" i="4"/>
  <c r="L1103" i="2"/>
  <c r="L1102" i="2"/>
  <c r="L1090" i="2"/>
  <c r="L1089" i="2"/>
  <c r="L1088" i="2"/>
  <c r="L1087" i="2"/>
  <c r="L1086" i="2"/>
  <c r="L1085" i="2"/>
  <c r="L1084" i="2"/>
  <c r="J1084" i="4"/>
  <c r="J1083" i="4"/>
  <c r="L1083" i="2"/>
  <c r="D1080" i="4"/>
  <c r="D1079" i="4" l="1"/>
  <c r="D1078" i="4" l="1"/>
  <c r="D1077" i="4" l="1"/>
  <c r="D1076" i="4" l="1"/>
  <c r="D1075" i="4" l="1"/>
  <c r="D1074" i="4" l="1"/>
  <c r="D1073" i="4" l="1"/>
  <c r="D1072" i="4" l="1"/>
  <c r="D1071" i="4" l="1"/>
  <c r="D1070" i="4" l="1"/>
  <c r="D1069" i="4" l="1"/>
  <c r="M1071" i="2" l="1"/>
  <c r="M1072" i="2"/>
  <c r="M1073" i="2"/>
  <c r="M1074" i="2"/>
  <c r="M1075" i="2"/>
  <c r="M1076" i="2"/>
  <c r="M1077" i="2"/>
  <c r="M1078" i="2"/>
  <c r="M1079" i="2"/>
  <c r="M1080" i="2"/>
  <c r="M1081" i="2"/>
  <c r="M1082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L1082" i="2" l="1"/>
  <c r="L1081" i="2"/>
  <c r="L1080" i="2"/>
  <c r="L1079" i="2"/>
  <c r="L1078" i="2"/>
  <c r="L1077" i="2"/>
  <c r="L1076" i="2"/>
  <c r="L1075" i="2"/>
  <c r="L1074" i="2"/>
  <c r="L1073" i="2"/>
  <c r="L1072" i="2"/>
  <c r="L1071" i="2"/>
  <c r="D1068" i="4"/>
  <c r="D1067" i="4" l="1"/>
  <c r="D1066" i="4" l="1"/>
  <c r="D1065" i="4" l="1"/>
  <c r="D1064" i="4" l="1"/>
  <c r="D1063" i="4" l="1"/>
  <c r="D1062" i="4" l="1"/>
  <c r="D1061" i="4" l="1"/>
  <c r="D1060" i="4" l="1"/>
  <c r="D1059" i="4" l="1"/>
  <c r="D1058" i="4" l="1"/>
  <c r="D1057" i="4"/>
  <c r="M1060" i="2" l="1"/>
  <c r="M1061" i="2"/>
  <c r="M1062" i="2"/>
  <c r="M1063" i="2"/>
  <c r="M1064" i="2"/>
  <c r="M1065" i="2"/>
  <c r="M1066" i="2"/>
  <c r="M1067" i="2"/>
  <c r="M1068" i="2"/>
  <c r="M1069" i="2"/>
  <c r="M1070" i="2"/>
  <c r="F1060" i="2"/>
  <c r="F1061" i="2"/>
  <c r="F1062" i="2"/>
  <c r="F1063" i="2"/>
  <c r="F1064" i="2"/>
  <c r="F1065" i="2"/>
  <c r="F1066" i="2"/>
  <c r="F1067" i="2"/>
  <c r="F1068" i="2"/>
  <c r="F1069" i="2"/>
  <c r="F1070" i="2"/>
  <c r="L1065" i="2" l="1"/>
  <c r="L1070" i="2"/>
  <c r="L1069" i="2"/>
  <c r="L1068" i="2"/>
  <c r="L1067" i="2"/>
  <c r="L1066" i="2"/>
  <c r="L1064" i="2"/>
  <c r="L1063" i="2"/>
  <c r="L1062" i="2"/>
  <c r="L1061" i="2"/>
  <c r="L1060" i="2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J1073" i="4" l="1"/>
  <c r="J1061" i="4"/>
  <c r="J1080" i="4"/>
  <c r="J1068" i="4"/>
  <c r="J1067" i="4"/>
  <c r="J1077" i="4"/>
  <c r="J1063" i="4"/>
  <c r="J1062" i="4"/>
  <c r="J1069" i="4"/>
  <c r="J1064" i="4"/>
  <c r="J1065" i="4"/>
  <c r="J1066" i="4"/>
  <c r="J1060" i="4"/>
  <c r="J1081" i="4"/>
  <c r="J1075" i="4"/>
  <c r="J1072" i="4"/>
  <c r="J1070" i="4"/>
  <c r="J1071" i="4"/>
  <c r="J1082" i="4"/>
  <c r="J1078" i="4"/>
  <c r="J1079" i="4"/>
  <c r="J1076" i="4"/>
  <c r="J1074" i="4"/>
  <c r="D1056" i="4"/>
  <c r="D1055" i="4" l="1"/>
  <c r="D1054" i="4" l="1"/>
  <c r="D1053" i="4" l="1"/>
  <c r="D1052" i="4" l="1"/>
  <c r="D1051" i="4" l="1"/>
  <c r="D1050" i="4" l="1"/>
  <c r="D1049" i="4" l="1"/>
  <c r="M1049" i="2" l="1"/>
  <c r="M1050" i="2"/>
  <c r="M1051" i="2"/>
  <c r="M1052" i="2"/>
  <c r="M1053" i="2"/>
  <c r="M1054" i="2"/>
  <c r="M1055" i="2"/>
  <c r="M1056" i="2"/>
  <c r="M1057" i="2"/>
  <c r="M1058" i="2"/>
  <c r="M1059" i="2"/>
  <c r="F1050" i="2"/>
  <c r="F1051" i="2"/>
  <c r="F1052" i="2"/>
  <c r="F1053" i="2"/>
  <c r="F1054" i="2"/>
  <c r="F1055" i="2"/>
  <c r="F1056" i="2"/>
  <c r="F1057" i="2"/>
  <c r="F1058" i="2"/>
  <c r="F1059" i="2"/>
  <c r="I1049" i="4"/>
  <c r="I1050" i="4"/>
  <c r="I1051" i="4"/>
  <c r="I1052" i="4"/>
  <c r="I1053" i="4"/>
  <c r="I1054" i="4"/>
  <c r="I1055" i="4"/>
  <c r="I1056" i="4"/>
  <c r="I1057" i="4"/>
  <c r="I1058" i="4"/>
  <c r="I1059" i="4"/>
  <c r="E1050" i="4"/>
  <c r="E1051" i="4"/>
  <c r="E1052" i="4"/>
  <c r="E1053" i="4"/>
  <c r="E1054" i="4"/>
  <c r="E1055" i="4"/>
  <c r="E1056" i="4"/>
  <c r="E1057" i="4"/>
  <c r="E1058" i="4"/>
  <c r="E1059" i="4"/>
  <c r="E1049" i="4"/>
  <c r="F1049" i="2"/>
  <c r="J1050" i="4" l="1"/>
  <c r="J1058" i="4"/>
  <c r="J1055" i="4"/>
  <c r="J1059" i="4"/>
  <c r="J1057" i="4"/>
  <c r="J1056" i="4"/>
  <c r="L1056" i="2"/>
  <c r="L1055" i="2"/>
  <c r="J1054" i="4"/>
  <c r="J1053" i="4"/>
  <c r="L1051" i="2"/>
  <c r="J1051" i="4"/>
  <c r="L1053" i="2"/>
  <c r="L1052" i="2"/>
  <c r="L1058" i="2"/>
  <c r="L1054" i="2"/>
  <c r="L1059" i="2"/>
  <c r="J1052" i="4"/>
  <c r="L1057" i="2"/>
  <c r="L1050" i="2"/>
  <c r="J1049" i="4"/>
  <c r="L1049" i="2"/>
  <c r="I1037" i="4" l="1"/>
  <c r="E1037" i="4"/>
  <c r="B1037" i="4"/>
  <c r="M1037" i="2"/>
  <c r="F1037" i="2"/>
  <c r="J1037" i="4" l="1"/>
  <c r="L1037" i="2"/>
  <c r="E1039" i="4"/>
  <c r="E1040" i="4"/>
  <c r="E1041" i="4"/>
  <c r="E1042" i="4"/>
  <c r="E1043" i="4"/>
  <c r="E1044" i="4"/>
  <c r="E1045" i="4"/>
  <c r="E1046" i="4"/>
  <c r="E1047" i="4"/>
  <c r="E1048" i="4"/>
  <c r="E1038" i="4"/>
  <c r="F1039" i="2"/>
  <c r="F1040" i="2"/>
  <c r="F1041" i="2"/>
  <c r="F1042" i="2"/>
  <c r="F1043" i="2"/>
  <c r="F1044" i="2"/>
  <c r="F1045" i="2"/>
  <c r="F1046" i="2"/>
  <c r="F1047" i="2"/>
  <c r="F1048" i="2"/>
  <c r="F1038" i="2"/>
  <c r="I1038" i="4" l="1"/>
  <c r="J1038" i="4" s="1"/>
  <c r="I1039" i="4"/>
  <c r="J1039" i="4" s="1"/>
  <c r="I1040" i="4"/>
  <c r="J1040" i="4" s="1"/>
  <c r="I1041" i="4"/>
  <c r="J1041" i="4" s="1"/>
  <c r="I1042" i="4"/>
  <c r="J1042" i="4" s="1"/>
  <c r="I1043" i="4"/>
  <c r="J1043" i="4" s="1"/>
  <c r="I1044" i="4"/>
  <c r="J1044" i="4" s="1"/>
  <c r="I1045" i="4"/>
  <c r="J1045" i="4" s="1"/>
  <c r="I1046" i="4"/>
  <c r="J1046" i="4" s="1"/>
  <c r="I1047" i="4"/>
  <c r="J1047" i="4" s="1"/>
  <c r="I1048" i="4"/>
  <c r="J1048" i="4" s="1"/>
  <c r="M1048" i="2"/>
  <c r="L1048" i="2" s="1"/>
  <c r="M1039" i="2"/>
  <c r="L1039" i="2" s="1"/>
  <c r="M1040" i="2"/>
  <c r="L1040" i="2" s="1"/>
  <c r="M1041" i="2"/>
  <c r="L1041" i="2" s="1"/>
  <c r="M1042" i="2"/>
  <c r="L1042" i="2" s="1"/>
  <c r="M1043" i="2"/>
  <c r="L1043" i="2" s="1"/>
  <c r="M1044" i="2"/>
  <c r="L1044" i="2" s="1"/>
  <c r="M1045" i="2"/>
  <c r="L1045" i="2" s="1"/>
  <c r="M1046" i="2"/>
  <c r="L1046" i="2" s="1"/>
  <c r="M1047" i="2"/>
  <c r="L1047" i="2" s="1"/>
  <c r="M1038" i="2"/>
  <c r="L1038" i="2" s="1"/>
  <c r="I1028" i="4" l="1"/>
  <c r="I1029" i="4"/>
  <c r="I1030" i="4"/>
  <c r="I1031" i="4"/>
  <c r="I1032" i="4"/>
  <c r="I1033" i="4"/>
  <c r="I1034" i="4"/>
  <c r="I1035" i="4"/>
  <c r="I1036" i="4"/>
  <c r="E1028" i="4"/>
  <c r="E1029" i="4"/>
  <c r="E1030" i="4"/>
  <c r="E1031" i="4"/>
  <c r="E1032" i="4"/>
  <c r="E1033" i="4"/>
  <c r="E1034" i="4"/>
  <c r="E1035" i="4"/>
  <c r="E1036" i="4"/>
  <c r="M1028" i="2"/>
  <c r="M1029" i="2"/>
  <c r="M1030" i="2"/>
  <c r="M1031" i="2"/>
  <c r="M1032" i="2"/>
  <c r="M1033" i="2"/>
  <c r="M1034" i="2"/>
  <c r="M1035" i="2"/>
  <c r="M1036" i="2"/>
  <c r="F1028" i="2"/>
  <c r="F1029" i="2"/>
  <c r="F1030" i="2"/>
  <c r="F1031" i="2"/>
  <c r="F1032" i="2"/>
  <c r="F1033" i="2"/>
  <c r="F1034" i="2"/>
  <c r="F1035" i="2"/>
  <c r="F1036" i="2"/>
  <c r="J1030" i="4" l="1"/>
  <c r="J1029" i="4"/>
  <c r="J1036" i="4"/>
  <c r="J1032" i="4"/>
  <c r="J1031" i="4"/>
  <c r="L1036" i="2"/>
  <c r="L1028" i="2"/>
  <c r="J1035" i="4"/>
  <c r="L1035" i="2"/>
  <c r="J1034" i="4"/>
  <c r="L1034" i="2"/>
  <c r="J1033" i="4"/>
  <c r="L1033" i="2"/>
  <c r="L1032" i="2"/>
  <c r="L1031" i="2"/>
  <c r="L1030" i="2"/>
  <c r="L1029" i="2"/>
  <c r="J1028" i="4"/>
  <c r="M1018" i="2" l="1"/>
  <c r="M1019" i="2"/>
  <c r="M1020" i="2"/>
  <c r="M1021" i="2"/>
  <c r="M1022" i="2"/>
  <c r="M1023" i="2"/>
  <c r="M1024" i="2"/>
  <c r="M1025" i="2"/>
  <c r="M1026" i="2"/>
  <c r="M1027" i="2"/>
  <c r="I1018" i="4"/>
  <c r="I1019" i="4"/>
  <c r="I1020" i="4"/>
  <c r="I1021" i="4"/>
  <c r="I1022" i="4"/>
  <c r="I1023" i="4"/>
  <c r="I1024" i="4"/>
  <c r="I1025" i="4"/>
  <c r="I1026" i="4"/>
  <c r="I1027" i="4"/>
  <c r="I1017" i="4" l="1"/>
  <c r="M1017" i="2"/>
  <c r="E1018" i="4" l="1"/>
  <c r="J1018" i="4" s="1"/>
  <c r="E1019" i="4"/>
  <c r="J1019" i="4" s="1"/>
  <c r="E1020" i="4"/>
  <c r="J1020" i="4" s="1"/>
  <c r="E1021" i="4"/>
  <c r="J1021" i="4" s="1"/>
  <c r="E1022" i="4"/>
  <c r="J1022" i="4" s="1"/>
  <c r="E1023" i="4"/>
  <c r="J1023" i="4" s="1"/>
  <c r="E1024" i="4"/>
  <c r="J1024" i="4" s="1"/>
  <c r="E1025" i="4"/>
  <c r="J1025" i="4" s="1"/>
  <c r="E1026" i="4"/>
  <c r="J1026" i="4" s="1"/>
  <c r="E1027" i="4"/>
  <c r="J1027" i="4" s="1"/>
  <c r="E1017" i="4"/>
  <c r="J1017" i="4" s="1"/>
  <c r="F1018" i="2"/>
  <c r="L1018" i="2" s="1"/>
  <c r="F1019" i="2"/>
  <c r="L1019" i="2" s="1"/>
  <c r="F1020" i="2"/>
  <c r="L1020" i="2" s="1"/>
  <c r="F1021" i="2"/>
  <c r="L1021" i="2" s="1"/>
  <c r="F1022" i="2"/>
  <c r="L1022" i="2" s="1"/>
  <c r="F1023" i="2"/>
  <c r="L1023" i="2" s="1"/>
  <c r="F1024" i="2"/>
  <c r="L1024" i="2" s="1"/>
  <c r="F1025" i="2"/>
  <c r="L1025" i="2" s="1"/>
  <c r="F1026" i="2"/>
  <c r="L1026" i="2" s="1"/>
  <c r="F1027" i="2"/>
  <c r="L1027" i="2" s="1"/>
  <c r="F1017" i="2"/>
  <c r="L1017" i="2" s="1"/>
  <c r="L974" i="2" l="1"/>
  <c r="J99" i="2"/>
  <c r="I1007" i="4" l="1"/>
  <c r="I1008" i="4"/>
  <c r="I1009" i="4"/>
  <c r="I1010" i="4"/>
  <c r="I1011" i="4"/>
  <c r="I1012" i="4"/>
  <c r="I1013" i="4"/>
  <c r="I1014" i="4"/>
  <c r="I1015" i="4"/>
  <c r="I1016" i="4"/>
  <c r="E1007" i="4"/>
  <c r="E1008" i="4"/>
  <c r="E1009" i="4"/>
  <c r="E1010" i="4"/>
  <c r="E1011" i="4"/>
  <c r="E1012" i="4"/>
  <c r="E1013" i="4"/>
  <c r="E1014" i="4"/>
  <c r="E1015" i="4"/>
  <c r="E1016" i="4"/>
  <c r="M1007" i="2"/>
  <c r="M1008" i="2"/>
  <c r="M1009" i="2"/>
  <c r="M1010" i="2"/>
  <c r="M1011" i="2"/>
  <c r="M1012" i="2"/>
  <c r="M1013" i="2"/>
  <c r="M1014" i="2"/>
  <c r="M1015" i="2"/>
  <c r="M1016" i="2"/>
  <c r="F1007" i="2"/>
  <c r="F1008" i="2"/>
  <c r="F1009" i="2"/>
  <c r="F1010" i="2"/>
  <c r="F1011" i="2"/>
  <c r="F1012" i="2"/>
  <c r="F1013" i="2"/>
  <c r="F1014" i="2"/>
  <c r="F1015" i="2"/>
  <c r="F1016" i="2"/>
  <c r="L1011" i="2" l="1"/>
  <c r="J1008" i="4"/>
  <c r="J1010" i="4"/>
  <c r="J1015" i="4"/>
  <c r="J1012" i="4"/>
  <c r="L1014" i="2"/>
  <c r="L1013" i="2"/>
  <c r="J1009" i="4"/>
  <c r="L1008" i="2"/>
  <c r="L1007" i="2"/>
  <c r="L1010" i="2"/>
  <c r="J1014" i="4"/>
  <c r="L1009" i="2"/>
  <c r="J1013" i="4"/>
  <c r="L1016" i="2"/>
  <c r="J1016" i="4"/>
  <c r="L1015" i="2"/>
  <c r="L1012" i="2"/>
  <c r="J1011" i="4"/>
  <c r="J1007" i="4"/>
  <c r="I1006" i="4"/>
  <c r="E1006" i="4"/>
  <c r="M1006" i="2"/>
  <c r="F1006" i="2"/>
  <c r="L1006" i="2" l="1"/>
  <c r="J1006" i="4"/>
  <c r="I1005" i="4"/>
  <c r="E1005" i="4"/>
  <c r="F1005" i="2"/>
  <c r="M1005" i="2"/>
  <c r="J1005" i="4" l="1"/>
  <c r="L1005" i="2"/>
  <c r="I1004" i="4" l="1"/>
  <c r="E1004" i="4"/>
  <c r="J1004" i="4" l="1"/>
  <c r="F1004" i="2"/>
  <c r="M1004" i="2"/>
  <c r="L1004" i="2" l="1"/>
  <c r="I1003" i="4"/>
  <c r="E1003" i="4"/>
  <c r="M1003" i="2"/>
  <c r="F1003" i="2"/>
  <c r="L1003" i="2" l="1"/>
  <c r="J1003" i="4"/>
  <c r="E1002" i="4" l="1"/>
  <c r="I1002" i="4"/>
  <c r="F1002" i="2"/>
  <c r="M1002" i="2"/>
  <c r="L1002" i="2" l="1"/>
  <c r="J1002" i="4"/>
  <c r="E1001" i="4" l="1"/>
  <c r="I1001" i="4"/>
  <c r="F1001" i="2"/>
  <c r="M1001" i="2"/>
  <c r="L1001" i="2" l="1"/>
  <c r="J1001" i="4"/>
  <c r="F1000" i="2"/>
  <c r="I1000" i="4"/>
  <c r="E1000" i="4"/>
  <c r="M1000" i="2"/>
  <c r="J1000" i="4" l="1"/>
  <c r="L1000" i="2"/>
  <c r="E999" i="4"/>
  <c r="I999" i="4"/>
  <c r="F999" i="2"/>
  <c r="M999" i="2"/>
  <c r="J999" i="4" l="1"/>
  <c r="L999" i="2"/>
  <c r="I998" i="4" l="1"/>
  <c r="E998" i="4"/>
  <c r="M998" i="2"/>
  <c r="F998" i="2"/>
  <c r="J998" i="4" l="1"/>
  <c r="L998" i="2"/>
  <c r="I997" i="4"/>
  <c r="E997" i="4"/>
  <c r="F997" i="2"/>
  <c r="M997" i="2"/>
  <c r="J997" i="4" l="1"/>
  <c r="L997" i="2"/>
  <c r="I996" i="4"/>
  <c r="E996" i="4"/>
  <c r="F996" i="2"/>
  <c r="M996" i="2"/>
  <c r="J996" i="4" l="1"/>
  <c r="L996" i="2"/>
  <c r="M995" i="2"/>
  <c r="F995" i="2" l="1"/>
  <c r="L995" i="2" s="1"/>
  <c r="M994" i="2" l="1"/>
  <c r="F994" i="2"/>
  <c r="L994" i="2" l="1"/>
  <c r="I995" i="4"/>
  <c r="M993" i="2" l="1"/>
  <c r="F993" i="2"/>
  <c r="L993" i="2" l="1"/>
  <c r="E995" i="4"/>
  <c r="J995" i="4" s="1"/>
  <c r="M992" i="2" l="1"/>
  <c r="F992" i="2"/>
  <c r="L992" i="2" l="1"/>
  <c r="M991" i="2"/>
  <c r="F991" i="2"/>
  <c r="L991" i="2" l="1"/>
  <c r="M990" i="2"/>
  <c r="F990" i="2"/>
  <c r="L990" i="2" l="1"/>
  <c r="M989" i="2"/>
  <c r="F989" i="2"/>
  <c r="L989" i="2" s="1"/>
  <c r="F988" i="2" l="1"/>
  <c r="M988" i="2"/>
  <c r="L988" i="2" l="1"/>
  <c r="M987" i="2"/>
  <c r="I985" i="4"/>
  <c r="I986" i="4"/>
  <c r="I987" i="4"/>
  <c r="I988" i="4"/>
  <c r="I989" i="4"/>
  <c r="I990" i="4"/>
  <c r="I991" i="4"/>
  <c r="I992" i="4"/>
  <c r="I993" i="4"/>
  <c r="I994" i="4"/>
  <c r="E985" i="4"/>
  <c r="E986" i="4"/>
  <c r="E987" i="4"/>
  <c r="E988" i="4"/>
  <c r="E989" i="4"/>
  <c r="E990" i="4"/>
  <c r="E991" i="4"/>
  <c r="E992" i="4"/>
  <c r="E993" i="4"/>
  <c r="E994" i="4"/>
  <c r="F987" i="2"/>
  <c r="L987" i="2" l="1"/>
  <c r="J989" i="4"/>
  <c r="J986" i="4"/>
  <c r="J985" i="4"/>
  <c r="J993" i="4"/>
  <c r="J991" i="4"/>
  <c r="J990" i="4"/>
  <c r="J987" i="4"/>
  <c r="J994" i="4"/>
  <c r="J992" i="4"/>
  <c r="J988" i="4"/>
  <c r="M986" i="2"/>
  <c r="F986" i="2"/>
  <c r="L986" i="2" l="1"/>
  <c r="F985" i="2"/>
  <c r="M985" i="2" l="1"/>
  <c r="L985" i="2" s="1"/>
  <c r="E973" i="4" l="1"/>
  <c r="E974" i="4"/>
  <c r="E975" i="4"/>
  <c r="E976" i="4"/>
  <c r="E977" i="4"/>
  <c r="E978" i="4"/>
  <c r="E979" i="4"/>
  <c r="E980" i="4"/>
  <c r="E981" i="4"/>
  <c r="E982" i="4"/>
  <c r="E983" i="4"/>
  <c r="E984" i="4"/>
  <c r="I977" i="4" l="1"/>
  <c r="I978" i="4"/>
  <c r="I979" i="4"/>
  <c r="I980" i="4"/>
  <c r="J980" i="4" s="1"/>
  <c r="I981" i="4"/>
  <c r="J981" i="4" s="1"/>
  <c r="I982" i="4"/>
  <c r="J982" i="4" s="1"/>
  <c r="I983" i="4"/>
  <c r="J983" i="4" s="1"/>
  <c r="I984" i="4"/>
  <c r="J984" i="4" s="1"/>
  <c r="M977" i="2"/>
  <c r="M978" i="2"/>
  <c r="M979" i="2"/>
  <c r="M980" i="2"/>
  <c r="M981" i="2"/>
  <c r="M982" i="2"/>
  <c r="M983" i="2"/>
  <c r="M984" i="2"/>
  <c r="F977" i="2"/>
  <c r="F978" i="2"/>
  <c r="F979" i="2"/>
  <c r="F980" i="2"/>
  <c r="F981" i="2"/>
  <c r="F982" i="2"/>
  <c r="F983" i="2"/>
  <c r="F984" i="2"/>
  <c r="F976" i="2"/>
  <c r="I976" i="4"/>
  <c r="J976" i="4" s="1"/>
  <c r="M976" i="2"/>
  <c r="L981" i="2" l="1"/>
  <c r="L982" i="2"/>
  <c r="L977" i="2"/>
  <c r="L978" i="2"/>
  <c r="L979" i="2"/>
  <c r="L980" i="2"/>
  <c r="L984" i="2"/>
  <c r="L983" i="2"/>
  <c r="L976" i="2"/>
  <c r="J979" i="4"/>
  <c r="J978" i="4"/>
  <c r="J977" i="4"/>
  <c r="M965" i="2" l="1"/>
  <c r="M966" i="2"/>
  <c r="M967" i="2"/>
  <c r="M968" i="2"/>
  <c r="M969" i="2"/>
  <c r="M970" i="2"/>
  <c r="M971" i="2"/>
  <c r="M972" i="2"/>
  <c r="M973" i="2"/>
  <c r="M975" i="2"/>
  <c r="F965" i="2"/>
  <c r="F966" i="2"/>
  <c r="F967" i="2"/>
  <c r="F968" i="2"/>
  <c r="F969" i="2"/>
  <c r="F970" i="2"/>
  <c r="F971" i="2"/>
  <c r="F972" i="2"/>
  <c r="F973" i="2"/>
  <c r="F975" i="2"/>
  <c r="E965" i="4"/>
  <c r="E966" i="4"/>
  <c r="E967" i="4"/>
  <c r="E968" i="4"/>
  <c r="E969" i="4"/>
  <c r="E970" i="4"/>
  <c r="E971" i="4"/>
  <c r="E972" i="4"/>
  <c r="E964" i="4"/>
  <c r="F964" i="2"/>
  <c r="I965" i="4"/>
  <c r="I966" i="4"/>
  <c r="I967" i="4"/>
  <c r="I968" i="4"/>
  <c r="I969" i="4"/>
  <c r="I970" i="4"/>
  <c r="I971" i="4"/>
  <c r="I972" i="4"/>
  <c r="I973" i="4"/>
  <c r="I975" i="4"/>
  <c r="I964" i="4"/>
  <c r="M964" i="2"/>
  <c r="L966" i="2" l="1"/>
  <c r="L965" i="2"/>
  <c r="L975" i="2"/>
  <c r="L968" i="2"/>
  <c r="L973" i="2"/>
  <c r="L970" i="2"/>
  <c r="L969" i="2"/>
  <c r="L967" i="2"/>
  <c r="L964" i="2"/>
  <c r="L972" i="2"/>
  <c r="L971" i="2"/>
  <c r="J965" i="4"/>
  <c r="J964" i="4"/>
  <c r="J975" i="4"/>
  <c r="J973" i="4"/>
  <c r="J972" i="4"/>
  <c r="J971" i="4"/>
  <c r="J970" i="4"/>
  <c r="J969" i="4"/>
  <c r="J968" i="4"/>
  <c r="J967" i="4"/>
  <c r="J966" i="4"/>
  <c r="M956" i="2" l="1"/>
  <c r="M957" i="2"/>
  <c r="M958" i="2"/>
  <c r="M959" i="2"/>
  <c r="M960" i="2"/>
  <c r="M961" i="2"/>
  <c r="M962" i="2"/>
  <c r="M963" i="2"/>
  <c r="I955" i="4"/>
  <c r="I956" i="4"/>
  <c r="I957" i="4"/>
  <c r="I958" i="4"/>
  <c r="I959" i="4"/>
  <c r="I960" i="4"/>
  <c r="I961" i="4"/>
  <c r="I962" i="4"/>
  <c r="I963" i="4"/>
  <c r="M955" i="2" l="1"/>
  <c r="M954" i="2" l="1"/>
  <c r="M953" i="2" l="1"/>
  <c r="I954" i="4" l="1"/>
  <c r="E954" i="4" l="1"/>
  <c r="J954" i="4" s="1"/>
  <c r="E955" i="4"/>
  <c r="J955" i="4" s="1"/>
  <c r="E956" i="4"/>
  <c r="J956" i="4" s="1"/>
  <c r="E957" i="4"/>
  <c r="J957" i="4" s="1"/>
  <c r="E958" i="4"/>
  <c r="J958" i="4" s="1"/>
  <c r="E959" i="4"/>
  <c r="J959" i="4" s="1"/>
  <c r="E960" i="4"/>
  <c r="J960" i="4" s="1"/>
  <c r="E961" i="4"/>
  <c r="J961" i="4" s="1"/>
  <c r="E962" i="4"/>
  <c r="J962" i="4" s="1"/>
  <c r="E963" i="4"/>
  <c r="J963" i="4" s="1"/>
  <c r="F954" i="2"/>
  <c r="L954" i="2" s="1"/>
  <c r="F955" i="2"/>
  <c r="L955" i="2" s="1"/>
  <c r="F956" i="2"/>
  <c r="L956" i="2" s="1"/>
  <c r="F957" i="2"/>
  <c r="L957" i="2" s="1"/>
  <c r="F958" i="2"/>
  <c r="L958" i="2" s="1"/>
  <c r="F959" i="2"/>
  <c r="L959" i="2" s="1"/>
  <c r="F960" i="2"/>
  <c r="L960" i="2" s="1"/>
  <c r="F961" i="2"/>
  <c r="L961" i="2" s="1"/>
  <c r="F962" i="2"/>
  <c r="L962" i="2" s="1"/>
  <c r="F963" i="2"/>
  <c r="L963" i="2" s="1"/>
  <c r="F953" i="2" l="1"/>
  <c r="L953" i="2" s="1"/>
  <c r="I943" i="4" l="1"/>
  <c r="I944" i="4"/>
  <c r="I945" i="4"/>
  <c r="I946" i="4"/>
  <c r="I947" i="4"/>
  <c r="I948" i="4"/>
  <c r="I949" i="4"/>
  <c r="I950" i="4"/>
  <c r="I951" i="4"/>
  <c r="I952" i="4"/>
  <c r="I953" i="4"/>
  <c r="I942" i="4" l="1"/>
  <c r="E943" i="4" l="1"/>
  <c r="J943" i="4" s="1"/>
  <c r="E944" i="4"/>
  <c r="J944" i="4" s="1"/>
  <c r="E945" i="4"/>
  <c r="J945" i="4" s="1"/>
  <c r="E946" i="4"/>
  <c r="J946" i="4" s="1"/>
  <c r="E947" i="4"/>
  <c r="J947" i="4" s="1"/>
  <c r="E948" i="4"/>
  <c r="J948" i="4" s="1"/>
  <c r="E949" i="4"/>
  <c r="J949" i="4" s="1"/>
  <c r="E950" i="4"/>
  <c r="J950" i="4" s="1"/>
  <c r="E951" i="4"/>
  <c r="J951" i="4" s="1"/>
  <c r="E952" i="4"/>
  <c r="J952" i="4" s="1"/>
  <c r="E953" i="4"/>
  <c r="J953" i="4" s="1"/>
  <c r="M942" i="2"/>
  <c r="M943" i="2"/>
  <c r="M944" i="2"/>
  <c r="M945" i="2"/>
  <c r="M946" i="2"/>
  <c r="M947" i="2"/>
  <c r="M948" i="2"/>
  <c r="M949" i="2"/>
  <c r="M950" i="2"/>
  <c r="M951" i="2"/>
  <c r="M952" i="2"/>
  <c r="F943" i="2"/>
  <c r="L943" i="2" s="1"/>
  <c r="F944" i="2"/>
  <c r="L944" i="2" s="1"/>
  <c r="F945" i="2"/>
  <c r="F946" i="2"/>
  <c r="F947" i="2"/>
  <c r="F948" i="2"/>
  <c r="F949" i="2"/>
  <c r="F950" i="2"/>
  <c r="F951" i="2"/>
  <c r="F952" i="2"/>
  <c r="L952" i="2" l="1"/>
  <c r="L951" i="2"/>
  <c r="L950" i="2"/>
  <c r="L949" i="2"/>
  <c r="L948" i="2"/>
  <c r="L947" i="2"/>
  <c r="L946" i="2"/>
  <c r="L945" i="2"/>
  <c r="E942" i="4"/>
  <c r="J942" i="4" s="1"/>
  <c r="F942" i="2"/>
  <c r="L942" i="2" s="1"/>
  <c r="I936" i="4" l="1"/>
  <c r="I937" i="4"/>
  <c r="I938" i="4"/>
  <c r="I939" i="4"/>
  <c r="I940" i="4"/>
  <c r="I941" i="4"/>
  <c r="E936" i="4"/>
  <c r="E937" i="4"/>
  <c r="E938" i="4"/>
  <c r="E939" i="4"/>
  <c r="E940" i="4"/>
  <c r="E941" i="4"/>
  <c r="M936" i="2"/>
  <c r="M937" i="2"/>
  <c r="M938" i="2"/>
  <c r="M939" i="2"/>
  <c r="M940" i="2"/>
  <c r="M941" i="2"/>
  <c r="F936" i="2"/>
  <c r="F937" i="2"/>
  <c r="F938" i="2"/>
  <c r="F939" i="2"/>
  <c r="F940" i="2"/>
  <c r="F941" i="2"/>
  <c r="J939" i="4" l="1"/>
  <c r="L941" i="2"/>
  <c r="L940" i="2"/>
  <c r="J938" i="4"/>
  <c r="L937" i="2"/>
  <c r="L936" i="2"/>
  <c r="L939" i="2"/>
  <c r="L938" i="2"/>
  <c r="J941" i="4"/>
  <c r="J940" i="4"/>
  <c r="J937" i="4"/>
  <c r="J936" i="4"/>
  <c r="F925" i="2" l="1"/>
  <c r="F926" i="2"/>
  <c r="F927" i="2"/>
  <c r="F928" i="2"/>
  <c r="F929" i="2"/>
  <c r="F930" i="2"/>
  <c r="F931" i="2"/>
  <c r="F932" i="2"/>
  <c r="F933" i="2"/>
  <c r="F934" i="2"/>
  <c r="F935" i="2"/>
  <c r="M925" i="2"/>
  <c r="M926" i="2"/>
  <c r="M927" i="2"/>
  <c r="M928" i="2"/>
  <c r="M929" i="2"/>
  <c r="M930" i="2"/>
  <c r="M931" i="2"/>
  <c r="M932" i="2"/>
  <c r="M933" i="2"/>
  <c r="M934" i="2"/>
  <c r="M935" i="2"/>
  <c r="I926" i="4"/>
  <c r="I927" i="4"/>
  <c r="I928" i="4"/>
  <c r="I929" i="4"/>
  <c r="I930" i="4"/>
  <c r="I931" i="4"/>
  <c r="I932" i="4"/>
  <c r="I933" i="4"/>
  <c r="I934" i="4"/>
  <c r="I935" i="4"/>
  <c r="L931" i="2" l="1"/>
  <c r="L932" i="2"/>
  <c r="L930" i="2"/>
  <c r="L927" i="2"/>
  <c r="L934" i="2"/>
  <c r="L926" i="2"/>
  <c r="L929" i="2"/>
  <c r="L928" i="2"/>
  <c r="L935" i="2"/>
  <c r="L933" i="2"/>
  <c r="L925" i="2"/>
  <c r="I925" i="4"/>
  <c r="E926" i="4" l="1"/>
  <c r="J926" i="4" s="1"/>
  <c r="E927" i="4"/>
  <c r="J927" i="4" s="1"/>
  <c r="E928" i="4"/>
  <c r="J928" i="4" s="1"/>
  <c r="E929" i="4"/>
  <c r="J929" i="4" s="1"/>
  <c r="E930" i="4"/>
  <c r="J930" i="4" s="1"/>
  <c r="E931" i="4"/>
  <c r="J931" i="4" s="1"/>
  <c r="E932" i="4"/>
  <c r="J932" i="4" s="1"/>
  <c r="E933" i="4"/>
  <c r="J933" i="4" s="1"/>
  <c r="E934" i="4"/>
  <c r="J934" i="4" s="1"/>
  <c r="E935" i="4"/>
  <c r="J935" i="4" s="1"/>
  <c r="E925" i="4"/>
  <c r="J925" i="4" s="1"/>
  <c r="I916" i="4" l="1"/>
  <c r="I917" i="4"/>
  <c r="I918" i="4"/>
  <c r="I919" i="4"/>
  <c r="I920" i="4"/>
  <c r="I921" i="4"/>
  <c r="I922" i="4"/>
  <c r="I923" i="4"/>
  <c r="I924" i="4"/>
  <c r="M916" i="2" l="1"/>
  <c r="M917" i="2"/>
  <c r="M918" i="2"/>
  <c r="M919" i="2"/>
  <c r="M920" i="2"/>
  <c r="M921" i="2"/>
  <c r="M922" i="2"/>
  <c r="M923" i="2"/>
  <c r="M924" i="2"/>
  <c r="F916" i="2"/>
  <c r="F917" i="2"/>
  <c r="L917" i="2" s="1"/>
  <c r="F918" i="2"/>
  <c r="F919" i="2"/>
  <c r="F920" i="2"/>
  <c r="F921" i="2"/>
  <c r="F922" i="2"/>
  <c r="F923" i="2"/>
  <c r="F924" i="2"/>
  <c r="E916" i="4"/>
  <c r="J916" i="4" s="1"/>
  <c r="E917" i="4"/>
  <c r="J917" i="4" s="1"/>
  <c r="E918" i="4"/>
  <c r="J918" i="4" s="1"/>
  <c r="E919" i="4"/>
  <c r="J919" i="4" s="1"/>
  <c r="E920" i="4"/>
  <c r="J920" i="4" s="1"/>
  <c r="E921" i="4"/>
  <c r="J921" i="4" s="1"/>
  <c r="E922" i="4"/>
  <c r="J922" i="4" s="1"/>
  <c r="E923" i="4"/>
  <c r="J923" i="4" s="1"/>
  <c r="E924" i="4"/>
  <c r="J924" i="4" s="1"/>
  <c r="L916" i="2" l="1"/>
  <c r="L923" i="2"/>
  <c r="L920" i="2"/>
  <c r="L919" i="2"/>
  <c r="L924" i="2"/>
  <c r="L918" i="2"/>
  <c r="L922" i="2"/>
  <c r="L921" i="2"/>
  <c r="I915" i="4"/>
  <c r="M915" i="2"/>
  <c r="E915" i="4" l="1"/>
  <c r="J915" i="4" s="1"/>
  <c r="F915" i="2"/>
  <c r="L915" i="2" s="1"/>
  <c r="I904" i="4" l="1"/>
  <c r="I905" i="4"/>
  <c r="I906" i="4"/>
  <c r="I907" i="4"/>
  <c r="I908" i="4"/>
  <c r="I909" i="4"/>
  <c r="I910" i="4"/>
  <c r="I911" i="4"/>
  <c r="I912" i="4"/>
  <c r="I913" i="4"/>
  <c r="I914" i="4"/>
  <c r="M904" i="2" l="1"/>
  <c r="M906" i="2" l="1"/>
  <c r="M907" i="2"/>
  <c r="M908" i="2"/>
  <c r="M909" i="2"/>
  <c r="M910" i="2"/>
  <c r="M911" i="2"/>
  <c r="M912" i="2"/>
  <c r="M913" i="2"/>
  <c r="M914" i="2"/>
  <c r="E905" i="4" l="1"/>
  <c r="J905" i="4" s="1"/>
  <c r="E906" i="4"/>
  <c r="J906" i="4" s="1"/>
  <c r="E907" i="4"/>
  <c r="J907" i="4" s="1"/>
  <c r="E908" i="4"/>
  <c r="J908" i="4" s="1"/>
  <c r="E909" i="4"/>
  <c r="J909" i="4" s="1"/>
  <c r="E910" i="4"/>
  <c r="J910" i="4" s="1"/>
  <c r="E911" i="4"/>
  <c r="J911" i="4" s="1"/>
  <c r="E912" i="4"/>
  <c r="J912" i="4" s="1"/>
  <c r="E913" i="4"/>
  <c r="J913" i="4" s="1"/>
  <c r="E914" i="4"/>
  <c r="J914" i="4" s="1"/>
  <c r="F905" i="2"/>
  <c r="F906" i="2"/>
  <c r="L906" i="2" s="1"/>
  <c r="F907" i="2"/>
  <c r="L907" i="2" s="1"/>
  <c r="F908" i="2"/>
  <c r="L908" i="2" s="1"/>
  <c r="F909" i="2"/>
  <c r="L909" i="2" s="1"/>
  <c r="F910" i="2"/>
  <c r="L910" i="2" s="1"/>
  <c r="F911" i="2"/>
  <c r="L911" i="2" s="1"/>
  <c r="F912" i="2"/>
  <c r="L912" i="2" s="1"/>
  <c r="F913" i="2"/>
  <c r="L913" i="2" s="1"/>
  <c r="F914" i="2"/>
  <c r="L914" i="2" s="1"/>
  <c r="E904" i="4" l="1"/>
  <c r="J904" i="4" s="1"/>
  <c r="F904" i="2"/>
  <c r="L904" i="2" s="1"/>
  <c r="M895" i="2" l="1"/>
  <c r="M896" i="2"/>
  <c r="M897" i="2"/>
  <c r="M898" i="2"/>
  <c r="M899" i="2"/>
  <c r="M900" i="2"/>
  <c r="M901" i="2"/>
  <c r="M902" i="2"/>
  <c r="M903" i="2"/>
  <c r="M905" i="2"/>
  <c r="L905" i="2" s="1"/>
  <c r="I895" i="4"/>
  <c r="I896" i="4"/>
  <c r="I897" i="4"/>
  <c r="I898" i="4"/>
  <c r="I899" i="4"/>
  <c r="I900" i="4"/>
  <c r="I901" i="4"/>
  <c r="I902" i="4"/>
  <c r="I903" i="4"/>
  <c r="I894" i="4" l="1"/>
  <c r="M894" i="2"/>
  <c r="E895" i="4" l="1"/>
  <c r="J895" i="4" s="1"/>
  <c r="E896" i="4"/>
  <c r="J896" i="4" s="1"/>
  <c r="E897" i="4"/>
  <c r="J897" i="4" s="1"/>
  <c r="E898" i="4"/>
  <c r="J898" i="4" s="1"/>
  <c r="E899" i="4"/>
  <c r="J899" i="4" s="1"/>
  <c r="E900" i="4"/>
  <c r="J900" i="4" s="1"/>
  <c r="E901" i="4"/>
  <c r="J901" i="4" s="1"/>
  <c r="E902" i="4"/>
  <c r="J902" i="4" s="1"/>
  <c r="E903" i="4"/>
  <c r="J903" i="4" s="1"/>
  <c r="F895" i="2"/>
  <c r="L895" i="2" s="1"/>
  <c r="F896" i="2"/>
  <c r="L896" i="2" s="1"/>
  <c r="F897" i="2"/>
  <c r="L897" i="2" s="1"/>
  <c r="F898" i="2"/>
  <c r="L898" i="2" s="1"/>
  <c r="F899" i="2"/>
  <c r="L899" i="2" s="1"/>
  <c r="F900" i="2"/>
  <c r="L900" i="2" s="1"/>
  <c r="F901" i="2"/>
  <c r="L901" i="2" s="1"/>
  <c r="F902" i="2"/>
  <c r="L902" i="2" s="1"/>
  <c r="F903" i="2"/>
  <c r="L903" i="2" s="1"/>
  <c r="E894" i="4" l="1"/>
  <c r="J894" i="4" s="1"/>
  <c r="F894" i="2"/>
  <c r="L894" i="2" s="1"/>
  <c r="M883" i="2" l="1"/>
  <c r="M884" i="2"/>
  <c r="M885" i="2"/>
  <c r="M886" i="2"/>
  <c r="M887" i="2"/>
  <c r="M888" i="2"/>
  <c r="M889" i="2"/>
  <c r="M890" i="2"/>
  <c r="M891" i="2"/>
  <c r="M892" i="2"/>
  <c r="M893" i="2"/>
  <c r="I883" i="4"/>
  <c r="I884" i="4"/>
  <c r="I885" i="4"/>
  <c r="I886" i="4"/>
  <c r="I887" i="4"/>
  <c r="I888" i="4"/>
  <c r="I889" i="4"/>
  <c r="I890" i="4"/>
  <c r="I891" i="4"/>
  <c r="I892" i="4"/>
  <c r="I893" i="4"/>
  <c r="I882" i="4" l="1"/>
  <c r="M882" i="2"/>
  <c r="F883" i="2" l="1"/>
  <c r="L883" i="2" s="1"/>
  <c r="F884" i="2"/>
  <c r="L884" i="2" s="1"/>
  <c r="F885" i="2"/>
  <c r="L885" i="2" s="1"/>
  <c r="F886" i="2"/>
  <c r="L886" i="2" s="1"/>
  <c r="F887" i="2"/>
  <c r="L887" i="2" s="1"/>
  <c r="F888" i="2"/>
  <c r="L888" i="2" s="1"/>
  <c r="F889" i="2"/>
  <c r="L889" i="2" s="1"/>
  <c r="F890" i="2"/>
  <c r="L890" i="2" s="1"/>
  <c r="F891" i="2"/>
  <c r="L891" i="2" s="1"/>
  <c r="F892" i="2"/>
  <c r="L892" i="2" s="1"/>
  <c r="F893" i="2"/>
  <c r="L893" i="2" s="1"/>
  <c r="E883" i="4"/>
  <c r="J883" i="4" s="1"/>
  <c r="E884" i="4"/>
  <c r="J884" i="4" s="1"/>
  <c r="E885" i="4"/>
  <c r="J885" i="4" s="1"/>
  <c r="E886" i="4"/>
  <c r="J886" i="4" s="1"/>
  <c r="E887" i="4"/>
  <c r="J887" i="4" s="1"/>
  <c r="E888" i="4"/>
  <c r="J888" i="4" s="1"/>
  <c r="E889" i="4"/>
  <c r="J889" i="4" s="1"/>
  <c r="E890" i="4"/>
  <c r="J890" i="4" s="1"/>
  <c r="E891" i="4"/>
  <c r="J891" i="4" s="1"/>
  <c r="E892" i="4"/>
  <c r="J892" i="4" s="1"/>
  <c r="E893" i="4"/>
  <c r="J893" i="4" s="1"/>
  <c r="E882" i="4" l="1"/>
  <c r="J882" i="4" s="1"/>
  <c r="F882" i="2"/>
  <c r="L882" i="2" s="1"/>
  <c r="I871" i="4" l="1"/>
  <c r="I872" i="4"/>
  <c r="I873" i="4"/>
  <c r="I874" i="4"/>
  <c r="I875" i="4"/>
  <c r="I876" i="4"/>
  <c r="I877" i="4"/>
  <c r="I878" i="4"/>
  <c r="I879" i="4"/>
  <c r="I880" i="4"/>
  <c r="I881" i="4"/>
  <c r="E871" i="4"/>
  <c r="E872" i="4"/>
  <c r="E873" i="4"/>
  <c r="E874" i="4"/>
  <c r="E875" i="4"/>
  <c r="E876" i="4"/>
  <c r="E877" i="4"/>
  <c r="E878" i="4"/>
  <c r="E879" i="4"/>
  <c r="E880" i="4"/>
  <c r="E881" i="4"/>
  <c r="B871" i="4"/>
  <c r="M872" i="2"/>
  <c r="M873" i="2"/>
  <c r="M874" i="2"/>
  <c r="M875" i="2"/>
  <c r="M876" i="2"/>
  <c r="M877" i="2"/>
  <c r="M878" i="2"/>
  <c r="M879" i="2"/>
  <c r="M880" i="2"/>
  <c r="M881" i="2"/>
  <c r="F872" i="2"/>
  <c r="F873" i="2"/>
  <c r="F874" i="2"/>
  <c r="F875" i="2"/>
  <c r="F876" i="2"/>
  <c r="F877" i="2"/>
  <c r="F878" i="2"/>
  <c r="F879" i="2"/>
  <c r="F880" i="2"/>
  <c r="F881" i="2"/>
  <c r="M871" i="2"/>
  <c r="F871" i="2"/>
  <c r="L873" i="2" l="1"/>
  <c r="L874" i="2"/>
  <c r="L871" i="2"/>
  <c r="L878" i="2"/>
  <c r="L881" i="2"/>
  <c r="L877" i="2"/>
  <c r="L876" i="2"/>
  <c r="L875" i="2"/>
  <c r="L880" i="2"/>
  <c r="L872" i="2"/>
  <c r="L879" i="2"/>
  <c r="J874" i="4"/>
  <c r="J872" i="4"/>
  <c r="J878" i="4"/>
  <c r="J873" i="4"/>
  <c r="J876" i="4"/>
  <c r="J871" i="4"/>
  <c r="J881" i="4"/>
  <c r="J880" i="4"/>
  <c r="J877" i="4"/>
  <c r="J875" i="4"/>
  <c r="J879" i="4"/>
  <c r="M863" i="2"/>
  <c r="M864" i="2"/>
  <c r="M865" i="2"/>
  <c r="M866" i="2"/>
  <c r="M867" i="2"/>
  <c r="M868" i="2"/>
  <c r="M869" i="2"/>
  <c r="M870" i="2"/>
  <c r="F863" i="2"/>
  <c r="F864" i="2"/>
  <c r="F865" i="2"/>
  <c r="F866" i="2"/>
  <c r="F867" i="2"/>
  <c r="F868" i="2"/>
  <c r="F869" i="2"/>
  <c r="F870" i="2"/>
  <c r="I864" i="4"/>
  <c r="I865" i="4"/>
  <c r="I866" i="4"/>
  <c r="I867" i="4"/>
  <c r="I868" i="4"/>
  <c r="I869" i="4"/>
  <c r="I870" i="4"/>
  <c r="E861" i="4"/>
  <c r="E862" i="4"/>
  <c r="E863" i="4"/>
  <c r="E864" i="4"/>
  <c r="E865" i="4"/>
  <c r="E866" i="4"/>
  <c r="E867" i="4"/>
  <c r="E868" i="4"/>
  <c r="E869" i="4"/>
  <c r="E870" i="4"/>
  <c r="B861" i="4"/>
  <c r="L863" i="2" l="1"/>
  <c r="L869" i="2"/>
  <c r="L868" i="2"/>
  <c r="L867" i="2"/>
  <c r="L866" i="2"/>
  <c r="L865" i="2"/>
  <c r="L864" i="2"/>
  <c r="L870" i="2"/>
  <c r="J865" i="4"/>
  <c r="J867" i="4"/>
  <c r="J864" i="4"/>
  <c r="J870" i="4"/>
  <c r="J869" i="4"/>
  <c r="J868" i="4"/>
  <c r="J866" i="4"/>
  <c r="I863" i="4"/>
  <c r="J863" i="4" s="1"/>
  <c r="M862" i="2"/>
  <c r="F862" i="2"/>
  <c r="L862" i="2" l="1"/>
  <c r="I851" i="4"/>
  <c r="E851" i="4"/>
  <c r="M851" i="2"/>
  <c r="F851" i="2"/>
  <c r="L851" i="2" l="1"/>
  <c r="J851" i="4"/>
  <c r="E860" i="4" l="1"/>
  <c r="E859" i="4"/>
  <c r="E858" i="4"/>
  <c r="E857" i="4"/>
  <c r="E856" i="4"/>
  <c r="E855" i="4"/>
  <c r="E854" i="4"/>
  <c r="E853" i="4"/>
  <c r="E852" i="4"/>
  <c r="I862" i="4"/>
  <c r="J862" i="4" s="1"/>
  <c r="I861" i="4"/>
  <c r="J861" i="4" s="1"/>
  <c r="I860" i="4"/>
  <c r="I859" i="4"/>
  <c r="I858" i="4"/>
  <c r="I857" i="4"/>
  <c r="I856" i="4"/>
  <c r="I855" i="4"/>
  <c r="I854" i="4"/>
  <c r="I853" i="4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2" i="2"/>
  <c r="M853" i="2"/>
  <c r="M854" i="2"/>
  <c r="M855" i="2"/>
  <c r="M856" i="2"/>
  <c r="M857" i="2"/>
  <c r="M858" i="2"/>
  <c r="M859" i="2"/>
  <c r="M860" i="2"/>
  <c r="M861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F852" i="2"/>
  <c r="F853" i="2"/>
  <c r="F854" i="2"/>
  <c r="F855" i="2"/>
  <c r="F856" i="2"/>
  <c r="F857" i="2"/>
  <c r="F858" i="2"/>
  <c r="F859" i="2"/>
  <c r="F860" i="2"/>
  <c r="F861" i="2"/>
  <c r="L854" i="2" l="1"/>
  <c r="L855" i="2"/>
  <c r="L859" i="2"/>
  <c r="L857" i="2"/>
  <c r="L858" i="2"/>
  <c r="L853" i="2"/>
  <c r="L856" i="2"/>
  <c r="L861" i="2"/>
  <c r="L860" i="2"/>
  <c r="L852" i="2"/>
  <c r="J858" i="4"/>
  <c r="J857" i="4"/>
  <c r="J860" i="4"/>
  <c r="J856" i="4"/>
  <c r="J859" i="4"/>
  <c r="J853" i="4"/>
  <c r="J854" i="4"/>
  <c r="J855" i="4"/>
  <c r="I852" i="4"/>
  <c r="J852" i="4" s="1"/>
  <c r="I850" i="4" l="1"/>
  <c r="I849" i="4"/>
  <c r="I848" i="4"/>
  <c r="I847" i="4"/>
  <c r="I846" i="4"/>
  <c r="I845" i="4"/>
  <c r="I844" i="4"/>
  <c r="I843" i="4"/>
  <c r="I842" i="4"/>
  <c r="E850" i="4"/>
  <c r="E849" i="4"/>
  <c r="E848" i="4"/>
  <c r="E847" i="4"/>
  <c r="E846" i="4"/>
  <c r="E845" i="4"/>
  <c r="E844" i="4"/>
  <c r="E843" i="4"/>
  <c r="E842" i="4"/>
  <c r="F850" i="2"/>
  <c r="L850" i="2" s="1"/>
  <c r="F849" i="2"/>
  <c r="L849" i="2" s="1"/>
  <c r="F848" i="2"/>
  <c r="L848" i="2" s="1"/>
  <c r="F847" i="2"/>
  <c r="L847" i="2" s="1"/>
  <c r="F846" i="2"/>
  <c r="L846" i="2" s="1"/>
  <c r="F845" i="2"/>
  <c r="L845" i="2" s="1"/>
  <c r="F844" i="2"/>
  <c r="L844" i="2" s="1"/>
  <c r="F843" i="2"/>
  <c r="L843" i="2" s="1"/>
  <c r="F842" i="2"/>
  <c r="L842" i="2" s="1"/>
  <c r="J850" i="4" l="1"/>
  <c r="J848" i="4"/>
  <c r="J849" i="4"/>
  <c r="J847" i="4"/>
  <c r="J846" i="4"/>
  <c r="J845" i="4"/>
  <c r="J844" i="4"/>
  <c r="J843" i="4"/>
  <c r="J842" i="4"/>
  <c r="I841" i="4"/>
  <c r="E841" i="4" l="1"/>
  <c r="J841" i="4" s="1"/>
  <c r="F841" i="2"/>
  <c r="L841" i="2" s="1"/>
  <c r="F840" i="2" l="1"/>
  <c r="L840" i="2" s="1"/>
  <c r="F839" i="2"/>
  <c r="L839" i="2" s="1"/>
  <c r="F838" i="2"/>
  <c r="L838" i="2" s="1"/>
  <c r="F837" i="2"/>
  <c r="L837" i="2" s="1"/>
  <c r="F836" i="2"/>
  <c r="L836" i="2" s="1"/>
  <c r="F835" i="2"/>
  <c r="L835" i="2" s="1"/>
  <c r="F834" i="2"/>
  <c r="L834" i="2" s="1"/>
  <c r="F833" i="2"/>
  <c r="L833" i="2" s="1"/>
  <c r="I840" i="4"/>
  <c r="I839" i="4"/>
  <c r="I838" i="4"/>
  <c r="I837" i="4"/>
  <c r="I836" i="4"/>
  <c r="I835" i="4"/>
  <c r="I834" i="4"/>
  <c r="I833" i="4"/>
  <c r="E840" i="4"/>
  <c r="E839" i="4"/>
  <c r="E838" i="4"/>
  <c r="E837" i="4"/>
  <c r="E836" i="4"/>
  <c r="E835" i="4"/>
  <c r="E834" i="4"/>
  <c r="J838" i="4" l="1"/>
  <c r="J834" i="4"/>
  <c r="J835" i="4"/>
  <c r="J836" i="4"/>
  <c r="J840" i="4"/>
  <c r="J839" i="4"/>
  <c r="J837" i="4"/>
  <c r="E833" i="4"/>
  <c r="J833" i="4" s="1"/>
  <c r="F832" i="2" l="1"/>
  <c r="L832" i="2" s="1"/>
  <c r="F831" i="2"/>
  <c r="L831" i="2" s="1"/>
  <c r="F830" i="2"/>
  <c r="L830" i="2" s="1"/>
  <c r="F829" i="2"/>
  <c r="L829" i="2" s="1"/>
  <c r="F828" i="2"/>
  <c r="L828" i="2" s="1"/>
  <c r="F827" i="2"/>
  <c r="L827" i="2" s="1"/>
  <c r="F826" i="2"/>
  <c r="L826" i="2" s="1"/>
  <c r="F825" i="2"/>
  <c r="L825" i="2" s="1"/>
  <c r="F824" i="2"/>
  <c r="L824" i="2" s="1"/>
  <c r="F823" i="2"/>
  <c r="L823" i="2" s="1"/>
  <c r="F822" i="2"/>
  <c r="L822" i="2" s="1"/>
  <c r="I832" i="4"/>
  <c r="I831" i="4"/>
  <c r="I830" i="4"/>
  <c r="I829" i="4"/>
  <c r="I828" i="4"/>
  <c r="I827" i="4"/>
  <c r="I826" i="4"/>
  <c r="I825" i="4"/>
  <c r="I824" i="4"/>
  <c r="I823" i="4"/>
  <c r="I822" i="4"/>
  <c r="I821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J830" i="4" l="1"/>
  <c r="J831" i="4"/>
  <c r="J832" i="4"/>
  <c r="J828" i="4"/>
  <c r="J825" i="4"/>
  <c r="J821" i="4"/>
  <c r="J824" i="4"/>
  <c r="J826" i="4"/>
  <c r="J827" i="4"/>
  <c r="J829" i="4"/>
  <c r="J823" i="4"/>
  <c r="J822" i="4"/>
  <c r="I820" i="4"/>
  <c r="E820" i="4"/>
  <c r="J820" i="4" l="1"/>
  <c r="F821" i="2"/>
  <c r="L821" i="2" s="1"/>
  <c r="F820" i="2" l="1"/>
  <c r="L820" i="2" s="1"/>
  <c r="F819" i="2"/>
  <c r="L819" i="2" s="1"/>
  <c r="F818" i="2"/>
  <c r="L818" i="2" s="1"/>
  <c r="F817" i="2"/>
  <c r="L817" i="2" s="1"/>
  <c r="F816" i="2"/>
  <c r="L816" i="2" s="1"/>
  <c r="F815" i="2"/>
  <c r="L815" i="2" s="1"/>
  <c r="F814" i="2"/>
  <c r="L814" i="2" s="1"/>
  <c r="F813" i="2"/>
  <c r="L813" i="2" s="1"/>
  <c r="I819" i="4"/>
  <c r="I818" i="4"/>
  <c r="I817" i="4"/>
  <c r="I816" i="4"/>
  <c r="I815" i="4"/>
  <c r="I814" i="4"/>
  <c r="I813" i="4"/>
  <c r="I812" i="4"/>
  <c r="E819" i="4"/>
  <c r="E818" i="4"/>
  <c r="E817" i="4"/>
  <c r="E816" i="4"/>
  <c r="E815" i="4"/>
  <c r="E814" i="4"/>
  <c r="E813" i="4"/>
  <c r="E812" i="4"/>
  <c r="F812" i="2"/>
  <c r="L812" i="2" s="1"/>
  <c r="J815" i="4" l="1"/>
  <c r="J817" i="4"/>
  <c r="J812" i="4"/>
  <c r="J816" i="4"/>
  <c r="J819" i="4"/>
  <c r="J818" i="4"/>
  <c r="J814" i="4"/>
  <c r="J813" i="4"/>
  <c r="E811" i="4"/>
  <c r="F811" i="2"/>
  <c r="L811" i="2" s="1"/>
  <c r="I811" i="4"/>
  <c r="J811" i="4" l="1"/>
  <c r="F810" i="2"/>
  <c r="L810" i="2" s="1"/>
  <c r="F809" i="2"/>
  <c r="L809" i="2" s="1"/>
  <c r="F808" i="2"/>
  <c r="L808" i="2" s="1"/>
  <c r="F807" i="2"/>
  <c r="L807" i="2" s="1"/>
  <c r="F806" i="2"/>
  <c r="L806" i="2" s="1"/>
  <c r="F805" i="2"/>
  <c r="L805" i="2" s="1"/>
  <c r="F804" i="2"/>
  <c r="L804" i="2" s="1"/>
  <c r="F803" i="2"/>
  <c r="L803" i="2" s="1"/>
  <c r="F802" i="2"/>
  <c r="L802" i="2" s="1"/>
  <c r="I810" i="4"/>
  <c r="I809" i="4"/>
  <c r="I808" i="4"/>
  <c r="I807" i="4"/>
  <c r="I806" i="4"/>
  <c r="I805" i="4"/>
  <c r="I804" i="4"/>
  <c r="I803" i="4"/>
  <c r="I802" i="4"/>
  <c r="I801" i="4"/>
  <c r="E810" i="4"/>
  <c r="E809" i="4"/>
  <c r="E808" i="4"/>
  <c r="E807" i="4"/>
  <c r="E806" i="4"/>
  <c r="E805" i="4"/>
  <c r="E804" i="4"/>
  <c r="E803" i="4"/>
  <c r="E802" i="4"/>
  <c r="E801" i="4"/>
  <c r="J804" i="4" l="1"/>
  <c r="J805" i="4"/>
  <c r="J803" i="4"/>
  <c r="J806" i="4"/>
  <c r="J807" i="4"/>
  <c r="J810" i="4"/>
  <c r="J809" i="4"/>
  <c r="J808" i="4"/>
  <c r="J802" i="4"/>
  <c r="J801" i="4"/>
  <c r="E800" i="4" l="1"/>
  <c r="F801" i="2"/>
  <c r="L801" i="2" s="1"/>
  <c r="I800" i="4"/>
  <c r="J800" i="4" l="1"/>
  <c r="F796" i="3" l="1"/>
  <c r="L796" i="3"/>
  <c r="F800" i="2" l="1"/>
  <c r="L800" i="2" s="1"/>
  <c r="F799" i="2"/>
  <c r="L799" i="2" s="1"/>
  <c r="F798" i="2"/>
  <c r="L798" i="2" s="1"/>
  <c r="F797" i="2"/>
  <c r="L797" i="2" s="1"/>
  <c r="F796" i="2"/>
  <c r="L796" i="2" s="1"/>
  <c r="F795" i="2"/>
  <c r="L795" i="2" s="1"/>
  <c r="F794" i="2"/>
  <c r="L794" i="2" s="1"/>
  <c r="F793" i="2"/>
  <c r="L793" i="2" s="1"/>
  <c r="F792" i="2"/>
  <c r="L792" i="2" s="1"/>
  <c r="F791" i="2"/>
  <c r="L791" i="2" s="1"/>
  <c r="I799" i="4"/>
  <c r="I798" i="4"/>
  <c r="I797" i="4"/>
  <c r="I796" i="4"/>
  <c r="I795" i="4"/>
  <c r="I794" i="4"/>
  <c r="I793" i="4"/>
  <c r="I792" i="4"/>
  <c r="I791" i="4"/>
  <c r="E799" i="4"/>
  <c r="E798" i="4"/>
  <c r="E797" i="4"/>
  <c r="E796" i="4"/>
  <c r="E795" i="4"/>
  <c r="E794" i="4"/>
  <c r="E793" i="4"/>
  <c r="E792" i="4"/>
  <c r="E791" i="4"/>
  <c r="I790" i="4"/>
  <c r="J797" i="4" l="1"/>
  <c r="J798" i="4"/>
  <c r="J799" i="4"/>
  <c r="J793" i="4"/>
  <c r="J794" i="4"/>
  <c r="J796" i="4"/>
  <c r="J795" i="4"/>
  <c r="J792" i="4"/>
  <c r="J791" i="4"/>
  <c r="I789" i="4"/>
  <c r="E789" i="4"/>
  <c r="F789" i="2"/>
  <c r="L789" i="2" s="1"/>
  <c r="J789" i="4" l="1"/>
  <c r="E790" i="4" l="1"/>
  <c r="J790" i="4" s="1"/>
  <c r="F790" i="2"/>
  <c r="L790" i="2" s="1"/>
  <c r="I788" i="4" l="1"/>
  <c r="I787" i="4"/>
  <c r="I786" i="4"/>
  <c r="I785" i="4"/>
  <c r="I784" i="4"/>
  <c r="I783" i="4"/>
  <c r="I782" i="4"/>
  <c r="I781" i="4"/>
  <c r="I780" i="4"/>
  <c r="I779" i="4"/>
  <c r="E788" i="4"/>
  <c r="E787" i="4"/>
  <c r="E786" i="4"/>
  <c r="E785" i="4"/>
  <c r="E784" i="4"/>
  <c r="E783" i="4"/>
  <c r="E782" i="4"/>
  <c r="E781" i="4"/>
  <c r="E780" i="4"/>
  <c r="E779" i="4"/>
  <c r="J787" i="4" l="1"/>
  <c r="J786" i="4"/>
  <c r="J788" i="4"/>
  <c r="J785" i="4"/>
  <c r="J784" i="4"/>
  <c r="J783" i="4"/>
  <c r="J782" i="4"/>
  <c r="J781" i="4"/>
  <c r="J780" i="4"/>
  <c r="J779" i="4"/>
  <c r="F779" i="2" l="1"/>
  <c r="L779" i="2" s="1"/>
  <c r="F780" i="2"/>
  <c r="L780" i="2" s="1"/>
  <c r="F781" i="2"/>
  <c r="L781" i="2" s="1"/>
  <c r="F782" i="2"/>
  <c r="L782" i="2" s="1"/>
  <c r="F783" i="2"/>
  <c r="L783" i="2" s="1"/>
  <c r="F784" i="2"/>
  <c r="L784" i="2" s="1"/>
  <c r="F785" i="2"/>
  <c r="L785" i="2" s="1"/>
  <c r="F786" i="2"/>
  <c r="L786" i="2" s="1"/>
  <c r="F787" i="2"/>
  <c r="L787" i="2" s="1"/>
  <c r="F788" i="2"/>
  <c r="L788" i="2" s="1"/>
  <c r="E778" i="4" l="1"/>
  <c r="F778" i="2"/>
  <c r="L778" i="2" s="1"/>
  <c r="I778" i="4" l="1"/>
  <c r="J778" i="4" s="1"/>
  <c r="F777" i="2" l="1"/>
  <c r="L777" i="2" s="1"/>
  <c r="F776" i="2"/>
  <c r="L776" i="2" s="1"/>
  <c r="F775" i="2"/>
  <c r="L775" i="2" s="1"/>
  <c r="F774" i="2"/>
  <c r="L774" i="2" s="1"/>
  <c r="F773" i="2"/>
  <c r="L773" i="2" s="1"/>
  <c r="F772" i="2"/>
  <c r="L772" i="2" s="1"/>
  <c r="F771" i="2"/>
  <c r="L771" i="2" s="1"/>
  <c r="F770" i="2"/>
  <c r="L770" i="2" s="1"/>
  <c r="F769" i="2"/>
  <c r="L769" i="2" s="1"/>
  <c r="F768" i="2"/>
  <c r="L768" i="2" s="1"/>
  <c r="I768" i="4"/>
  <c r="I769" i="4"/>
  <c r="I770" i="4"/>
  <c r="I771" i="4"/>
  <c r="I772" i="4"/>
  <c r="I773" i="4"/>
  <c r="I774" i="4"/>
  <c r="I775" i="4"/>
  <c r="I776" i="4"/>
  <c r="I777" i="4"/>
  <c r="I767" i="4"/>
  <c r="E768" i="4"/>
  <c r="E769" i="4"/>
  <c r="E770" i="4"/>
  <c r="E771" i="4"/>
  <c r="E772" i="4"/>
  <c r="E773" i="4"/>
  <c r="E774" i="4"/>
  <c r="E775" i="4"/>
  <c r="E776" i="4"/>
  <c r="E777" i="4"/>
  <c r="J770" i="4" l="1"/>
  <c r="J769" i="4"/>
  <c r="J776" i="4"/>
  <c r="J775" i="4"/>
  <c r="J774" i="4"/>
  <c r="J777" i="4"/>
  <c r="J773" i="4"/>
  <c r="J772" i="4"/>
  <c r="J771" i="4"/>
  <c r="J768" i="4"/>
  <c r="E767" i="4"/>
  <c r="J767" i="4" s="1"/>
  <c r="F767" i="2"/>
  <c r="L767" i="2" s="1"/>
  <c r="I766" i="4" l="1"/>
  <c r="I765" i="4"/>
  <c r="I764" i="4"/>
  <c r="I763" i="4"/>
  <c r="I762" i="4"/>
  <c r="I761" i="4"/>
  <c r="I760" i="4"/>
  <c r="I759" i="4"/>
  <c r="I758" i="4"/>
  <c r="I757" i="4"/>
  <c r="E766" i="4"/>
  <c r="E765" i="4"/>
  <c r="E764" i="4"/>
  <c r="E763" i="4"/>
  <c r="E762" i="4"/>
  <c r="E761" i="4"/>
  <c r="E760" i="4"/>
  <c r="E759" i="4"/>
  <c r="E758" i="4"/>
  <c r="E757" i="4"/>
  <c r="F757" i="2"/>
  <c r="L757" i="2" s="1"/>
  <c r="F758" i="2"/>
  <c r="L758" i="2" s="1"/>
  <c r="F759" i="2"/>
  <c r="L759" i="2" s="1"/>
  <c r="F760" i="2"/>
  <c r="L760" i="2" s="1"/>
  <c r="F761" i="2"/>
  <c r="L761" i="2" s="1"/>
  <c r="F762" i="2"/>
  <c r="L762" i="2" s="1"/>
  <c r="F763" i="2"/>
  <c r="L763" i="2" s="1"/>
  <c r="F764" i="2"/>
  <c r="L764" i="2" s="1"/>
  <c r="F765" i="2"/>
  <c r="L765" i="2" s="1"/>
  <c r="F766" i="2"/>
  <c r="L766" i="2" s="1"/>
  <c r="J766" i="4" l="1"/>
  <c r="J765" i="4"/>
  <c r="J764" i="4"/>
  <c r="J763" i="4"/>
  <c r="J762" i="4"/>
  <c r="J761" i="4"/>
  <c r="J760" i="4"/>
  <c r="J759" i="4"/>
  <c r="J758" i="4"/>
  <c r="J757" i="4"/>
  <c r="I756" i="4"/>
  <c r="E756" i="4" l="1"/>
  <c r="J756" i="4" s="1"/>
  <c r="F756" i="2"/>
  <c r="L756" i="2" s="1"/>
  <c r="I755" i="4" l="1"/>
  <c r="I754" i="4"/>
  <c r="I753" i="4"/>
  <c r="I752" i="4"/>
  <c r="I751" i="4"/>
  <c r="I750" i="4"/>
  <c r="I749" i="4"/>
  <c r="I748" i="4"/>
  <c r="I747" i="4"/>
  <c r="I746" i="4"/>
  <c r="I745" i="4"/>
  <c r="E755" i="4"/>
  <c r="E754" i="4"/>
  <c r="E753" i="4"/>
  <c r="E752" i="4"/>
  <c r="E751" i="4"/>
  <c r="E750" i="4"/>
  <c r="E749" i="4"/>
  <c r="E748" i="4"/>
  <c r="E747" i="4"/>
  <c r="E746" i="4"/>
  <c r="J748" i="4" l="1"/>
  <c r="J755" i="4"/>
  <c r="J754" i="4"/>
  <c r="J753" i="4"/>
  <c r="J752" i="4"/>
  <c r="J751" i="4"/>
  <c r="J750" i="4"/>
  <c r="J749" i="4"/>
  <c r="J747" i="4"/>
  <c r="J746" i="4"/>
  <c r="E745" i="4"/>
  <c r="J745" i="4" s="1"/>
  <c r="F745" i="2"/>
  <c r="L745" i="2" s="1"/>
  <c r="F746" i="2"/>
  <c r="L746" i="2" s="1"/>
  <c r="F747" i="2"/>
  <c r="L747" i="2" s="1"/>
  <c r="F748" i="2"/>
  <c r="L748" i="2" s="1"/>
  <c r="F749" i="2"/>
  <c r="L749" i="2" s="1"/>
  <c r="F750" i="2"/>
  <c r="L750" i="2" s="1"/>
  <c r="F751" i="2"/>
  <c r="L751" i="2" s="1"/>
  <c r="F752" i="2"/>
  <c r="L752" i="2" s="1"/>
  <c r="F753" i="2"/>
  <c r="L753" i="2" s="1"/>
  <c r="F754" i="2"/>
  <c r="L754" i="2" s="1"/>
  <c r="F755" i="2"/>
  <c r="L755" i="2" s="1"/>
  <c r="E734" i="4" l="1"/>
  <c r="E735" i="4"/>
  <c r="E736" i="4"/>
  <c r="E737" i="4"/>
  <c r="E738" i="4"/>
  <c r="E739" i="4"/>
  <c r="E740" i="4"/>
  <c r="E741" i="4"/>
  <c r="E742" i="4"/>
  <c r="E743" i="4"/>
  <c r="E744" i="4"/>
  <c r="F734" i="2"/>
  <c r="L734" i="2" s="1"/>
  <c r="F735" i="2"/>
  <c r="L735" i="2" s="1"/>
  <c r="F736" i="2"/>
  <c r="L736" i="2" s="1"/>
  <c r="F737" i="2"/>
  <c r="L737" i="2" s="1"/>
  <c r="F738" i="2"/>
  <c r="L738" i="2" s="1"/>
  <c r="F739" i="2"/>
  <c r="L739" i="2" s="1"/>
  <c r="F740" i="2"/>
  <c r="L740" i="2" s="1"/>
  <c r="F741" i="2"/>
  <c r="L741" i="2" s="1"/>
  <c r="F742" i="2"/>
  <c r="L742" i="2" s="1"/>
  <c r="F743" i="2"/>
  <c r="L743" i="2" s="1"/>
  <c r="F744" i="2"/>
  <c r="L744" i="2" s="1"/>
  <c r="I734" i="4"/>
  <c r="I735" i="4"/>
  <c r="J735" i="4" s="1"/>
  <c r="I736" i="4"/>
  <c r="I737" i="4"/>
  <c r="I738" i="4"/>
  <c r="I739" i="4"/>
  <c r="I740" i="4"/>
  <c r="I741" i="4"/>
  <c r="I742" i="4"/>
  <c r="I743" i="4"/>
  <c r="I744" i="4"/>
  <c r="J734" i="4" l="1"/>
  <c r="J744" i="4"/>
  <c r="J736" i="4"/>
  <c r="J741" i="4"/>
  <c r="J737" i="4"/>
  <c r="J739" i="4"/>
  <c r="J738" i="4"/>
  <c r="J740" i="4"/>
  <c r="J743" i="4"/>
  <c r="J742" i="4"/>
  <c r="F733" i="2" l="1"/>
  <c r="L733" i="2" s="1"/>
  <c r="F732" i="2"/>
  <c r="L732" i="2" s="1"/>
  <c r="F731" i="2"/>
  <c r="L731" i="2" s="1"/>
  <c r="F730" i="2"/>
  <c r="L730" i="2" s="1"/>
  <c r="F729" i="2"/>
  <c r="L729" i="2" s="1"/>
  <c r="F728" i="2"/>
  <c r="L728" i="2" s="1"/>
  <c r="F727" i="2"/>
  <c r="L727" i="2" s="1"/>
  <c r="F725" i="2"/>
  <c r="L725" i="2" s="1"/>
  <c r="F726" i="2"/>
  <c r="L726" i="2" s="1"/>
  <c r="F724" i="2"/>
  <c r="L724" i="2" s="1"/>
  <c r="E724" i="4" l="1"/>
  <c r="E725" i="4"/>
  <c r="E726" i="4"/>
  <c r="E727" i="4"/>
  <c r="E728" i="4"/>
  <c r="E729" i="4"/>
  <c r="E730" i="4"/>
  <c r="E731" i="4"/>
  <c r="E732" i="4"/>
  <c r="E733" i="4"/>
  <c r="I724" i="4"/>
  <c r="I725" i="4"/>
  <c r="J725" i="4" s="1"/>
  <c r="I726" i="4"/>
  <c r="I727" i="4"/>
  <c r="I728" i="4"/>
  <c r="I729" i="4"/>
  <c r="I730" i="4"/>
  <c r="I731" i="4"/>
  <c r="I732" i="4"/>
  <c r="I733" i="4"/>
  <c r="J724" i="4" l="1"/>
  <c r="J730" i="4"/>
  <c r="J729" i="4"/>
  <c r="J728" i="4"/>
  <c r="J727" i="4"/>
  <c r="J726" i="4"/>
  <c r="J733" i="4"/>
  <c r="J732" i="4"/>
  <c r="J731" i="4"/>
  <c r="I712" i="4" l="1"/>
  <c r="I713" i="4"/>
  <c r="I714" i="4"/>
  <c r="I715" i="4"/>
  <c r="I716" i="4"/>
  <c r="I717" i="4"/>
  <c r="I718" i="4"/>
  <c r="I719" i="4"/>
  <c r="I720" i="4"/>
  <c r="I721" i="4"/>
  <c r="I722" i="4"/>
  <c r="I723" i="4"/>
  <c r="E713" i="4"/>
  <c r="E714" i="4"/>
  <c r="E715" i="4"/>
  <c r="E716" i="4"/>
  <c r="E717" i="4"/>
  <c r="E718" i="4"/>
  <c r="E719" i="4"/>
  <c r="E720" i="4"/>
  <c r="E721" i="4"/>
  <c r="E722" i="4"/>
  <c r="E723" i="4"/>
  <c r="E712" i="4"/>
  <c r="F713" i="2"/>
  <c r="L713" i="2" s="1"/>
  <c r="F714" i="2"/>
  <c r="L714" i="2" s="1"/>
  <c r="F715" i="2"/>
  <c r="L715" i="2" s="1"/>
  <c r="F716" i="2"/>
  <c r="L716" i="2" s="1"/>
  <c r="F717" i="2"/>
  <c r="L717" i="2" s="1"/>
  <c r="F718" i="2"/>
  <c r="L718" i="2" s="1"/>
  <c r="F719" i="2"/>
  <c r="L719" i="2" s="1"/>
  <c r="F720" i="2"/>
  <c r="L720" i="2" s="1"/>
  <c r="F721" i="2"/>
  <c r="L721" i="2" s="1"/>
  <c r="F722" i="2"/>
  <c r="L722" i="2" s="1"/>
  <c r="F723" i="2"/>
  <c r="L723" i="2" s="1"/>
  <c r="F712" i="2"/>
  <c r="L712" i="2" s="1"/>
  <c r="J723" i="4" l="1"/>
  <c r="J721" i="4"/>
  <c r="J718" i="4"/>
  <c r="J716" i="4"/>
  <c r="J715" i="4"/>
  <c r="J714" i="4"/>
  <c r="J722" i="4"/>
  <c r="J720" i="4"/>
  <c r="J719" i="4"/>
  <c r="J717" i="4"/>
  <c r="J713" i="4"/>
  <c r="J712" i="4"/>
  <c r="I702" i="4" l="1"/>
  <c r="I703" i="4"/>
  <c r="I704" i="4"/>
  <c r="I705" i="4"/>
  <c r="I706" i="4"/>
  <c r="I707" i="4"/>
  <c r="I708" i="4"/>
  <c r="I709" i="4"/>
  <c r="I710" i="4"/>
  <c r="I711" i="4"/>
  <c r="I701" i="4"/>
  <c r="E701" i="4"/>
  <c r="E702" i="4"/>
  <c r="E703" i="4"/>
  <c r="E704" i="4"/>
  <c r="E705" i="4"/>
  <c r="E706" i="4"/>
  <c r="E707" i="4"/>
  <c r="E708" i="4"/>
  <c r="E709" i="4"/>
  <c r="E710" i="4"/>
  <c r="E711" i="4"/>
  <c r="F711" i="2"/>
  <c r="L711" i="2" s="1"/>
  <c r="F710" i="2"/>
  <c r="L710" i="2" s="1"/>
  <c r="F709" i="2"/>
  <c r="L709" i="2" s="1"/>
  <c r="F708" i="2"/>
  <c r="L708" i="2" s="1"/>
  <c r="F707" i="2"/>
  <c r="L707" i="2" s="1"/>
  <c r="F706" i="2"/>
  <c r="L706" i="2" s="1"/>
  <c r="F705" i="2"/>
  <c r="L705" i="2" s="1"/>
  <c r="F704" i="2"/>
  <c r="L704" i="2" s="1"/>
  <c r="F703" i="2"/>
  <c r="L703" i="2" s="1"/>
  <c r="F702" i="2"/>
  <c r="L702" i="2" s="1"/>
  <c r="F701" i="2"/>
  <c r="L701" i="2" s="1"/>
  <c r="J711" i="4" l="1"/>
  <c r="J703" i="4"/>
  <c r="J709" i="4"/>
  <c r="J707" i="4"/>
  <c r="J704" i="4"/>
  <c r="J706" i="4"/>
  <c r="J710" i="4"/>
  <c r="J708" i="4"/>
  <c r="J705" i="4"/>
  <c r="J702" i="4"/>
  <c r="J701" i="4"/>
  <c r="I689" i="4" l="1"/>
  <c r="I690" i="4"/>
  <c r="I691" i="4"/>
  <c r="I692" i="4"/>
  <c r="I693" i="4"/>
  <c r="I694" i="4"/>
  <c r="I695" i="4"/>
  <c r="I696" i="4"/>
  <c r="I697" i="4"/>
  <c r="I698" i="4"/>
  <c r="I699" i="4"/>
  <c r="I700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F700" i="2"/>
  <c r="L700" i="2" s="1"/>
  <c r="F699" i="2"/>
  <c r="L699" i="2" s="1"/>
  <c r="F698" i="2"/>
  <c r="L698" i="2" s="1"/>
  <c r="F697" i="2"/>
  <c r="L697" i="2" s="1"/>
  <c r="F696" i="2"/>
  <c r="L696" i="2" s="1"/>
  <c r="F695" i="2"/>
  <c r="L695" i="2" s="1"/>
  <c r="F694" i="2"/>
  <c r="L694" i="2" s="1"/>
  <c r="F693" i="2"/>
  <c r="L693" i="2" s="1"/>
  <c r="F692" i="2"/>
  <c r="L692" i="2" s="1"/>
  <c r="F691" i="2"/>
  <c r="L691" i="2" s="1"/>
  <c r="F690" i="2"/>
  <c r="L690" i="2" s="1"/>
  <c r="B689" i="2"/>
  <c r="F689" i="2" s="1"/>
  <c r="L689" i="2" s="1"/>
  <c r="J700" i="4" l="1"/>
  <c r="J697" i="4"/>
  <c r="J698" i="4"/>
  <c r="J694" i="4"/>
  <c r="J696" i="4"/>
  <c r="J690" i="4"/>
  <c r="J695" i="4"/>
  <c r="J693" i="4"/>
  <c r="J691" i="4"/>
  <c r="J689" i="4"/>
  <c r="J699" i="4"/>
  <c r="J692" i="4"/>
  <c r="I679" i="4" l="1"/>
  <c r="E679" i="4"/>
  <c r="B679" i="4"/>
  <c r="F679" i="2"/>
  <c r="L679" i="2" s="1"/>
  <c r="J679" i="4" l="1"/>
  <c r="I688" i="4"/>
  <c r="I687" i="4"/>
  <c r="I686" i="4"/>
  <c r="I685" i="4"/>
  <c r="I684" i="4"/>
  <c r="I683" i="4"/>
  <c r="I682" i="4"/>
  <c r="I681" i="4"/>
  <c r="I680" i="4"/>
  <c r="E688" i="4"/>
  <c r="E687" i="4"/>
  <c r="E686" i="4"/>
  <c r="E685" i="4"/>
  <c r="E684" i="4"/>
  <c r="E683" i="4"/>
  <c r="E682" i="4"/>
  <c r="E681" i="4"/>
  <c r="E680" i="4"/>
  <c r="F688" i="2"/>
  <c r="L688" i="2" s="1"/>
  <c r="F687" i="2"/>
  <c r="L687" i="2" s="1"/>
  <c r="F686" i="2"/>
  <c r="L686" i="2" s="1"/>
  <c r="F685" i="2"/>
  <c r="L685" i="2" s="1"/>
  <c r="F684" i="2"/>
  <c r="L684" i="2" s="1"/>
  <c r="F683" i="2"/>
  <c r="L683" i="2" s="1"/>
  <c r="F682" i="2"/>
  <c r="L682" i="2" s="1"/>
  <c r="F681" i="2"/>
  <c r="L681" i="2" s="1"/>
  <c r="F680" i="2"/>
  <c r="L680" i="2" s="1"/>
  <c r="J685" i="4" l="1"/>
  <c r="J680" i="4"/>
  <c r="J682" i="4"/>
  <c r="J684" i="4"/>
  <c r="J681" i="4"/>
  <c r="J683" i="4"/>
  <c r="J687" i="4"/>
  <c r="J686" i="4"/>
  <c r="J688" i="4"/>
  <c r="I673" i="4"/>
  <c r="I674" i="4"/>
  <c r="I675" i="4"/>
  <c r="I676" i="4"/>
  <c r="I677" i="4"/>
  <c r="I678" i="4"/>
  <c r="E672" i="4"/>
  <c r="E673" i="4"/>
  <c r="E674" i="4"/>
  <c r="E675" i="4"/>
  <c r="E676" i="4"/>
  <c r="E677" i="4"/>
  <c r="E678" i="4"/>
  <c r="I672" i="4"/>
  <c r="F678" i="2"/>
  <c r="L678" i="2" s="1"/>
  <c r="F677" i="2"/>
  <c r="L677" i="2" s="1"/>
  <c r="F676" i="2"/>
  <c r="L676" i="2" s="1"/>
  <c r="F675" i="2"/>
  <c r="L675" i="2" s="1"/>
  <c r="F674" i="2"/>
  <c r="L674" i="2" s="1"/>
  <c r="F673" i="2"/>
  <c r="L673" i="2" s="1"/>
  <c r="F672" i="2"/>
  <c r="L672" i="2" s="1"/>
  <c r="J678" i="4" l="1"/>
  <c r="J677" i="4"/>
  <c r="J675" i="4"/>
  <c r="J674" i="4"/>
  <c r="J673" i="4"/>
  <c r="J676" i="4"/>
  <c r="J672" i="4"/>
  <c r="I664" i="4" l="1"/>
  <c r="I665" i="4"/>
  <c r="I666" i="4"/>
  <c r="I667" i="4"/>
  <c r="I668" i="4"/>
  <c r="I669" i="4"/>
  <c r="I670" i="4"/>
  <c r="I671" i="4"/>
  <c r="I663" i="4"/>
  <c r="E663" i="4"/>
  <c r="E664" i="4"/>
  <c r="E665" i="4"/>
  <c r="E666" i="4"/>
  <c r="E667" i="4"/>
  <c r="E668" i="4"/>
  <c r="E669" i="4"/>
  <c r="E670" i="4"/>
  <c r="E671" i="4"/>
  <c r="F663" i="2"/>
  <c r="L663" i="2" s="1"/>
  <c r="F664" i="2"/>
  <c r="L664" i="2" s="1"/>
  <c r="F665" i="2"/>
  <c r="L665" i="2" s="1"/>
  <c r="F666" i="2"/>
  <c r="L666" i="2" s="1"/>
  <c r="F667" i="2"/>
  <c r="L667" i="2" s="1"/>
  <c r="F668" i="2"/>
  <c r="L668" i="2" s="1"/>
  <c r="F669" i="2"/>
  <c r="L669" i="2" s="1"/>
  <c r="F670" i="2"/>
  <c r="L670" i="2" s="1"/>
  <c r="F671" i="2"/>
  <c r="L671" i="2" s="1"/>
  <c r="J671" i="4" l="1"/>
  <c r="J667" i="4"/>
  <c r="J666" i="4"/>
  <c r="J664" i="4"/>
  <c r="J663" i="4"/>
  <c r="J670" i="4"/>
  <c r="J668" i="4"/>
  <c r="J669" i="4"/>
  <c r="J665" i="4"/>
  <c r="I653" i="4"/>
  <c r="I654" i="4"/>
  <c r="I655" i="4"/>
  <c r="I656" i="4"/>
  <c r="I657" i="4"/>
  <c r="I658" i="4"/>
  <c r="I659" i="4"/>
  <c r="I660" i="4"/>
  <c r="I661" i="4"/>
  <c r="I662" i="4"/>
  <c r="E653" i="4"/>
  <c r="E654" i="4"/>
  <c r="E655" i="4"/>
  <c r="E656" i="4"/>
  <c r="E657" i="4"/>
  <c r="E658" i="4"/>
  <c r="E659" i="4"/>
  <c r="E660" i="4"/>
  <c r="E661" i="4"/>
  <c r="E662" i="4"/>
  <c r="F653" i="2"/>
  <c r="L653" i="2" s="1"/>
  <c r="F654" i="2"/>
  <c r="L654" i="2" s="1"/>
  <c r="F655" i="2"/>
  <c r="L655" i="2" s="1"/>
  <c r="F656" i="2"/>
  <c r="L656" i="2" s="1"/>
  <c r="F657" i="2"/>
  <c r="L657" i="2" s="1"/>
  <c r="F658" i="2"/>
  <c r="L658" i="2" s="1"/>
  <c r="F659" i="2"/>
  <c r="L659" i="2" s="1"/>
  <c r="F660" i="2"/>
  <c r="L660" i="2" s="1"/>
  <c r="F661" i="2"/>
  <c r="L661" i="2" s="1"/>
  <c r="F662" i="2"/>
  <c r="L662" i="2" s="1"/>
  <c r="J656" i="4" l="1"/>
  <c r="J657" i="4"/>
  <c r="J655" i="4"/>
  <c r="J654" i="4"/>
  <c r="J653" i="4"/>
  <c r="J658" i="4"/>
  <c r="J662" i="4"/>
  <c r="J661" i="4"/>
  <c r="J660" i="4"/>
  <c r="J659" i="4"/>
  <c r="I652" i="4" l="1"/>
  <c r="I651" i="4"/>
  <c r="I650" i="4"/>
  <c r="I649" i="4"/>
  <c r="I648" i="4"/>
  <c r="I647" i="4"/>
  <c r="I646" i="4"/>
  <c r="I645" i="4"/>
  <c r="I644" i="4"/>
  <c r="I643" i="4"/>
  <c r="I642" i="4"/>
  <c r="E652" i="4"/>
  <c r="E651" i="4"/>
  <c r="E650" i="4"/>
  <c r="E649" i="4"/>
  <c r="E648" i="4"/>
  <c r="E647" i="4"/>
  <c r="E646" i="4"/>
  <c r="E645" i="4"/>
  <c r="E644" i="4"/>
  <c r="E643" i="4"/>
  <c r="E642" i="4"/>
  <c r="F652" i="2"/>
  <c r="L652" i="2" s="1"/>
  <c r="F651" i="2"/>
  <c r="L651" i="2" s="1"/>
  <c r="F650" i="2"/>
  <c r="L650" i="2" s="1"/>
  <c r="F649" i="2"/>
  <c r="L649" i="2" s="1"/>
  <c r="F648" i="2"/>
  <c r="L648" i="2" s="1"/>
  <c r="F647" i="2"/>
  <c r="L647" i="2" s="1"/>
  <c r="F646" i="2"/>
  <c r="L646" i="2" s="1"/>
  <c r="F645" i="2"/>
  <c r="L645" i="2" s="1"/>
  <c r="F644" i="2"/>
  <c r="L644" i="2" s="1"/>
  <c r="F643" i="2"/>
  <c r="L643" i="2" s="1"/>
  <c r="F642" i="2"/>
  <c r="L642" i="2" s="1"/>
  <c r="J649" i="4" l="1"/>
  <c r="J651" i="4"/>
  <c r="J642" i="4"/>
  <c r="J645" i="4"/>
  <c r="J644" i="4"/>
  <c r="J646" i="4"/>
  <c r="J652" i="4"/>
  <c r="J648" i="4"/>
  <c r="J647" i="4"/>
  <c r="J643" i="4"/>
  <c r="J650" i="4"/>
  <c r="I630" i="4" l="1"/>
  <c r="I631" i="4"/>
  <c r="I632" i="4"/>
  <c r="I633" i="4"/>
  <c r="I634" i="4"/>
  <c r="I635" i="4"/>
  <c r="I636" i="4"/>
  <c r="I637" i="4"/>
  <c r="I638" i="4"/>
  <c r="I639" i="4"/>
  <c r="I640" i="4"/>
  <c r="I641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F630" i="2"/>
  <c r="L630" i="2" s="1"/>
  <c r="F631" i="2"/>
  <c r="L631" i="2" s="1"/>
  <c r="F632" i="2"/>
  <c r="L632" i="2" s="1"/>
  <c r="F633" i="2"/>
  <c r="L633" i="2" s="1"/>
  <c r="F634" i="2"/>
  <c r="L634" i="2" s="1"/>
  <c r="F635" i="2"/>
  <c r="L635" i="2" s="1"/>
  <c r="F636" i="2"/>
  <c r="L636" i="2" s="1"/>
  <c r="F637" i="2"/>
  <c r="L637" i="2" s="1"/>
  <c r="F638" i="2"/>
  <c r="L638" i="2" s="1"/>
  <c r="F639" i="2"/>
  <c r="L639" i="2" s="1"/>
  <c r="F640" i="2"/>
  <c r="L640" i="2" s="1"/>
  <c r="F641" i="2"/>
  <c r="L641" i="2" s="1"/>
  <c r="J632" i="4" l="1"/>
  <c r="J638" i="4"/>
  <c r="J633" i="4"/>
  <c r="J639" i="4"/>
  <c r="J640" i="4"/>
  <c r="J635" i="4"/>
  <c r="J641" i="4"/>
  <c r="J634" i="4"/>
  <c r="J636" i="4"/>
  <c r="J637" i="4"/>
  <c r="J631" i="4"/>
  <c r="J630" i="4"/>
  <c r="I619" i="4" l="1"/>
  <c r="E619" i="4"/>
  <c r="F619" i="2"/>
  <c r="L619" i="2" s="1"/>
  <c r="J619" i="4" l="1"/>
  <c r="I621" i="4"/>
  <c r="I622" i="4"/>
  <c r="I623" i="4"/>
  <c r="I624" i="4"/>
  <c r="I625" i="4"/>
  <c r="I626" i="4"/>
  <c r="I627" i="4"/>
  <c r="I628" i="4"/>
  <c r="I629" i="4"/>
  <c r="E620" i="4"/>
  <c r="E621" i="4"/>
  <c r="J621" i="4" s="1"/>
  <c r="E622" i="4"/>
  <c r="E623" i="4"/>
  <c r="E624" i="4"/>
  <c r="E625" i="4"/>
  <c r="E626" i="4"/>
  <c r="E627" i="4"/>
  <c r="E628" i="4"/>
  <c r="E629" i="4"/>
  <c r="J625" i="4" l="1"/>
  <c r="J629" i="4"/>
  <c r="J626" i="4"/>
  <c r="J627" i="4"/>
  <c r="J628" i="4"/>
  <c r="J624" i="4"/>
  <c r="J623" i="4"/>
  <c r="J622" i="4"/>
  <c r="I620" i="4"/>
  <c r="J620" i="4" s="1"/>
  <c r="F620" i="2"/>
  <c r="L620" i="2" s="1"/>
  <c r="F621" i="2"/>
  <c r="L621" i="2" s="1"/>
  <c r="F622" i="2"/>
  <c r="L622" i="2" s="1"/>
  <c r="F623" i="2"/>
  <c r="L623" i="2" s="1"/>
  <c r="F624" i="2"/>
  <c r="L624" i="2" s="1"/>
  <c r="F625" i="2"/>
  <c r="L625" i="2" s="1"/>
  <c r="F626" i="2"/>
  <c r="L626" i="2" s="1"/>
  <c r="F627" i="2"/>
  <c r="L627" i="2" s="1"/>
  <c r="F628" i="2"/>
  <c r="L628" i="2" s="1"/>
  <c r="F629" i="2"/>
  <c r="L629" i="2" s="1"/>
  <c r="I609" i="4" l="1"/>
  <c r="I610" i="4"/>
  <c r="I611" i="4"/>
  <c r="I612" i="4"/>
  <c r="I613" i="4"/>
  <c r="I614" i="4"/>
  <c r="I615" i="4"/>
  <c r="I616" i="4"/>
  <c r="I617" i="4"/>
  <c r="I618" i="4"/>
  <c r="E609" i="4"/>
  <c r="E610" i="4"/>
  <c r="E611" i="4"/>
  <c r="E612" i="4"/>
  <c r="E613" i="4"/>
  <c r="E614" i="4"/>
  <c r="E615" i="4"/>
  <c r="E616" i="4"/>
  <c r="E617" i="4"/>
  <c r="E618" i="4"/>
  <c r="F609" i="2"/>
  <c r="L609" i="2" s="1"/>
  <c r="F610" i="2"/>
  <c r="L610" i="2" s="1"/>
  <c r="F611" i="2"/>
  <c r="L611" i="2" s="1"/>
  <c r="F612" i="2"/>
  <c r="L612" i="2" s="1"/>
  <c r="F613" i="2"/>
  <c r="L613" i="2" s="1"/>
  <c r="F614" i="2"/>
  <c r="L614" i="2" s="1"/>
  <c r="F615" i="2"/>
  <c r="L615" i="2" s="1"/>
  <c r="F616" i="2"/>
  <c r="L616" i="2" s="1"/>
  <c r="F617" i="2"/>
  <c r="L617" i="2" s="1"/>
  <c r="F618" i="2"/>
  <c r="L618" i="2" s="1"/>
  <c r="J616" i="4" l="1"/>
  <c r="J615" i="4"/>
  <c r="J618" i="4"/>
  <c r="J614" i="4"/>
  <c r="J613" i="4"/>
  <c r="J617" i="4"/>
  <c r="J609" i="4"/>
  <c r="J611" i="4"/>
  <c r="J612" i="4"/>
  <c r="J610" i="4"/>
  <c r="I600" i="4" l="1"/>
  <c r="I601" i="4"/>
  <c r="I602" i="4"/>
  <c r="I603" i="4"/>
  <c r="I604" i="4"/>
  <c r="I605" i="4"/>
  <c r="I606" i="4"/>
  <c r="I607" i="4"/>
  <c r="I608" i="4"/>
  <c r="I599" i="4"/>
  <c r="E599" i="4"/>
  <c r="E600" i="4"/>
  <c r="E601" i="4"/>
  <c r="E602" i="4"/>
  <c r="E603" i="4"/>
  <c r="E604" i="4"/>
  <c r="E605" i="4"/>
  <c r="E606" i="4"/>
  <c r="E607" i="4"/>
  <c r="E608" i="4"/>
  <c r="F599" i="2"/>
  <c r="L599" i="2" s="1"/>
  <c r="F600" i="2"/>
  <c r="L600" i="2" s="1"/>
  <c r="F601" i="2"/>
  <c r="L601" i="2" s="1"/>
  <c r="F602" i="2"/>
  <c r="L602" i="2" s="1"/>
  <c r="F603" i="2"/>
  <c r="L603" i="2" s="1"/>
  <c r="F604" i="2"/>
  <c r="L604" i="2" s="1"/>
  <c r="F605" i="2"/>
  <c r="L605" i="2" s="1"/>
  <c r="F606" i="2"/>
  <c r="L606" i="2" s="1"/>
  <c r="F607" i="2"/>
  <c r="L607" i="2" s="1"/>
  <c r="F608" i="2"/>
  <c r="L608" i="2" s="1"/>
  <c r="J608" i="4" l="1"/>
  <c r="J602" i="4"/>
  <c r="J599" i="4"/>
  <c r="J605" i="4"/>
  <c r="J604" i="4"/>
  <c r="J607" i="4"/>
  <c r="J606" i="4"/>
  <c r="J603" i="4"/>
  <c r="J601" i="4"/>
  <c r="J600" i="4"/>
  <c r="I598" i="4" l="1"/>
  <c r="I597" i="4"/>
  <c r="I596" i="4"/>
  <c r="I595" i="4"/>
  <c r="I594" i="4"/>
  <c r="I593" i="4"/>
  <c r="I592" i="4"/>
  <c r="I591" i="4"/>
  <c r="I590" i="4"/>
  <c r="I589" i="4"/>
  <c r="I588" i="4"/>
  <c r="I587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F587" i="2"/>
  <c r="L587" i="2" s="1"/>
  <c r="F588" i="2"/>
  <c r="L588" i="2" s="1"/>
  <c r="F589" i="2"/>
  <c r="L589" i="2" s="1"/>
  <c r="F590" i="2"/>
  <c r="L590" i="2" s="1"/>
  <c r="F591" i="2"/>
  <c r="L591" i="2" s="1"/>
  <c r="F592" i="2"/>
  <c r="L592" i="2" s="1"/>
  <c r="F593" i="2"/>
  <c r="L593" i="2" s="1"/>
  <c r="F594" i="2"/>
  <c r="L594" i="2" s="1"/>
  <c r="F595" i="2"/>
  <c r="L595" i="2" s="1"/>
  <c r="F596" i="2"/>
  <c r="L596" i="2" s="1"/>
  <c r="F597" i="2"/>
  <c r="L597" i="2" s="1"/>
  <c r="F598" i="2"/>
  <c r="L598" i="2" s="1"/>
  <c r="J591" i="4" l="1"/>
  <c r="J588" i="4"/>
  <c r="J587" i="4"/>
  <c r="J595" i="4"/>
  <c r="J598" i="4"/>
  <c r="J590" i="4"/>
  <c r="J597" i="4"/>
  <c r="J596" i="4"/>
  <c r="J594" i="4"/>
  <c r="J593" i="4"/>
  <c r="J592" i="4"/>
  <c r="J589" i="4"/>
  <c r="M576" i="2"/>
  <c r="E21" i="6" l="1"/>
  <c r="AB590" i="3" l="1"/>
  <c r="AB570" i="3"/>
  <c r="AB591" i="3" l="1"/>
  <c r="I578" i="4" l="1"/>
  <c r="I579" i="4"/>
  <c r="I580" i="4"/>
  <c r="I581" i="4"/>
  <c r="I582" i="4"/>
  <c r="I583" i="4"/>
  <c r="I584" i="4"/>
  <c r="I585" i="4"/>
  <c r="I586" i="4"/>
  <c r="I577" i="4"/>
  <c r="E577" i="4"/>
  <c r="E578" i="4"/>
  <c r="E579" i="4"/>
  <c r="E580" i="4"/>
  <c r="E581" i="4"/>
  <c r="E582" i="4"/>
  <c r="E583" i="4"/>
  <c r="E584" i="4"/>
  <c r="E585" i="4"/>
  <c r="E586" i="4"/>
  <c r="B577" i="4"/>
  <c r="F577" i="2"/>
  <c r="L577" i="2" s="1"/>
  <c r="F578" i="2"/>
  <c r="L578" i="2" s="1"/>
  <c r="F579" i="2"/>
  <c r="L579" i="2" s="1"/>
  <c r="F580" i="2"/>
  <c r="L580" i="2" s="1"/>
  <c r="F581" i="2"/>
  <c r="L581" i="2" s="1"/>
  <c r="F582" i="2"/>
  <c r="L582" i="2" s="1"/>
  <c r="F583" i="2"/>
  <c r="L583" i="2" s="1"/>
  <c r="F584" i="2"/>
  <c r="L584" i="2" s="1"/>
  <c r="F585" i="2"/>
  <c r="L585" i="2" s="1"/>
  <c r="F586" i="2"/>
  <c r="L586" i="2" s="1"/>
  <c r="J583" i="4" l="1"/>
  <c r="J584" i="4"/>
  <c r="J577" i="4"/>
  <c r="J586" i="4"/>
  <c r="J581" i="4"/>
  <c r="J580" i="4"/>
  <c r="J579" i="4"/>
  <c r="B581" i="4"/>
  <c r="B580" i="4"/>
  <c r="J582" i="4"/>
  <c r="B579" i="4"/>
  <c r="B578" i="4"/>
  <c r="J585" i="4"/>
  <c r="J578" i="4"/>
  <c r="I568" i="4"/>
  <c r="I569" i="4"/>
  <c r="I570" i="4"/>
  <c r="I571" i="4"/>
  <c r="I572" i="4"/>
  <c r="I573" i="4"/>
  <c r="I574" i="4"/>
  <c r="I575" i="4"/>
  <c r="I576" i="4"/>
  <c r="B582" i="4" l="1"/>
  <c r="I567" i="4"/>
  <c r="B583" i="4" l="1"/>
  <c r="I566" i="4"/>
  <c r="B584" i="4" l="1"/>
  <c r="E567" i="4"/>
  <c r="J567" i="4" s="1"/>
  <c r="E568" i="4"/>
  <c r="J568" i="4" s="1"/>
  <c r="E569" i="4"/>
  <c r="J569" i="4" s="1"/>
  <c r="E570" i="4"/>
  <c r="J570" i="4" s="1"/>
  <c r="E571" i="4"/>
  <c r="J571" i="4" s="1"/>
  <c r="E572" i="4"/>
  <c r="J572" i="4" s="1"/>
  <c r="E573" i="4"/>
  <c r="J573" i="4" s="1"/>
  <c r="E574" i="4"/>
  <c r="J574" i="4" s="1"/>
  <c r="E575" i="4"/>
  <c r="J575" i="4" s="1"/>
  <c r="E576" i="4"/>
  <c r="J576" i="4" s="1"/>
  <c r="F567" i="2"/>
  <c r="L567" i="2" s="1"/>
  <c r="F568" i="2"/>
  <c r="L568" i="2" s="1"/>
  <c r="F569" i="2"/>
  <c r="L569" i="2" s="1"/>
  <c r="F570" i="2"/>
  <c r="L570" i="2" s="1"/>
  <c r="F571" i="2"/>
  <c r="L571" i="2" s="1"/>
  <c r="F572" i="2"/>
  <c r="L572" i="2" s="1"/>
  <c r="F573" i="2"/>
  <c r="L573" i="2" s="1"/>
  <c r="F574" i="2"/>
  <c r="L574" i="2" s="1"/>
  <c r="F575" i="2"/>
  <c r="L575" i="2" s="1"/>
  <c r="F576" i="2"/>
  <c r="L576" i="2" s="1"/>
  <c r="B585" i="4" l="1"/>
  <c r="I565" i="4"/>
  <c r="B586" i="4" l="1"/>
  <c r="I564" i="4"/>
  <c r="B587" i="4" l="1"/>
  <c r="I563" i="4"/>
  <c r="B588" i="4" l="1"/>
  <c r="M556" i="2"/>
  <c r="M534" i="2"/>
  <c r="B589" i="4" l="1"/>
  <c r="I562" i="4"/>
  <c r="B590" i="4" l="1"/>
  <c r="I561" i="4"/>
  <c r="B591" i="4" l="1"/>
  <c r="I560" i="4"/>
  <c r="B592" i="4" l="1"/>
  <c r="I559" i="4"/>
  <c r="B593" i="4" l="1"/>
  <c r="I558" i="4"/>
  <c r="B594" i="4" l="1"/>
  <c r="I557" i="4"/>
  <c r="B595" i="4" l="1"/>
  <c r="I556" i="4"/>
  <c r="E556" i="4"/>
  <c r="B556" i="4"/>
  <c r="F556" i="2"/>
  <c r="L556" i="2" s="1"/>
  <c r="B596" i="4" l="1"/>
  <c r="J556" i="4"/>
  <c r="I555" i="4"/>
  <c r="B597" i="4" l="1"/>
  <c r="I554" i="4"/>
  <c r="B598" i="4" l="1"/>
  <c r="E557" i="4"/>
  <c r="J557" i="4" s="1"/>
  <c r="E558" i="4"/>
  <c r="J558" i="4" s="1"/>
  <c r="E559" i="4"/>
  <c r="J559" i="4" s="1"/>
  <c r="E560" i="4"/>
  <c r="J560" i="4" s="1"/>
  <c r="E561" i="4"/>
  <c r="J561" i="4" s="1"/>
  <c r="E562" i="4"/>
  <c r="J562" i="4" s="1"/>
  <c r="E563" i="4"/>
  <c r="J563" i="4" s="1"/>
  <c r="E564" i="4"/>
  <c r="J564" i="4" s="1"/>
  <c r="E565" i="4"/>
  <c r="J565" i="4" s="1"/>
  <c r="E566" i="4"/>
  <c r="J566" i="4" s="1"/>
  <c r="F557" i="2"/>
  <c r="L557" i="2" s="1"/>
  <c r="F558" i="2"/>
  <c r="L558" i="2" s="1"/>
  <c r="F559" i="2"/>
  <c r="L559" i="2" s="1"/>
  <c r="F560" i="2"/>
  <c r="L560" i="2" s="1"/>
  <c r="F561" i="2"/>
  <c r="L561" i="2" s="1"/>
  <c r="F562" i="2"/>
  <c r="L562" i="2" s="1"/>
  <c r="F563" i="2"/>
  <c r="L563" i="2" s="1"/>
  <c r="F564" i="2"/>
  <c r="L564" i="2" s="1"/>
  <c r="F565" i="2"/>
  <c r="L565" i="2" s="1"/>
  <c r="F566" i="2"/>
  <c r="L566" i="2" s="1"/>
  <c r="B599" i="4" l="1"/>
  <c r="I553" i="4"/>
  <c r="B600" i="4" l="1"/>
  <c r="I552" i="4"/>
  <c r="B601" i="4" l="1"/>
  <c r="I551" i="4"/>
  <c r="B602" i="4" l="1"/>
  <c r="I550" i="4"/>
  <c r="B603" i="4" l="1"/>
  <c r="I549" i="4"/>
  <c r="B604" i="4" l="1"/>
  <c r="I548" i="4"/>
  <c r="B605" i="4" l="1"/>
  <c r="I547" i="4"/>
  <c r="B606" i="4" l="1"/>
  <c r="I546" i="4"/>
  <c r="F546" i="2" l="1"/>
  <c r="L546" i="2" s="1"/>
  <c r="F547" i="2"/>
  <c r="L547" i="2" s="1"/>
  <c r="F548" i="2"/>
  <c r="L548" i="2" s="1"/>
  <c r="F549" i="2"/>
  <c r="L549" i="2" s="1"/>
  <c r="F550" i="2"/>
  <c r="L550" i="2" s="1"/>
  <c r="F551" i="2"/>
  <c r="L551" i="2" s="1"/>
  <c r="F552" i="2"/>
  <c r="L552" i="2" s="1"/>
  <c r="F553" i="2"/>
  <c r="L553" i="2" s="1"/>
  <c r="F554" i="2"/>
  <c r="L554" i="2" s="1"/>
  <c r="F555" i="2"/>
  <c r="L555" i="2" s="1"/>
  <c r="E546" i="4"/>
  <c r="J546" i="4" s="1"/>
  <c r="E547" i="4"/>
  <c r="J547" i="4" s="1"/>
  <c r="E548" i="4"/>
  <c r="J548" i="4" s="1"/>
  <c r="E549" i="4"/>
  <c r="J549" i="4" s="1"/>
  <c r="E550" i="4"/>
  <c r="J550" i="4" s="1"/>
  <c r="E551" i="4"/>
  <c r="J551" i="4" s="1"/>
  <c r="E552" i="4"/>
  <c r="J552" i="4" s="1"/>
  <c r="E553" i="4"/>
  <c r="J553" i="4" s="1"/>
  <c r="E554" i="4"/>
  <c r="J554" i="4" s="1"/>
  <c r="E555" i="4"/>
  <c r="J555" i="4" s="1"/>
  <c r="E534" i="4" l="1"/>
  <c r="E535" i="4"/>
  <c r="E536" i="4"/>
  <c r="E537" i="4"/>
  <c r="E538" i="4"/>
  <c r="E539" i="4"/>
  <c r="E540" i="4"/>
  <c r="E541" i="4"/>
  <c r="E542" i="4"/>
  <c r="E543" i="4"/>
  <c r="E544" i="4"/>
  <c r="E545" i="4"/>
  <c r="I535" i="4"/>
  <c r="I536" i="4"/>
  <c r="I537" i="4"/>
  <c r="I538" i="4"/>
  <c r="I539" i="4"/>
  <c r="I540" i="4"/>
  <c r="I541" i="4"/>
  <c r="I542" i="4"/>
  <c r="I543" i="4"/>
  <c r="I544" i="4"/>
  <c r="I545" i="4"/>
  <c r="F534" i="2"/>
  <c r="L534" i="2" s="1"/>
  <c r="F535" i="2"/>
  <c r="L535" i="2" s="1"/>
  <c r="F536" i="2"/>
  <c r="L536" i="2" s="1"/>
  <c r="F537" i="2"/>
  <c r="L537" i="2" s="1"/>
  <c r="F538" i="2"/>
  <c r="L538" i="2" s="1"/>
  <c r="F539" i="2"/>
  <c r="L539" i="2" s="1"/>
  <c r="F540" i="2"/>
  <c r="L540" i="2" s="1"/>
  <c r="F541" i="2"/>
  <c r="L541" i="2" s="1"/>
  <c r="F542" i="2"/>
  <c r="L542" i="2" s="1"/>
  <c r="F543" i="2"/>
  <c r="L543" i="2" s="1"/>
  <c r="F544" i="2"/>
  <c r="L544" i="2" s="1"/>
  <c r="F545" i="2"/>
  <c r="L545" i="2" s="1"/>
  <c r="J540" i="4" l="1"/>
  <c r="J536" i="4"/>
  <c r="J543" i="4"/>
  <c r="J544" i="4"/>
  <c r="J535" i="4"/>
  <c r="J545" i="4"/>
  <c r="J542" i="4"/>
  <c r="J539" i="4"/>
  <c r="J538" i="4"/>
  <c r="J537" i="4"/>
  <c r="J541" i="4"/>
  <c r="I534" i="4" l="1"/>
  <c r="J534" i="4" s="1"/>
  <c r="B621" i="4" l="1"/>
  <c r="I524" i="4"/>
  <c r="I525" i="4"/>
  <c r="I526" i="4"/>
  <c r="I527" i="4"/>
  <c r="I528" i="4"/>
  <c r="I529" i="4"/>
  <c r="I530" i="4"/>
  <c r="I531" i="4"/>
  <c r="I532" i="4"/>
  <c r="I533" i="4"/>
  <c r="B622" i="4" l="1"/>
  <c r="I523" i="4"/>
  <c r="E523" i="4"/>
  <c r="E524" i="4"/>
  <c r="J524" i="4" s="1"/>
  <c r="E525" i="4"/>
  <c r="J525" i="4" s="1"/>
  <c r="E526" i="4"/>
  <c r="J526" i="4" s="1"/>
  <c r="E527" i="4"/>
  <c r="J527" i="4" s="1"/>
  <c r="E528" i="4"/>
  <c r="J528" i="4" s="1"/>
  <c r="E529" i="4"/>
  <c r="J529" i="4" s="1"/>
  <c r="E530" i="4"/>
  <c r="J530" i="4" s="1"/>
  <c r="E531" i="4"/>
  <c r="J531" i="4" s="1"/>
  <c r="E532" i="4"/>
  <c r="J532" i="4" s="1"/>
  <c r="E533" i="4"/>
  <c r="J533" i="4" s="1"/>
  <c r="F523" i="2"/>
  <c r="L523" i="2" s="1"/>
  <c r="F524" i="2"/>
  <c r="L524" i="2" s="1"/>
  <c r="F525" i="2"/>
  <c r="L525" i="2" s="1"/>
  <c r="F526" i="2"/>
  <c r="L526" i="2" s="1"/>
  <c r="F527" i="2"/>
  <c r="L527" i="2" s="1"/>
  <c r="F528" i="2"/>
  <c r="L528" i="2" s="1"/>
  <c r="F529" i="2"/>
  <c r="L529" i="2" s="1"/>
  <c r="F530" i="2"/>
  <c r="L530" i="2" s="1"/>
  <c r="F531" i="2"/>
  <c r="L531" i="2" s="1"/>
  <c r="F532" i="2"/>
  <c r="L532" i="2" s="1"/>
  <c r="F533" i="2"/>
  <c r="L533" i="2" s="1"/>
  <c r="B623" i="4" l="1"/>
  <c r="J523" i="4"/>
  <c r="E512" i="4"/>
  <c r="E513" i="4"/>
  <c r="E514" i="4"/>
  <c r="E515" i="4"/>
  <c r="E516" i="4"/>
  <c r="E517" i="4"/>
  <c r="E518" i="4"/>
  <c r="E519" i="4"/>
  <c r="E520" i="4"/>
  <c r="E521" i="4"/>
  <c r="E522" i="4"/>
  <c r="F512" i="2"/>
  <c r="L512" i="2" s="1"/>
  <c r="F513" i="2"/>
  <c r="L513" i="2" s="1"/>
  <c r="F514" i="2"/>
  <c r="L514" i="2" s="1"/>
  <c r="F515" i="2"/>
  <c r="L515" i="2" s="1"/>
  <c r="F516" i="2"/>
  <c r="L516" i="2" s="1"/>
  <c r="F517" i="2"/>
  <c r="L517" i="2" s="1"/>
  <c r="F518" i="2"/>
  <c r="L518" i="2" s="1"/>
  <c r="F519" i="2"/>
  <c r="L519" i="2" s="1"/>
  <c r="F520" i="2"/>
  <c r="L520" i="2" s="1"/>
  <c r="F521" i="2"/>
  <c r="L521" i="2" s="1"/>
  <c r="F522" i="2"/>
  <c r="L522" i="2" s="1"/>
  <c r="B624" i="4" l="1"/>
  <c r="I513" i="4"/>
  <c r="J513" i="4" s="1"/>
  <c r="I514" i="4"/>
  <c r="J514" i="4" s="1"/>
  <c r="I515" i="4"/>
  <c r="J515" i="4" s="1"/>
  <c r="I516" i="4"/>
  <c r="J516" i="4" s="1"/>
  <c r="I517" i="4"/>
  <c r="J517" i="4" s="1"/>
  <c r="I518" i="4"/>
  <c r="J518" i="4" s="1"/>
  <c r="I519" i="4"/>
  <c r="J519" i="4" s="1"/>
  <c r="I520" i="4"/>
  <c r="J520" i="4" s="1"/>
  <c r="I521" i="4"/>
  <c r="J521" i="4" s="1"/>
  <c r="I522" i="4"/>
  <c r="J522" i="4" s="1"/>
  <c r="I512" i="4"/>
  <c r="J512" i="4" s="1"/>
  <c r="B625" i="4" l="1"/>
  <c r="I502" i="4"/>
  <c r="I503" i="4"/>
  <c r="I504" i="4"/>
  <c r="I505" i="4"/>
  <c r="I506" i="4"/>
  <c r="I507" i="4"/>
  <c r="I508" i="4"/>
  <c r="I509" i="4"/>
  <c r="I510" i="4"/>
  <c r="I511" i="4"/>
  <c r="I501" i="4"/>
  <c r="B626" i="4" l="1"/>
  <c r="E501" i="4"/>
  <c r="J501" i="4" s="1"/>
  <c r="E502" i="4"/>
  <c r="J502" i="4" s="1"/>
  <c r="E503" i="4"/>
  <c r="J503" i="4" s="1"/>
  <c r="E504" i="4"/>
  <c r="J504" i="4" s="1"/>
  <c r="E505" i="4"/>
  <c r="J505" i="4" s="1"/>
  <c r="E506" i="4"/>
  <c r="J506" i="4" s="1"/>
  <c r="E507" i="4"/>
  <c r="J507" i="4" s="1"/>
  <c r="E508" i="4"/>
  <c r="J508" i="4" s="1"/>
  <c r="E509" i="4"/>
  <c r="J509" i="4" s="1"/>
  <c r="E510" i="4"/>
  <c r="J510" i="4" s="1"/>
  <c r="E511" i="4"/>
  <c r="J511" i="4" s="1"/>
  <c r="F501" i="2"/>
  <c r="L501" i="2" s="1"/>
  <c r="F502" i="2"/>
  <c r="L502" i="2" s="1"/>
  <c r="F503" i="2"/>
  <c r="L503" i="2" s="1"/>
  <c r="F504" i="2"/>
  <c r="L504" i="2" s="1"/>
  <c r="F505" i="2"/>
  <c r="L505" i="2" s="1"/>
  <c r="F506" i="2"/>
  <c r="L506" i="2" s="1"/>
  <c r="F507" i="2"/>
  <c r="L507" i="2" s="1"/>
  <c r="F508" i="2"/>
  <c r="L508" i="2" s="1"/>
  <c r="F509" i="2"/>
  <c r="L509" i="2" s="1"/>
  <c r="F510" i="2"/>
  <c r="L510" i="2" s="1"/>
  <c r="F511" i="2"/>
  <c r="L511" i="2" s="1"/>
  <c r="B627" i="4" l="1"/>
  <c r="B628" i="4" l="1"/>
  <c r="B629" i="4" l="1"/>
  <c r="I490" i="4"/>
  <c r="E490" i="4"/>
  <c r="B490" i="4"/>
  <c r="J490" i="4" l="1"/>
  <c r="B630" i="4"/>
  <c r="F490" i="2"/>
  <c r="L490" i="2" s="1"/>
  <c r="B631" i="4" l="1"/>
  <c r="F491" i="2"/>
  <c r="L491" i="2" s="1"/>
  <c r="F492" i="2"/>
  <c r="L492" i="2" s="1"/>
  <c r="F493" i="2"/>
  <c r="L493" i="2" s="1"/>
  <c r="F494" i="2"/>
  <c r="L494" i="2" s="1"/>
  <c r="F495" i="2"/>
  <c r="L495" i="2" s="1"/>
  <c r="F496" i="2"/>
  <c r="L496" i="2" s="1"/>
  <c r="F497" i="2"/>
  <c r="L497" i="2" s="1"/>
  <c r="F498" i="2"/>
  <c r="L498" i="2" s="1"/>
  <c r="F499" i="2"/>
  <c r="L499" i="2" s="1"/>
  <c r="F500" i="2"/>
  <c r="L500" i="2" s="1"/>
  <c r="I491" i="4"/>
  <c r="I492" i="4"/>
  <c r="I493" i="4"/>
  <c r="I494" i="4"/>
  <c r="I495" i="4"/>
  <c r="I496" i="4"/>
  <c r="I497" i="4"/>
  <c r="I498" i="4"/>
  <c r="I499" i="4"/>
  <c r="I500" i="4"/>
  <c r="E491" i="4"/>
  <c r="E492" i="4"/>
  <c r="E493" i="4"/>
  <c r="E494" i="4"/>
  <c r="E495" i="4"/>
  <c r="E496" i="4"/>
  <c r="E497" i="4"/>
  <c r="E498" i="4"/>
  <c r="E499" i="4"/>
  <c r="E500" i="4"/>
  <c r="J493" i="4" l="1"/>
  <c r="J494" i="4"/>
  <c r="B632" i="4"/>
  <c r="J498" i="4"/>
  <c r="J497" i="4"/>
  <c r="J492" i="4"/>
  <c r="J491" i="4"/>
  <c r="J499" i="4"/>
  <c r="J496" i="4"/>
  <c r="J500" i="4"/>
  <c r="J495" i="4"/>
  <c r="B633" i="4" l="1"/>
  <c r="I479" i="4"/>
  <c r="I480" i="4"/>
  <c r="I481" i="4"/>
  <c r="I482" i="4"/>
  <c r="I483" i="4"/>
  <c r="I484" i="4"/>
  <c r="I485" i="4"/>
  <c r="I486" i="4"/>
  <c r="I487" i="4"/>
  <c r="I488" i="4"/>
  <c r="I489" i="4"/>
  <c r="E479" i="4"/>
  <c r="E480" i="4"/>
  <c r="E481" i="4"/>
  <c r="E482" i="4"/>
  <c r="E483" i="4"/>
  <c r="E484" i="4"/>
  <c r="E485" i="4"/>
  <c r="E486" i="4"/>
  <c r="E487" i="4"/>
  <c r="E488" i="4"/>
  <c r="E489" i="4"/>
  <c r="F479" i="2"/>
  <c r="L479" i="2" s="1"/>
  <c r="F480" i="2"/>
  <c r="L480" i="2" s="1"/>
  <c r="F481" i="2"/>
  <c r="L481" i="2" s="1"/>
  <c r="F482" i="2"/>
  <c r="L482" i="2" s="1"/>
  <c r="F483" i="2"/>
  <c r="L483" i="2" s="1"/>
  <c r="F484" i="2"/>
  <c r="L484" i="2" s="1"/>
  <c r="F485" i="2"/>
  <c r="L485" i="2" s="1"/>
  <c r="F486" i="2"/>
  <c r="L486" i="2" s="1"/>
  <c r="F487" i="2"/>
  <c r="L487" i="2" s="1"/>
  <c r="F488" i="2"/>
  <c r="L488" i="2" s="1"/>
  <c r="F489" i="2"/>
  <c r="L489" i="2" s="1"/>
  <c r="B634" i="4" l="1"/>
  <c r="J480" i="4"/>
  <c r="J482" i="4"/>
  <c r="J481" i="4"/>
  <c r="J488" i="4"/>
  <c r="J479" i="4"/>
  <c r="J489" i="4"/>
  <c r="J487" i="4"/>
  <c r="J486" i="4"/>
  <c r="J485" i="4"/>
  <c r="J484" i="4"/>
  <c r="J483" i="4"/>
  <c r="I468" i="4"/>
  <c r="I469" i="4"/>
  <c r="I470" i="4"/>
  <c r="I471" i="4"/>
  <c r="I472" i="4"/>
  <c r="I473" i="4"/>
  <c r="I474" i="4"/>
  <c r="I475" i="4"/>
  <c r="I476" i="4"/>
  <c r="I477" i="4"/>
  <c r="I478" i="4"/>
  <c r="E468" i="4"/>
  <c r="E469" i="4"/>
  <c r="E470" i="4"/>
  <c r="E471" i="4"/>
  <c r="E472" i="4"/>
  <c r="E473" i="4"/>
  <c r="E474" i="4"/>
  <c r="E475" i="4"/>
  <c r="E476" i="4"/>
  <c r="E477" i="4"/>
  <c r="E478" i="4"/>
  <c r="F468" i="2"/>
  <c r="L468" i="2" s="1"/>
  <c r="F469" i="2"/>
  <c r="L469" i="2" s="1"/>
  <c r="F470" i="2"/>
  <c r="L470" i="2" s="1"/>
  <c r="F471" i="2"/>
  <c r="L471" i="2" s="1"/>
  <c r="F472" i="2"/>
  <c r="L472" i="2" s="1"/>
  <c r="F473" i="2"/>
  <c r="L473" i="2" s="1"/>
  <c r="F474" i="2"/>
  <c r="L474" i="2" s="1"/>
  <c r="F475" i="2"/>
  <c r="L475" i="2" s="1"/>
  <c r="F476" i="2"/>
  <c r="L476" i="2" s="1"/>
  <c r="F477" i="2"/>
  <c r="L477" i="2" s="1"/>
  <c r="F478" i="2"/>
  <c r="L478" i="2" s="1"/>
  <c r="B635" i="4" l="1"/>
  <c r="J472" i="4"/>
  <c r="J471" i="4"/>
  <c r="J473" i="4"/>
  <c r="J477" i="4"/>
  <c r="J478" i="4"/>
  <c r="J476" i="4"/>
  <c r="J475" i="4"/>
  <c r="J474" i="4"/>
  <c r="J470" i="4"/>
  <c r="J469" i="4"/>
  <c r="J468" i="4"/>
  <c r="E459" i="4"/>
  <c r="I459" i="4"/>
  <c r="F459" i="2"/>
  <c r="L459" i="2" s="1"/>
  <c r="B636" i="4" l="1"/>
  <c r="J459" i="4"/>
  <c r="I456" i="4"/>
  <c r="I457" i="4"/>
  <c r="I458" i="4"/>
  <c r="I460" i="4"/>
  <c r="I461" i="4"/>
  <c r="I462" i="4"/>
  <c r="I463" i="4"/>
  <c r="I464" i="4"/>
  <c r="I465" i="4"/>
  <c r="I466" i="4"/>
  <c r="I467" i="4"/>
  <c r="I455" i="4"/>
  <c r="E454" i="4"/>
  <c r="E455" i="4"/>
  <c r="E456" i="4"/>
  <c r="E457" i="4"/>
  <c r="E458" i="4"/>
  <c r="E460" i="4"/>
  <c r="E461" i="4"/>
  <c r="E462" i="4"/>
  <c r="E463" i="4"/>
  <c r="E464" i="4"/>
  <c r="E465" i="4"/>
  <c r="E466" i="4"/>
  <c r="E467" i="4"/>
  <c r="F455" i="2"/>
  <c r="L455" i="2" s="1"/>
  <c r="F456" i="2"/>
  <c r="L456" i="2" s="1"/>
  <c r="F457" i="2"/>
  <c r="L457" i="2" s="1"/>
  <c r="F458" i="2"/>
  <c r="L458" i="2" s="1"/>
  <c r="F460" i="2"/>
  <c r="L460" i="2" s="1"/>
  <c r="F461" i="2"/>
  <c r="L461" i="2" s="1"/>
  <c r="F462" i="2"/>
  <c r="L462" i="2" s="1"/>
  <c r="F463" i="2"/>
  <c r="L463" i="2" s="1"/>
  <c r="F464" i="2"/>
  <c r="L464" i="2" s="1"/>
  <c r="F465" i="2"/>
  <c r="L465" i="2" s="1"/>
  <c r="F466" i="2"/>
  <c r="L466" i="2" s="1"/>
  <c r="F467" i="2"/>
  <c r="L467" i="2" s="1"/>
  <c r="B637" i="4" l="1"/>
  <c r="J455" i="4"/>
  <c r="J462" i="4"/>
  <c r="J464" i="4"/>
  <c r="J466" i="4"/>
  <c r="J460" i="4"/>
  <c r="J461" i="4"/>
  <c r="J467" i="4"/>
  <c r="J465" i="4"/>
  <c r="J463" i="4"/>
  <c r="J458" i="4"/>
  <c r="J457" i="4"/>
  <c r="J456" i="4"/>
  <c r="I454" i="4"/>
  <c r="I453" i="4"/>
  <c r="I452" i="4"/>
  <c r="I451" i="4"/>
  <c r="I450" i="4"/>
  <c r="I449" i="4"/>
  <c r="I448" i="4"/>
  <c r="I447" i="4"/>
  <c r="I446" i="4"/>
  <c r="I445" i="4"/>
  <c r="I444" i="4"/>
  <c r="B638" i="4" l="1"/>
  <c r="E444" i="4"/>
  <c r="J444" i="4" s="1"/>
  <c r="E445" i="4"/>
  <c r="J445" i="4" s="1"/>
  <c r="E446" i="4"/>
  <c r="J446" i="4" s="1"/>
  <c r="E447" i="4"/>
  <c r="J447" i="4" s="1"/>
  <c r="E448" i="4"/>
  <c r="J448" i="4" s="1"/>
  <c r="E449" i="4"/>
  <c r="J449" i="4" s="1"/>
  <c r="E450" i="4"/>
  <c r="J450" i="4" s="1"/>
  <c r="E451" i="4"/>
  <c r="J451" i="4" s="1"/>
  <c r="E452" i="4"/>
  <c r="J452" i="4" s="1"/>
  <c r="E453" i="4"/>
  <c r="J453" i="4" s="1"/>
  <c r="J454" i="4"/>
  <c r="F444" i="2"/>
  <c r="L444" i="2" s="1"/>
  <c r="F445" i="2"/>
  <c r="L445" i="2" s="1"/>
  <c r="F446" i="2"/>
  <c r="L446" i="2" s="1"/>
  <c r="F447" i="2"/>
  <c r="L447" i="2" s="1"/>
  <c r="F448" i="2"/>
  <c r="L448" i="2" s="1"/>
  <c r="F449" i="2"/>
  <c r="L449" i="2" s="1"/>
  <c r="F450" i="2"/>
  <c r="L450" i="2" s="1"/>
  <c r="F451" i="2"/>
  <c r="L451" i="2" s="1"/>
  <c r="F452" i="2"/>
  <c r="L452" i="2" s="1"/>
  <c r="F453" i="2"/>
  <c r="L453" i="2" s="1"/>
  <c r="F454" i="2"/>
  <c r="L454" i="2" s="1"/>
  <c r="B639" i="4" l="1"/>
  <c r="I435" i="4"/>
  <c r="I436" i="4"/>
  <c r="I437" i="4"/>
  <c r="I438" i="4"/>
  <c r="I439" i="4"/>
  <c r="I440" i="4"/>
  <c r="I441" i="4"/>
  <c r="I442" i="4"/>
  <c r="I443" i="4"/>
  <c r="E434" i="4"/>
  <c r="E435" i="4"/>
  <c r="E436" i="4"/>
  <c r="E437" i="4"/>
  <c r="E438" i="4"/>
  <c r="E439" i="4"/>
  <c r="E440" i="4"/>
  <c r="E441" i="4"/>
  <c r="E442" i="4"/>
  <c r="E443" i="4"/>
  <c r="F434" i="2"/>
  <c r="L434" i="2" s="1"/>
  <c r="F435" i="2"/>
  <c r="L435" i="2" s="1"/>
  <c r="F436" i="2"/>
  <c r="L436" i="2" s="1"/>
  <c r="F437" i="2"/>
  <c r="L437" i="2" s="1"/>
  <c r="F438" i="2"/>
  <c r="L438" i="2" s="1"/>
  <c r="F439" i="2"/>
  <c r="L439" i="2" s="1"/>
  <c r="F440" i="2"/>
  <c r="L440" i="2" s="1"/>
  <c r="F441" i="2"/>
  <c r="L441" i="2" s="1"/>
  <c r="F442" i="2"/>
  <c r="L442" i="2" s="1"/>
  <c r="F443" i="2"/>
  <c r="L443" i="2" s="1"/>
  <c r="I434" i="4"/>
  <c r="B640" i="4" l="1"/>
  <c r="J441" i="4"/>
  <c r="J440" i="4"/>
  <c r="J437" i="4"/>
  <c r="J436" i="4"/>
  <c r="J434" i="4"/>
  <c r="J442" i="4"/>
  <c r="J438" i="4"/>
  <c r="J443" i="4"/>
  <c r="J439" i="4"/>
  <c r="J435" i="4"/>
  <c r="B641" i="4" l="1"/>
  <c r="E424" i="4"/>
  <c r="E425" i="4"/>
  <c r="E426" i="4"/>
  <c r="E427" i="4"/>
  <c r="E428" i="4"/>
  <c r="E429" i="4"/>
  <c r="E430" i="4"/>
  <c r="E431" i="4"/>
  <c r="E432" i="4"/>
  <c r="E433" i="4"/>
  <c r="I424" i="4"/>
  <c r="I425" i="4"/>
  <c r="I426" i="4"/>
  <c r="I427" i="4"/>
  <c r="I428" i="4"/>
  <c r="I429" i="4"/>
  <c r="I430" i="4"/>
  <c r="I431" i="4"/>
  <c r="I432" i="4"/>
  <c r="I433" i="4"/>
  <c r="F424" i="2"/>
  <c r="L424" i="2" s="1"/>
  <c r="F425" i="2"/>
  <c r="L425" i="2" s="1"/>
  <c r="F426" i="2"/>
  <c r="L426" i="2" s="1"/>
  <c r="F427" i="2"/>
  <c r="L427" i="2" s="1"/>
  <c r="F428" i="2"/>
  <c r="L428" i="2" s="1"/>
  <c r="F429" i="2"/>
  <c r="L429" i="2" s="1"/>
  <c r="F430" i="2"/>
  <c r="L430" i="2" s="1"/>
  <c r="F431" i="2"/>
  <c r="L431" i="2" s="1"/>
  <c r="F432" i="2"/>
  <c r="L432" i="2" s="1"/>
  <c r="F433" i="2"/>
  <c r="L433" i="2" s="1"/>
  <c r="B642" i="4" l="1"/>
  <c r="J426" i="4"/>
  <c r="J428" i="4"/>
  <c r="J431" i="4"/>
  <c r="J427" i="4"/>
  <c r="J432" i="4"/>
  <c r="J430" i="4"/>
  <c r="J424" i="4"/>
  <c r="J429" i="4"/>
  <c r="J433" i="4"/>
  <c r="J425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F412" i="2"/>
  <c r="L412" i="2" s="1"/>
  <c r="F413" i="2"/>
  <c r="L413" i="2" s="1"/>
  <c r="F414" i="2"/>
  <c r="L414" i="2" s="1"/>
  <c r="F415" i="2"/>
  <c r="L415" i="2" s="1"/>
  <c r="F416" i="2"/>
  <c r="L416" i="2" s="1"/>
  <c r="F417" i="2"/>
  <c r="L417" i="2" s="1"/>
  <c r="F418" i="2"/>
  <c r="L418" i="2" s="1"/>
  <c r="F419" i="2"/>
  <c r="L419" i="2" s="1"/>
  <c r="F420" i="2"/>
  <c r="L420" i="2" s="1"/>
  <c r="F421" i="2"/>
  <c r="L421" i="2" s="1"/>
  <c r="F422" i="2"/>
  <c r="L422" i="2" s="1"/>
  <c r="F423" i="2"/>
  <c r="L423" i="2" s="1"/>
  <c r="J413" i="4" l="1"/>
  <c r="B643" i="4"/>
  <c r="J421" i="4"/>
  <c r="J423" i="4"/>
  <c r="J419" i="4"/>
  <c r="J415" i="4"/>
  <c r="J422" i="4"/>
  <c r="J420" i="4"/>
  <c r="J418" i="4"/>
  <c r="J417" i="4"/>
  <c r="J416" i="4"/>
  <c r="J414" i="4"/>
  <c r="J412" i="4"/>
  <c r="I401" i="4"/>
  <c r="I402" i="4"/>
  <c r="I403" i="4"/>
  <c r="I404" i="4"/>
  <c r="I405" i="4"/>
  <c r="I406" i="4"/>
  <c r="I407" i="4"/>
  <c r="I408" i="4"/>
  <c r="I409" i="4"/>
  <c r="I410" i="4"/>
  <c r="I411" i="4"/>
  <c r="E401" i="4"/>
  <c r="E402" i="4"/>
  <c r="E403" i="4"/>
  <c r="E404" i="4"/>
  <c r="E405" i="4"/>
  <c r="E406" i="4"/>
  <c r="E407" i="4"/>
  <c r="E408" i="4"/>
  <c r="E409" i="4"/>
  <c r="E410" i="4"/>
  <c r="E411" i="4"/>
  <c r="B644" i="4" l="1"/>
  <c r="J406" i="4"/>
  <c r="J404" i="4"/>
  <c r="J402" i="4"/>
  <c r="J401" i="4"/>
  <c r="J411" i="4"/>
  <c r="J410" i="4"/>
  <c r="J409" i="4"/>
  <c r="J408" i="4"/>
  <c r="J407" i="4"/>
  <c r="J405" i="4"/>
  <c r="J403" i="4"/>
  <c r="F401" i="2"/>
  <c r="L401" i="2" s="1"/>
  <c r="F402" i="2"/>
  <c r="L402" i="2" s="1"/>
  <c r="F403" i="2"/>
  <c r="L403" i="2" s="1"/>
  <c r="F404" i="2"/>
  <c r="L404" i="2" s="1"/>
  <c r="F405" i="2"/>
  <c r="L405" i="2" s="1"/>
  <c r="F406" i="2"/>
  <c r="L406" i="2" s="1"/>
  <c r="F407" i="2"/>
  <c r="L407" i="2" s="1"/>
  <c r="F408" i="2"/>
  <c r="L408" i="2" s="1"/>
  <c r="F409" i="2"/>
  <c r="L409" i="2" s="1"/>
  <c r="F410" i="2"/>
  <c r="L410" i="2" s="1"/>
  <c r="F411" i="2"/>
  <c r="L411" i="2" s="1"/>
  <c r="B645" i="4" l="1"/>
  <c r="B646" i="4" l="1"/>
  <c r="B647" i="4" l="1"/>
  <c r="B648" i="4" l="1"/>
  <c r="B649" i="4" l="1"/>
  <c r="I391" i="4"/>
  <c r="I392" i="4"/>
  <c r="I393" i="4"/>
  <c r="I394" i="4"/>
  <c r="I395" i="4"/>
  <c r="I396" i="4"/>
  <c r="I397" i="4"/>
  <c r="I398" i="4"/>
  <c r="I399" i="4"/>
  <c r="I400" i="4"/>
  <c r="I390" i="4"/>
  <c r="B650" i="4" l="1"/>
  <c r="E390" i="4"/>
  <c r="J390" i="4" s="1"/>
  <c r="E391" i="4"/>
  <c r="J391" i="4" s="1"/>
  <c r="E392" i="4"/>
  <c r="J392" i="4" s="1"/>
  <c r="E393" i="4"/>
  <c r="J393" i="4" s="1"/>
  <c r="E394" i="4"/>
  <c r="J394" i="4" s="1"/>
  <c r="E395" i="4"/>
  <c r="J395" i="4" s="1"/>
  <c r="E396" i="4"/>
  <c r="J396" i="4" s="1"/>
  <c r="E397" i="4"/>
  <c r="J397" i="4" s="1"/>
  <c r="E398" i="4"/>
  <c r="J398" i="4" s="1"/>
  <c r="E399" i="4"/>
  <c r="J399" i="4" s="1"/>
  <c r="E400" i="4"/>
  <c r="J400" i="4" s="1"/>
  <c r="F390" i="2"/>
  <c r="L390" i="2" s="1"/>
  <c r="F391" i="2"/>
  <c r="L391" i="2" s="1"/>
  <c r="F392" i="2"/>
  <c r="L392" i="2" s="1"/>
  <c r="F393" i="2"/>
  <c r="L393" i="2" s="1"/>
  <c r="F394" i="2"/>
  <c r="L394" i="2" s="1"/>
  <c r="F395" i="2"/>
  <c r="L395" i="2" s="1"/>
  <c r="F396" i="2"/>
  <c r="L396" i="2" s="1"/>
  <c r="F397" i="2"/>
  <c r="L397" i="2" s="1"/>
  <c r="F398" i="2"/>
  <c r="L398" i="2" s="1"/>
  <c r="F399" i="2"/>
  <c r="L399" i="2" s="1"/>
  <c r="F400" i="2"/>
  <c r="L400" i="2" s="1"/>
  <c r="B651" i="4" l="1"/>
  <c r="B652" i="4" l="1"/>
  <c r="B653" i="4" l="1"/>
  <c r="B654" i="4" l="1"/>
  <c r="B655" i="4" l="1"/>
  <c r="B656" i="4" l="1"/>
  <c r="B657" i="4" l="1"/>
  <c r="I378" i="4"/>
  <c r="E378" i="4"/>
  <c r="B378" i="4"/>
  <c r="F378" i="2"/>
  <c r="L378" i="2" s="1"/>
  <c r="B658" i="4" l="1"/>
  <c r="J378" i="4"/>
  <c r="I379" i="4"/>
  <c r="I380" i="4"/>
  <c r="I381" i="4"/>
  <c r="I382" i="4"/>
  <c r="I383" i="4"/>
  <c r="I384" i="4"/>
  <c r="I385" i="4"/>
  <c r="I386" i="4"/>
  <c r="I387" i="4"/>
  <c r="I388" i="4"/>
  <c r="I389" i="4"/>
  <c r="E379" i="4"/>
  <c r="E380" i="4"/>
  <c r="E381" i="4"/>
  <c r="E382" i="4"/>
  <c r="E383" i="4"/>
  <c r="E384" i="4"/>
  <c r="E385" i="4"/>
  <c r="E386" i="4"/>
  <c r="E387" i="4"/>
  <c r="E388" i="4"/>
  <c r="E389" i="4"/>
  <c r="F379" i="2"/>
  <c r="L379" i="2" s="1"/>
  <c r="F380" i="2"/>
  <c r="L380" i="2" s="1"/>
  <c r="F381" i="2"/>
  <c r="L381" i="2" s="1"/>
  <c r="F382" i="2"/>
  <c r="L382" i="2" s="1"/>
  <c r="F383" i="2"/>
  <c r="L383" i="2" s="1"/>
  <c r="F384" i="2"/>
  <c r="L384" i="2" s="1"/>
  <c r="F385" i="2"/>
  <c r="L385" i="2" s="1"/>
  <c r="F386" i="2"/>
  <c r="L386" i="2" s="1"/>
  <c r="F387" i="2"/>
  <c r="L387" i="2" s="1"/>
  <c r="F388" i="2"/>
  <c r="L388" i="2" s="1"/>
  <c r="F389" i="2"/>
  <c r="L389" i="2" s="1"/>
  <c r="B659" i="4" l="1"/>
  <c r="J380" i="4"/>
  <c r="J386" i="4"/>
  <c r="J389" i="4"/>
  <c r="J385" i="4"/>
  <c r="J381" i="4"/>
  <c r="J388" i="4"/>
  <c r="J384" i="4"/>
  <c r="J382" i="4"/>
  <c r="J379" i="4"/>
  <c r="J387" i="4"/>
  <c r="J383" i="4"/>
  <c r="B660" i="4" l="1"/>
  <c r="B661" i="4" l="1"/>
  <c r="B662" i="4" l="1"/>
  <c r="B663" i="4" l="1"/>
  <c r="F390" i="3"/>
  <c r="B664" i="4" l="1"/>
  <c r="L390" i="3"/>
  <c r="I369" i="4"/>
  <c r="I370" i="4"/>
  <c r="I371" i="4"/>
  <c r="I372" i="4"/>
  <c r="I373" i="4"/>
  <c r="I374" i="4"/>
  <c r="I375" i="4"/>
  <c r="I376" i="4"/>
  <c r="I377" i="4"/>
  <c r="I368" i="4"/>
  <c r="E368" i="4"/>
  <c r="E369" i="4"/>
  <c r="E370" i="4"/>
  <c r="E371" i="4"/>
  <c r="E372" i="4"/>
  <c r="E373" i="4"/>
  <c r="E374" i="4"/>
  <c r="E375" i="4"/>
  <c r="E376" i="4"/>
  <c r="E377" i="4"/>
  <c r="F368" i="2"/>
  <c r="L368" i="2" s="1"/>
  <c r="F369" i="2"/>
  <c r="L369" i="2" s="1"/>
  <c r="F370" i="2"/>
  <c r="L370" i="2" s="1"/>
  <c r="F371" i="2"/>
  <c r="L371" i="2" s="1"/>
  <c r="F372" i="2"/>
  <c r="L372" i="2" s="1"/>
  <c r="F373" i="2"/>
  <c r="L373" i="2" s="1"/>
  <c r="F374" i="2"/>
  <c r="L374" i="2" s="1"/>
  <c r="F375" i="2"/>
  <c r="L375" i="2" s="1"/>
  <c r="F376" i="2"/>
  <c r="L376" i="2" s="1"/>
  <c r="F377" i="2"/>
  <c r="L377" i="2" s="1"/>
  <c r="B665" i="4" l="1"/>
  <c r="J372" i="4"/>
  <c r="J371" i="4"/>
  <c r="J370" i="4"/>
  <c r="J377" i="4"/>
  <c r="J376" i="4"/>
  <c r="J375" i="4"/>
  <c r="J374" i="4"/>
  <c r="J373" i="4"/>
  <c r="J369" i="4"/>
  <c r="J368" i="4"/>
  <c r="B666" i="4" l="1"/>
  <c r="B667" i="4" l="1"/>
  <c r="B668" i="4" l="1"/>
  <c r="B669" i="4" l="1"/>
  <c r="B670" i="4" l="1"/>
  <c r="B672" i="4" l="1"/>
  <c r="B671" i="4"/>
  <c r="B673" i="4" l="1"/>
  <c r="B675" i="4" l="1"/>
  <c r="B674" i="4"/>
  <c r="I358" i="4"/>
  <c r="I359" i="4"/>
  <c r="I360" i="4"/>
  <c r="I361" i="4"/>
  <c r="I362" i="4"/>
  <c r="I363" i="4"/>
  <c r="I364" i="4"/>
  <c r="I365" i="4"/>
  <c r="I366" i="4"/>
  <c r="I367" i="4"/>
  <c r="I357" i="4"/>
  <c r="B676" i="4" l="1"/>
  <c r="E357" i="4"/>
  <c r="J357" i="4" s="1"/>
  <c r="E358" i="4"/>
  <c r="J358" i="4" s="1"/>
  <c r="E359" i="4"/>
  <c r="J359" i="4" s="1"/>
  <c r="E360" i="4"/>
  <c r="J360" i="4" s="1"/>
  <c r="E361" i="4"/>
  <c r="J361" i="4" s="1"/>
  <c r="E362" i="4"/>
  <c r="J362" i="4" s="1"/>
  <c r="E363" i="4"/>
  <c r="J363" i="4" s="1"/>
  <c r="E364" i="4"/>
  <c r="J364" i="4" s="1"/>
  <c r="E365" i="4"/>
  <c r="J365" i="4" s="1"/>
  <c r="E366" i="4"/>
  <c r="J366" i="4" s="1"/>
  <c r="E367" i="4"/>
  <c r="J367" i="4" s="1"/>
  <c r="F357" i="2"/>
  <c r="L357" i="2" s="1"/>
  <c r="F358" i="2"/>
  <c r="L358" i="2" s="1"/>
  <c r="F359" i="2"/>
  <c r="L359" i="2" s="1"/>
  <c r="F360" i="2"/>
  <c r="L360" i="2" s="1"/>
  <c r="F361" i="2"/>
  <c r="L361" i="2" s="1"/>
  <c r="F362" i="2"/>
  <c r="L362" i="2" s="1"/>
  <c r="F363" i="2"/>
  <c r="L363" i="2" s="1"/>
  <c r="F364" i="2"/>
  <c r="L364" i="2" s="1"/>
  <c r="F365" i="2"/>
  <c r="L365" i="2" s="1"/>
  <c r="F366" i="2"/>
  <c r="L366" i="2" s="1"/>
  <c r="F367" i="2"/>
  <c r="L367" i="2" s="1"/>
  <c r="B677" i="4" l="1"/>
  <c r="B678" i="4" l="1"/>
  <c r="B680" i="4" l="1"/>
  <c r="B681" i="4" l="1"/>
  <c r="B682" i="4" l="1"/>
  <c r="B683" i="4" l="1"/>
  <c r="B684" i="4" l="1"/>
  <c r="B685" i="4" l="1"/>
  <c r="I350" i="4"/>
  <c r="I351" i="4"/>
  <c r="I352" i="4"/>
  <c r="I353" i="4"/>
  <c r="I354" i="4"/>
  <c r="I355" i="4"/>
  <c r="I356" i="4"/>
  <c r="I349" i="4"/>
  <c r="B686" i="4" l="1"/>
  <c r="B687" i="4" l="1"/>
  <c r="B688" i="4" l="1"/>
  <c r="E349" i="4"/>
  <c r="J349" i="4" s="1"/>
  <c r="E350" i="4"/>
  <c r="J350" i="4" s="1"/>
  <c r="E351" i="4"/>
  <c r="J351" i="4" s="1"/>
  <c r="E352" i="4"/>
  <c r="J352" i="4" s="1"/>
  <c r="E353" i="4"/>
  <c r="J353" i="4" s="1"/>
  <c r="E354" i="4"/>
  <c r="J354" i="4" s="1"/>
  <c r="E355" i="4"/>
  <c r="J355" i="4" s="1"/>
  <c r="E356" i="4"/>
  <c r="J356" i="4" s="1"/>
  <c r="F348" i="2"/>
  <c r="L348" i="2" s="1"/>
  <c r="F349" i="2"/>
  <c r="L349" i="2" s="1"/>
  <c r="F350" i="2"/>
  <c r="L350" i="2" s="1"/>
  <c r="F351" i="2"/>
  <c r="L351" i="2" s="1"/>
  <c r="F352" i="2"/>
  <c r="L352" i="2" s="1"/>
  <c r="F353" i="2"/>
  <c r="L353" i="2" s="1"/>
  <c r="F354" i="2"/>
  <c r="L354" i="2" s="1"/>
  <c r="F355" i="2"/>
  <c r="L355" i="2" s="1"/>
  <c r="F356" i="2"/>
  <c r="L356" i="2" s="1"/>
  <c r="B689" i="4" l="1"/>
  <c r="B690" i="4" l="1"/>
  <c r="B691" i="4" l="1"/>
  <c r="B692" i="4" l="1"/>
  <c r="B693" i="4" l="1"/>
  <c r="B694" i="4" l="1"/>
  <c r="B695" i="4" l="1"/>
  <c r="B696" i="4" l="1"/>
  <c r="E338" i="4"/>
  <c r="E339" i="4"/>
  <c r="E340" i="4"/>
  <c r="E341" i="4"/>
  <c r="E342" i="4"/>
  <c r="E343" i="4"/>
  <c r="E344" i="4"/>
  <c r="E345" i="4"/>
  <c r="E346" i="4"/>
  <c r="E347" i="4"/>
  <c r="E348" i="4"/>
  <c r="F338" i="2"/>
  <c r="F339" i="2"/>
  <c r="F340" i="2"/>
  <c r="F341" i="2"/>
  <c r="F342" i="2"/>
  <c r="F343" i="2"/>
  <c r="F344" i="2"/>
  <c r="F345" i="2"/>
  <c r="F346" i="2"/>
  <c r="F347" i="2"/>
  <c r="B697" i="4" l="1"/>
  <c r="B698" i="4" l="1"/>
  <c r="B699" i="4" l="1"/>
  <c r="B700" i="4" l="1"/>
  <c r="I339" i="4"/>
  <c r="J339" i="4" s="1"/>
  <c r="I340" i="4"/>
  <c r="J340" i="4" s="1"/>
  <c r="I341" i="4"/>
  <c r="J341" i="4" s="1"/>
  <c r="I342" i="4"/>
  <c r="J342" i="4" s="1"/>
  <c r="I343" i="4"/>
  <c r="J343" i="4" s="1"/>
  <c r="I344" i="4"/>
  <c r="J344" i="4" s="1"/>
  <c r="I345" i="4"/>
  <c r="J345" i="4" s="1"/>
  <c r="I346" i="4"/>
  <c r="J346" i="4" s="1"/>
  <c r="I347" i="4"/>
  <c r="J347" i="4" s="1"/>
  <c r="I348" i="4"/>
  <c r="J348" i="4" s="1"/>
  <c r="I338" i="4"/>
  <c r="J338" i="4" s="1"/>
  <c r="L338" i="2"/>
  <c r="L339" i="2"/>
  <c r="L340" i="2"/>
  <c r="L341" i="2"/>
  <c r="L342" i="2"/>
  <c r="L343" i="2"/>
  <c r="L344" i="2"/>
  <c r="L345" i="2"/>
  <c r="L346" i="2"/>
  <c r="L347" i="2"/>
  <c r="B701" i="4" l="1"/>
  <c r="B702" i="4" l="1"/>
  <c r="B703" i="4" l="1"/>
  <c r="B704" i="4" l="1"/>
  <c r="B705" i="4" l="1"/>
  <c r="B706" i="4" l="1"/>
  <c r="B707" i="4" l="1"/>
  <c r="B708" i="4" l="1"/>
  <c r="B709" i="4" l="1"/>
  <c r="B710" i="4" l="1"/>
  <c r="B711" i="4" l="1"/>
  <c r="B712" i="4" l="1"/>
  <c r="E326" i="4"/>
  <c r="E327" i="4"/>
  <c r="E328" i="4"/>
  <c r="E329" i="4"/>
  <c r="E330" i="4"/>
  <c r="E331" i="4"/>
  <c r="E332" i="4"/>
  <c r="E333" i="4"/>
  <c r="E334" i="4"/>
  <c r="E335" i="4"/>
  <c r="E336" i="4"/>
  <c r="E337" i="4"/>
  <c r="F326" i="2"/>
  <c r="F327" i="2"/>
  <c r="F328" i="2"/>
  <c r="F329" i="2"/>
  <c r="F330" i="2"/>
  <c r="F331" i="2"/>
  <c r="F332" i="2"/>
  <c r="F333" i="2"/>
  <c r="F334" i="2"/>
  <c r="F335" i="2"/>
  <c r="F336" i="2"/>
  <c r="F337" i="2"/>
  <c r="B713" i="4" l="1"/>
  <c r="B714" i="4" l="1"/>
  <c r="B715" i="4" l="1"/>
  <c r="I326" i="4"/>
  <c r="J326" i="4" s="1"/>
  <c r="I327" i="4"/>
  <c r="J327" i="4" s="1"/>
  <c r="I328" i="4"/>
  <c r="J328" i="4" s="1"/>
  <c r="I329" i="4"/>
  <c r="J329" i="4" s="1"/>
  <c r="I330" i="4"/>
  <c r="J330" i="4" s="1"/>
  <c r="I331" i="4"/>
  <c r="J331" i="4" s="1"/>
  <c r="I332" i="4"/>
  <c r="J332" i="4" s="1"/>
  <c r="I333" i="4"/>
  <c r="J333" i="4" s="1"/>
  <c r="I334" i="4"/>
  <c r="J334" i="4" s="1"/>
  <c r="I335" i="4"/>
  <c r="J335" i="4" s="1"/>
  <c r="I336" i="4"/>
  <c r="J336" i="4" s="1"/>
  <c r="I337" i="4"/>
  <c r="J337" i="4" s="1"/>
  <c r="L326" i="2"/>
  <c r="L327" i="2"/>
  <c r="L328" i="2"/>
  <c r="L329" i="2"/>
  <c r="L330" i="2"/>
  <c r="L331" i="2"/>
  <c r="L332" i="2"/>
  <c r="L333" i="2"/>
  <c r="L334" i="2"/>
  <c r="L335" i="2"/>
  <c r="L336" i="2"/>
  <c r="L337" i="2"/>
  <c r="B716" i="4" l="1"/>
  <c r="B717" i="4" l="1"/>
  <c r="B718" i="4" l="1"/>
  <c r="F316" i="2"/>
  <c r="L316" i="2" s="1"/>
  <c r="B719" i="4" l="1"/>
  <c r="B720" i="4" l="1"/>
  <c r="B721" i="4" l="1"/>
  <c r="B722" i="4" l="1"/>
  <c r="B723" i="4" l="1"/>
  <c r="E311" i="4"/>
  <c r="I311" i="4"/>
  <c r="B311" i="4"/>
  <c r="F311" i="2"/>
  <c r="L311" i="2" s="1"/>
  <c r="B724" i="4" l="1"/>
  <c r="J311" i="4"/>
  <c r="B725" i="4" l="1"/>
  <c r="I316" i="4"/>
  <c r="I317" i="4"/>
  <c r="I318" i="4"/>
  <c r="I319" i="4"/>
  <c r="I320" i="4"/>
  <c r="I321" i="4"/>
  <c r="I322" i="4"/>
  <c r="I323" i="4"/>
  <c r="I324" i="4"/>
  <c r="I325" i="4"/>
  <c r="B726" i="4" l="1"/>
  <c r="B727" i="4" l="1"/>
  <c r="B728" i="4" l="1"/>
  <c r="E316" i="4"/>
  <c r="J316" i="4" s="1"/>
  <c r="E317" i="4"/>
  <c r="J317" i="4" s="1"/>
  <c r="E318" i="4"/>
  <c r="J318" i="4" s="1"/>
  <c r="E319" i="4"/>
  <c r="J319" i="4" s="1"/>
  <c r="E320" i="4"/>
  <c r="J320" i="4" s="1"/>
  <c r="E321" i="4"/>
  <c r="J321" i="4" s="1"/>
  <c r="E322" i="4"/>
  <c r="J322" i="4" s="1"/>
  <c r="E323" i="4"/>
  <c r="J323" i="4" s="1"/>
  <c r="E324" i="4"/>
  <c r="J324" i="4" s="1"/>
  <c r="E325" i="4"/>
  <c r="J325" i="4" s="1"/>
  <c r="F317" i="2"/>
  <c r="L317" i="2" s="1"/>
  <c r="F318" i="2"/>
  <c r="L318" i="2" s="1"/>
  <c r="F319" i="2"/>
  <c r="L319" i="2" s="1"/>
  <c r="F320" i="2"/>
  <c r="L320" i="2" s="1"/>
  <c r="F321" i="2"/>
  <c r="L321" i="2" s="1"/>
  <c r="F322" i="2"/>
  <c r="L322" i="2" s="1"/>
  <c r="F323" i="2"/>
  <c r="L323" i="2" s="1"/>
  <c r="F324" i="2"/>
  <c r="L324" i="2" s="1"/>
  <c r="F325" i="2"/>
  <c r="L325" i="2" s="1"/>
  <c r="B729" i="4" l="1"/>
  <c r="B730" i="4" l="1"/>
  <c r="B731" i="4" l="1"/>
  <c r="B732" i="4" l="1"/>
  <c r="B733" i="4" l="1"/>
  <c r="B734" i="4" l="1"/>
  <c r="B735" i="4" l="1"/>
  <c r="B736" i="4" l="1"/>
  <c r="I306" i="4"/>
  <c r="I307" i="4"/>
  <c r="I308" i="4"/>
  <c r="I309" i="4"/>
  <c r="I310" i="4"/>
  <c r="I312" i="4"/>
  <c r="I313" i="4"/>
  <c r="I314" i="4"/>
  <c r="I315" i="4"/>
  <c r="E306" i="4"/>
  <c r="E307" i="4"/>
  <c r="E308" i="4"/>
  <c r="E309" i="4"/>
  <c r="E310" i="4"/>
  <c r="E312" i="4"/>
  <c r="E313" i="4"/>
  <c r="E314" i="4"/>
  <c r="E315" i="4"/>
  <c r="F306" i="2"/>
  <c r="L306" i="2" s="1"/>
  <c r="F307" i="2"/>
  <c r="L307" i="2" s="1"/>
  <c r="F308" i="2"/>
  <c r="L308" i="2" s="1"/>
  <c r="F309" i="2"/>
  <c r="L309" i="2" s="1"/>
  <c r="F310" i="2"/>
  <c r="L310" i="2" s="1"/>
  <c r="F312" i="2"/>
  <c r="L312" i="2" s="1"/>
  <c r="F313" i="2"/>
  <c r="L313" i="2" s="1"/>
  <c r="F314" i="2"/>
  <c r="L314" i="2" s="1"/>
  <c r="F315" i="2"/>
  <c r="L315" i="2" s="1"/>
  <c r="J307" i="4" l="1"/>
  <c r="B737" i="4"/>
  <c r="J309" i="4"/>
  <c r="J314" i="4"/>
  <c r="J312" i="4"/>
  <c r="J313" i="4"/>
  <c r="J308" i="4"/>
  <c r="J315" i="4"/>
  <c r="J310" i="4"/>
  <c r="J306" i="4"/>
  <c r="B738" i="4" l="1"/>
  <c r="B739" i="4" l="1"/>
  <c r="B740" i="4" l="1"/>
  <c r="B741" i="4" l="1"/>
  <c r="B742" i="4" l="1"/>
  <c r="B743" i="4" l="1"/>
  <c r="B744" i="4" l="1"/>
  <c r="F320" i="3"/>
  <c r="B745" i="4" l="1"/>
  <c r="L320" i="3"/>
  <c r="F296" i="2"/>
  <c r="F297" i="2"/>
  <c r="F298" i="2"/>
  <c r="F299" i="2"/>
  <c r="F300" i="2"/>
  <c r="F301" i="2"/>
  <c r="F302" i="2"/>
  <c r="F303" i="2"/>
  <c r="F304" i="2"/>
  <c r="F305" i="2"/>
  <c r="E296" i="4"/>
  <c r="E297" i="4"/>
  <c r="E298" i="4"/>
  <c r="E299" i="4"/>
  <c r="E300" i="4"/>
  <c r="E301" i="4"/>
  <c r="E302" i="4"/>
  <c r="E303" i="4"/>
  <c r="E304" i="4"/>
  <c r="E305" i="4"/>
  <c r="B746" i="4" l="1"/>
  <c r="I296" i="4"/>
  <c r="J296" i="4" s="1"/>
  <c r="I297" i="4"/>
  <c r="J297" i="4" s="1"/>
  <c r="I298" i="4"/>
  <c r="J298" i="4" s="1"/>
  <c r="I299" i="4"/>
  <c r="J299" i="4" s="1"/>
  <c r="I300" i="4"/>
  <c r="J300" i="4" s="1"/>
  <c r="I301" i="4"/>
  <c r="J301" i="4" s="1"/>
  <c r="I302" i="4"/>
  <c r="J302" i="4" s="1"/>
  <c r="I303" i="4"/>
  <c r="J303" i="4" s="1"/>
  <c r="I304" i="4"/>
  <c r="J304" i="4" s="1"/>
  <c r="I305" i="4"/>
  <c r="J305" i="4" s="1"/>
  <c r="L296" i="2"/>
  <c r="L297" i="2"/>
  <c r="L298" i="2"/>
  <c r="L299" i="2"/>
  <c r="L300" i="2"/>
  <c r="L301" i="2"/>
  <c r="L302" i="2"/>
  <c r="L303" i="2"/>
  <c r="L304" i="2"/>
  <c r="L305" i="2"/>
  <c r="B747" i="4" l="1"/>
  <c r="B748" i="4" l="1"/>
  <c r="F316" i="3"/>
  <c r="B749" i="4" l="1"/>
  <c r="L316" i="3"/>
  <c r="F315" i="3"/>
  <c r="B750" i="4" l="1"/>
  <c r="L315" i="3"/>
  <c r="F314" i="3"/>
  <c r="B751" i="4" l="1"/>
  <c r="F313" i="3"/>
  <c r="L314" i="3"/>
  <c r="B752" i="4" l="1"/>
  <c r="L313" i="3"/>
  <c r="B753" i="4" l="1"/>
  <c r="F312" i="3"/>
  <c r="B754" i="4" l="1"/>
  <c r="F311" i="3"/>
  <c r="L312" i="3"/>
  <c r="B755" i="4" l="1"/>
  <c r="L311" i="3"/>
  <c r="B756" i="4" l="1"/>
  <c r="I287" i="4"/>
  <c r="I288" i="4"/>
  <c r="I289" i="4"/>
  <c r="I290" i="4"/>
  <c r="I291" i="4"/>
  <c r="I292" i="4"/>
  <c r="I293" i="4"/>
  <c r="I294" i="4"/>
  <c r="I295" i="4"/>
  <c r="I286" i="4"/>
  <c r="B757" i="4" l="1"/>
  <c r="E286" i="4"/>
  <c r="J286" i="4" s="1"/>
  <c r="E287" i="4"/>
  <c r="J287" i="4" s="1"/>
  <c r="E288" i="4"/>
  <c r="J288" i="4" s="1"/>
  <c r="E289" i="4"/>
  <c r="J289" i="4" s="1"/>
  <c r="E290" i="4"/>
  <c r="J290" i="4" s="1"/>
  <c r="E291" i="4"/>
  <c r="J291" i="4" s="1"/>
  <c r="E292" i="4"/>
  <c r="J292" i="4" s="1"/>
  <c r="E293" i="4"/>
  <c r="J293" i="4" s="1"/>
  <c r="E294" i="4"/>
  <c r="J294" i="4" s="1"/>
  <c r="E295" i="4"/>
  <c r="J295" i="4" s="1"/>
  <c r="F286" i="2"/>
  <c r="L286" i="2" s="1"/>
  <c r="F287" i="2"/>
  <c r="L287" i="2" s="1"/>
  <c r="F288" i="2"/>
  <c r="L288" i="2" s="1"/>
  <c r="F289" i="2"/>
  <c r="L289" i="2" s="1"/>
  <c r="F290" i="2"/>
  <c r="L290" i="2" s="1"/>
  <c r="F291" i="2"/>
  <c r="L291" i="2" s="1"/>
  <c r="F292" i="2"/>
  <c r="L292" i="2" s="1"/>
  <c r="F293" i="2"/>
  <c r="L293" i="2" s="1"/>
  <c r="F294" i="2"/>
  <c r="L294" i="2" s="1"/>
  <c r="F295" i="2"/>
  <c r="L295" i="2" s="1"/>
  <c r="B758" i="4" l="1"/>
  <c r="I275" i="4"/>
  <c r="I276" i="4"/>
  <c r="I277" i="4"/>
  <c r="I278" i="4"/>
  <c r="I279" i="4"/>
  <c r="I280" i="4"/>
  <c r="I281" i="4"/>
  <c r="I282" i="4"/>
  <c r="I283" i="4"/>
  <c r="I284" i="4"/>
  <c r="I285" i="4"/>
  <c r="B759" i="4" l="1"/>
  <c r="E275" i="4"/>
  <c r="J275" i="4" s="1"/>
  <c r="E276" i="4"/>
  <c r="J276" i="4" s="1"/>
  <c r="E277" i="4"/>
  <c r="J277" i="4" s="1"/>
  <c r="E278" i="4"/>
  <c r="J278" i="4" s="1"/>
  <c r="E279" i="4"/>
  <c r="J279" i="4" s="1"/>
  <c r="E280" i="4"/>
  <c r="J280" i="4" s="1"/>
  <c r="E281" i="4"/>
  <c r="J281" i="4" s="1"/>
  <c r="E282" i="4"/>
  <c r="J282" i="4" s="1"/>
  <c r="E283" i="4"/>
  <c r="J283" i="4" s="1"/>
  <c r="E284" i="4"/>
  <c r="J284" i="4" s="1"/>
  <c r="E285" i="4"/>
  <c r="J285" i="4" s="1"/>
  <c r="F275" i="2"/>
  <c r="L275" i="2" s="1"/>
  <c r="F276" i="2"/>
  <c r="L276" i="2" s="1"/>
  <c r="F277" i="2"/>
  <c r="L277" i="2" s="1"/>
  <c r="F278" i="2"/>
  <c r="L278" i="2" s="1"/>
  <c r="F279" i="2"/>
  <c r="L279" i="2" s="1"/>
  <c r="F280" i="2"/>
  <c r="L280" i="2" s="1"/>
  <c r="F281" i="2"/>
  <c r="L281" i="2" s="1"/>
  <c r="F282" i="2"/>
  <c r="L282" i="2" s="1"/>
  <c r="F283" i="2"/>
  <c r="L283" i="2" s="1"/>
  <c r="F284" i="2"/>
  <c r="L284" i="2" s="1"/>
  <c r="F285" i="2"/>
  <c r="L285" i="2" s="1"/>
  <c r="B760" i="4" l="1"/>
  <c r="E263" i="4"/>
  <c r="E264" i="4"/>
  <c r="E265" i="4"/>
  <c r="E266" i="4"/>
  <c r="E267" i="4"/>
  <c r="E268" i="4"/>
  <c r="E269" i="4"/>
  <c r="E270" i="4"/>
  <c r="E271" i="4"/>
  <c r="E272" i="4"/>
  <c r="E273" i="4"/>
  <c r="E274" i="4"/>
  <c r="I264" i="4"/>
  <c r="I265" i="4"/>
  <c r="I266" i="4"/>
  <c r="I267" i="4"/>
  <c r="I268" i="4"/>
  <c r="I269" i="4"/>
  <c r="I270" i="4"/>
  <c r="I271" i="4"/>
  <c r="I272" i="4"/>
  <c r="I273" i="4"/>
  <c r="I274" i="4"/>
  <c r="F263" i="2"/>
  <c r="L263" i="2" s="1"/>
  <c r="F264" i="2"/>
  <c r="L264" i="2" s="1"/>
  <c r="F265" i="2"/>
  <c r="L265" i="2" s="1"/>
  <c r="F266" i="2"/>
  <c r="L266" i="2" s="1"/>
  <c r="F267" i="2"/>
  <c r="L267" i="2" s="1"/>
  <c r="F268" i="2"/>
  <c r="L268" i="2" s="1"/>
  <c r="F269" i="2"/>
  <c r="L269" i="2" s="1"/>
  <c r="F270" i="2"/>
  <c r="L270" i="2" s="1"/>
  <c r="F271" i="2"/>
  <c r="L271" i="2" s="1"/>
  <c r="F272" i="2"/>
  <c r="L272" i="2" s="1"/>
  <c r="F273" i="2"/>
  <c r="L273" i="2" s="1"/>
  <c r="F274" i="2"/>
  <c r="L274" i="2" s="1"/>
  <c r="I263" i="4"/>
  <c r="B761" i="4" l="1"/>
  <c r="J265" i="4"/>
  <c r="J266" i="4"/>
  <c r="J273" i="4"/>
  <c r="J271" i="4"/>
  <c r="J269" i="4"/>
  <c r="J268" i="4"/>
  <c r="J267" i="4"/>
  <c r="J263" i="4"/>
  <c r="J274" i="4"/>
  <c r="J270" i="4"/>
  <c r="J272" i="4"/>
  <c r="J264" i="4"/>
  <c r="B762" i="4" l="1"/>
  <c r="I251" i="4"/>
  <c r="E251" i="4"/>
  <c r="F251" i="2"/>
  <c r="L251" i="2" s="1"/>
  <c r="B763" i="4" l="1"/>
  <c r="J251" i="4"/>
  <c r="J250" i="2"/>
  <c r="B764" i="4" l="1"/>
  <c r="J249" i="2"/>
  <c r="B765" i="4" l="1"/>
  <c r="D247" i="2"/>
  <c r="E247" i="2" s="1"/>
  <c r="D248" i="2"/>
  <c r="E248" i="2" s="1"/>
  <c r="J248" i="2"/>
  <c r="B766" i="4" l="1"/>
  <c r="K248" i="2"/>
  <c r="J247" i="2"/>
  <c r="K247" i="2" s="1"/>
  <c r="B767" i="4" l="1"/>
  <c r="D234" i="2"/>
  <c r="E234" i="2" s="1"/>
  <c r="D235" i="2"/>
  <c r="E235" i="2" s="1"/>
  <c r="D236" i="2"/>
  <c r="E236" i="2" s="1"/>
  <c r="D237" i="2"/>
  <c r="E237" i="2" s="1"/>
  <c r="D238" i="2"/>
  <c r="E238" i="2" s="1"/>
  <c r="D239" i="2"/>
  <c r="E239" i="2" s="1"/>
  <c r="D240" i="2"/>
  <c r="E240" i="2" s="1"/>
  <c r="D241" i="2"/>
  <c r="E241" i="2" s="1"/>
  <c r="D242" i="2"/>
  <c r="E242" i="2" s="1"/>
  <c r="D243" i="2"/>
  <c r="E243" i="2" s="1"/>
  <c r="D244" i="2"/>
  <c r="E244" i="2" s="1"/>
  <c r="D245" i="2"/>
  <c r="E245" i="2" s="1"/>
  <c r="D246" i="2"/>
  <c r="E246" i="2" s="1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B768" i="4" l="1"/>
  <c r="K244" i="2"/>
  <c r="K246" i="2"/>
  <c r="K238" i="2"/>
  <c r="K236" i="2"/>
  <c r="K240" i="2"/>
  <c r="K242" i="2"/>
  <c r="K234" i="2"/>
  <c r="K239" i="2"/>
  <c r="K241" i="2"/>
  <c r="K243" i="2"/>
  <c r="K235" i="2"/>
  <c r="K245" i="2"/>
  <c r="K237" i="2"/>
  <c r="B769" i="4" l="1"/>
  <c r="E253" i="4"/>
  <c r="E254" i="4"/>
  <c r="E255" i="4"/>
  <c r="E256" i="4"/>
  <c r="E257" i="4"/>
  <c r="E258" i="4"/>
  <c r="E259" i="4"/>
  <c r="E260" i="4"/>
  <c r="E261" i="4"/>
  <c r="E262" i="4"/>
  <c r="E252" i="4"/>
  <c r="I253" i="4"/>
  <c r="I254" i="4"/>
  <c r="I255" i="4"/>
  <c r="I256" i="4"/>
  <c r="I257" i="4"/>
  <c r="I258" i="4"/>
  <c r="I259" i="4"/>
  <c r="I260" i="4"/>
  <c r="I261" i="4"/>
  <c r="I262" i="4"/>
  <c r="I252" i="4"/>
  <c r="I247" i="4"/>
  <c r="I248" i="4"/>
  <c r="I249" i="4"/>
  <c r="I250" i="4"/>
  <c r="I246" i="4"/>
  <c r="B770" i="4" l="1"/>
  <c r="J254" i="4"/>
  <c r="J252" i="4"/>
  <c r="J256" i="4"/>
  <c r="J262" i="4"/>
  <c r="J260" i="4"/>
  <c r="J259" i="4"/>
  <c r="J258" i="4"/>
  <c r="J255" i="4"/>
  <c r="J261" i="4"/>
  <c r="J253" i="4"/>
  <c r="J257" i="4"/>
  <c r="B771" i="4" l="1"/>
  <c r="F252" i="2"/>
  <c r="L252" i="2" s="1"/>
  <c r="F253" i="2"/>
  <c r="L253" i="2" s="1"/>
  <c r="F254" i="2"/>
  <c r="L254" i="2" s="1"/>
  <c r="F255" i="2"/>
  <c r="L255" i="2" s="1"/>
  <c r="F256" i="2"/>
  <c r="L256" i="2" s="1"/>
  <c r="F257" i="2"/>
  <c r="L257" i="2" s="1"/>
  <c r="F258" i="2"/>
  <c r="L258" i="2" s="1"/>
  <c r="F259" i="2"/>
  <c r="L259" i="2" s="1"/>
  <c r="F260" i="2"/>
  <c r="L260" i="2" s="1"/>
  <c r="F261" i="2"/>
  <c r="L261" i="2" s="1"/>
  <c r="F262" i="2"/>
  <c r="L262" i="2" s="1"/>
  <c r="E246" i="4"/>
  <c r="J246" i="4" s="1"/>
  <c r="E247" i="4"/>
  <c r="J247" i="4" s="1"/>
  <c r="E248" i="4"/>
  <c r="J248" i="4" s="1"/>
  <c r="E249" i="4"/>
  <c r="J249" i="4" s="1"/>
  <c r="E250" i="4"/>
  <c r="J250" i="4" s="1"/>
  <c r="B772" i="4" l="1"/>
  <c r="I241" i="4"/>
  <c r="I242" i="4"/>
  <c r="I243" i="4"/>
  <c r="I244" i="4"/>
  <c r="I245" i="4"/>
  <c r="B773" i="4" l="1"/>
  <c r="E241" i="4"/>
  <c r="J241" i="4" s="1"/>
  <c r="E242" i="4"/>
  <c r="J242" i="4" s="1"/>
  <c r="E243" i="4"/>
  <c r="J243" i="4" s="1"/>
  <c r="E244" i="4"/>
  <c r="J244" i="4" s="1"/>
  <c r="E245" i="4"/>
  <c r="J245" i="4" s="1"/>
  <c r="B774" i="4" l="1"/>
  <c r="I237" i="4"/>
  <c r="I238" i="4"/>
  <c r="I239" i="4"/>
  <c r="I240" i="4"/>
  <c r="E235" i="4"/>
  <c r="E236" i="4"/>
  <c r="E237" i="4"/>
  <c r="E238" i="4"/>
  <c r="E239" i="4"/>
  <c r="E240" i="4"/>
  <c r="F241" i="2"/>
  <c r="L241" i="2" s="1"/>
  <c r="F242" i="2"/>
  <c r="L242" i="2" s="1"/>
  <c r="F243" i="2"/>
  <c r="L243" i="2" s="1"/>
  <c r="F244" i="2"/>
  <c r="L244" i="2" s="1"/>
  <c r="F245" i="2"/>
  <c r="L245" i="2" s="1"/>
  <c r="F246" i="2"/>
  <c r="L246" i="2" s="1"/>
  <c r="F247" i="2"/>
  <c r="L247" i="2" s="1"/>
  <c r="F248" i="2"/>
  <c r="L248" i="2" s="1"/>
  <c r="F249" i="2"/>
  <c r="L249" i="2" s="1"/>
  <c r="F250" i="2"/>
  <c r="L250" i="2" s="1"/>
  <c r="B775" i="4" l="1"/>
  <c r="J237" i="4"/>
  <c r="J240" i="4"/>
  <c r="J239" i="4"/>
  <c r="J238" i="4"/>
  <c r="D233" i="2"/>
  <c r="E233" i="2" s="1"/>
  <c r="K233" i="2" s="1"/>
  <c r="D189" i="2"/>
  <c r="D190" i="2"/>
  <c r="D191" i="2"/>
  <c r="D192" i="2"/>
  <c r="D193" i="2"/>
  <c r="D194" i="2"/>
  <c r="D195" i="2"/>
  <c r="D196" i="2"/>
  <c r="D197" i="2"/>
  <c r="D198" i="2"/>
  <c r="D199" i="2"/>
  <c r="D200" i="2"/>
  <c r="E200" i="2" s="1"/>
  <c r="D201" i="2"/>
  <c r="E201" i="2" s="1"/>
  <c r="D202" i="2"/>
  <c r="E202" i="2" s="1"/>
  <c r="D203" i="2"/>
  <c r="E203" i="2" s="1"/>
  <c r="D204" i="2"/>
  <c r="E204" i="2" s="1"/>
  <c r="D205" i="2"/>
  <c r="E205" i="2" s="1"/>
  <c r="D206" i="2"/>
  <c r="E206" i="2" s="1"/>
  <c r="D207" i="2"/>
  <c r="E207" i="2" s="1"/>
  <c r="D208" i="2"/>
  <c r="E208" i="2" s="1"/>
  <c r="D209" i="2"/>
  <c r="E209" i="2" s="1"/>
  <c r="D210" i="2"/>
  <c r="E210" i="2" s="1"/>
  <c r="K210" i="2" s="1"/>
  <c r="D211" i="2"/>
  <c r="E211" i="2" s="1"/>
  <c r="K211" i="2" s="1"/>
  <c r="D212" i="2"/>
  <c r="E212" i="2" s="1"/>
  <c r="K212" i="2" s="1"/>
  <c r="D213" i="2"/>
  <c r="E213" i="2" s="1"/>
  <c r="K213" i="2" s="1"/>
  <c r="D214" i="2"/>
  <c r="E214" i="2" s="1"/>
  <c r="K214" i="2" s="1"/>
  <c r="D215" i="2"/>
  <c r="E215" i="2" s="1"/>
  <c r="K215" i="2" s="1"/>
  <c r="D216" i="2"/>
  <c r="E216" i="2" s="1"/>
  <c r="K216" i="2" s="1"/>
  <c r="D217" i="2"/>
  <c r="E217" i="2" s="1"/>
  <c r="K217" i="2" s="1"/>
  <c r="D218" i="2"/>
  <c r="E218" i="2" s="1"/>
  <c r="K218" i="2" s="1"/>
  <c r="D219" i="2"/>
  <c r="E219" i="2" s="1"/>
  <c r="K219" i="2" s="1"/>
  <c r="D220" i="2"/>
  <c r="E220" i="2" s="1"/>
  <c r="K220" i="2" s="1"/>
  <c r="D221" i="2"/>
  <c r="E221" i="2" s="1"/>
  <c r="K221" i="2" s="1"/>
  <c r="D222" i="2"/>
  <c r="E222" i="2" s="1"/>
  <c r="K222" i="2" s="1"/>
  <c r="D223" i="2"/>
  <c r="E223" i="2" s="1"/>
  <c r="K223" i="2" s="1"/>
  <c r="D224" i="2"/>
  <c r="E224" i="2" s="1"/>
  <c r="K224" i="2" s="1"/>
  <c r="D225" i="2"/>
  <c r="E225" i="2" s="1"/>
  <c r="K225" i="2" s="1"/>
  <c r="D226" i="2"/>
  <c r="E226" i="2" s="1"/>
  <c r="K226" i="2" s="1"/>
  <c r="D227" i="2"/>
  <c r="E227" i="2" s="1"/>
  <c r="K227" i="2" s="1"/>
  <c r="D228" i="2"/>
  <c r="E228" i="2" s="1"/>
  <c r="K228" i="2" s="1"/>
  <c r="D229" i="2"/>
  <c r="E229" i="2" s="1"/>
  <c r="K229" i="2" s="1"/>
  <c r="D230" i="2"/>
  <c r="E230" i="2" s="1"/>
  <c r="K230" i="2" s="1"/>
  <c r="D231" i="2"/>
  <c r="E231" i="2" s="1"/>
  <c r="K231" i="2" s="1"/>
  <c r="D232" i="2"/>
  <c r="E232" i="2" s="1"/>
  <c r="K232" i="2" s="1"/>
  <c r="B776" i="4" l="1"/>
  <c r="E234" i="4"/>
  <c r="B777" i="4" l="1"/>
  <c r="E233" i="4"/>
  <c r="E232" i="4"/>
  <c r="B778" i="4" l="1"/>
  <c r="I232" i="4"/>
  <c r="J232" i="4" s="1"/>
  <c r="I233" i="4"/>
  <c r="J233" i="4" s="1"/>
  <c r="I234" i="4"/>
  <c r="J234" i="4" s="1"/>
  <c r="I235" i="4"/>
  <c r="J235" i="4" s="1"/>
  <c r="I236" i="4"/>
  <c r="J236" i="4" s="1"/>
  <c r="B779" i="4" l="1"/>
  <c r="F232" i="2"/>
  <c r="L232" i="2" s="1"/>
  <c r="F233" i="2"/>
  <c r="L233" i="2" s="1"/>
  <c r="F234" i="2"/>
  <c r="L234" i="2" s="1"/>
  <c r="F235" i="2"/>
  <c r="L235" i="2" s="1"/>
  <c r="F236" i="2"/>
  <c r="L236" i="2" s="1"/>
  <c r="F237" i="2"/>
  <c r="L237" i="2" s="1"/>
  <c r="F238" i="2"/>
  <c r="L238" i="2" s="1"/>
  <c r="F239" i="2"/>
  <c r="L239" i="2" s="1"/>
  <c r="F240" i="2"/>
  <c r="L240" i="2" s="1"/>
  <c r="B780" i="4" l="1"/>
  <c r="L27" i="3"/>
  <c r="F27" i="3"/>
  <c r="B781" i="4" l="1"/>
  <c r="E227" i="4"/>
  <c r="E228" i="4"/>
  <c r="E229" i="4"/>
  <c r="E230" i="4"/>
  <c r="E231" i="4"/>
  <c r="E226" i="4"/>
  <c r="B782" i="4" l="1"/>
  <c r="I226" i="4"/>
  <c r="J226" i="4" s="1"/>
  <c r="I227" i="4"/>
  <c r="J227" i="4" s="1"/>
  <c r="I228" i="4"/>
  <c r="J228" i="4" s="1"/>
  <c r="I229" i="4"/>
  <c r="J229" i="4" s="1"/>
  <c r="I230" i="4"/>
  <c r="J230" i="4" s="1"/>
  <c r="I231" i="4"/>
  <c r="J231" i="4" s="1"/>
  <c r="L231" i="4" s="1"/>
  <c r="B783" i="4" l="1"/>
  <c r="E222" i="4"/>
  <c r="E223" i="4"/>
  <c r="E224" i="4"/>
  <c r="E225" i="4"/>
  <c r="B784" i="4" l="1"/>
  <c r="F226" i="2"/>
  <c r="L226" i="2" s="1"/>
  <c r="F227" i="2"/>
  <c r="L227" i="2" s="1"/>
  <c r="F228" i="2"/>
  <c r="L228" i="2" s="1"/>
  <c r="F229" i="2"/>
  <c r="L229" i="2" s="1"/>
  <c r="F230" i="2"/>
  <c r="L230" i="2" s="1"/>
  <c r="F231" i="2"/>
  <c r="L231" i="2" s="1"/>
  <c r="B785" i="4" l="1"/>
  <c r="F222" i="2"/>
  <c r="L222" i="2" s="1"/>
  <c r="F223" i="2"/>
  <c r="L223" i="2" s="1"/>
  <c r="F224" i="2"/>
  <c r="L224" i="2" s="1"/>
  <c r="F225" i="2"/>
  <c r="L225" i="2" s="1"/>
  <c r="I222" i="4"/>
  <c r="J222" i="4" s="1"/>
  <c r="I223" i="4"/>
  <c r="J223" i="4" s="1"/>
  <c r="I224" i="4"/>
  <c r="J224" i="4" s="1"/>
  <c r="I225" i="4"/>
  <c r="J225" i="4" s="1"/>
  <c r="B786" i="4" l="1"/>
  <c r="I217" i="4"/>
  <c r="I218" i="4"/>
  <c r="I219" i="4"/>
  <c r="I220" i="4"/>
  <c r="I221" i="4"/>
  <c r="I216" i="4"/>
  <c r="B787" i="4" l="1"/>
  <c r="E216" i="4"/>
  <c r="J216" i="4" s="1"/>
  <c r="E217" i="4"/>
  <c r="J217" i="4" s="1"/>
  <c r="E218" i="4"/>
  <c r="J218" i="4" s="1"/>
  <c r="E219" i="4"/>
  <c r="J219" i="4" s="1"/>
  <c r="E220" i="4"/>
  <c r="J220" i="4" s="1"/>
  <c r="E221" i="4"/>
  <c r="J221" i="4" s="1"/>
  <c r="B788" i="4" l="1"/>
  <c r="F221" i="2"/>
  <c r="L221" i="2" s="1"/>
  <c r="F220" i="2"/>
  <c r="L220" i="2" s="1"/>
  <c r="F219" i="2"/>
  <c r="L219" i="2" s="1"/>
  <c r="F218" i="2"/>
  <c r="L218" i="2" s="1"/>
  <c r="F217" i="2"/>
  <c r="L217" i="2" s="1"/>
  <c r="B790" i="4" l="1"/>
  <c r="I211" i="4"/>
  <c r="I212" i="4"/>
  <c r="I213" i="4"/>
  <c r="I214" i="4"/>
  <c r="I215" i="4"/>
  <c r="E215" i="4"/>
  <c r="E214" i="4"/>
  <c r="E213" i="4"/>
  <c r="E212" i="4"/>
  <c r="E211" i="4"/>
  <c r="B791" i="4" l="1"/>
  <c r="J212" i="4"/>
  <c r="J215" i="4"/>
  <c r="J214" i="4"/>
  <c r="J213" i="4"/>
  <c r="J211" i="4"/>
  <c r="B792" i="4" l="1"/>
  <c r="F201" i="2"/>
  <c r="F202" i="2"/>
  <c r="F203" i="2"/>
  <c r="F204" i="2"/>
  <c r="F205" i="2"/>
  <c r="F206" i="2"/>
  <c r="F207" i="2"/>
  <c r="F208" i="2"/>
  <c r="F209" i="2"/>
  <c r="F210" i="2"/>
  <c r="L210" i="2" s="1"/>
  <c r="F211" i="2"/>
  <c r="L211" i="2" s="1"/>
  <c r="F212" i="2"/>
  <c r="L212" i="2" s="1"/>
  <c r="F213" i="2"/>
  <c r="L213" i="2" s="1"/>
  <c r="F214" i="2"/>
  <c r="L214" i="2" s="1"/>
  <c r="F215" i="2"/>
  <c r="L215" i="2" s="1"/>
  <c r="F216" i="2"/>
  <c r="L216" i="2" s="1"/>
  <c r="B793" i="4" l="1"/>
  <c r="I202" i="4"/>
  <c r="I203" i="4"/>
  <c r="I204" i="4"/>
  <c r="I205" i="4"/>
  <c r="I206" i="4"/>
  <c r="I207" i="4"/>
  <c r="I208" i="4"/>
  <c r="I209" i="4"/>
  <c r="I210" i="4"/>
  <c r="E200" i="4"/>
  <c r="E201" i="4"/>
  <c r="E202" i="4"/>
  <c r="E203" i="4"/>
  <c r="E204" i="4"/>
  <c r="E205" i="4"/>
  <c r="E206" i="4"/>
  <c r="E207" i="4"/>
  <c r="E208" i="4"/>
  <c r="E209" i="4"/>
  <c r="E210" i="4"/>
  <c r="B794" i="4" l="1"/>
  <c r="J203" i="4"/>
  <c r="J202" i="4"/>
  <c r="J204" i="4"/>
  <c r="J205" i="4"/>
  <c r="J207" i="4"/>
  <c r="J210" i="4"/>
  <c r="J209" i="4"/>
  <c r="J208" i="4"/>
  <c r="J206" i="4"/>
  <c r="B795" i="4" l="1"/>
  <c r="F198" i="2"/>
  <c r="B796" i="4" l="1"/>
  <c r="I201" i="4"/>
  <c r="E199" i="4"/>
  <c r="F200" i="2"/>
  <c r="B797" i="4" l="1"/>
  <c r="J201" i="4"/>
  <c r="B798" i="4" l="1"/>
  <c r="J199" i="2"/>
  <c r="J200" i="2"/>
  <c r="K200" i="2" s="1"/>
  <c r="J201" i="2"/>
  <c r="J202" i="2"/>
  <c r="K202" i="2" s="1"/>
  <c r="J203" i="2"/>
  <c r="L203" i="2" s="1"/>
  <c r="J204" i="2"/>
  <c r="L204" i="2" s="1"/>
  <c r="J205" i="2"/>
  <c r="K205" i="2" s="1"/>
  <c r="J206" i="2"/>
  <c r="K206" i="2" s="1"/>
  <c r="J207" i="2"/>
  <c r="L207" i="2" s="1"/>
  <c r="J208" i="2"/>
  <c r="J209" i="2"/>
  <c r="L209" i="2" s="1"/>
  <c r="B799" i="4" l="1"/>
  <c r="K209" i="2"/>
  <c r="K201" i="2"/>
  <c r="L201" i="2"/>
  <c r="K208" i="2"/>
  <c r="L208" i="2"/>
  <c r="K207" i="2"/>
  <c r="L205" i="2"/>
  <c r="K204" i="2"/>
  <c r="K203" i="2"/>
  <c r="L200" i="2"/>
  <c r="L206" i="2"/>
  <c r="L202" i="2"/>
  <c r="B800" i="4" l="1"/>
  <c r="I194" i="4"/>
  <c r="I195" i="4"/>
  <c r="I196" i="4"/>
  <c r="I197" i="4"/>
  <c r="I198" i="4"/>
  <c r="I199" i="4"/>
  <c r="J199" i="4" s="1"/>
  <c r="I200" i="4"/>
  <c r="J200" i="4" s="1"/>
  <c r="J198" i="2"/>
  <c r="J197" i="2"/>
  <c r="J196" i="2"/>
  <c r="J195" i="2"/>
  <c r="J194" i="2"/>
  <c r="E194" i="4"/>
  <c r="E195" i="4"/>
  <c r="J195" i="4" s="1"/>
  <c r="E196" i="4"/>
  <c r="E197" i="4"/>
  <c r="E198" i="4"/>
  <c r="J194" i="4" l="1"/>
  <c r="B801" i="4"/>
  <c r="J197" i="4"/>
  <c r="J196" i="4"/>
  <c r="J198" i="4"/>
  <c r="I189" i="4"/>
  <c r="I190" i="4"/>
  <c r="I191" i="4"/>
  <c r="I192" i="4"/>
  <c r="I193" i="4"/>
  <c r="J184" i="2"/>
  <c r="J185" i="2"/>
  <c r="J186" i="2"/>
  <c r="J187" i="2"/>
  <c r="J188" i="2"/>
  <c r="J189" i="2"/>
  <c r="J190" i="2"/>
  <c r="J191" i="2"/>
  <c r="J192" i="2"/>
  <c r="J193" i="2"/>
  <c r="E188" i="4"/>
  <c r="E189" i="4"/>
  <c r="E190" i="4"/>
  <c r="E191" i="4"/>
  <c r="E192" i="4"/>
  <c r="E193" i="4"/>
  <c r="E189" i="2"/>
  <c r="F189" i="2"/>
  <c r="E190" i="2"/>
  <c r="F190" i="2"/>
  <c r="E191" i="2"/>
  <c r="F191" i="2"/>
  <c r="E192" i="2"/>
  <c r="F192" i="2"/>
  <c r="E193" i="2"/>
  <c r="F193" i="2"/>
  <c r="E194" i="2"/>
  <c r="K194" i="2" s="1"/>
  <c r="F194" i="2"/>
  <c r="L194" i="2" s="1"/>
  <c r="E195" i="2"/>
  <c r="K195" i="2" s="1"/>
  <c r="F195" i="2"/>
  <c r="L195" i="2" s="1"/>
  <c r="E196" i="2"/>
  <c r="K196" i="2" s="1"/>
  <c r="F196" i="2"/>
  <c r="L196" i="2" s="1"/>
  <c r="E197" i="2"/>
  <c r="K197" i="2" s="1"/>
  <c r="F197" i="2"/>
  <c r="L197" i="2" s="1"/>
  <c r="E198" i="2"/>
  <c r="K198" i="2" s="1"/>
  <c r="L198" i="2"/>
  <c r="E199" i="2"/>
  <c r="K199" i="2" s="1"/>
  <c r="F199" i="2"/>
  <c r="L199" i="2" s="1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75" i="2"/>
  <c r="D174" i="2"/>
  <c r="J193" i="4" l="1"/>
  <c r="B802" i="4"/>
  <c r="J191" i="4"/>
  <c r="J189" i="4"/>
  <c r="L189" i="2"/>
  <c r="L193" i="2"/>
  <c r="K190" i="2"/>
  <c r="K191" i="2"/>
  <c r="K189" i="2"/>
  <c r="L191" i="2"/>
  <c r="L190" i="2"/>
  <c r="K193" i="2"/>
  <c r="J192" i="4"/>
  <c r="K192" i="2"/>
  <c r="L192" i="2"/>
  <c r="J190" i="4"/>
  <c r="B803" i="4" l="1"/>
  <c r="A211" i="3"/>
  <c r="B804" i="4" l="1"/>
  <c r="I184" i="4"/>
  <c r="I185" i="4"/>
  <c r="I186" i="4"/>
  <c r="I187" i="4"/>
  <c r="I188" i="4"/>
  <c r="J188" i="4" s="1"/>
  <c r="E182" i="4"/>
  <c r="E183" i="4"/>
  <c r="E184" i="4"/>
  <c r="E185" i="4"/>
  <c r="E186" i="4"/>
  <c r="E187" i="4"/>
  <c r="B805" i="4" l="1"/>
  <c r="J186" i="4"/>
  <c r="J184" i="4"/>
  <c r="J187" i="4"/>
  <c r="J185" i="4"/>
  <c r="B806" i="4" l="1"/>
  <c r="I179" i="4"/>
  <c r="I180" i="4"/>
  <c r="I181" i="4"/>
  <c r="I182" i="4"/>
  <c r="J182" i="4" s="1"/>
  <c r="I183" i="4"/>
  <c r="E178" i="4"/>
  <c r="E179" i="4"/>
  <c r="E180" i="4"/>
  <c r="E181" i="4"/>
  <c r="B807" i="4" l="1"/>
  <c r="J179" i="4"/>
  <c r="J180" i="4"/>
  <c r="J183" i="4"/>
  <c r="J181" i="4"/>
  <c r="B808" i="4" l="1"/>
  <c r="J180" i="2"/>
  <c r="J181" i="2"/>
  <c r="J182" i="2"/>
  <c r="J183" i="2"/>
  <c r="E181" i="2"/>
  <c r="F181" i="2"/>
  <c r="E182" i="2"/>
  <c r="F182" i="2"/>
  <c r="E183" i="2"/>
  <c r="F183" i="2"/>
  <c r="E184" i="2"/>
  <c r="K184" i="2" s="1"/>
  <c r="F184" i="2"/>
  <c r="L184" i="2" s="1"/>
  <c r="E185" i="2"/>
  <c r="K185" i="2" s="1"/>
  <c r="F185" i="2"/>
  <c r="L185" i="2" s="1"/>
  <c r="E186" i="2"/>
  <c r="K186" i="2" s="1"/>
  <c r="F186" i="2"/>
  <c r="L186" i="2" s="1"/>
  <c r="E187" i="2"/>
  <c r="K187" i="2" s="1"/>
  <c r="F187" i="2"/>
  <c r="L187" i="2" s="1"/>
  <c r="E188" i="2"/>
  <c r="K188" i="2" s="1"/>
  <c r="F188" i="2"/>
  <c r="L188" i="2" s="1"/>
  <c r="B809" i="4" l="1"/>
  <c r="K182" i="2"/>
  <c r="L182" i="2"/>
  <c r="L183" i="2"/>
  <c r="K183" i="2"/>
  <c r="K181" i="2"/>
  <c r="L181" i="2"/>
  <c r="B810" i="4" l="1"/>
  <c r="E175" i="2"/>
  <c r="F175" i="2"/>
  <c r="E176" i="2"/>
  <c r="F176" i="2"/>
  <c r="E177" i="2"/>
  <c r="F177" i="2"/>
  <c r="E178" i="2"/>
  <c r="F178" i="2"/>
  <c r="E179" i="2"/>
  <c r="F179" i="2"/>
  <c r="E180" i="2"/>
  <c r="K180" i="2" s="1"/>
  <c r="F180" i="2"/>
  <c r="L180" i="2" s="1"/>
  <c r="B811" i="4" l="1"/>
  <c r="E171" i="4"/>
  <c r="E172" i="4"/>
  <c r="E173" i="4"/>
  <c r="E174" i="4"/>
  <c r="E175" i="4"/>
  <c r="E176" i="4"/>
  <c r="E177" i="4"/>
  <c r="B812" i="4" l="1"/>
  <c r="J175" i="2"/>
  <c r="J176" i="2"/>
  <c r="L176" i="2" s="1"/>
  <c r="J177" i="2"/>
  <c r="K177" i="2" s="1"/>
  <c r="J178" i="2"/>
  <c r="K178" i="2" s="1"/>
  <c r="J179" i="2"/>
  <c r="L179" i="2" s="1"/>
  <c r="I173" i="4"/>
  <c r="I174" i="4"/>
  <c r="I175" i="4"/>
  <c r="J175" i="4" s="1"/>
  <c r="I176" i="4"/>
  <c r="J176" i="4" s="1"/>
  <c r="I177" i="4"/>
  <c r="J177" i="4" s="1"/>
  <c r="I178" i="4"/>
  <c r="J178" i="4" s="1"/>
  <c r="B813" i="4" l="1"/>
  <c r="L178" i="2"/>
  <c r="L177" i="2"/>
  <c r="K179" i="2"/>
  <c r="K176" i="2"/>
  <c r="B814" i="4" l="1"/>
  <c r="J170" i="2"/>
  <c r="J171" i="2"/>
  <c r="J172" i="2"/>
  <c r="J173" i="2"/>
  <c r="J174" i="2"/>
  <c r="L175" i="2"/>
  <c r="B820" i="4" l="1"/>
  <c r="B815" i="4"/>
  <c r="K175" i="2"/>
  <c r="B821" i="4" l="1"/>
  <c r="B816" i="4"/>
  <c r="B822" i="4" l="1"/>
  <c r="I172" i="4"/>
  <c r="I171" i="4"/>
  <c r="I170" i="4"/>
  <c r="J174" i="4"/>
  <c r="J173" i="4"/>
  <c r="E170" i="4"/>
  <c r="I169" i="4"/>
  <c r="I168" i="4"/>
  <c r="I167" i="4"/>
  <c r="I166" i="4"/>
  <c r="I165" i="4"/>
  <c r="I164" i="4"/>
  <c r="E169" i="4"/>
  <c r="E168" i="4"/>
  <c r="E167" i="4"/>
  <c r="E166" i="4"/>
  <c r="E165" i="4"/>
  <c r="D165" i="2"/>
  <c r="E165" i="2" s="1"/>
  <c r="D166" i="2"/>
  <c r="E166" i="2" s="1"/>
  <c r="D167" i="2"/>
  <c r="E167" i="2" s="1"/>
  <c r="D168" i="2"/>
  <c r="E168" i="2" s="1"/>
  <c r="D169" i="2"/>
  <c r="E169" i="2" s="1"/>
  <c r="D170" i="2"/>
  <c r="E170" i="2" s="1"/>
  <c r="K170" i="2" s="1"/>
  <c r="D171" i="2"/>
  <c r="E171" i="2" s="1"/>
  <c r="K171" i="2" s="1"/>
  <c r="D172" i="2"/>
  <c r="E172" i="2" s="1"/>
  <c r="K172" i="2" s="1"/>
  <c r="D173" i="2"/>
  <c r="E173" i="2" s="1"/>
  <c r="K173" i="2" s="1"/>
  <c r="E174" i="2"/>
  <c r="K174" i="2" s="1"/>
  <c r="D164" i="2"/>
  <c r="E164" i="2" s="1"/>
  <c r="F174" i="2"/>
  <c r="L174" i="2" s="1"/>
  <c r="F173" i="2"/>
  <c r="L173" i="2" s="1"/>
  <c r="F172" i="2"/>
  <c r="L172" i="2" s="1"/>
  <c r="F171" i="2"/>
  <c r="L171" i="2" s="1"/>
  <c r="F170" i="2"/>
  <c r="L170" i="2" s="1"/>
  <c r="F169" i="2"/>
  <c r="F168" i="2"/>
  <c r="F167" i="2"/>
  <c r="F166" i="2"/>
  <c r="F165" i="2"/>
  <c r="J169" i="2"/>
  <c r="J168" i="2"/>
  <c r="J167" i="2"/>
  <c r="J166" i="2"/>
  <c r="J165" i="2"/>
  <c r="J164" i="2"/>
  <c r="E164" i="4"/>
  <c r="F164" i="2"/>
  <c r="B823" i="4" l="1"/>
  <c r="B817" i="4"/>
  <c r="L164" i="2"/>
  <c r="K164" i="2"/>
  <c r="L165" i="2"/>
  <c r="L169" i="2"/>
  <c r="J164" i="4"/>
  <c r="J168" i="4"/>
  <c r="J165" i="4"/>
  <c r="J172" i="4"/>
  <c r="J171" i="4"/>
  <c r="J170" i="4"/>
  <c r="J169" i="4"/>
  <c r="L167" i="2"/>
  <c r="J167" i="4"/>
  <c r="J166" i="4"/>
  <c r="L166" i="2"/>
  <c r="K166" i="2"/>
  <c r="L168" i="2"/>
  <c r="K167" i="2"/>
  <c r="K165" i="2"/>
  <c r="K169" i="2"/>
  <c r="K168" i="2"/>
  <c r="B824" i="4" l="1"/>
  <c r="B819" i="4"/>
  <c r="B818" i="4"/>
  <c r="E157" i="4"/>
  <c r="E158" i="4"/>
  <c r="E159" i="4"/>
  <c r="E160" i="4"/>
  <c r="E161" i="4"/>
  <c r="E162" i="4"/>
  <c r="E163" i="4"/>
  <c r="B825" i="4" l="1"/>
  <c r="I158" i="4"/>
  <c r="J158" i="4" s="1"/>
  <c r="I159" i="4"/>
  <c r="J159" i="4" s="1"/>
  <c r="I160" i="4"/>
  <c r="J160" i="4" s="1"/>
  <c r="I161" i="4"/>
  <c r="J161" i="4" s="1"/>
  <c r="I162" i="4"/>
  <c r="J162" i="4" s="1"/>
  <c r="I163" i="4"/>
  <c r="J163" i="4" s="1"/>
  <c r="B826" i="4" l="1"/>
  <c r="E156" i="4"/>
  <c r="D155" i="2"/>
  <c r="E155" i="2" s="1"/>
  <c r="F155" i="2"/>
  <c r="D156" i="2"/>
  <c r="E156" i="2" s="1"/>
  <c r="F156" i="2"/>
  <c r="D157" i="2"/>
  <c r="E157" i="2" s="1"/>
  <c r="F157" i="2"/>
  <c r="D158" i="2"/>
  <c r="E158" i="2" s="1"/>
  <c r="F158" i="2"/>
  <c r="D159" i="2"/>
  <c r="E159" i="2" s="1"/>
  <c r="F159" i="2"/>
  <c r="D160" i="2"/>
  <c r="E160" i="2" s="1"/>
  <c r="F160" i="2"/>
  <c r="D161" i="2"/>
  <c r="E161" i="2" s="1"/>
  <c r="F161" i="2"/>
  <c r="D162" i="2"/>
  <c r="E162" i="2" s="1"/>
  <c r="F162" i="2"/>
  <c r="D163" i="2"/>
  <c r="E163" i="2" s="1"/>
  <c r="F163" i="2"/>
  <c r="B827" i="4" l="1"/>
  <c r="F154" i="2"/>
  <c r="I156" i="4"/>
  <c r="J156" i="4" s="1"/>
  <c r="I157" i="4"/>
  <c r="J157" i="4" s="1"/>
  <c r="I155" i="4"/>
  <c r="J155" i="2"/>
  <c r="K155" i="2" s="1"/>
  <c r="J156" i="2"/>
  <c r="K156" i="2" s="1"/>
  <c r="J157" i="2"/>
  <c r="K157" i="2" s="1"/>
  <c r="J158" i="2"/>
  <c r="L158" i="2" s="1"/>
  <c r="J159" i="2"/>
  <c r="L159" i="2" s="1"/>
  <c r="J160" i="2"/>
  <c r="L160" i="2" s="1"/>
  <c r="J161" i="2"/>
  <c r="K161" i="2" s="1"/>
  <c r="J162" i="2"/>
  <c r="L162" i="2" s="1"/>
  <c r="J163" i="2"/>
  <c r="L163" i="2" s="1"/>
  <c r="B828" i="4" l="1"/>
  <c r="K162" i="2"/>
  <c r="L156" i="2"/>
  <c r="K158" i="2"/>
  <c r="K163" i="2"/>
  <c r="L155" i="2"/>
  <c r="K160" i="2"/>
  <c r="K159" i="2"/>
  <c r="L161" i="2"/>
  <c r="L157" i="2"/>
  <c r="B829" i="4" l="1"/>
  <c r="D145" i="2"/>
  <c r="D146" i="2"/>
  <c r="D147" i="2"/>
  <c r="D148" i="2"/>
  <c r="D149" i="2"/>
  <c r="D150" i="2"/>
  <c r="D151" i="2"/>
  <c r="D152" i="2"/>
  <c r="D153" i="2"/>
  <c r="D154" i="2"/>
  <c r="D144" i="2"/>
  <c r="B830" i="4" l="1"/>
  <c r="E155" i="4"/>
  <c r="J155" i="4" s="1"/>
  <c r="B831" i="4" l="1"/>
  <c r="J149" i="2"/>
  <c r="J150" i="2"/>
  <c r="J151" i="2"/>
  <c r="J152" i="2"/>
  <c r="J153" i="2"/>
  <c r="J154" i="2"/>
  <c r="E147" i="4"/>
  <c r="E148" i="4"/>
  <c r="E149" i="4"/>
  <c r="E150" i="4"/>
  <c r="E151" i="4"/>
  <c r="E152" i="4"/>
  <c r="E153" i="4"/>
  <c r="E154" i="4"/>
  <c r="I149" i="4"/>
  <c r="I150" i="4"/>
  <c r="I151" i="4"/>
  <c r="I152" i="4"/>
  <c r="I153" i="4"/>
  <c r="I154" i="4"/>
  <c r="B832" i="4" l="1"/>
  <c r="J154" i="4"/>
  <c r="J152" i="4"/>
  <c r="J150" i="4"/>
  <c r="J153" i="4"/>
  <c r="J149" i="4"/>
  <c r="J151" i="4"/>
  <c r="B833" i="4" l="1"/>
  <c r="J144" i="2"/>
  <c r="J145" i="2"/>
  <c r="J146" i="2"/>
  <c r="J147" i="2"/>
  <c r="J148" i="2"/>
  <c r="I144" i="4"/>
  <c r="I145" i="4"/>
  <c r="I146" i="4"/>
  <c r="I147" i="4"/>
  <c r="J147" i="4" s="1"/>
  <c r="I148" i="4"/>
  <c r="J148" i="4" s="1"/>
  <c r="E144" i="4"/>
  <c r="E145" i="4"/>
  <c r="E146" i="4"/>
  <c r="E144" i="2"/>
  <c r="F144" i="2"/>
  <c r="F145" i="2"/>
  <c r="F146" i="2"/>
  <c r="F147" i="2"/>
  <c r="F148" i="2"/>
  <c r="F149" i="2"/>
  <c r="L149" i="2" s="1"/>
  <c r="F150" i="2"/>
  <c r="L150" i="2" s="1"/>
  <c r="F151" i="2"/>
  <c r="L151" i="2" s="1"/>
  <c r="F152" i="2"/>
  <c r="L152" i="2" s="1"/>
  <c r="F153" i="2"/>
  <c r="L153" i="2" s="1"/>
  <c r="L154" i="2"/>
  <c r="E145" i="2"/>
  <c r="E146" i="2"/>
  <c r="E147" i="2"/>
  <c r="E148" i="2"/>
  <c r="E149" i="2"/>
  <c r="K149" i="2" s="1"/>
  <c r="E150" i="2"/>
  <c r="K150" i="2" s="1"/>
  <c r="E151" i="2"/>
  <c r="K151" i="2" s="1"/>
  <c r="E152" i="2"/>
  <c r="K152" i="2" s="1"/>
  <c r="E153" i="2"/>
  <c r="K153" i="2" s="1"/>
  <c r="E154" i="2"/>
  <c r="K154" i="2" s="1"/>
  <c r="B834" i="4" l="1"/>
  <c r="K146" i="2"/>
  <c r="J144" i="4"/>
  <c r="J145" i="4"/>
  <c r="K148" i="2"/>
  <c r="J146" i="4"/>
  <c r="L146" i="2"/>
  <c r="L148" i="2"/>
  <c r="L145" i="2"/>
  <c r="K144" i="2"/>
  <c r="K147" i="2"/>
  <c r="K145" i="2"/>
  <c r="L144" i="2"/>
  <c r="L147" i="2"/>
  <c r="B835" i="4" l="1"/>
  <c r="E140" i="4"/>
  <c r="E141" i="4"/>
  <c r="E142" i="4"/>
  <c r="E143" i="4"/>
  <c r="I140" i="4"/>
  <c r="I141" i="4"/>
  <c r="I142" i="4"/>
  <c r="I143" i="4"/>
  <c r="B836" i="4" l="1"/>
  <c r="J142" i="4"/>
  <c r="J143" i="4"/>
  <c r="J141" i="4"/>
  <c r="J140" i="4"/>
  <c r="I139" i="4"/>
  <c r="B837" i="4" l="1"/>
  <c r="E139" i="4"/>
  <c r="J139" i="4" s="1"/>
  <c r="B838" i="4" l="1"/>
  <c r="E134" i="4"/>
  <c r="E135" i="4"/>
  <c r="E136" i="4"/>
  <c r="E137" i="4"/>
  <c r="E138" i="4"/>
  <c r="I134" i="4"/>
  <c r="I135" i="4"/>
  <c r="I136" i="4"/>
  <c r="I137" i="4"/>
  <c r="I138" i="4"/>
  <c r="J134" i="2"/>
  <c r="J135" i="2"/>
  <c r="J136" i="2"/>
  <c r="J137" i="2"/>
  <c r="J138" i="2"/>
  <c r="J139" i="2"/>
  <c r="J140" i="2"/>
  <c r="J141" i="2"/>
  <c r="J142" i="2"/>
  <c r="J143" i="2"/>
  <c r="F135" i="2"/>
  <c r="F136" i="2"/>
  <c r="F137" i="2"/>
  <c r="F138" i="2"/>
  <c r="F139" i="2"/>
  <c r="F140" i="2"/>
  <c r="F141" i="2"/>
  <c r="F142" i="2"/>
  <c r="F143" i="2"/>
  <c r="D135" i="2"/>
  <c r="E135" i="2" s="1"/>
  <c r="D136" i="2"/>
  <c r="E136" i="2" s="1"/>
  <c r="D137" i="2"/>
  <c r="E137" i="2" s="1"/>
  <c r="D138" i="2"/>
  <c r="E138" i="2" s="1"/>
  <c r="D139" i="2"/>
  <c r="E139" i="2" s="1"/>
  <c r="D140" i="2"/>
  <c r="E140" i="2" s="1"/>
  <c r="D141" i="2"/>
  <c r="E141" i="2" s="1"/>
  <c r="D142" i="2"/>
  <c r="E142" i="2" s="1"/>
  <c r="D143" i="2"/>
  <c r="E143" i="2" s="1"/>
  <c r="D134" i="2"/>
  <c r="B839" i="4" l="1"/>
  <c r="J136" i="4"/>
  <c r="L138" i="2"/>
  <c r="L139" i="2"/>
  <c r="L135" i="2"/>
  <c r="L143" i="2"/>
  <c r="L142" i="2"/>
  <c r="L140" i="2"/>
  <c r="K140" i="2"/>
  <c r="K139" i="2"/>
  <c r="K138" i="2"/>
  <c r="K143" i="2"/>
  <c r="K142" i="2"/>
  <c r="L136" i="2"/>
  <c r="J138" i="4"/>
  <c r="J134" i="4"/>
  <c r="J137" i="4"/>
  <c r="J135" i="4"/>
  <c r="K136" i="2"/>
  <c r="K135" i="2"/>
  <c r="K137" i="2"/>
  <c r="K141" i="2"/>
  <c r="L141" i="2"/>
  <c r="L137" i="2"/>
  <c r="B841" i="4" l="1"/>
  <c r="B840" i="4"/>
  <c r="J124" i="2"/>
  <c r="J125" i="2"/>
  <c r="J126" i="2"/>
  <c r="J127" i="2"/>
  <c r="J128" i="2"/>
  <c r="J129" i="2"/>
  <c r="J130" i="2"/>
  <c r="J131" i="2"/>
  <c r="J132" i="2"/>
  <c r="J133" i="2"/>
  <c r="D124" i="2"/>
  <c r="E124" i="2" s="1"/>
  <c r="F124" i="2"/>
  <c r="D125" i="2"/>
  <c r="E125" i="2" s="1"/>
  <c r="F125" i="2"/>
  <c r="D126" i="2"/>
  <c r="E126" i="2" s="1"/>
  <c r="F126" i="2"/>
  <c r="D127" i="2"/>
  <c r="E127" i="2" s="1"/>
  <c r="F127" i="2"/>
  <c r="D128" i="2"/>
  <c r="E128" i="2" s="1"/>
  <c r="F128" i="2"/>
  <c r="D129" i="2"/>
  <c r="E129" i="2" s="1"/>
  <c r="F129" i="2"/>
  <c r="D130" i="2"/>
  <c r="E130" i="2" s="1"/>
  <c r="F130" i="2"/>
  <c r="D131" i="2"/>
  <c r="E131" i="2" s="1"/>
  <c r="F131" i="2"/>
  <c r="D132" i="2"/>
  <c r="E132" i="2" s="1"/>
  <c r="F132" i="2"/>
  <c r="D133" i="2"/>
  <c r="E133" i="2" s="1"/>
  <c r="F133" i="2"/>
  <c r="E134" i="2"/>
  <c r="K134" i="2" s="1"/>
  <c r="F134" i="2"/>
  <c r="L134" i="2" s="1"/>
  <c r="I124" i="4"/>
  <c r="I125" i="4"/>
  <c r="I126" i="4"/>
  <c r="I127" i="4"/>
  <c r="I128" i="4"/>
  <c r="I129" i="4"/>
  <c r="I130" i="4"/>
  <c r="I131" i="4"/>
  <c r="I132" i="4"/>
  <c r="I133" i="4"/>
  <c r="E123" i="4"/>
  <c r="E124" i="4"/>
  <c r="E125" i="4"/>
  <c r="E126" i="4"/>
  <c r="E127" i="4"/>
  <c r="E128" i="4"/>
  <c r="E129" i="4"/>
  <c r="E130" i="4"/>
  <c r="E131" i="4"/>
  <c r="E132" i="4"/>
  <c r="E133" i="4"/>
  <c r="K126" i="2" l="1"/>
  <c r="B842" i="4"/>
  <c r="L127" i="2"/>
  <c r="K131" i="2"/>
  <c r="L130" i="2"/>
  <c r="L126" i="2"/>
  <c r="K133" i="2"/>
  <c r="K125" i="2"/>
  <c r="J124" i="4"/>
  <c r="L129" i="2"/>
  <c r="K124" i="2"/>
  <c r="K127" i="2"/>
  <c r="J131" i="4"/>
  <c r="J133" i="4"/>
  <c r="L133" i="2"/>
  <c r="L131" i="2"/>
  <c r="J129" i="4"/>
  <c r="K129" i="2"/>
  <c r="J127" i="4"/>
  <c r="J132" i="4"/>
  <c r="J128" i="4"/>
  <c r="J130" i="4"/>
  <c r="K130" i="2"/>
  <c r="J126" i="4"/>
  <c r="J125" i="4"/>
  <c r="K132" i="2"/>
  <c r="K128" i="2"/>
  <c r="L125" i="2"/>
  <c r="L132" i="2"/>
  <c r="L128" i="2"/>
  <c r="L124" i="2"/>
  <c r="B843" i="4" l="1"/>
  <c r="E117" i="4"/>
  <c r="E118" i="4"/>
  <c r="E119" i="4"/>
  <c r="E120" i="4"/>
  <c r="E121" i="4"/>
  <c r="E122" i="4"/>
  <c r="B844" i="4" l="1"/>
  <c r="J112" i="2"/>
  <c r="J113" i="2"/>
  <c r="J114" i="2"/>
  <c r="J115" i="2"/>
  <c r="J116" i="2"/>
  <c r="J117" i="2"/>
  <c r="J118" i="2"/>
  <c r="J119" i="2"/>
  <c r="J120" i="2"/>
  <c r="J121" i="2"/>
  <c r="J122" i="2"/>
  <c r="J123" i="2"/>
  <c r="E112" i="4"/>
  <c r="E113" i="4"/>
  <c r="I109" i="4"/>
  <c r="I110" i="4"/>
  <c r="I111" i="4"/>
  <c r="I112" i="4"/>
  <c r="I113" i="4"/>
  <c r="I114" i="4"/>
  <c r="I115" i="4"/>
  <c r="I116" i="4"/>
  <c r="I117" i="4"/>
  <c r="J117" i="4" s="1"/>
  <c r="I118" i="4"/>
  <c r="I119" i="4"/>
  <c r="J119" i="4" s="1"/>
  <c r="I120" i="4"/>
  <c r="J120" i="4" s="1"/>
  <c r="I121" i="4"/>
  <c r="J121" i="4" s="1"/>
  <c r="I122" i="4"/>
  <c r="J122" i="4" s="1"/>
  <c r="I123" i="4"/>
  <c r="J123" i="4" s="1"/>
  <c r="B845" i="4" l="1"/>
  <c r="J113" i="4"/>
  <c r="J112" i="4"/>
  <c r="B846" i="4" l="1"/>
  <c r="J118" i="4"/>
  <c r="B847" i="4" l="1"/>
  <c r="F119" i="2"/>
  <c r="L119" i="2" s="1"/>
  <c r="F120" i="2"/>
  <c r="L120" i="2" s="1"/>
  <c r="F121" i="2"/>
  <c r="L121" i="2" s="1"/>
  <c r="F122" i="2"/>
  <c r="L122" i="2" s="1"/>
  <c r="F123" i="2"/>
  <c r="L123" i="2" s="1"/>
  <c r="D114" i="2"/>
  <c r="D115" i="2"/>
  <c r="D116" i="2"/>
  <c r="D117" i="2"/>
  <c r="D118" i="2"/>
  <c r="D119" i="2"/>
  <c r="E119" i="2" s="1"/>
  <c r="K119" i="2" s="1"/>
  <c r="D120" i="2"/>
  <c r="E120" i="2" s="1"/>
  <c r="K120" i="2" s="1"/>
  <c r="D121" i="2"/>
  <c r="E121" i="2" s="1"/>
  <c r="K121" i="2" s="1"/>
  <c r="D122" i="2"/>
  <c r="E122" i="2" s="1"/>
  <c r="K122" i="2" s="1"/>
  <c r="D123" i="2"/>
  <c r="E123" i="2" s="1"/>
  <c r="K123" i="2" s="1"/>
  <c r="D113" i="2"/>
  <c r="B848" i="4" l="1"/>
  <c r="E116" i="4"/>
  <c r="J116" i="4" s="1"/>
  <c r="E108" i="4"/>
  <c r="E109" i="4"/>
  <c r="J109" i="4" s="1"/>
  <c r="E110" i="4"/>
  <c r="J110" i="4" s="1"/>
  <c r="E111" i="4"/>
  <c r="J111" i="4" s="1"/>
  <c r="E114" i="4"/>
  <c r="J114" i="4" s="1"/>
  <c r="E115" i="4"/>
  <c r="J115" i="4" s="1"/>
  <c r="F105" i="2"/>
  <c r="F106" i="2"/>
  <c r="F107" i="2"/>
  <c r="F108" i="2"/>
  <c r="F109" i="2"/>
  <c r="F110" i="2"/>
  <c r="F111" i="2"/>
  <c r="F112" i="2"/>
  <c r="L112" i="2" s="1"/>
  <c r="E113" i="2"/>
  <c r="K113" i="2" s="1"/>
  <c r="F113" i="2"/>
  <c r="L113" i="2" s="1"/>
  <c r="E114" i="2"/>
  <c r="K114" i="2" s="1"/>
  <c r="F114" i="2"/>
  <c r="L114" i="2" s="1"/>
  <c r="E115" i="2"/>
  <c r="K115" i="2" s="1"/>
  <c r="F115" i="2"/>
  <c r="L115" i="2" s="1"/>
  <c r="E116" i="2"/>
  <c r="K116" i="2" s="1"/>
  <c r="F116" i="2"/>
  <c r="L116" i="2" s="1"/>
  <c r="E117" i="2"/>
  <c r="K117" i="2" s="1"/>
  <c r="F117" i="2"/>
  <c r="L117" i="2" s="1"/>
  <c r="E118" i="2"/>
  <c r="K118" i="2" s="1"/>
  <c r="F118" i="2"/>
  <c r="L118" i="2" s="1"/>
  <c r="B849" i="4" l="1"/>
  <c r="I106" i="4"/>
  <c r="I107" i="4"/>
  <c r="I108" i="4"/>
  <c r="J108" i="4" s="1"/>
  <c r="J110" i="2"/>
  <c r="L110" i="2" s="1"/>
  <c r="J111" i="2"/>
  <c r="L111" i="2" s="1"/>
  <c r="B850" i="4" l="1"/>
  <c r="D107" i="2"/>
  <c r="E107" i="2" s="1"/>
  <c r="D108" i="2"/>
  <c r="E108" i="2" s="1"/>
  <c r="D109" i="2"/>
  <c r="E109" i="2" s="1"/>
  <c r="D110" i="2"/>
  <c r="E110" i="2" s="1"/>
  <c r="D111" i="2"/>
  <c r="E111" i="2" s="1"/>
  <c r="D112" i="2"/>
  <c r="E112" i="2" s="1"/>
  <c r="K112" i="2" s="1"/>
  <c r="B852" i="4" l="1"/>
  <c r="J107" i="2"/>
  <c r="L107" i="2" s="1"/>
  <c r="J108" i="2"/>
  <c r="L108" i="2" s="1"/>
  <c r="J109" i="2"/>
  <c r="L109" i="2" s="1"/>
  <c r="J106" i="2"/>
  <c r="D106" i="2"/>
  <c r="E106" i="2" s="1"/>
  <c r="B853" i="4" l="1"/>
  <c r="K106" i="2"/>
  <c r="L106" i="2"/>
  <c r="D105" i="2"/>
  <c r="E105" i="2" s="1"/>
  <c r="B854" i="4" l="1"/>
  <c r="E106" i="4"/>
  <c r="J106" i="4" s="1"/>
  <c r="E107" i="4"/>
  <c r="J107" i="4" s="1"/>
  <c r="K107" i="2"/>
  <c r="K108" i="2"/>
  <c r="K109" i="2"/>
  <c r="K110" i="2"/>
  <c r="K111" i="2"/>
  <c r="B855" i="4" l="1"/>
  <c r="D104" i="2"/>
  <c r="D99" i="2"/>
  <c r="B856" i="4" l="1"/>
  <c r="I105" i="4"/>
  <c r="E105" i="4"/>
  <c r="B857" i="4" l="1"/>
  <c r="I100" i="4"/>
  <c r="I101" i="4"/>
  <c r="I102" i="4"/>
  <c r="I103" i="4"/>
  <c r="I104" i="4"/>
  <c r="J105" i="4"/>
  <c r="E100" i="4"/>
  <c r="E101" i="4"/>
  <c r="E102" i="4"/>
  <c r="E103" i="4"/>
  <c r="E104" i="4"/>
  <c r="B858" i="4" l="1"/>
  <c r="J100" i="4"/>
  <c r="J103" i="4"/>
  <c r="J102" i="4"/>
  <c r="J101" i="4"/>
  <c r="J104" i="4"/>
  <c r="D95" i="2"/>
  <c r="D96" i="2"/>
  <c r="D97" i="2"/>
  <c r="D98" i="2"/>
  <c r="D100" i="2"/>
  <c r="D101" i="2"/>
  <c r="D102" i="2"/>
  <c r="D103" i="2"/>
  <c r="B859" i="4" l="1"/>
  <c r="F94" i="2"/>
  <c r="E95" i="2"/>
  <c r="F95" i="2"/>
  <c r="E96" i="2"/>
  <c r="F96" i="2"/>
  <c r="E97" i="2"/>
  <c r="F97" i="2"/>
  <c r="E98" i="2"/>
  <c r="F98" i="2"/>
  <c r="E99" i="2"/>
  <c r="F99" i="2"/>
  <c r="E100" i="2"/>
  <c r="F100" i="2"/>
  <c r="E101" i="2"/>
  <c r="F101" i="2"/>
  <c r="E102" i="2"/>
  <c r="F102" i="2"/>
  <c r="E103" i="2"/>
  <c r="F103" i="2"/>
  <c r="E104" i="2"/>
  <c r="F104" i="2"/>
  <c r="D94" i="2"/>
  <c r="E94" i="2" s="1"/>
  <c r="B860" i="4" l="1"/>
  <c r="F90" i="2"/>
  <c r="F100" i="3" l="1"/>
  <c r="B862" i="4" l="1"/>
  <c r="J89" i="2"/>
  <c r="J90" i="2"/>
  <c r="J91" i="2"/>
  <c r="J92" i="2"/>
  <c r="J93" i="2"/>
  <c r="J94" i="2"/>
  <c r="L94" i="2" s="1"/>
  <c r="J95" i="2"/>
  <c r="K95" i="2" s="1"/>
  <c r="J96" i="2"/>
  <c r="L96" i="2" s="1"/>
  <c r="J97" i="2"/>
  <c r="K97" i="2" s="1"/>
  <c r="J98" i="2"/>
  <c r="L98" i="2" s="1"/>
  <c r="L99" i="2"/>
  <c r="J100" i="2"/>
  <c r="K100" i="2" s="1"/>
  <c r="J101" i="2"/>
  <c r="K101" i="2" s="1"/>
  <c r="J102" i="2"/>
  <c r="L102" i="2" s="1"/>
  <c r="J103" i="2"/>
  <c r="L103" i="2" s="1"/>
  <c r="J104" i="2"/>
  <c r="J105" i="2"/>
  <c r="F99" i="3"/>
  <c r="F101" i="3"/>
  <c r="F102" i="3"/>
  <c r="F103" i="3"/>
  <c r="B863" i="4" l="1"/>
  <c r="K104" i="2"/>
  <c r="L104" i="2"/>
  <c r="K105" i="2"/>
  <c r="L105" i="2"/>
  <c r="K103" i="2"/>
  <c r="L100" i="2"/>
  <c r="K102" i="2"/>
  <c r="K99" i="2"/>
  <c r="K96" i="2"/>
  <c r="K94" i="2"/>
  <c r="K98" i="2"/>
  <c r="L95" i="2"/>
  <c r="L101" i="2"/>
  <c r="L97" i="2"/>
  <c r="B864" i="4" l="1"/>
  <c r="L99" i="3"/>
  <c r="B865" i="4" l="1"/>
  <c r="F97" i="3"/>
  <c r="F98" i="3"/>
  <c r="L98" i="3"/>
  <c r="B866" i="4" l="1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3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46" i="3"/>
  <c r="B867" i="4" l="1"/>
  <c r="F83" i="2"/>
  <c r="F84" i="2"/>
  <c r="F85" i="2"/>
  <c r="F86" i="2"/>
  <c r="F87" i="2"/>
  <c r="F88" i="2"/>
  <c r="F89" i="2"/>
  <c r="L89" i="2" s="1"/>
  <c r="L90" i="2"/>
  <c r="F91" i="2"/>
  <c r="L91" i="2" s="1"/>
  <c r="F92" i="2"/>
  <c r="L92" i="2" s="1"/>
  <c r="F93" i="2"/>
  <c r="L93" i="2" s="1"/>
  <c r="D64" i="2"/>
  <c r="D72" i="2"/>
  <c r="D83" i="2"/>
  <c r="E83" i="2" s="1"/>
  <c r="D84" i="2"/>
  <c r="E84" i="2" s="1"/>
  <c r="D85" i="2"/>
  <c r="E85" i="2" s="1"/>
  <c r="D86" i="2"/>
  <c r="E86" i="2" s="1"/>
  <c r="D87" i="2"/>
  <c r="E87" i="2" s="1"/>
  <c r="D88" i="2"/>
  <c r="E88" i="2" s="1"/>
  <c r="D89" i="2"/>
  <c r="E89" i="2" s="1"/>
  <c r="K89" i="2" s="1"/>
  <c r="D90" i="2"/>
  <c r="E90" i="2" s="1"/>
  <c r="K90" i="2" s="1"/>
  <c r="D91" i="2"/>
  <c r="E91" i="2" s="1"/>
  <c r="K91" i="2" s="1"/>
  <c r="D92" i="2"/>
  <c r="E92" i="2" s="1"/>
  <c r="K92" i="2" s="1"/>
  <c r="D93" i="2"/>
  <c r="E93" i="2" s="1"/>
  <c r="K93" i="2" s="1"/>
  <c r="D82" i="2"/>
  <c r="B868" i="4" l="1"/>
  <c r="B869" i="4" l="1"/>
  <c r="D80" i="2"/>
  <c r="D79" i="2"/>
  <c r="F80" i="2"/>
  <c r="F73" i="2" l="1"/>
  <c r="F74" i="2"/>
  <c r="F75" i="2"/>
  <c r="F76" i="2"/>
  <c r="F77" i="2"/>
  <c r="F78" i="2"/>
  <c r="F79" i="2"/>
  <c r="F81" i="2"/>
  <c r="E82" i="2"/>
  <c r="F82" i="2"/>
  <c r="J83" i="2"/>
  <c r="L83" i="2" s="1"/>
  <c r="J84" i="2"/>
  <c r="L84" i="2" s="1"/>
  <c r="J85" i="2"/>
  <c r="K85" i="2" s="1"/>
  <c r="J86" i="2"/>
  <c r="L86" i="2" s="1"/>
  <c r="J87" i="2"/>
  <c r="L87" i="2" s="1"/>
  <c r="J88" i="2"/>
  <c r="K88" i="2" s="1"/>
  <c r="J75" i="2"/>
  <c r="J76" i="2"/>
  <c r="J77" i="2"/>
  <c r="J78" i="2"/>
  <c r="J79" i="2"/>
  <c r="J80" i="2"/>
  <c r="L80" i="2" s="1"/>
  <c r="J81" i="2"/>
  <c r="J82" i="2"/>
  <c r="D75" i="2"/>
  <c r="E75" i="2" s="1"/>
  <c r="D76" i="2"/>
  <c r="E76" i="2" s="1"/>
  <c r="D77" i="2"/>
  <c r="E77" i="2" s="1"/>
  <c r="D78" i="2"/>
  <c r="E78" i="2" s="1"/>
  <c r="E79" i="2"/>
  <c r="E80" i="2"/>
  <c r="D81" i="2"/>
  <c r="E81" i="2" s="1"/>
  <c r="D74" i="2"/>
  <c r="E74" i="2" s="1"/>
  <c r="B872" i="4" l="1"/>
  <c r="B870" i="4"/>
  <c r="L77" i="2"/>
  <c r="K82" i="2"/>
  <c r="K75" i="2"/>
  <c r="L78" i="2"/>
  <c r="L76" i="2"/>
  <c r="K76" i="2"/>
  <c r="L81" i="2"/>
  <c r="K77" i="2"/>
  <c r="L75" i="2"/>
  <c r="K78" i="2"/>
  <c r="K79" i="2"/>
  <c r="K84" i="2"/>
  <c r="L88" i="2"/>
  <c r="K86" i="2"/>
  <c r="L85" i="2"/>
  <c r="L82" i="2"/>
  <c r="K87" i="2"/>
  <c r="K83" i="2"/>
  <c r="K80" i="2"/>
  <c r="L79" i="2"/>
  <c r="K81" i="2"/>
  <c r="B873" i="4" l="1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76" i="4"/>
  <c r="E77" i="4"/>
  <c r="E78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D73" i="2"/>
  <c r="E73" i="2" s="1"/>
  <c r="D71" i="2"/>
  <c r="D70" i="2"/>
  <c r="B874" i="4" l="1"/>
  <c r="J79" i="4"/>
  <c r="J92" i="4"/>
  <c r="J86" i="4"/>
  <c r="J90" i="4"/>
  <c r="J78" i="4"/>
  <c r="J99" i="4"/>
  <c r="J98" i="4"/>
  <c r="J95" i="4"/>
  <c r="J94" i="4"/>
  <c r="J97" i="4"/>
  <c r="J91" i="4"/>
  <c r="J93" i="4"/>
  <c r="J89" i="4"/>
  <c r="J87" i="4"/>
  <c r="J83" i="4"/>
  <c r="J82" i="4"/>
  <c r="J84" i="4"/>
  <c r="J85" i="4"/>
  <c r="J77" i="4"/>
  <c r="J76" i="4"/>
  <c r="J81" i="4"/>
  <c r="J96" i="4"/>
  <c r="J88" i="4"/>
  <c r="J80" i="4"/>
  <c r="B875" i="4" l="1"/>
  <c r="J74" i="2"/>
  <c r="B876" i="4" l="1"/>
  <c r="L74" i="2"/>
  <c r="K74" i="2"/>
  <c r="B877" i="4" l="1"/>
  <c r="E72" i="2"/>
  <c r="B878" i="4" l="1"/>
  <c r="J70" i="2"/>
  <c r="J71" i="2"/>
  <c r="J72" i="2"/>
  <c r="J73" i="2"/>
  <c r="J69" i="2"/>
  <c r="E69" i="4"/>
  <c r="E70" i="4"/>
  <c r="E71" i="4"/>
  <c r="E72" i="4"/>
  <c r="E73" i="4"/>
  <c r="E74" i="4"/>
  <c r="E75" i="4"/>
  <c r="B879" i="4" l="1"/>
  <c r="B880" i="4" l="1"/>
  <c r="B881" i="4" l="1"/>
  <c r="B69" i="4"/>
  <c r="B70" i="4"/>
  <c r="B882" i="4" l="1"/>
  <c r="E64" i="4"/>
  <c r="E65" i="4"/>
  <c r="E66" i="4"/>
  <c r="E67" i="4"/>
  <c r="E68" i="4"/>
  <c r="F65" i="2"/>
  <c r="F66" i="2"/>
  <c r="F67" i="2"/>
  <c r="F68" i="2"/>
  <c r="F69" i="2"/>
  <c r="F70" i="2"/>
  <c r="F71" i="2"/>
  <c r="F72" i="2"/>
  <c r="D65" i="2"/>
  <c r="E65" i="2" s="1"/>
  <c r="D66" i="2"/>
  <c r="E66" i="2" s="1"/>
  <c r="D67" i="2"/>
  <c r="E67" i="2" s="1"/>
  <c r="D68" i="2"/>
  <c r="E68" i="2" s="1"/>
  <c r="D69" i="2"/>
  <c r="E69" i="2" s="1"/>
  <c r="E70" i="2"/>
  <c r="E71" i="2"/>
  <c r="K71" i="2" s="1"/>
  <c r="B883" i="4" l="1"/>
  <c r="B71" i="4"/>
  <c r="B884" i="4" l="1"/>
  <c r="A87" i="3"/>
  <c r="B72" i="4"/>
  <c r="J66" i="2"/>
  <c r="K66" i="2" s="1"/>
  <c r="J67" i="2"/>
  <c r="L67" i="2" s="1"/>
  <c r="J68" i="2"/>
  <c r="L68" i="2" s="1"/>
  <c r="B885" i="4" l="1"/>
  <c r="A89" i="3"/>
  <c r="B74" i="4"/>
  <c r="K68" i="2"/>
  <c r="A88" i="3"/>
  <c r="B73" i="4"/>
  <c r="K67" i="2"/>
  <c r="L66" i="2"/>
  <c r="B886" i="4" l="1"/>
  <c r="A90" i="3"/>
  <c r="B75" i="4"/>
  <c r="J65" i="2"/>
  <c r="J64" i="2"/>
  <c r="F64" i="2"/>
  <c r="E64" i="2"/>
  <c r="D63" i="2"/>
  <c r="E63" i="2" s="1"/>
  <c r="F63" i="2"/>
  <c r="J63" i="2"/>
  <c r="I64" i="4"/>
  <c r="J64" i="4" s="1"/>
  <c r="B887" i="4" l="1"/>
  <c r="A91" i="3"/>
  <c r="B76" i="4"/>
  <c r="K64" i="2"/>
  <c r="L64" i="2"/>
  <c r="L63" i="2"/>
  <c r="K63" i="2"/>
  <c r="K65" i="2"/>
  <c r="L65" i="2"/>
  <c r="B888" i="4" l="1"/>
  <c r="A92" i="3"/>
  <c r="B77" i="4"/>
  <c r="F57" i="2"/>
  <c r="B889" i="4" l="1"/>
  <c r="A93" i="3"/>
  <c r="B78" i="4"/>
  <c r="B890" i="4" l="1"/>
  <c r="A94" i="3"/>
  <c r="B79" i="4"/>
  <c r="J55" i="2"/>
  <c r="J56" i="2"/>
  <c r="J57" i="2"/>
  <c r="J58" i="2"/>
  <c r="J59" i="2"/>
  <c r="J60" i="2"/>
  <c r="J61" i="2"/>
  <c r="J62" i="2"/>
  <c r="B891" i="4" l="1"/>
  <c r="A95" i="3"/>
  <c r="B80" i="4"/>
  <c r="B892" i="4" l="1"/>
  <c r="B81" i="4"/>
  <c r="B54" i="4"/>
  <c r="B893" i="4" l="1"/>
  <c r="B82" i="4"/>
  <c r="E54" i="4"/>
  <c r="E55" i="4"/>
  <c r="E56" i="4"/>
  <c r="E57" i="4"/>
  <c r="E58" i="4"/>
  <c r="E59" i="4"/>
  <c r="E60" i="4"/>
  <c r="E61" i="4"/>
  <c r="E62" i="4"/>
  <c r="E63" i="4"/>
  <c r="F54" i="2"/>
  <c r="F55" i="2"/>
  <c r="L55" i="2" s="1"/>
  <c r="F56" i="2"/>
  <c r="L56" i="2" s="1"/>
  <c r="L57" i="2"/>
  <c r="F58" i="2"/>
  <c r="L58" i="2" s="1"/>
  <c r="F59" i="2"/>
  <c r="L59" i="2" s="1"/>
  <c r="F60" i="2"/>
  <c r="L60" i="2" s="1"/>
  <c r="F61" i="2"/>
  <c r="L61" i="2" s="1"/>
  <c r="F62" i="2"/>
  <c r="L62" i="2" s="1"/>
  <c r="D55" i="2"/>
  <c r="E55" i="2" s="1"/>
  <c r="K55" i="2" s="1"/>
  <c r="D56" i="2"/>
  <c r="E56" i="2" s="1"/>
  <c r="K56" i="2" s="1"/>
  <c r="D57" i="2"/>
  <c r="E57" i="2" s="1"/>
  <c r="K57" i="2" s="1"/>
  <c r="D58" i="2"/>
  <c r="E58" i="2" s="1"/>
  <c r="K58" i="2" s="1"/>
  <c r="D59" i="2"/>
  <c r="E59" i="2" s="1"/>
  <c r="K59" i="2" s="1"/>
  <c r="D60" i="2"/>
  <c r="E60" i="2" s="1"/>
  <c r="K60" i="2" s="1"/>
  <c r="D61" i="2"/>
  <c r="E61" i="2" s="1"/>
  <c r="K61" i="2" s="1"/>
  <c r="D62" i="2"/>
  <c r="E62" i="2" s="1"/>
  <c r="K62" i="2" s="1"/>
  <c r="D54" i="2"/>
  <c r="E54" i="2" s="1"/>
  <c r="I54" i="4"/>
  <c r="I55" i="4"/>
  <c r="I56" i="4"/>
  <c r="I57" i="4"/>
  <c r="I58" i="4"/>
  <c r="I59" i="4"/>
  <c r="I60" i="4"/>
  <c r="I61" i="4"/>
  <c r="I62" i="4"/>
  <c r="I63" i="4"/>
  <c r="I65" i="4"/>
  <c r="J65" i="4" s="1"/>
  <c r="I66" i="4"/>
  <c r="J66" i="4" s="1"/>
  <c r="I67" i="4"/>
  <c r="J67" i="4" s="1"/>
  <c r="I68" i="4"/>
  <c r="J68" i="4" s="1"/>
  <c r="I69" i="4"/>
  <c r="J69" i="4" s="1"/>
  <c r="I70" i="4"/>
  <c r="J70" i="4" s="1"/>
  <c r="I71" i="4"/>
  <c r="J71" i="4" s="1"/>
  <c r="I72" i="4"/>
  <c r="J72" i="4" s="1"/>
  <c r="I73" i="4"/>
  <c r="J73" i="4" s="1"/>
  <c r="I74" i="4"/>
  <c r="J74" i="4" s="1"/>
  <c r="I75" i="4"/>
  <c r="J75" i="4" s="1"/>
  <c r="K69" i="2"/>
  <c r="L69" i="2"/>
  <c r="K70" i="2"/>
  <c r="L70" i="2"/>
  <c r="L71" i="2"/>
  <c r="K72" i="2"/>
  <c r="L72" i="2"/>
  <c r="K73" i="2"/>
  <c r="L73" i="2"/>
  <c r="J54" i="2"/>
  <c r="B895" i="4" l="1"/>
  <c r="B894" i="4"/>
  <c r="J61" i="4"/>
  <c r="J56" i="4"/>
  <c r="L54" i="2"/>
  <c r="B83" i="4"/>
  <c r="K54" i="2"/>
  <c r="J62" i="4"/>
  <c r="J60" i="4"/>
  <c r="J58" i="4"/>
  <c r="J54" i="4"/>
  <c r="J57" i="4"/>
  <c r="J59" i="4"/>
  <c r="J63" i="4"/>
  <c r="J55" i="4"/>
  <c r="B55" i="4"/>
  <c r="A99" i="3" l="1"/>
  <c r="B84" i="4"/>
  <c r="B896" i="4" l="1"/>
  <c r="B897" i="4"/>
  <c r="A71" i="3"/>
  <c r="B56" i="4"/>
  <c r="A100" i="3"/>
  <c r="B85" i="4"/>
  <c r="I50" i="4"/>
  <c r="I51" i="4"/>
  <c r="I52" i="4"/>
  <c r="I53" i="4"/>
  <c r="E45" i="4"/>
  <c r="E46" i="4"/>
  <c r="E47" i="4"/>
  <c r="E48" i="4"/>
  <c r="E49" i="4"/>
  <c r="E50" i="4"/>
  <c r="E51" i="4"/>
  <c r="E52" i="4"/>
  <c r="E53" i="4"/>
  <c r="J50" i="4" l="1"/>
  <c r="B898" i="4"/>
  <c r="B86" i="4"/>
  <c r="A72" i="3"/>
  <c r="B57" i="4"/>
  <c r="J53" i="4"/>
  <c r="J52" i="4"/>
  <c r="J51" i="4"/>
  <c r="B899" i="4" l="1"/>
  <c r="A73" i="3"/>
  <c r="B58" i="4"/>
  <c r="A102" i="3"/>
  <c r="B87" i="4"/>
  <c r="I49" i="4"/>
  <c r="J49" i="4" s="1"/>
  <c r="B900" i="4" l="1"/>
  <c r="A103" i="3"/>
  <c r="B88" i="4"/>
  <c r="A74" i="3"/>
  <c r="B59" i="4"/>
  <c r="J45" i="2"/>
  <c r="J46" i="2"/>
  <c r="J47" i="2"/>
  <c r="J48" i="2"/>
  <c r="J49" i="2"/>
  <c r="J50" i="2"/>
  <c r="J51" i="2"/>
  <c r="J52" i="2"/>
  <c r="J53" i="2"/>
  <c r="I45" i="4"/>
  <c r="J45" i="4" s="1"/>
  <c r="I46" i="4"/>
  <c r="I47" i="4"/>
  <c r="I48" i="4"/>
  <c r="J48" i="4" s="1"/>
  <c r="B901" i="4" l="1"/>
  <c r="A75" i="3"/>
  <c r="B60" i="4"/>
  <c r="A104" i="3"/>
  <c r="B89" i="4"/>
  <c r="J47" i="4"/>
  <c r="J46" i="4"/>
  <c r="B902" i="4" l="1"/>
  <c r="B90" i="4"/>
  <c r="A76" i="3"/>
  <c r="B61" i="4"/>
  <c r="D44" i="2"/>
  <c r="D43" i="2"/>
  <c r="D20" i="2"/>
  <c r="D45" i="2"/>
  <c r="D46" i="2"/>
  <c r="D47" i="2"/>
  <c r="D48" i="2"/>
  <c r="D49" i="2"/>
  <c r="D50" i="2"/>
  <c r="D51" i="2"/>
  <c r="D52" i="2"/>
  <c r="D53" i="2"/>
  <c r="D39" i="2"/>
  <c r="D40" i="2"/>
  <c r="D41" i="2"/>
  <c r="D42" i="2"/>
  <c r="D37" i="2"/>
  <c r="D38" i="2"/>
  <c r="I44" i="4"/>
  <c r="J44" i="2"/>
  <c r="E44" i="4"/>
  <c r="B904" i="4" l="1"/>
  <c r="B903" i="4"/>
  <c r="J44" i="4"/>
  <c r="B91" i="4"/>
  <c r="A77" i="3"/>
  <c r="B62" i="4"/>
  <c r="E43" i="4"/>
  <c r="B905" i="4" l="1"/>
  <c r="A78" i="3"/>
  <c r="B63" i="4"/>
  <c r="B92" i="4"/>
  <c r="B178" i="4" l="1"/>
  <c r="B906" i="4"/>
  <c r="A79" i="3"/>
  <c r="B64" i="4"/>
  <c r="B93" i="4"/>
  <c r="J43" i="2"/>
  <c r="B105" i="4" l="1"/>
  <c r="B907" i="4"/>
  <c r="B106" i="4"/>
  <c r="B94" i="4"/>
  <c r="B65" i="4"/>
  <c r="A80" i="3"/>
  <c r="B179" i="4" l="1"/>
  <c r="B908" i="4"/>
  <c r="B107" i="4"/>
  <c r="A81" i="3"/>
  <c r="B66" i="4"/>
  <c r="B95" i="4"/>
  <c r="B180" i="4" l="1"/>
  <c r="B909" i="4"/>
  <c r="A123" i="3"/>
  <c r="B108" i="4"/>
  <c r="B96" i="4"/>
  <c r="A82" i="3"/>
  <c r="B67" i="4"/>
  <c r="I37" i="4"/>
  <c r="I38" i="4"/>
  <c r="I39" i="4"/>
  <c r="I40" i="4"/>
  <c r="I41" i="4"/>
  <c r="I42" i="4"/>
  <c r="I43" i="4"/>
  <c r="J43" i="4" s="1"/>
  <c r="E39" i="4"/>
  <c r="E40" i="4"/>
  <c r="E41" i="4"/>
  <c r="E42" i="4"/>
  <c r="E34" i="4"/>
  <c r="E35" i="4"/>
  <c r="E36" i="4"/>
  <c r="E37" i="4"/>
  <c r="E38" i="4"/>
  <c r="B181" i="4" l="1"/>
  <c r="B182" i="4"/>
  <c r="B910" i="4"/>
  <c r="J39" i="4"/>
  <c r="J37" i="4"/>
  <c r="B109" i="4"/>
  <c r="A83" i="3"/>
  <c r="B68" i="4"/>
  <c r="B97" i="4"/>
  <c r="J40" i="4"/>
  <c r="J42" i="4"/>
  <c r="J41" i="4"/>
  <c r="J38" i="4"/>
  <c r="B183" i="4" l="1"/>
  <c r="B911" i="4"/>
  <c r="B110" i="4"/>
  <c r="B98" i="4"/>
  <c r="D33" i="2"/>
  <c r="D34" i="2"/>
  <c r="D35" i="2"/>
  <c r="D36" i="2"/>
  <c r="B912" i="4" l="1"/>
  <c r="B111" i="4"/>
  <c r="B99" i="4"/>
  <c r="B44" i="2"/>
  <c r="B45" i="2"/>
  <c r="B46" i="2"/>
  <c r="B47" i="2"/>
  <c r="B48" i="2"/>
  <c r="B49" i="2"/>
  <c r="B50" i="2"/>
  <c r="B51" i="2"/>
  <c r="B52" i="2"/>
  <c r="B53" i="2"/>
  <c r="B43" i="2"/>
  <c r="B184" i="4" l="1"/>
  <c r="B913" i="4"/>
  <c r="B185" i="4"/>
  <c r="E43" i="2"/>
  <c r="K43" i="2" s="1"/>
  <c r="F43" i="2"/>
  <c r="L43" i="2" s="1"/>
  <c r="E50" i="2"/>
  <c r="K50" i="2" s="1"/>
  <c r="F50" i="2"/>
  <c r="L50" i="2" s="1"/>
  <c r="E46" i="2"/>
  <c r="K46" i="2" s="1"/>
  <c r="F46" i="2"/>
  <c r="L46" i="2" s="1"/>
  <c r="E53" i="2"/>
  <c r="K53" i="2" s="1"/>
  <c r="F53" i="2"/>
  <c r="L53" i="2" s="1"/>
  <c r="E49" i="2"/>
  <c r="K49" i="2" s="1"/>
  <c r="F49" i="2"/>
  <c r="L49" i="2" s="1"/>
  <c r="E45" i="2"/>
  <c r="K45" i="2" s="1"/>
  <c r="F45" i="2"/>
  <c r="L45" i="2" s="1"/>
  <c r="E52" i="2"/>
  <c r="K52" i="2" s="1"/>
  <c r="F52" i="2"/>
  <c r="L52" i="2" s="1"/>
  <c r="E48" i="2"/>
  <c r="K48" i="2" s="1"/>
  <c r="F48" i="2"/>
  <c r="L48" i="2" s="1"/>
  <c r="F44" i="2"/>
  <c r="L44" i="2" s="1"/>
  <c r="E44" i="2"/>
  <c r="K44" i="2" s="1"/>
  <c r="F51" i="2"/>
  <c r="L51" i="2" s="1"/>
  <c r="E51" i="2"/>
  <c r="K51" i="2" s="1"/>
  <c r="E47" i="2"/>
  <c r="K47" i="2" s="1"/>
  <c r="F47" i="2"/>
  <c r="L47" i="2" s="1"/>
  <c r="B112" i="4"/>
  <c r="B100" i="4"/>
  <c r="E33" i="4"/>
  <c r="B914" i="4" l="1"/>
  <c r="B186" i="4"/>
  <c r="B113" i="4"/>
  <c r="B101" i="4"/>
  <c r="I32" i="4"/>
  <c r="E32" i="4"/>
  <c r="J32" i="2"/>
  <c r="D32" i="2"/>
  <c r="B915" i="4" l="1"/>
  <c r="J32" i="4"/>
  <c r="B187" i="4"/>
  <c r="B114" i="4"/>
  <c r="B102" i="4"/>
  <c r="B916" i="4" l="1"/>
  <c r="B188" i="4"/>
  <c r="B115" i="4"/>
  <c r="B103" i="4"/>
  <c r="I33" i="4"/>
  <c r="J33" i="4" s="1"/>
  <c r="I34" i="4"/>
  <c r="J34" i="4" s="1"/>
  <c r="I35" i="4"/>
  <c r="J35" i="4" s="1"/>
  <c r="I36" i="4"/>
  <c r="J36" i="4" s="1"/>
  <c r="J25" i="2"/>
  <c r="J26" i="2"/>
  <c r="J27" i="2"/>
  <c r="J28" i="2"/>
  <c r="J29" i="2"/>
  <c r="J30" i="2"/>
  <c r="J31" i="2"/>
  <c r="J33" i="2"/>
  <c r="J34" i="2"/>
  <c r="J35" i="2"/>
  <c r="J36" i="2"/>
  <c r="J37" i="2"/>
  <c r="J38" i="2"/>
  <c r="J39" i="2"/>
  <c r="J40" i="2"/>
  <c r="J41" i="2"/>
  <c r="J42" i="2"/>
  <c r="B917" i="4" l="1"/>
  <c r="B189" i="4"/>
  <c r="B116" i="4"/>
  <c r="B104" i="4"/>
  <c r="I27" i="4"/>
  <c r="I28" i="4"/>
  <c r="I29" i="4"/>
  <c r="I30" i="4"/>
  <c r="I31" i="4"/>
  <c r="E27" i="4"/>
  <c r="E28" i="4"/>
  <c r="E29" i="4"/>
  <c r="E30" i="4"/>
  <c r="E31" i="4"/>
  <c r="B918" i="4" l="1"/>
  <c r="J28" i="4"/>
  <c r="B190" i="4"/>
  <c r="J31" i="4"/>
  <c r="B117" i="4"/>
  <c r="J27" i="4"/>
  <c r="J29" i="4"/>
  <c r="J30" i="4"/>
  <c r="D26" i="2"/>
  <c r="B919" i="4" l="1"/>
  <c r="B191" i="4"/>
  <c r="B118" i="4"/>
  <c r="A133" i="3" s="1"/>
  <c r="I26" i="4"/>
  <c r="J24" i="2"/>
  <c r="D23" i="2"/>
  <c r="D24" i="2"/>
  <c r="B920" i="4" l="1"/>
  <c r="B192" i="4"/>
  <c r="B119" i="4"/>
  <c r="J23" i="2"/>
  <c r="B921" i="4" l="1"/>
  <c r="B193" i="4"/>
  <c r="B120" i="4"/>
  <c r="B922" i="4" l="1"/>
  <c r="B194" i="4"/>
  <c r="B121" i="4"/>
  <c r="E26" i="4"/>
  <c r="J26" i="4" s="1"/>
  <c r="B32" i="2"/>
  <c r="B33" i="2" s="1"/>
  <c r="B923" i="4" l="1"/>
  <c r="B195" i="4"/>
  <c r="B122" i="4"/>
  <c r="F32" i="2"/>
  <c r="L32" i="2" s="1"/>
  <c r="E32" i="2"/>
  <c r="K32" i="2" s="1"/>
  <c r="F33" i="2"/>
  <c r="L33" i="2" s="1"/>
  <c r="E33" i="2"/>
  <c r="K33" i="2" s="1"/>
  <c r="B34" i="2"/>
  <c r="E22" i="4"/>
  <c r="E23" i="4"/>
  <c r="E24" i="4"/>
  <c r="E25" i="4"/>
  <c r="D22" i="2"/>
  <c r="D21" i="2"/>
  <c r="D25" i="2"/>
  <c r="D27" i="2"/>
  <c r="D28" i="2"/>
  <c r="D29" i="2"/>
  <c r="D30" i="2"/>
  <c r="D31" i="2"/>
  <c r="J22" i="2"/>
  <c r="B924" i="4" l="1"/>
  <c r="B196" i="4"/>
  <c r="B123" i="4"/>
  <c r="B35" i="2"/>
  <c r="F34" i="2"/>
  <c r="L34" i="2" s="1"/>
  <c r="E34" i="2"/>
  <c r="K34" i="2" s="1"/>
  <c r="B925" i="4" l="1"/>
  <c r="B197" i="4"/>
  <c r="B124" i="4"/>
  <c r="B36" i="2"/>
  <c r="F35" i="2"/>
  <c r="L35" i="2" s="1"/>
  <c r="E35" i="2"/>
  <c r="K35" i="2" s="1"/>
  <c r="E21" i="4"/>
  <c r="B926" i="4" l="1"/>
  <c r="B198" i="4"/>
  <c r="B125" i="4"/>
  <c r="B37" i="2"/>
  <c r="F36" i="2"/>
  <c r="L36" i="2" s="1"/>
  <c r="E36" i="2"/>
  <c r="K36" i="2" s="1"/>
  <c r="J21" i="2"/>
  <c r="B927" i="4" l="1"/>
  <c r="B199" i="4"/>
  <c r="B126" i="4"/>
  <c r="B38" i="2"/>
  <c r="F37" i="2"/>
  <c r="L37" i="2" s="1"/>
  <c r="E37" i="2"/>
  <c r="K37" i="2" s="1"/>
  <c r="B928" i="4" l="1"/>
  <c r="B200" i="4"/>
  <c r="B127" i="4"/>
  <c r="B39" i="2"/>
  <c r="E38" i="2"/>
  <c r="K38" i="2" s="1"/>
  <c r="F38" i="2"/>
  <c r="L38" i="2" s="1"/>
  <c r="J20" i="2"/>
  <c r="B929" i="4" l="1"/>
  <c r="B201" i="4"/>
  <c r="B128" i="4"/>
  <c r="B40" i="2"/>
  <c r="F39" i="2"/>
  <c r="L39" i="2" s="1"/>
  <c r="E39" i="2"/>
  <c r="K39" i="2" s="1"/>
  <c r="B930" i="4" l="1"/>
  <c r="B202" i="4"/>
  <c r="B129" i="4"/>
  <c r="B41" i="2"/>
  <c r="F40" i="2"/>
  <c r="L40" i="2" s="1"/>
  <c r="E40" i="2"/>
  <c r="K40" i="2" s="1"/>
  <c r="J19" i="2"/>
  <c r="B931" i="4" l="1"/>
  <c r="B203" i="4"/>
  <c r="B130" i="4"/>
  <c r="B42" i="2"/>
  <c r="F41" i="2"/>
  <c r="L41" i="2" s="1"/>
  <c r="E41" i="2"/>
  <c r="K41" i="2" s="1"/>
  <c r="D18" i="2"/>
  <c r="J18" i="2"/>
  <c r="B932" i="4" l="1"/>
  <c r="B204" i="4"/>
  <c r="B131" i="4"/>
  <c r="F42" i="2"/>
  <c r="L42" i="2" s="1"/>
  <c r="E42" i="2"/>
  <c r="K42" i="2" s="1"/>
  <c r="I18" i="4"/>
  <c r="I19" i="4"/>
  <c r="I20" i="4"/>
  <c r="I21" i="4"/>
  <c r="J21" i="4" s="1"/>
  <c r="I22" i="4"/>
  <c r="J22" i="4" s="1"/>
  <c r="I23" i="4"/>
  <c r="J23" i="4" s="1"/>
  <c r="I24" i="4"/>
  <c r="J24" i="4" s="1"/>
  <c r="I25" i="4"/>
  <c r="J25" i="4" s="1"/>
  <c r="E17" i="4"/>
  <c r="E18" i="4"/>
  <c r="E19" i="4"/>
  <c r="E20" i="4"/>
  <c r="I17" i="4"/>
  <c r="J17" i="2"/>
  <c r="B933" i="4" l="1"/>
  <c r="J17" i="4"/>
  <c r="B205" i="4"/>
  <c r="B132" i="4"/>
  <c r="J20" i="4"/>
  <c r="J18" i="4"/>
  <c r="J19" i="4"/>
  <c r="B934" i="4" l="1"/>
  <c r="B206" i="4"/>
  <c r="B133" i="4"/>
  <c r="I16" i="4"/>
  <c r="J16" i="2"/>
  <c r="E16" i="4"/>
  <c r="B935" i="4" l="1"/>
  <c r="B207" i="4"/>
  <c r="B134" i="4"/>
  <c r="J16" i="4"/>
  <c r="B936" i="4" l="1"/>
  <c r="B208" i="4"/>
  <c r="B135" i="4"/>
  <c r="E15" i="4"/>
  <c r="I15" i="4"/>
  <c r="J15" i="2"/>
  <c r="B937" i="4" l="1"/>
  <c r="B209" i="4"/>
  <c r="B136" i="4"/>
  <c r="J15" i="4"/>
  <c r="A30" i="3"/>
  <c r="B938" i="4" l="1"/>
  <c r="B210" i="4"/>
  <c r="A31" i="3"/>
  <c r="B137" i="4"/>
  <c r="D14" i="2"/>
  <c r="E14" i="4"/>
  <c r="J14" i="2"/>
  <c r="B939" i="4" l="1"/>
  <c r="B211" i="4"/>
  <c r="A32" i="3"/>
  <c r="B138" i="4"/>
  <c r="B21" i="2"/>
  <c r="B22" i="2"/>
  <c r="B23" i="2"/>
  <c r="B24" i="2"/>
  <c r="B25" i="2"/>
  <c r="B26" i="2"/>
  <c r="B27" i="2"/>
  <c r="B28" i="2"/>
  <c r="B29" i="2"/>
  <c r="B30" i="2"/>
  <c r="B31" i="2"/>
  <c r="B20" i="2"/>
  <c r="B940" i="4" l="1"/>
  <c r="B212" i="4"/>
  <c r="A33" i="3"/>
  <c r="F22" i="2"/>
  <c r="L22" i="2" s="1"/>
  <c r="E22" i="2"/>
  <c r="K22" i="2" s="1"/>
  <c r="B139" i="4"/>
  <c r="F30" i="2"/>
  <c r="L30" i="2" s="1"/>
  <c r="E30" i="2"/>
  <c r="K30" i="2" s="1"/>
  <c r="F26" i="2"/>
  <c r="L26" i="2" s="1"/>
  <c r="E26" i="2"/>
  <c r="K26" i="2" s="1"/>
  <c r="F29" i="2"/>
  <c r="L29" i="2" s="1"/>
  <c r="E29" i="2"/>
  <c r="K29" i="2" s="1"/>
  <c r="F25" i="2"/>
  <c r="L25" i="2" s="1"/>
  <c r="E25" i="2"/>
  <c r="K25" i="2" s="1"/>
  <c r="F21" i="2"/>
  <c r="L21" i="2" s="1"/>
  <c r="E21" i="2"/>
  <c r="K21" i="2" s="1"/>
  <c r="F20" i="2"/>
  <c r="L20" i="2" s="1"/>
  <c r="E20" i="2"/>
  <c r="K20" i="2" s="1"/>
  <c r="F28" i="2"/>
  <c r="L28" i="2" s="1"/>
  <c r="E28" i="2"/>
  <c r="K28" i="2" s="1"/>
  <c r="F24" i="2"/>
  <c r="L24" i="2" s="1"/>
  <c r="E24" i="2"/>
  <c r="K24" i="2" s="1"/>
  <c r="F31" i="2"/>
  <c r="L31" i="2" s="1"/>
  <c r="E31" i="2"/>
  <c r="K31" i="2" s="1"/>
  <c r="F27" i="2"/>
  <c r="L27" i="2" s="1"/>
  <c r="E27" i="2"/>
  <c r="K27" i="2" s="1"/>
  <c r="F23" i="2"/>
  <c r="L23" i="2" s="1"/>
  <c r="E23" i="2"/>
  <c r="K23" i="2" s="1"/>
  <c r="J13" i="2"/>
  <c r="E13" i="4"/>
  <c r="D13" i="2"/>
  <c r="D15" i="2"/>
  <c r="D16" i="2"/>
  <c r="D17" i="2"/>
  <c r="D19" i="2"/>
  <c r="B941" i="4" l="1"/>
  <c r="B213" i="4"/>
  <c r="A34" i="3"/>
  <c r="B140" i="4"/>
  <c r="J12" i="2"/>
  <c r="D12" i="2"/>
  <c r="E12" i="4"/>
  <c r="B942" i="4" l="1"/>
  <c r="B214" i="4"/>
  <c r="A35" i="3"/>
  <c r="B141" i="4"/>
  <c r="D11" i="2"/>
  <c r="D10" i="2"/>
  <c r="J11" i="2"/>
  <c r="E11" i="4"/>
  <c r="B943" i="4" l="1"/>
  <c r="B215" i="4"/>
  <c r="A36" i="3"/>
  <c r="B142" i="4"/>
  <c r="J9" i="2"/>
  <c r="B16" i="2"/>
  <c r="B17" i="2"/>
  <c r="B18" i="2"/>
  <c r="B19" i="2"/>
  <c r="B15" i="2"/>
  <c r="B14" i="2"/>
  <c r="B13" i="2"/>
  <c r="B12" i="2"/>
  <c r="B11" i="2"/>
  <c r="F11" i="2" s="1"/>
  <c r="L11" i="2" s="1"/>
  <c r="B10" i="2"/>
  <c r="F10" i="2" s="1"/>
  <c r="I11" i="4"/>
  <c r="J11" i="4" s="1"/>
  <c r="I12" i="4"/>
  <c r="J12" i="4" s="1"/>
  <c r="I13" i="4"/>
  <c r="J13" i="4" s="1"/>
  <c r="I14" i="4"/>
  <c r="J14" i="4" s="1"/>
  <c r="I10" i="4"/>
  <c r="J10" i="2"/>
  <c r="B944" i="4" l="1"/>
  <c r="L10" i="2"/>
  <c r="B216" i="4"/>
  <c r="A37" i="3"/>
  <c r="E14" i="2"/>
  <c r="K14" i="2" s="1"/>
  <c r="F14" i="2"/>
  <c r="L14" i="2" s="1"/>
  <c r="F17" i="2"/>
  <c r="L17" i="2" s="1"/>
  <c r="E17" i="2"/>
  <c r="K17" i="2" s="1"/>
  <c r="F12" i="2"/>
  <c r="L12" i="2" s="1"/>
  <c r="E12" i="2"/>
  <c r="K12" i="2" s="1"/>
  <c r="F19" i="2"/>
  <c r="L19" i="2" s="1"/>
  <c r="E19" i="2"/>
  <c r="K19" i="2" s="1"/>
  <c r="F13" i="2"/>
  <c r="L13" i="2" s="1"/>
  <c r="E13" i="2"/>
  <c r="K13" i="2" s="1"/>
  <c r="F18" i="2"/>
  <c r="L18" i="2" s="1"/>
  <c r="E18" i="2"/>
  <c r="K18" i="2" s="1"/>
  <c r="E10" i="2"/>
  <c r="K10" i="2" s="1"/>
  <c r="B143" i="4"/>
  <c r="F15" i="2"/>
  <c r="L15" i="2" s="1"/>
  <c r="E15" i="2"/>
  <c r="K15" i="2" s="1"/>
  <c r="F16" i="2"/>
  <c r="L16" i="2" s="1"/>
  <c r="E16" i="2"/>
  <c r="K16" i="2" s="1"/>
  <c r="E11" i="2"/>
  <c r="K11" i="2" s="1"/>
  <c r="D9" i="2"/>
  <c r="D8" i="2"/>
  <c r="J8" i="2"/>
  <c r="B945" i="4" l="1"/>
  <c r="B217" i="4"/>
  <c r="A38" i="3"/>
  <c r="B144" i="4"/>
  <c r="J7" i="2"/>
  <c r="B946" i="4" l="1"/>
  <c r="B218" i="4"/>
  <c r="A39" i="3"/>
  <c r="B145" i="4"/>
  <c r="J6" i="2"/>
  <c r="A40" i="3" l="1"/>
  <c r="B947" i="4"/>
  <c r="B219" i="4"/>
  <c r="B146" i="4"/>
  <c r="J5" i="2"/>
  <c r="A41" i="3" l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70" i="3" s="1"/>
  <c r="B948" i="4"/>
  <c r="B220" i="4"/>
  <c r="B147" i="4"/>
  <c r="B6" i="4"/>
  <c r="Z1766" i="3" l="1"/>
  <c r="G1766" i="3"/>
  <c r="O1766" i="3"/>
  <c r="T1766" i="3"/>
  <c r="X1766" i="3"/>
  <c r="I1766" i="3"/>
  <c r="H1766" i="3"/>
  <c r="B1766" i="3"/>
  <c r="L1766" i="3"/>
  <c r="F1766" i="3"/>
  <c r="J1766" i="3"/>
  <c r="K1766" i="3"/>
  <c r="E1766" i="3"/>
  <c r="V1766" i="3"/>
  <c r="P1766" i="3"/>
  <c r="C1766" i="3"/>
  <c r="Q1766" i="3"/>
  <c r="Y1766" i="3"/>
  <c r="D1766" i="3"/>
  <c r="U1766" i="3"/>
  <c r="M1766" i="3"/>
  <c r="S1766" i="3"/>
  <c r="W1766" i="3"/>
  <c r="N1766" i="3"/>
  <c r="Q1768" i="3"/>
  <c r="J1768" i="3"/>
  <c r="S1768" i="3"/>
  <c r="I1768" i="3"/>
  <c r="E1768" i="3"/>
  <c r="Y1768" i="3"/>
  <c r="O1768" i="3"/>
  <c r="M1768" i="3"/>
  <c r="L1768" i="3"/>
  <c r="T1768" i="3"/>
  <c r="F1768" i="3"/>
  <c r="K1768" i="3"/>
  <c r="N1768" i="3"/>
  <c r="W1768" i="3"/>
  <c r="G1768" i="3"/>
  <c r="Z1768" i="3"/>
  <c r="B1768" i="3"/>
  <c r="D1768" i="3"/>
  <c r="V1768" i="3"/>
  <c r="X1768" i="3"/>
  <c r="C1768" i="3"/>
  <c r="N1807" i="3"/>
  <c r="H1768" i="3"/>
  <c r="U1768" i="3"/>
  <c r="P1768" i="3"/>
  <c r="N1770" i="3"/>
  <c r="N1814" i="3"/>
  <c r="N1812" i="3"/>
  <c r="N1813" i="3"/>
  <c r="N1801" i="3"/>
  <c r="N1806" i="3"/>
  <c r="N1789" i="3"/>
  <c r="N1799" i="3"/>
  <c r="N1808" i="3"/>
  <c r="N1811" i="3"/>
  <c r="B1770" i="3"/>
  <c r="N1772" i="3"/>
  <c r="N1774" i="3"/>
  <c r="N1820" i="3"/>
  <c r="N1778" i="3"/>
  <c r="N1818" i="3"/>
  <c r="N1809" i="3"/>
  <c r="N1804" i="3"/>
  <c r="N1782" i="3"/>
  <c r="N1792" i="3"/>
  <c r="N1802" i="3"/>
  <c r="N1785" i="3"/>
  <c r="N1796" i="3"/>
  <c r="C1770" i="3"/>
  <c r="N1790" i="3"/>
  <c r="N1815" i="3"/>
  <c r="N1803" i="3"/>
  <c r="N1777" i="3"/>
  <c r="N1773" i="3"/>
  <c r="N1775" i="3"/>
  <c r="N1794" i="3"/>
  <c r="N1819" i="3"/>
  <c r="N1810" i="3"/>
  <c r="N1776" i="3"/>
  <c r="N1817" i="3"/>
  <c r="N1816" i="3"/>
  <c r="N1781" i="3"/>
  <c r="N1795" i="3"/>
  <c r="N1800" i="3"/>
  <c r="N1771" i="3"/>
  <c r="N1784" i="3"/>
  <c r="N1787" i="3"/>
  <c r="N1783" i="3"/>
  <c r="N1786" i="3"/>
  <c r="N1793" i="3"/>
  <c r="N1798" i="3"/>
  <c r="N1821" i="3"/>
  <c r="N1805" i="3"/>
  <c r="N1797" i="3"/>
  <c r="N1791" i="3"/>
  <c r="N1779" i="3"/>
  <c r="N1780" i="3"/>
  <c r="N1788" i="3"/>
  <c r="N1822" i="3"/>
  <c r="B949" i="4"/>
  <c r="B7" i="4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221" i="4"/>
  <c r="B148" i="4"/>
  <c r="E5" i="4"/>
  <c r="E6" i="4"/>
  <c r="E7" i="4"/>
  <c r="E8" i="4"/>
  <c r="E9" i="4"/>
  <c r="E10" i="4"/>
  <c r="J10" i="4" s="1"/>
  <c r="I4" i="4"/>
  <c r="I5" i="4"/>
  <c r="I6" i="4"/>
  <c r="I7" i="4"/>
  <c r="I8" i="4"/>
  <c r="I9" i="4"/>
  <c r="E4" i="4"/>
  <c r="B950" i="4" l="1"/>
  <c r="J4" i="4"/>
  <c r="J6" i="4"/>
  <c r="B222" i="4"/>
  <c r="B149" i="4"/>
  <c r="J5" i="4"/>
  <c r="J7" i="4"/>
  <c r="J9" i="4"/>
  <c r="J8" i="4"/>
  <c r="B951" i="4" l="1"/>
  <c r="B223" i="4"/>
  <c r="B150" i="4"/>
  <c r="D4" i="2"/>
  <c r="E4" i="2" s="1"/>
  <c r="F4" i="2"/>
  <c r="J4" i="2"/>
  <c r="B952" i="4" l="1"/>
  <c r="B224" i="4"/>
  <c r="B151" i="4"/>
  <c r="L4" i="2"/>
  <c r="K4" i="2"/>
  <c r="E3" i="4"/>
  <c r="B953" i="4" l="1"/>
  <c r="B225" i="4"/>
  <c r="B152" i="4"/>
  <c r="I3" i="4"/>
  <c r="J3" i="4" s="1"/>
  <c r="J2" i="2"/>
  <c r="I3" i="2"/>
  <c r="J3" i="2" s="1"/>
  <c r="F2" i="2"/>
  <c r="F3" i="2"/>
  <c r="F5" i="2"/>
  <c r="L5" i="2" s="1"/>
  <c r="F6" i="2"/>
  <c r="L6" i="2" s="1"/>
  <c r="F7" i="2"/>
  <c r="L7" i="2" s="1"/>
  <c r="F8" i="2"/>
  <c r="L8" i="2" s="1"/>
  <c r="F9" i="2"/>
  <c r="L9" i="2" s="1"/>
  <c r="D2" i="2"/>
  <c r="E2" i="2" s="1"/>
  <c r="D3" i="2"/>
  <c r="E3" i="2" s="1"/>
  <c r="D5" i="2"/>
  <c r="E5" i="2" s="1"/>
  <c r="K5" i="2" s="1"/>
  <c r="D6" i="2"/>
  <c r="E6" i="2" s="1"/>
  <c r="K6" i="2" s="1"/>
  <c r="D7" i="2"/>
  <c r="E7" i="2" s="1"/>
  <c r="K7" i="2" s="1"/>
  <c r="E8" i="2"/>
  <c r="K8" i="2" s="1"/>
  <c r="E9" i="2"/>
  <c r="K9" i="2" s="1"/>
  <c r="B954" i="4" l="1"/>
  <c r="B226" i="4"/>
  <c r="B153" i="4"/>
  <c r="K3" i="2"/>
  <c r="L2" i="2"/>
  <c r="K2" i="2"/>
  <c r="L3" i="2"/>
  <c r="B955" i="4" l="1"/>
  <c r="B227" i="4"/>
  <c r="B154" i="4"/>
  <c r="B956" i="4" l="1"/>
  <c r="B228" i="4"/>
  <c r="B155" i="4"/>
  <c r="B957" i="4" l="1"/>
  <c r="B229" i="4"/>
  <c r="B156" i="4"/>
  <c r="B958" i="4" l="1"/>
  <c r="B230" i="4"/>
  <c r="B157" i="4"/>
  <c r="B959" i="4" l="1"/>
  <c r="B231" i="4"/>
  <c r="B158" i="4"/>
  <c r="B960" i="4" l="1"/>
  <c r="B232" i="4"/>
  <c r="B159" i="4"/>
  <c r="B961" i="4" l="1"/>
  <c r="B233" i="4"/>
  <c r="B160" i="4"/>
  <c r="B962" i="4" l="1"/>
  <c r="B234" i="4"/>
  <c r="B161" i="4"/>
  <c r="B963" i="4" l="1"/>
  <c r="B235" i="4"/>
  <c r="B162" i="4"/>
  <c r="B964" i="4" l="1"/>
  <c r="B236" i="4"/>
  <c r="B163" i="4"/>
  <c r="B966" i="4" l="1"/>
  <c r="B965" i="4"/>
  <c r="B237" i="4"/>
  <c r="B164" i="4"/>
  <c r="B238" i="4" l="1"/>
  <c r="B165" i="4"/>
  <c r="B967" i="4" l="1"/>
  <c r="B239" i="4"/>
  <c r="B166" i="4"/>
  <c r="B968" i="4" l="1"/>
  <c r="B240" i="4"/>
  <c r="B167" i="4"/>
  <c r="B969" i="4" l="1"/>
  <c r="B241" i="4"/>
  <c r="B168" i="4"/>
  <c r="B970" i="4" l="1"/>
  <c r="B242" i="4"/>
  <c r="B169" i="4"/>
  <c r="B971" i="4" l="1"/>
  <c r="B243" i="4"/>
  <c r="B170" i="4"/>
  <c r="B972" i="4" l="1"/>
  <c r="B244" i="4"/>
  <c r="B171" i="4"/>
  <c r="B973" i="4" l="1"/>
  <c r="B245" i="4"/>
  <c r="B172" i="4"/>
  <c r="B975" i="4" l="1"/>
  <c r="B246" i="4"/>
  <c r="B173" i="4"/>
  <c r="B976" i="4" l="1"/>
  <c r="B247" i="4"/>
  <c r="B174" i="4"/>
  <c r="B977" i="4" l="1"/>
  <c r="B248" i="4"/>
  <c r="B175" i="4"/>
  <c r="B978" i="4" l="1"/>
  <c r="B251" i="4"/>
  <c r="B249" i="4"/>
  <c r="B176" i="4"/>
  <c r="B979" i="4" l="1"/>
  <c r="B250" i="4"/>
  <c r="B177" i="4"/>
  <c r="B982" i="4" l="1"/>
  <c r="B980" i="4"/>
  <c r="B252" i="4"/>
  <c r="B981" i="4" l="1"/>
  <c r="B253" i="4"/>
  <c r="B254" i="4" l="1"/>
  <c r="B983" i="4" l="1"/>
  <c r="B255" i="4"/>
  <c r="B984" i="4" l="1"/>
  <c r="B256" i="4"/>
  <c r="B985" i="4" l="1"/>
  <c r="B257" i="4"/>
  <c r="B986" i="4" l="1"/>
  <c r="B258" i="4"/>
  <c r="B987" i="4" l="1"/>
  <c r="B259" i="4"/>
  <c r="B988" i="4" l="1"/>
  <c r="B260" i="4"/>
  <c r="B989" i="4" l="1"/>
  <c r="B261" i="4"/>
  <c r="B990" i="4" l="1"/>
  <c r="B262" i="4"/>
  <c r="B991" i="4" l="1"/>
  <c r="B263" i="4"/>
  <c r="B992" i="4" l="1"/>
  <c r="B264" i="4"/>
  <c r="B993" i="4" l="1"/>
  <c r="B265" i="4"/>
  <c r="B994" i="4" l="1"/>
  <c r="B266" i="4"/>
  <c r="B995" i="4" l="1"/>
  <c r="B267" i="4"/>
  <c r="B996" i="4" l="1"/>
  <c r="B268" i="4"/>
  <c r="B997" i="4" l="1"/>
  <c r="B269" i="4"/>
  <c r="B998" i="4" l="1"/>
  <c r="B270" i="4"/>
  <c r="B999" i="4" l="1"/>
  <c r="B271" i="4"/>
  <c r="B1000" i="4" l="1"/>
  <c r="B272" i="4"/>
  <c r="B1001" i="4" l="1"/>
  <c r="B273" i="4"/>
  <c r="B1002" i="4" l="1"/>
  <c r="B274" i="4"/>
  <c r="B1003" i="4" l="1"/>
  <c r="B275" i="4"/>
  <c r="B1004" i="4" l="1"/>
  <c r="B276" i="4"/>
  <c r="B1005" i="4" l="1"/>
  <c r="B277" i="4"/>
  <c r="B1006" i="4" l="1"/>
  <c r="B278" i="4"/>
  <c r="B1007" i="4" l="1"/>
  <c r="B279" i="4"/>
  <c r="B1008" i="4" l="1"/>
  <c r="B280" i="4"/>
  <c r="B1009" i="4" l="1"/>
  <c r="B281" i="4"/>
  <c r="B1010" i="4" l="1"/>
  <c r="B282" i="4"/>
  <c r="B1011" i="4" l="1"/>
  <c r="B283" i="4"/>
  <c r="B1012" i="4" l="1"/>
  <c r="B284" i="4"/>
  <c r="B1013" i="4" l="1"/>
  <c r="B285" i="4"/>
  <c r="B1014" i="4" l="1"/>
  <c r="B286" i="4"/>
  <c r="B1015" i="4" l="1"/>
  <c r="B287" i="4"/>
  <c r="B1016" i="4" l="1"/>
  <c r="B288" i="4"/>
  <c r="B1017" i="4" l="1"/>
  <c r="B289" i="4"/>
  <c r="B1018" i="4" l="1"/>
  <c r="B290" i="4"/>
  <c r="B1019" i="4" l="1"/>
  <c r="B291" i="4"/>
  <c r="B1020" i="4" l="1"/>
  <c r="B292" i="4"/>
  <c r="B1021" i="4" l="1"/>
  <c r="B293" i="4"/>
  <c r="B1022" i="4" l="1"/>
  <c r="B294" i="4"/>
  <c r="B1023" i="4" l="1"/>
  <c r="B295" i="4"/>
  <c r="B1024" i="4" l="1"/>
  <c r="B296" i="4"/>
  <c r="B1025" i="4" l="1"/>
  <c r="B297" i="4"/>
  <c r="B1026" i="4" l="1"/>
  <c r="B298" i="4"/>
  <c r="B1027" i="4" l="1"/>
  <c r="B299" i="4"/>
  <c r="B1028" i="4" l="1"/>
  <c r="B300" i="4"/>
  <c r="B1029" i="4" l="1"/>
  <c r="B301" i="4"/>
  <c r="B1030" i="4" l="1"/>
  <c r="B302" i="4"/>
  <c r="B1031" i="4" l="1"/>
  <c r="B303" i="4"/>
  <c r="B1032" i="4" l="1"/>
  <c r="B304" i="4"/>
  <c r="B1033" i="4" l="1"/>
  <c r="B305" i="4"/>
  <c r="B1034" i="4" l="1"/>
  <c r="B306" i="4"/>
  <c r="B1035" i="4" l="1"/>
  <c r="B307" i="4"/>
  <c r="B1036" i="4" l="1"/>
  <c r="B308" i="4"/>
  <c r="B1038" i="4" l="1"/>
  <c r="B309" i="4"/>
  <c r="B1039" i="4" l="1"/>
  <c r="B310" i="4"/>
  <c r="B1040" i="4" l="1"/>
  <c r="B312" i="4"/>
  <c r="B1041" i="4" l="1"/>
  <c r="B313" i="4"/>
  <c r="B1042" i="4" l="1"/>
  <c r="B314" i="4"/>
  <c r="B1043" i="4" l="1"/>
  <c r="B315" i="4"/>
  <c r="B1044" i="4" l="1"/>
  <c r="B316" i="4"/>
  <c r="B1045" i="4" l="1"/>
  <c r="B317" i="4"/>
  <c r="B1046" i="4" l="1"/>
  <c r="B318" i="4"/>
  <c r="B1047" i="4" l="1"/>
  <c r="B319" i="4"/>
  <c r="B1048" i="4" l="1"/>
  <c r="B320" i="4"/>
  <c r="B1049" i="4" l="1"/>
  <c r="B321" i="4"/>
  <c r="B1050" i="4" l="1"/>
  <c r="B322" i="4"/>
  <c r="B1051" i="4" l="1"/>
  <c r="B323" i="4"/>
  <c r="B1052" i="4" l="1"/>
  <c r="B324" i="4"/>
  <c r="B1053" i="4" l="1"/>
  <c r="B325" i="4"/>
  <c r="B1054" i="4" l="1"/>
  <c r="B326" i="4"/>
  <c r="B1055" i="4" l="1"/>
  <c r="B327" i="4"/>
  <c r="B1056" i="4" l="1"/>
  <c r="B328" i="4"/>
  <c r="B1057" i="4" l="1"/>
  <c r="B329" i="4"/>
  <c r="B1058" i="4" l="1"/>
  <c r="B330" i="4"/>
  <c r="B1059" i="4" l="1"/>
  <c r="B331" i="4"/>
  <c r="B332" i="4" l="1"/>
  <c r="B333" i="4" l="1"/>
  <c r="B334" i="4" l="1"/>
  <c r="B335" i="4" l="1"/>
  <c r="B336" i="4" l="1"/>
  <c r="B337" i="4" l="1"/>
  <c r="B340" i="4" l="1"/>
  <c r="B338" i="4"/>
  <c r="B339" i="4" l="1"/>
  <c r="B341" i="4" l="1"/>
  <c r="B342" i="4" l="1"/>
  <c r="B343" i="4" l="1"/>
  <c r="B344" i="4" l="1"/>
  <c r="B345" i="4" l="1"/>
  <c r="B346" i="4" l="1"/>
  <c r="B347" i="4" l="1"/>
  <c r="B348" i="4" l="1"/>
  <c r="B349" i="4" l="1"/>
  <c r="B350" i="4" l="1"/>
  <c r="B351" i="4" l="1"/>
  <c r="B352" i="4" l="1"/>
  <c r="B353" i="4" l="1"/>
  <c r="B354" i="4" l="1"/>
  <c r="B355" i="4" l="1"/>
  <c r="B356" i="4" l="1"/>
  <c r="B357" i="4" l="1"/>
  <c r="B358" i="4" l="1"/>
  <c r="B359" i="4" l="1"/>
  <c r="B360" i="4" l="1"/>
  <c r="B361" i="4" l="1"/>
  <c r="B362" i="4" l="1"/>
  <c r="B363" i="4" l="1"/>
  <c r="B364" i="4" l="1"/>
  <c r="B365" i="4" l="1"/>
  <c r="B366" i="4" l="1"/>
  <c r="B367" i="4" l="1"/>
  <c r="B368" i="4" l="1"/>
  <c r="B369" i="4" l="1"/>
  <c r="B370" i="4" l="1"/>
  <c r="B371" i="4" l="1"/>
  <c r="B372" i="4" l="1"/>
  <c r="B373" i="4" l="1"/>
  <c r="B374" i="4" l="1"/>
  <c r="B375" i="4" l="1"/>
  <c r="B376" i="4" l="1"/>
  <c r="B377" i="4" l="1"/>
  <c r="B379" i="4" l="1"/>
  <c r="B380" i="4" l="1"/>
  <c r="B381" i="4" l="1"/>
  <c r="B382" i="4" l="1"/>
  <c r="B383" i="4" l="1"/>
  <c r="B384" i="4" l="1"/>
  <c r="B385" i="4" l="1"/>
  <c r="B386" i="4" l="1"/>
  <c r="B387" i="4" l="1"/>
  <c r="B388" i="4" l="1"/>
  <c r="B389" i="4" l="1"/>
  <c r="B390" i="4" l="1"/>
  <c r="B391" i="4" l="1"/>
  <c r="B392" i="4" l="1"/>
  <c r="B393" i="4" l="1"/>
  <c r="B394" i="4" l="1"/>
  <c r="B395" i="4" l="1"/>
  <c r="B396" i="4" l="1"/>
  <c r="B397" i="4" l="1"/>
  <c r="B398" i="4" l="1"/>
  <c r="B399" i="4" l="1"/>
  <c r="B400" i="4" l="1"/>
  <c r="B401" i="4" l="1"/>
  <c r="B402" i="4" l="1"/>
  <c r="B403" i="4" l="1"/>
  <c r="B404" i="4" l="1"/>
  <c r="B405" i="4" l="1"/>
  <c r="B406" i="4" l="1"/>
  <c r="B407" i="4" l="1"/>
  <c r="B408" i="4" l="1"/>
  <c r="B409" i="4" l="1"/>
  <c r="B410" i="4" l="1"/>
  <c r="B411" i="4" l="1"/>
  <c r="B412" i="4" l="1"/>
  <c r="B413" i="4" l="1"/>
  <c r="B414" i="4" l="1"/>
  <c r="B415" i="4" l="1"/>
  <c r="B416" i="4" l="1"/>
  <c r="B417" i="4" l="1"/>
  <c r="B418" i="4" l="1"/>
  <c r="B419" i="4" l="1"/>
  <c r="B420" i="4" l="1"/>
  <c r="B421" i="4" l="1"/>
  <c r="B422" i="4" l="1"/>
  <c r="B423" i="4" l="1"/>
  <c r="B424" i="4" l="1"/>
  <c r="B425" i="4" l="1"/>
  <c r="B426" i="4" l="1"/>
  <c r="B427" i="4" l="1"/>
  <c r="B428" i="4" l="1"/>
  <c r="B429" i="4" l="1"/>
  <c r="B430" i="4" l="1"/>
  <c r="B431" i="4" l="1"/>
  <c r="B432" i="4" l="1"/>
  <c r="B433" i="4" l="1"/>
  <c r="B434" i="4" l="1"/>
  <c r="B435" i="4" l="1"/>
  <c r="B436" i="4" l="1"/>
  <c r="B437" i="4" l="1"/>
  <c r="B438" i="4" l="1"/>
  <c r="B439" i="4" l="1"/>
  <c r="B440" i="4" l="1"/>
  <c r="B441" i="4" l="1"/>
  <c r="B442" i="4" l="1"/>
  <c r="B444" i="4" l="1"/>
  <c r="B443" i="4"/>
  <c r="B445" i="4" l="1"/>
  <c r="B446" i="4" l="1"/>
  <c r="B447" i="4" l="1"/>
  <c r="B448" i="4" l="1"/>
  <c r="B449" i="4" l="1"/>
  <c r="B450" i="4" l="1"/>
  <c r="B451" i="4" l="1"/>
  <c r="B452" i="4" l="1"/>
  <c r="B453" i="4" l="1"/>
  <c r="B454" i="4" l="1"/>
  <c r="B455" i="4" l="1"/>
  <c r="B456" i="4" l="1"/>
  <c r="B457" i="4" l="1"/>
  <c r="B458" i="4" l="1"/>
  <c r="B460" i="4" l="1"/>
  <c r="B461" i="4" l="1"/>
  <c r="B462" i="4" l="1"/>
  <c r="B463" i="4" l="1"/>
  <c r="B464" i="4" l="1"/>
  <c r="B465" i="4" l="1"/>
  <c r="B466" i="4" l="1"/>
  <c r="B467" i="4" l="1"/>
  <c r="B468" i="4" l="1"/>
  <c r="B469" i="4" l="1"/>
  <c r="B470" i="4" l="1"/>
  <c r="B471" i="4" l="1"/>
  <c r="B472" i="4" l="1"/>
  <c r="B473" i="4" l="1"/>
  <c r="B474" i="4" l="1"/>
  <c r="B475" i="4" l="1"/>
  <c r="B476" i="4" l="1"/>
  <c r="B477" i="4" l="1"/>
  <c r="B478" i="4" l="1"/>
  <c r="B479" i="4" l="1"/>
  <c r="B480" i="4" l="1"/>
  <c r="B481" i="4" l="1"/>
  <c r="B482" i="4" l="1"/>
  <c r="B483" i="4" l="1"/>
  <c r="B484" i="4" l="1"/>
  <c r="B485" i="4" l="1"/>
  <c r="B486" i="4" l="1"/>
  <c r="B487" i="4" l="1"/>
  <c r="B488" i="4" l="1"/>
  <c r="B489" i="4" l="1"/>
  <c r="B491" i="4" l="1"/>
  <c r="B492" i="4" l="1"/>
  <c r="B493" i="4" l="1"/>
  <c r="B494" i="4" l="1"/>
  <c r="B495" i="4" l="1"/>
  <c r="B496" i="4" l="1"/>
  <c r="B497" i="4" l="1"/>
  <c r="B498" i="4" l="1"/>
  <c r="B499" i="4" l="1"/>
  <c r="B500" i="4" l="1"/>
  <c r="B501" i="4" l="1"/>
  <c r="B502" i="4" l="1"/>
  <c r="B503" i="4" l="1"/>
  <c r="B504" i="4" l="1"/>
  <c r="B505" i="4" l="1"/>
  <c r="B506" i="4" l="1"/>
  <c r="B507" i="4" l="1"/>
  <c r="B508" i="4" l="1"/>
  <c r="B509" i="4" l="1"/>
  <c r="B510" i="4" l="1"/>
  <c r="B511" i="4" l="1"/>
  <c r="B512" i="4" l="1"/>
  <c r="B513" i="4" l="1"/>
  <c r="B514" i="4" l="1"/>
  <c r="B515" i="4" l="1"/>
  <c r="B516" i="4" l="1"/>
  <c r="B517" i="4" l="1"/>
  <c r="B518" i="4" l="1"/>
  <c r="B519" i="4" l="1"/>
  <c r="B520" i="4" l="1"/>
  <c r="B521" i="4" l="1"/>
  <c r="B522" i="4" l="1"/>
  <c r="B523" i="4" l="1"/>
  <c r="B524" i="4" l="1"/>
  <c r="B525" i="4" l="1"/>
  <c r="B526" i="4" l="1"/>
  <c r="B527" i="4" l="1"/>
  <c r="B528" i="4" l="1"/>
  <c r="B529" i="4" l="1"/>
  <c r="B530" i="4" l="1"/>
  <c r="B531" i="4" l="1"/>
  <c r="B532" i="4" l="1"/>
  <c r="B533" i="4" l="1"/>
  <c r="B534" i="4" l="1"/>
  <c r="B535" i="4" l="1"/>
  <c r="B536" i="4" l="1"/>
  <c r="B537" i="4" l="1"/>
  <c r="B538" i="4" l="1"/>
  <c r="B539" i="4" l="1"/>
  <c r="B540" i="4" l="1"/>
  <c r="B541" i="4" l="1"/>
  <c r="B542" i="4" l="1"/>
  <c r="B543" i="4" l="1"/>
  <c r="B544" i="4" l="1"/>
  <c r="B545" i="4" l="1"/>
  <c r="B546" i="4" l="1"/>
  <c r="B547" i="4" l="1"/>
  <c r="B548" i="4" l="1"/>
  <c r="B549" i="4" l="1"/>
  <c r="B550" i="4" l="1"/>
  <c r="B551" i="4" l="1"/>
  <c r="B552" i="4" l="1"/>
  <c r="B553" i="4" l="1"/>
  <c r="B554" i="4" l="1"/>
  <c r="B555" i="4" l="1"/>
  <c r="B557" i="4" l="1"/>
  <c r="B558" i="4" l="1"/>
  <c r="B559" i="4" l="1"/>
  <c r="B560" i="4" l="1"/>
  <c r="B561" i="4" l="1"/>
  <c r="B562" i="4" l="1"/>
  <c r="B563" i="4" l="1"/>
  <c r="B564" i="4" l="1"/>
  <c r="B565" i="4" l="1"/>
  <c r="B566" i="4" l="1"/>
  <c r="B567" i="4" l="1"/>
  <c r="B568" i="4" l="1"/>
  <c r="B569" i="4" l="1"/>
  <c r="B570" i="4" l="1"/>
  <c r="B571" i="4" l="1"/>
  <c r="B572" i="4" l="1"/>
  <c r="B573" i="4" l="1"/>
  <c r="B574" i="4" l="1"/>
  <c r="B575" i="4" l="1"/>
  <c r="B576" i="4" l="1"/>
  <c r="A1239" i="2"/>
  <c r="A1240" i="2" l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6" i="2" s="1"/>
  <c r="A1337" i="2" l="1"/>
  <c r="N1336" i="2"/>
  <c r="A1338" i="2" l="1"/>
  <c r="A1339" i="2" l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l="1"/>
  <c r="A1403" i="2" l="1"/>
  <c r="A1404" i="2" s="1"/>
  <c r="A1405" i="2" s="1"/>
  <c r="A1406" i="2" s="1"/>
  <c r="A1407" i="2" s="1"/>
  <c r="A1408" i="2" s="1"/>
  <c r="A1409" i="2" l="1"/>
  <c r="A1410" i="2" l="1"/>
  <c r="A1411" i="2" s="1"/>
  <c r="A1413" i="2" s="1"/>
  <c r="A1414" i="2" l="1"/>
  <c r="A1415" i="2" l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l="1"/>
  <c r="A1442" i="2" s="1"/>
  <c r="A1443" i="2" l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l="1"/>
  <c r="A1457" i="2" l="1"/>
  <c r="A1458" i="2" l="1"/>
  <c r="A1459" i="2" l="1"/>
  <c r="A1460" i="2" l="1"/>
  <c r="A1461" i="2" l="1"/>
  <c r="A1462" i="2" l="1"/>
  <c r="A1463" i="2" l="1"/>
  <c r="A1464" i="2" s="1"/>
  <c r="A1465" i="2" s="1"/>
  <c r="A1466" i="2" s="1"/>
  <c r="A1467" i="2" s="1"/>
  <c r="A1468" i="2" l="1"/>
  <c r="A1469" i="2" l="1"/>
  <c r="A1470" i="2" l="1"/>
  <c r="A1471" i="2" l="1"/>
  <c r="A1472" i="2" l="1"/>
  <c r="A1473" i="2" l="1"/>
  <c r="A1474" i="2" l="1"/>
  <c r="A1475" i="2" l="1"/>
  <c r="A1476" i="2" l="1"/>
  <c r="A1477" i="2" l="1"/>
  <c r="A1478" i="2" l="1"/>
  <c r="A1479" i="2" l="1"/>
  <c r="A1480" i="2" l="1"/>
  <c r="A1481" i="2" l="1"/>
  <c r="A1482" i="2" l="1"/>
  <c r="A1483" i="2" l="1"/>
  <c r="A1484" i="2" l="1"/>
  <c r="A1485" i="2" l="1"/>
  <c r="A1486" i="2" l="1"/>
  <c r="A1487" i="2" s="1"/>
  <c r="A1488" i="2" s="1"/>
  <c r="A1489" i="2" s="1"/>
  <c r="A1490" i="2" l="1"/>
  <c r="A1491" i="2" l="1"/>
  <c r="A1492" i="2" l="1"/>
  <c r="A1493" i="2" l="1"/>
  <c r="A1494" i="2" l="1"/>
  <c r="A1495" i="2" l="1"/>
  <c r="A1496" i="2" l="1"/>
  <c r="A1497" i="2" l="1"/>
  <c r="A1498" i="2" s="1"/>
  <c r="A1499" i="2" s="1"/>
  <c r="A1500" i="2" l="1"/>
  <c r="A1501" i="2" l="1"/>
  <c r="A1502" i="2" l="1"/>
  <c r="A1503" i="2" l="1"/>
  <c r="A1504" i="2" l="1"/>
  <c r="A1505" i="2" l="1"/>
  <c r="A1506" i="2" l="1"/>
  <c r="A1507" i="2" l="1"/>
  <c r="A1508" i="2" l="1"/>
  <c r="A1509" i="2" l="1"/>
  <c r="A1510" i="2" l="1"/>
  <c r="A1511" i="2" l="1"/>
  <c r="A1512" i="2" l="1"/>
  <c r="A1513" i="2" l="1"/>
  <c r="A1514" i="2" l="1"/>
  <c r="A1515" i="2" l="1"/>
  <c r="A1516" i="2" l="1"/>
  <c r="A1517" i="2" l="1"/>
  <c r="A1518" i="2" l="1"/>
  <c r="A1519" i="2" l="1"/>
  <c r="A1521" i="2" l="1"/>
  <c r="A1522" i="2" l="1"/>
  <c r="A1523" i="2" l="1"/>
  <c r="A1524" i="2" l="1"/>
  <c r="A1525" i="2" l="1"/>
  <c r="A1526" i="2" l="1"/>
  <c r="A1527" i="2" l="1"/>
  <c r="A1528" i="2" l="1"/>
  <c r="A1529" i="2" l="1"/>
  <c r="A1530" i="2" l="1"/>
  <c r="A1531" i="2" l="1"/>
  <c r="A1532" i="2" l="1"/>
  <c r="A1533" i="2" l="1"/>
  <c r="A1534" i="2" l="1"/>
  <c r="A1535" i="2" l="1"/>
  <c r="A1536" i="2" l="1"/>
  <c r="A1537" i="2" l="1"/>
  <c r="A1538" i="2" l="1"/>
  <c r="A1539" i="2" l="1"/>
  <c r="A1540" i="2" l="1"/>
  <c r="A1541" i="2" l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l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l="1"/>
  <c r="A1582" i="2" l="1"/>
  <c r="A1583" i="2" s="1"/>
  <c r="A1584" i="2" s="1"/>
  <c r="A1586" i="2" l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585" i="2"/>
  <c r="A1615" i="2" l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l="1"/>
  <c r="A1636" i="2" l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50" i="2" l="1"/>
  <c r="A1651" i="2" s="1"/>
  <c r="A1652" i="2" s="1"/>
  <c r="A1653" i="2" s="1"/>
  <c r="A1654" i="2" s="1"/>
  <c r="A1648" i="2"/>
  <c r="A1649" i="2" l="1"/>
  <c r="A1655" i="2"/>
  <c r="A1656" i="2" s="1"/>
  <c r="A1657" i="2" l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l="1"/>
  <c r="A1673" i="2" l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7" i="2" l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06" i="2"/>
  <c r="D5" i="8"/>
  <c r="G5" i="8"/>
  <c r="D6" i="8"/>
  <c r="G6" i="8"/>
  <c r="H6" i="8" s="1"/>
  <c r="T1787" i="3" l="1"/>
  <c r="Z1789" i="3"/>
  <c r="O1795" i="3"/>
  <c r="K1799" i="3"/>
  <c r="L1794" i="3"/>
  <c r="X1775" i="3"/>
  <c r="M1775" i="3"/>
  <c r="K1818" i="3"/>
  <c r="C1787" i="3"/>
  <c r="O1789" i="3"/>
  <c r="S1799" i="3"/>
  <c r="I1806" i="3"/>
  <c r="V1782" i="3"/>
  <c r="Q1775" i="3"/>
  <c r="G1811" i="3"/>
  <c r="L1770" i="3"/>
  <c r="V1771" i="3"/>
  <c r="X1801" i="3"/>
  <c r="B1813" i="3"/>
  <c r="L1806" i="3"/>
  <c r="Z1791" i="3"/>
  <c r="M1794" i="3"/>
  <c r="Q1789" i="3"/>
  <c r="I1779" i="3"/>
  <c r="G1818" i="3"/>
  <c r="F1787" i="3"/>
  <c r="V1769" i="3"/>
  <c r="J1813" i="3"/>
  <c r="X1772" i="3"/>
  <c r="D1806" i="3"/>
  <c r="D1818" i="3"/>
  <c r="W1787" i="3"/>
  <c r="Y1770" i="3"/>
  <c r="J1815" i="3"/>
  <c r="F1806" i="3"/>
  <c r="B1769" i="3"/>
  <c r="B1782" i="3"/>
  <c r="S1813" i="3"/>
  <c r="Q1799" i="3"/>
  <c r="M1803" i="3"/>
  <c r="P1775" i="3"/>
  <c r="V1770" i="3"/>
  <c r="D1787" i="3"/>
  <c r="S1791" i="3"/>
  <c r="G1791" i="3"/>
  <c r="F1811" i="3"/>
  <c r="W1775" i="3"/>
  <c r="D1799" i="3"/>
  <c r="C1789" i="3"/>
  <c r="W1777" i="3"/>
  <c r="K1789" i="3"/>
  <c r="Z1777" i="3"/>
  <c r="U1787" i="3"/>
  <c r="E1775" i="3"/>
  <c r="E1782" i="3"/>
  <c r="D1789" i="3"/>
  <c r="M1801" i="3"/>
  <c r="V1789" i="3"/>
  <c r="W1782" i="3"/>
  <c r="P1782" i="3"/>
  <c r="E1787" i="3"/>
  <c r="M1791" i="3"/>
  <c r="D1813" i="3"/>
  <c r="M1813" i="3"/>
  <c r="P1815" i="3"/>
  <c r="I1769" i="3"/>
  <c r="B1806" i="3"/>
  <c r="W1770" i="3"/>
  <c r="I1811" i="3"/>
  <c r="T1791" i="3"/>
  <c r="E1789" i="3"/>
  <c r="M1770" i="3"/>
  <c r="X1787" i="3"/>
  <c r="D1782" i="3"/>
  <c r="K1815" i="3"/>
  <c r="H1775" i="3"/>
  <c r="X1779" i="3"/>
  <c r="K1775" i="3"/>
  <c r="B1815" i="3"/>
  <c r="B1799" i="3"/>
  <c r="L1811" i="3"/>
  <c r="Y1791" i="3"/>
  <c r="G1803" i="3"/>
  <c r="E1791" i="3"/>
  <c r="G1789" i="3"/>
  <c r="H1799" i="3"/>
  <c r="U1801" i="3"/>
  <c r="S1811" i="3"/>
  <c r="G1770" i="3"/>
  <c r="I1801" i="3"/>
  <c r="P1803" i="3"/>
  <c r="G1794" i="3"/>
  <c r="X1782" i="3"/>
  <c r="O1791" i="3"/>
  <c r="H1803" i="3"/>
  <c r="I1777" i="3"/>
  <c r="E1806" i="3"/>
  <c r="D1801" i="3"/>
  <c r="O1799" i="3"/>
  <c r="S1806" i="3"/>
  <c r="W1791" i="3"/>
  <c r="I1782" i="3"/>
  <c r="X1777" i="3"/>
  <c r="L1787" i="3"/>
  <c r="O1788" i="3"/>
  <c r="F1791" i="3"/>
  <c r="Z1775" i="3"/>
  <c r="U1777" i="3"/>
  <c r="O1782" i="3"/>
  <c r="D1794" i="3"/>
  <c r="Q1787" i="3"/>
  <c r="C1813" i="3"/>
  <c r="Q1806" i="3"/>
  <c r="V1775" i="3"/>
  <c r="I1791" i="3"/>
  <c r="Q1769" i="3"/>
  <c r="M1799" i="3"/>
  <c r="O1769" i="3"/>
  <c r="T1799" i="3"/>
  <c r="E1811" i="3"/>
  <c r="P1769" i="3"/>
  <c r="W1789" i="3"/>
  <c r="G1799" i="3"/>
  <c r="Q1815" i="3"/>
  <c r="W1801" i="3"/>
  <c r="B1789" i="3"/>
  <c r="T1801" i="3"/>
  <c r="J1791" i="3"/>
  <c r="Q1791" i="3"/>
  <c r="M1782" i="3"/>
  <c r="H1813" i="3"/>
  <c r="Q1794" i="3"/>
  <c r="K1770" i="3"/>
  <c r="H1815" i="3"/>
  <c r="J1806" i="3"/>
  <c r="Q1811" i="3"/>
  <c r="Z1772" i="3"/>
  <c r="F1818" i="3"/>
  <c r="Y1769" i="3"/>
  <c r="K1782" i="3"/>
  <c r="P1799" i="3"/>
  <c r="Y1794" i="3"/>
  <c r="M1777" i="3"/>
  <c r="Z1779" i="3"/>
  <c r="H1769" i="3"/>
  <c r="M1787" i="3"/>
  <c r="F1813" i="3"/>
  <c r="S1787" i="3"/>
  <c r="Z1770" i="3"/>
  <c r="U1771" i="3"/>
  <c r="E1779" i="3"/>
  <c r="S1777" i="3"/>
  <c r="U1794" i="3"/>
  <c r="M1806" i="3"/>
  <c r="P1811" i="3"/>
  <c r="Y1772" i="3"/>
  <c r="D1803" i="3"/>
  <c r="P1791" i="3"/>
  <c r="E1769" i="3"/>
  <c r="C1818" i="3"/>
  <c r="B1777" i="3"/>
  <c r="M1779" i="3"/>
  <c r="P1813" i="3"/>
  <c r="P1806" i="3"/>
  <c r="S1803" i="3"/>
  <c r="K1777" i="3"/>
  <c r="P1789" i="3"/>
  <c r="D1811" i="3"/>
  <c r="I1789" i="3"/>
  <c r="F1779" i="3"/>
  <c r="L1789" i="3"/>
  <c r="P1801" i="3"/>
  <c r="O1794" i="3"/>
  <c r="F1775" i="3"/>
  <c r="Y1779" i="3"/>
  <c r="X1770" i="3"/>
  <c r="N1835" i="3"/>
  <c r="K1813" i="3"/>
  <c r="E1815" i="3"/>
  <c r="O1778" i="3"/>
  <c r="L1775" i="3"/>
  <c r="P1779" i="3"/>
  <c r="V1799" i="3"/>
  <c r="U1789" i="3"/>
  <c r="K1779" i="3"/>
  <c r="D1777" i="3"/>
  <c r="I1794" i="3"/>
  <c r="T1770" i="3"/>
  <c r="H1779" i="3"/>
  <c r="B1775" i="3"/>
  <c r="B1811" i="3"/>
  <c r="M1815" i="3"/>
  <c r="B1794" i="3"/>
  <c r="P1818" i="3"/>
  <c r="F1789" i="3"/>
  <c r="Z1782" i="3"/>
  <c r="X1769" i="3"/>
  <c r="H1811" i="3"/>
  <c r="F1782" i="3"/>
  <c r="C1803" i="3"/>
  <c r="S1794" i="3"/>
  <c r="X1789" i="3"/>
  <c r="L1803" i="3"/>
  <c r="I1818" i="3"/>
  <c r="J1775" i="3"/>
  <c r="Q1770" i="3"/>
  <c r="D1815" i="3"/>
  <c r="L1782" i="3"/>
  <c r="E1803" i="3"/>
  <c r="H1791" i="3"/>
  <c r="S1782" i="3"/>
  <c r="O1771" i="3"/>
  <c r="C1777" i="3"/>
  <c r="Z1801" i="3"/>
  <c r="C1779" i="3"/>
  <c r="C1791" i="3"/>
  <c r="Y1801" i="3"/>
  <c r="U1775" i="3"/>
  <c r="B1803" i="3"/>
  <c r="M1789" i="3"/>
  <c r="I1775" i="3"/>
  <c r="X1799" i="3"/>
  <c r="T1794" i="3"/>
  <c r="O1770" i="3"/>
  <c r="G1779" i="3"/>
  <c r="L1815" i="3"/>
  <c r="J1818" i="3"/>
  <c r="W1794" i="3"/>
  <c r="Y1782" i="3"/>
  <c r="N1769" i="3"/>
  <c r="N1833" i="3" s="1"/>
  <c r="E1818" i="3"/>
  <c r="F1815" i="3"/>
  <c r="U1779" i="3"/>
  <c r="L1777" i="3"/>
  <c r="V1787" i="3"/>
  <c r="V1777" i="3"/>
  <c r="O1783" i="3"/>
  <c r="C1775" i="3"/>
  <c r="F1777" i="3"/>
  <c r="D1770" i="3"/>
  <c r="V1801" i="3"/>
  <c r="Y1775" i="3"/>
  <c r="H1789" i="3"/>
  <c r="O1800" i="3"/>
  <c r="K1806" i="3"/>
  <c r="O1801" i="3"/>
  <c r="C1799" i="3"/>
  <c r="Q1801" i="3"/>
  <c r="C1811" i="3"/>
  <c r="L1813" i="3"/>
  <c r="K1811" i="3"/>
  <c r="V1779" i="3"/>
  <c r="O1775" i="3"/>
  <c r="O1774" i="3"/>
  <c r="Z1799" i="3"/>
  <c r="K1787" i="3"/>
  <c r="J1782" i="3"/>
  <c r="V1791" i="3"/>
  <c r="O1779" i="3"/>
  <c r="G1775" i="3"/>
  <c r="I1813" i="3"/>
  <c r="K1794" i="3"/>
  <c r="U1772" i="3"/>
  <c r="T1782" i="3"/>
  <c r="S1815" i="3"/>
  <c r="Y1787" i="3"/>
  <c r="B1779" i="3"/>
  <c r="D1791" i="3"/>
  <c r="W1799" i="3"/>
  <c r="T1775" i="3"/>
  <c r="I1770" i="3"/>
  <c r="B1818" i="3"/>
  <c r="B1791" i="3"/>
  <c r="H1806" i="3"/>
  <c r="O1792" i="3"/>
  <c r="G1769" i="3"/>
  <c r="I1803" i="3"/>
  <c r="H1801" i="3"/>
  <c r="N1843" i="3"/>
  <c r="X1794" i="3"/>
  <c r="H1770" i="3"/>
  <c r="T1769" i="3"/>
  <c r="P1770" i="3"/>
  <c r="U1791" i="3"/>
  <c r="E1794" i="3"/>
  <c r="C1815" i="3"/>
  <c r="E1799" i="3"/>
  <c r="Q1782" i="3"/>
  <c r="Q1813" i="3"/>
  <c r="G1806" i="3"/>
  <c r="L1801" i="3"/>
  <c r="G1782" i="3"/>
  <c r="O1793" i="3"/>
  <c r="Y1771" i="3"/>
  <c r="J1779" i="3"/>
  <c r="H1794" i="3"/>
  <c r="W1771" i="3"/>
  <c r="X1791" i="3"/>
  <c r="G1801" i="3"/>
  <c r="L1769" i="3"/>
  <c r="S1770" i="3"/>
  <c r="O1780" i="3"/>
  <c r="Z1771" i="3"/>
  <c r="O1790" i="3"/>
  <c r="J1801" i="3"/>
  <c r="C1769" i="3"/>
  <c r="S1772" i="3"/>
  <c r="S1769" i="3"/>
  <c r="S1771" i="3"/>
  <c r="Z1769" i="3"/>
  <c r="N1847" i="3"/>
  <c r="I1815" i="3"/>
  <c r="W1779" i="3"/>
  <c r="J1769" i="3"/>
  <c r="Z1794" i="3"/>
  <c r="H1777" i="3"/>
  <c r="G1777" i="3"/>
  <c r="Y1789" i="3"/>
  <c r="U1799" i="3"/>
  <c r="C1794" i="3"/>
  <c r="X1771" i="3"/>
  <c r="F1799" i="3"/>
  <c r="L1779" i="3"/>
  <c r="Q1803" i="3"/>
  <c r="U1769" i="3"/>
  <c r="P1794" i="3"/>
  <c r="O1784" i="3"/>
  <c r="O1796" i="3"/>
  <c r="F1803" i="3"/>
  <c r="Y1799" i="3"/>
  <c r="M1818" i="3"/>
  <c r="G1787" i="3"/>
  <c r="E1770" i="3"/>
  <c r="O1787" i="3"/>
  <c r="O1797" i="3"/>
  <c r="D1779" i="3"/>
  <c r="K1803" i="3"/>
  <c r="K1801" i="3"/>
  <c r="Q1818" i="3"/>
  <c r="C1806" i="3"/>
  <c r="J1794" i="3"/>
  <c r="M1811" i="3"/>
  <c r="Z1787" i="3"/>
  <c r="G1815" i="3"/>
  <c r="B1787" i="3"/>
  <c r="V1772" i="3"/>
  <c r="T1789" i="3"/>
  <c r="T1779" i="3"/>
  <c r="E1777" i="3"/>
  <c r="I1787" i="3"/>
  <c r="S1775" i="3"/>
  <c r="J1787" i="3"/>
  <c r="O1786" i="3"/>
  <c r="D1775" i="3"/>
  <c r="O1785" i="3"/>
  <c r="B1801" i="3"/>
  <c r="K1769" i="3"/>
  <c r="H1782" i="3"/>
  <c r="T1777" i="3"/>
  <c r="W1772" i="3"/>
  <c r="Q1777" i="3"/>
  <c r="H1818" i="3"/>
  <c r="O1798" i="3"/>
  <c r="W1769" i="3"/>
  <c r="T1772" i="3"/>
  <c r="J1799" i="3"/>
  <c r="J1770" i="3"/>
  <c r="L1799" i="3"/>
  <c r="F1769" i="3"/>
  <c r="S1818" i="3"/>
  <c r="U1770" i="3"/>
  <c r="I1799" i="3"/>
  <c r="D1769" i="3"/>
  <c r="Y1777" i="3"/>
  <c r="J1811" i="3"/>
  <c r="C1782" i="3"/>
  <c r="J1789" i="3"/>
  <c r="P1787" i="3"/>
  <c r="O1772" i="3"/>
  <c r="Q1779" i="3"/>
  <c r="S1801" i="3"/>
  <c r="J1777" i="3"/>
  <c r="V1794" i="3"/>
  <c r="O1773" i="3"/>
  <c r="M1769" i="3"/>
  <c r="E1801" i="3"/>
  <c r="E1813" i="3"/>
  <c r="O1777" i="3"/>
  <c r="S1779" i="3"/>
  <c r="H1787" i="3"/>
  <c r="N1845" i="3"/>
  <c r="C1801" i="3"/>
  <c r="T1771" i="3"/>
  <c r="O1781" i="3"/>
  <c r="L1791" i="3"/>
  <c r="N1837" i="3"/>
  <c r="F1801" i="3"/>
  <c r="P1777" i="3"/>
  <c r="K1791" i="3"/>
  <c r="S1789" i="3"/>
  <c r="F1770" i="3"/>
  <c r="N1840" i="3"/>
  <c r="G1813" i="3"/>
  <c r="L1818" i="3"/>
  <c r="O1776" i="3"/>
  <c r="U1782" i="3"/>
  <c r="F1794" i="3"/>
  <c r="J1803" i="3"/>
  <c r="E6" i="8"/>
  <c r="J6" i="8"/>
  <c r="K6" i="8" s="1"/>
  <c r="E1800" i="3"/>
  <c r="K1820" i="3"/>
  <c r="B1790" i="3"/>
  <c r="P1772" i="3"/>
  <c r="H1784" i="3"/>
  <c r="P1773" i="3"/>
  <c r="H1793" i="3"/>
  <c r="L1802" i="3"/>
  <c r="C1792" i="3"/>
  <c r="S1788" i="3"/>
  <c r="P1788" i="3"/>
  <c r="C1793" i="3"/>
  <c r="W1800" i="3"/>
  <c r="C1819" i="3"/>
  <c r="I1793" i="3"/>
  <c r="S1816" i="3"/>
  <c r="M1786" i="3"/>
  <c r="M1780" i="3"/>
  <c r="B1808" i="3"/>
  <c r="E1781" i="3"/>
  <c r="D1798" i="3"/>
  <c r="Q1809" i="3"/>
  <c r="J1814" i="3"/>
  <c r="Q1773" i="3"/>
  <c r="C1810" i="3"/>
  <c r="K1773" i="3"/>
  <c r="V1790" i="3"/>
  <c r="P1781" i="3"/>
  <c r="K1800" i="3"/>
  <c r="B1786" i="3"/>
  <c r="Q1816" i="3"/>
  <c r="P1802" i="3"/>
  <c r="M1800" i="3"/>
  <c r="L1807" i="3"/>
  <c r="Y1781" i="3"/>
  <c r="F1790" i="3"/>
  <c r="I1810" i="3"/>
  <c r="S1792" i="3"/>
  <c r="G1800" i="3"/>
  <c r="C1784" i="3"/>
  <c r="G1820" i="3"/>
  <c r="F1784" i="3"/>
  <c r="I1774" i="3"/>
  <c r="L1797" i="3"/>
  <c r="Z1774" i="3"/>
  <c r="L1810" i="3"/>
  <c r="S1780" i="3"/>
  <c r="H1797" i="3"/>
  <c r="X1793" i="3"/>
  <c r="M1772" i="3"/>
  <c r="Q1780" i="3"/>
  <c r="I1786" i="3"/>
  <c r="Z1784" i="3"/>
  <c r="H1807" i="3"/>
  <c r="E1805" i="3"/>
  <c r="K1788" i="3"/>
  <c r="C1821" i="3"/>
  <c r="Y1797" i="3"/>
  <c r="J1772" i="3"/>
  <c r="Y1773" i="3"/>
  <c r="P1800" i="3"/>
  <c r="L1783" i="3"/>
  <c r="L1785" i="3"/>
  <c r="E1776" i="3"/>
  <c r="F1810" i="3"/>
  <c r="H1798" i="3"/>
  <c r="F1793" i="3"/>
  <c r="C1816" i="3"/>
  <c r="Z1796" i="3"/>
  <c r="F1792" i="3"/>
  <c r="E1793" i="3"/>
  <c r="U1776" i="3"/>
  <c r="U1800" i="3"/>
  <c r="J1797" i="3"/>
  <c r="S1784" i="3"/>
  <c r="Y1796" i="3"/>
  <c r="E1798" i="3"/>
  <c r="L1814" i="3"/>
  <c r="D1792" i="3"/>
  <c r="B1773" i="3"/>
  <c r="E1780" i="3"/>
  <c r="E1819" i="3"/>
  <c r="J1807" i="3"/>
  <c r="H1810" i="3"/>
  <c r="J1793" i="3"/>
  <c r="E1771" i="3"/>
  <c r="W1786" i="3"/>
  <c r="D1773" i="3"/>
  <c r="V1784" i="3"/>
  <c r="J1810" i="3"/>
  <c r="J1821" i="3"/>
  <c r="S1814" i="3"/>
  <c r="D1810" i="3"/>
  <c r="F1820" i="3"/>
  <c r="Y1780" i="3"/>
  <c r="F1804" i="3"/>
  <c r="M1773" i="3"/>
  <c r="I1807" i="3"/>
  <c r="X1798" i="3"/>
  <c r="J1816" i="3"/>
  <c r="D1793" i="3"/>
  <c r="P1793" i="3"/>
  <c r="Z1773" i="3"/>
  <c r="F1773" i="3"/>
  <c r="L1812" i="3"/>
  <c r="K1814" i="3"/>
  <c r="C1820" i="3"/>
  <c r="C1817" i="3"/>
  <c r="C1808" i="3"/>
  <c r="Z1776" i="3"/>
  <c r="C1812" i="3"/>
  <c r="L1821" i="3"/>
  <c r="P1786" i="3"/>
  <c r="H1792" i="3"/>
  <c r="L1796" i="3"/>
  <c r="K1781" i="3"/>
  <c r="P1771" i="3"/>
  <c r="K1809" i="3"/>
  <c r="Y1798" i="3"/>
  <c r="Y1788" i="3"/>
  <c r="Y1774" i="3"/>
  <c r="T1788" i="3"/>
  <c r="P1814" i="3"/>
  <c r="D1820" i="3"/>
  <c r="M1785" i="3"/>
  <c r="I1795" i="3"/>
  <c r="Q1792" i="3"/>
  <c r="D1781" i="3"/>
  <c r="B1802" i="3"/>
  <c r="D1790" i="3"/>
  <c r="T1792" i="3"/>
  <c r="G1784" i="3"/>
  <c r="P1798" i="3"/>
  <c r="K1797" i="3"/>
  <c r="B1795" i="3"/>
  <c r="H1788" i="3"/>
  <c r="S1790" i="3"/>
  <c r="H1819" i="3"/>
  <c r="Q1814" i="3"/>
  <c r="P1810" i="3"/>
  <c r="Y1776" i="3"/>
  <c r="D1780" i="3"/>
  <c r="D1809" i="3"/>
  <c r="Y1783" i="3"/>
  <c r="S1810" i="3"/>
  <c r="J1773" i="3"/>
  <c r="G1814" i="3"/>
  <c r="M1788" i="3"/>
  <c r="M1839" i="3" s="1"/>
  <c r="K1817" i="3"/>
  <c r="T1793" i="3"/>
  <c r="S1809" i="3"/>
  <c r="Z1795" i="3"/>
  <c r="S1807" i="3"/>
  <c r="H1802" i="3"/>
  <c r="X1778" i="3"/>
  <c r="H1785" i="3"/>
  <c r="W1797" i="3"/>
  <c r="G1810" i="3"/>
  <c r="G1792" i="3"/>
  <c r="G1776" i="3"/>
  <c r="L1776" i="3"/>
  <c r="D1800" i="3"/>
  <c r="P1792" i="3"/>
  <c r="J1784" i="3"/>
  <c r="M1778" i="3"/>
  <c r="W1784" i="3"/>
  <c r="D1772" i="3"/>
  <c r="D1783" i="3"/>
  <c r="K1802" i="3"/>
  <c r="M1776" i="3"/>
  <c r="K1796" i="3"/>
  <c r="V1798" i="3"/>
  <c r="Q1771" i="3"/>
  <c r="D1821" i="3"/>
  <c r="C1771" i="3"/>
  <c r="V1796" i="3"/>
  <c r="E1772" i="3"/>
  <c r="I1804" i="3"/>
  <c r="H1773" i="3"/>
  <c r="K1804" i="3"/>
  <c r="Z1786" i="3"/>
  <c r="I1814" i="3"/>
  <c r="E1814" i="3"/>
  <c r="G1812" i="3"/>
  <c r="U1798" i="3"/>
  <c r="L1820" i="3"/>
  <c r="G1817" i="3"/>
  <c r="X1795" i="3"/>
  <c r="I1805" i="3"/>
  <c r="L1804" i="3"/>
  <c r="B1778" i="3"/>
  <c r="B1783" i="3"/>
  <c r="Q1784" i="3"/>
  <c r="B1771" i="3"/>
  <c r="J1788" i="3"/>
  <c r="D1819" i="3"/>
  <c r="D1786" i="3"/>
  <c r="Q1778" i="3"/>
  <c r="C1783" i="3"/>
  <c r="T1781" i="3"/>
  <c r="M1798" i="3"/>
  <c r="J1808" i="3"/>
  <c r="E1808" i="3"/>
  <c r="H1817" i="3"/>
  <c r="S1786" i="3"/>
  <c r="F1805" i="3"/>
  <c r="B1781" i="3"/>
  <c r="X1800" i="3"/>
  <c r="B1800" i="3"/>
  <c r="Z1788" i="3"/>
  <c r="G1771" i="3"/>
  <c r="I1821" i="3"/>
  <c r="B1774" i="3"/>
  <c r="L1781" i="3"/>
  <c r="M1771" i="3"/>
  <c r="B1817" i="3"/>
  <c r="T1797" i="3"/>
  <c r="E1804" i="3"/>
  <c r="U1786" i="3"/>
  <c r="Y1792" i="3"/>
  <c r="C1795" i="3"/>
  <c r="W1785" i="3"/>
  <c r="L1786" i="3"/>
  <c r="S1796" i="3"/>
  <c r="F1808" i="3"/>
  <c r="U1788" i="3"/>
  <c r="P1804" i="3"/>
  <c r="D1797" i="3"/>
  <c r="I1798" i="3"/>
  <c r="Y1800" i="3"/>
  <c r="K1819" i="3"/>
  <c r="D1784" i="3"/>
  <c r="T1796" i="3"/>
  <c r="H1786" i="3"/>
  <c r="B1780" i="3"/>
  <c r="Q1788" i="3"/>
  <c r="D1816" i="3"/>
  <c r="F1783" i="3"/>
  <c r="E1795" i="3"/>
  <c r="B1772" i="3"/>
  <c r="M1814" i="3"/>
  <c r="P1805" i="3"/>
  <c r="L1771" i="3"/>
  <c r="U1778" i="3"/>
  <c r="B1788" i="3"/>
  <c r="Q1804" i="3"/>
  <c r="B1776" i="3"/>
  <c r="V1776" i="3"/>
  <c r="S1793" i="3"/>
  <c r="M1804" i="3"/>
  <c r="J1771" i="3"/>
  <c r="P1809" i="3"/>
  <c r="S1804" i="3"/>
  <c r="D1808" i="3"/>
  <c r="X1780" i="3"/>
  <c r="Q1783" i="3"/>
  <c r="I1776" i="3"/>
  <c r="S1778" i="3"/>
  <c r="G1793" i="3"/>
  <c r="H1781" i="3"/>
  <c r="B1814" i="3"/>
  <c r="B1816" i="3"/>
  <c r="E1796" i="3"/>
  <c r="M1817" i="3"/>
  <c r="I1808" i="3"/>
  <c r="M1812" i="3"/>
  <c r="G1797" i="3"/>
  <c r="I1771" i="3"/>
  <c r="M1816" i="3"/>
  <c r="F1771" i="3"/>
  <c r="C1797" i="3"/>
  <c r="T1800" i="3"/>
  <c r="D1788" i="3"/>
  <c r="D1839" i="3" s="1"/>
  <c r="X1797" i="3"/>
  <c r="E1817" i="3"/>
  <c r="S1785" i="3"/>
  <c r="M1802" i="3"/>
  <c r="Q1808" i="3"/>
  <c r="G1772" i="3"/>
  <c r="F1802" i="3"/>
  <c r="X1788" i="3"/>
  <c r="J1790" i="3"/>
  <c r="E1810" i="3"/>
  <c r="J1809" i="3"/>
  <c r="T1776" i="3"/>
  <c r="J1783" i="3"/>
  <c r="J1820" i="3"/>
  <c r="Y1790" i="3"/>
  <c r="M1819" i="3"/>
  <c r="I1788" i="3"/>
  <c r="I1839" i="3" s="1"/>
  <c r="U1796" i="3"/>
  <c r="G1816" i="3"/>
  <c r="C1776" i="3"/>
  <c r="Y1784" i="3"/>
  <c r="C1778" i="3"/>
  <c r="I1790" i="3"/>
  <c r="B1820" i="3"/>
  <c r="I1817" i="3"/>
  <c r="F1781" i="3"/>
  <c r="X1790" i="3"/>
  <c r="G1809" i="3"/>
  <c r="T1780" i="3"/>
  <c r="T1778" i="3"/>
  <c r="C1780" i="3"/>
  <c r="Z1778" i="3"/>
  <c r="F1776" i="3"/>
  <c r="T1785" i="3"/>
  <c r="K1783" i="3"/>
  <c r="Z1780" i="3"/>
  <c r="V1802" i="3"/>
  <c r="V1844" i="3" s="1"/>
  <c r="Q1817" i="3"/>
  <c r="C1809" i="3"/>
  <c r="U1774" i="3"/>
  <c r="U1790" i="3"/>
  <c r="X1796" i="3"/>
  <c r="T1798" i="3"/>
  <c r="Q1786" i="3"/>
  <c r="H1778" i="3"/>
  <c r="C1805" i="3"/>
  <c r="I1778" i="3"/>
  <c r="H1805" i="3"/>
  <c r="G1788" i="3"/>
  <c r="G1805" i="3"/>
  <c r="G1780" i="3"/>
  <c r="Y1785" i="3"/>
  <c r="I1800" i="3"/>
  <c r="V1792" i="3"/>
  <c r="G1821" i="3"/>
  <c r="I1797" i="3"/>
  <c r="D1805" i="3"/>
  <c r="J1817" i="3"/>
  <c r="B1798" i="3"/>
  <c r="B1821" i="3"/>
  <c r="S1808" i="3"/>
  <c r="D1785" i="3"/>
  <c r="W1795" i="3"/>
  <c r="P1816" i="3"/>
  <c r="K1785" i="3"/>
  <c r="G1802" i="3"/>
  <c r="L1774" i="3"/>
  <c r="C1807" i="3"/>
  <c r="D1776" i="3"/>
  <c r="W1774" i="3"/>
  <c r="D1817" i="3"/>
  <c r="P1807" i="3"/>
  <c r="G1819" i="3"/>
  <c r="S1805" i="3"/>
  <c r="C1773" i="3"/>
  <c r="M1820" i="3"/>
  <c r="K1816" i="3"/>
  <c r="B1792" i="3"/>
  <c r="B1797" i="3"/>
  <c r="Q1795" i="3"/>
  <c r="J1802" i="3"/>
  <c r="V1783" i="3"/>
  <c r="B1784" i="3"/>
  <c r="V1778" i="3"/>
  <c r="F1774" i="3"/>
  <c r="I1820" i="3"/>
  <c r="P1808" i="3"/>
  <c r="S1795" i="3"/>
  <c r="E1773" i="3"/>
  <c r="W1796" i="3"/>
  <c r="H1812" i="3"/>
  <c r="W1783" i="3"/>
  <c r="P1812" i="3"/>
  <c r="T1790" i="3"/>
  <c r="B1805" i="3"/>
  <c r="W1778" i="3"/>
  <c r="L1780" i="3"/>
  <c r="E1792" i="3"/>
  <c r="P1780" i="3"/>
  <c r="H1772" i="3"/>
  <c r="M1774" i="3"/>
  <c r="I1796" i="3"/>
  <c r="F1778" i="3"/>
  <c r="P1785" i="3"/>
  <c r="S1783" i="3"/>
  <c r="W1788" i="3"/>
  <c r="L1817" i="3"/>
  <c r="Q1802" i="3"/>
  <c r="M1796" i="3"/>
  <c r="L1800" i="3"/>
  <c r="J1795" i="3"/>
  <c r="F1797" i="3"/>
  <c r="Y1793" i="3"/>
  <c r="M1805" i="3"/>
  <c r="K1784" i="3"/>
  <c r="K1810" i="3"/>
  <c r="B1793" i="3"/>
  <c r="J1786" i="3"/>
  <c r="J1800" i="3"/>
  <c r="U1793" i="3"/>
  <c r="Q1805" i="3"/>
  <c r="C1786" i="3"/>
  <c r="Q1807" i="3"/>
  <c r="P1817" i="3"/>
  <c r="E1797" i="3"/>
  <c r="X1776" i="3"/>
  <c r="Q1776" i="3"/>
  <c r="H1774" i="3"/>
  <c r="S1781" i="3"/>
  <c r="V1786" i="3"/>
  <c r="J1796" i="3"/>
  <c r="V1793" i="3"/>
  <c r="G1804" i="3"/>
  <c r="C1774" i="3"/>
  <c r="G1781" i="3"/>
  <c r="J1780" i="3"/>
  <c r="I1812" i="3"/>
  <c r="E1784" i="3"/>
  <c r="Y1778" i="3"/>
  <c r="L1808" i="3"/>
  <c r="D1778" i="3"/>
  <c r="F1807" i="3"/>
  <c r="M1810" i="3"/>
  <c r="M1783" i="3"/>
  <c r="H1814" i="3"/>
  <c r="C1814" i="3"/>
  <c r="I1792" i="3"/>
  <c r="M1793" i="3"/>
  <c r="E1783" i="3"/>
  <c r="L1788" i="3"/>
  <c r="F1816" i="3"/>
  <c r="K1790" i="3"/>
  <c r="B1807" i="3"/>
  <c r="Q1781" i="3"/>
  <c r="Y1786" i="3"/>
  <c r="P1778" i="3"/>
  <c r="J1804" i="3"/>
  <c r="E1785" i="3"/>
  <c r="K1793" i="3"/>
  <c r="H1780" i="3"/>
  <c r="Q1812" i="3"/>
  <c r="Z1790" i="3"/>
  <c r="X1784" i="3"/>
  <c r="I1785" i="3"/>
  <c r="D1771" i="3"/>
  <c r="W1790" i="3"/>
  <c r="H1820" i="3"/>
  <c r="G1807" i="3"/>
  <c r="F1814" i="3"/>
  <c r="S1812" i="3"/>
  <c r="M1808" i="3"/>
  <c r="E1820" i="3"/>
  <c r="K1812" i="3"/>
  <c r="K1847" i="3" s="1"/>
  <c r="X1792" i="3"/>
  <c r="E1802" i="3"/>
  <c r="D1795" i="3"/>
  <c r="I1781" i="3"/>
  <c r="F1785" i="3"/>
  <c r="P1783" i="3"/>
  <c r="C1781" i="3"/>
  <c r="B1810" i="3"/>
  <c r="F1817" i="3"/>
  <c r="S1776" i="3"/>
  <c r="U1795" i="3"/>
  <c r="E1816" i="3"/>
  <c r="J1798" i="3"/>
  <c r="Z1792" i="3"/>
  <c r="Z1798" i="3"/>
  <c r="G1783" i="3"/>
  <c r="J1812" i="3"/>
  <c r="L1790" i="3"/>
  <c r="J1805" i="3"/>
  <c r="G1795" i="3"/>
  <c r="F1800" i="3"/>
  <c r="H1800" i="3"/>
  <c r="F1772" i="3"/>
  <c r="J1778" i="3"/>
  <c r="J1781" i="3"/>
  <c r="H1804" i="3"/>
  <c r="G1785" i="3"/>
  <c r="W1780" i="3"/>
  <c r="V1800" i="3"/>
  <c r="H1816" i="3"/>
  <c r="S1797" i="3"/>
  <c r="T1773" i="3"/>
  <c r="W1793" i="3"/>
  <c r="X1773" i="3"/>
  <c r="Y1795" i="3"/>
  <c r="D1814" i="3"/>
  <c r="W1776" i="3"/>
  <c r="F1798" i="3"/>
  <c r="H1783" i="3"/>
  <c r="H1795" i="3"/>
  <c r="Z1781" i="3"/>
  <c r="B1819" i="3"/>
  <c r="G1796" i="3"/>
  <c r="B1812" i="3"/>
  <c r="M1821" i="3"/>
  <c r="L1809" i="3"/>
  <c r="F1819" i="3"/>
  <c r="K1778" i="3"/>
  <c r="U1781" i="3"/>
  <c r="K1807" i="3"/>
  <c r="F1821" i="3"/>
  <c r="P1795" i="3"/>
  <c r="F1812" i="3"/>
  <c r="E1807" i="3"/>
  <c r="V1797" i="3"/>
  <c r="U1785" i="3"/>
  <c r="X1802" i="3"/>
  <c r="X1844" i="3" s="1"/>
  <c r="H1821" i="3"/>
  <c r="L1772" i="3"/>
  <c r="Q1810" i="3"/>
  <c r="Q1793" i="3"/>
  <c r="P1796" i="3"/>
  <c r="H1809" i="3"/>
  <c r="P1776" i="3"/>
  <c r="I1784" i="3"/>
  <c r="Z1783" i="3"/>
  <c r="C1804" i="3"/>
  <c r="X1781" i="3"/>
  <c r="Q1772" i="3"/>
  <c r="H1790" i="3"/>
  <c r="B1796" i="3"/>
  <c r="L1793" i="3"/>
  <c r="K1771" i="3"/>
  <c r="S1817" i="3"/>
  <c r="Q1785" i="3"/>
  <c r="Z1800" i="3"/>
  <c r="D1804" i="3"/>
  <c r="K1786" i="3"/>
  <c r="G1790" i="3"/>
  <c r="M1790" i="3"/>
  <c r="E1812" i="3"/>
  <c r="C1790" i="3"/>
  <c r="I1783" i="3"/>
  <c r="I1809" i="3"/>
  <c r="J1792" i="3"/>
  <c r="I1773" i="3"/>
  <c r="T1783" i="3"/>
  <c r="K1798" i="3"/>
  <c r="S1802" i="3"/>
  <c r="Z1797" i="3"/>
  <c r="D1802" i="3"/>
  <c r="V1781" i="3"/>
  <c r="C1772" i="3"/>
  <c r="W1798" i="3"/>
  <c r="W1781" i="3"/>
  <c r="M1784" i="3"/>
  <c r="V1773" i="3"/>
  <c r="P1774" i="3"/>
  <c r="T1774" i="3"/>
  <c r="G1778" i="3"/>
  <c r="I1780" i="3"/>
  <c r="U1792" i="3"/>
  <c r="K1776" i="3"/>
  <c r="I1816" i="3"/>
  <c r="U1802" i="3"/>
  <c r="U1844" i="3" s="1"/>
  <c r="C1796" i="3"/>
  <c r="M1795" i="3"/>
  <c r="K1808" i="3"/>
  <c r="F1796" i="3"/>
  <c r="K1774" i="3"/>
  <c r="E1786" i="3"/>
  <c r="K1792" i="3"/>
  <c r="G1808" i="3"/>
  <c r="S1773" i="3"/>
  <c r="U1780" i="3"/>
  <c r="L1816" i="3"/>
  <c r="L1819" i="3"/>
  <c r="E1778" i="3"/>
  <c r="P1797" i="3"/>
  <c r="L1778" i="3"/>
  <c r="G1786" i="3"/>
  <c r="K1805" i="3"/>
  <c r="F1795" i="3"/>
  <c r="H1796" i="3"/>
  <c r="S1798" i="3"/>
  <c r="D1796" i="3"/>
  <c r="G1773" i="3"/>
  <c r="F1788" i="3"/>
  <c r="T1795" i="3"/>
  <c r="Q1800" i="3"/>
  <c r="Y1802" i="3"/>
  <c r="Y1844" i="3" s="1"/>
  <c r="L1784" i="3"/>
  <c r="J1819" i="3"/>
  <c r="B1809" i="3"/>
  <c r="J1785" i="3"/>
  <c r="B1785" i="3"/>
  <c r="U1783" i="3"/>
  <c r="V1788" i="3"/>
  <c r="P1784" i="3"/>
  <c r="Q1790" i="3"/>
  <c r="H1776" i="3"/>
  <c r="E1790" i="3"/>
  <c r="Z1802" i="3"/>
  <c r="Z1844" i="3" s="1"/>
  <c r="Z1785" i="3"/>
  <c r="V1785" i="3"/>
  <c r="K1795" i="3"/>
  <c r="M1809" i="3"/>
  <c r="E1821" i="3"/>
  <c r="X1783" i="3"/>
  <c r="L1798" i="3"/>
  <c r="I1819" i="3"/>
  <c r="L1773" i="3"/>
  <c r="V1774" i="3"/>
  <c r="D1807" i="3"/>
  <c r="Q1797" i="3"/>
  <c r="L1795" i="3"/>
  <c r="D1774" i="3"/>
  <c r="E1774" i="3"/>
  <c r="X1774" i="3"/>
  <c r="M1797" i="3"/>
  <c r="H1771" i="3"/>
  <c r="F1809" i="3"/>
  <c r="M1781" i="3"/>
  <c r="S1800" i="3"/>
  <c r="I1802" i="3"/>
  <c r="J1774" i="3"/>
  <c r="E1809" i="3"/>
  <c r="K1821" i="3"/>
  <c r="F1786" i="3"/>
  <c r="W1792" i="3"/>
  <c r="S1774" i="3"/>
  <c r="W1773" i="3"/>
  <c r="H1808" i="3"/>
  <c r="Z1793" i="3"/>
  <c r="K1772" i="3"/>
  <c r="X1785" i="3"/>
  <c r="T1784" i="3"/>
  <c r="L1805" i="3"/>
  <c r="B1804" i="3"/>
  <c r="I1772" i="3"/>
  <c r="G1774" i="3"/>
  <c r="Q1798" i="3"/>
  <c r="F1780" i="3"/>
  <c r="T1802" i="3"/>
  <c r="T1844" i="3" s="1"/>
  <c r="D1812" i="3"/>
  <c r="U1773" i="3"/>
  <c r="Q1774" i="3"/>
  <c r="P1790" i="3"/>
  <c r="C1800" i="3"/>
  <c r="C1798" i="3"/>
  <c r="Q1796" i="3"/>
  <c r="J1776" i="3"/>
  <c r="X1786" i="3"/>
  <c r="T1786" i="3"/>
  <c r="C1788" i="3"/>
  <c r="C1839" i="3" s="1"/>
  <c r="U1797" i="3"/>
  <c r="M1792" i="3"/>
  <c r="V1780" i="3"/>
  <c r="V1795" i="3"/>
  <c r="E1788" i="3"/>
  <c r="L1792" i="3"/>
  <c r="G1798" i="3"/>
  <c r="U1784" i="3"/>
  <c r="C1802" i="3"/>
  <c r="W1802" i="3"/>
  <c r="W1844" i="3" s="1"/>
  <c r="K1780" i="3"/>
  <c r="C1785" i="3"/>
  <c r="M1807" i="3"/>
  <c r="H5" i="8"/>
  <c r="G7" i="8"/>
  <c r="H7" i="8" s="1"/>
  <c r="J5" i="8"/>
  <c r="E5" i="8"/>
  <c r="D7" i="8"/>
  <c r="E7" i="8" s="1"/>
  <c r="Q1840" i="3" l="1"/>
  <c r="L1847" i="3"/>
  <c r="L1835" i="3"/>
  <c r="K1835" i="3"/>
  <c r="H1847" i="3"/>
  <c r="H1835" i="3"/>
  <c r="J1847" i="3"/>
  <c r="C1847" i="3"/>
  <c r="I1843" i="3"/>
  <c r="B1843" i="3"/>
  <c r="G1835" i="3"/>
  <c r="C1843" i="3"/>
  <c r="D1835" i="3"/>
  <c r="P1840" i="3"/>
  <c r="Q1835" i="3"/>
  <c r="C1840" i="3"/>
  <c r="P1843" i="3"/>
  <c r="M1843" i="3"/>
  <c r="M1835" i="3"/>
  <c r="Q1839" i="3"/>
  <c r="C1835" i="3"/>
  <c r="B1835" i="3"/>
  <c r="J1835" i="3"/>
  <c r="W1833" i="3"/>
  <c r="E1847" i="3"/>
  <c r="H1830" i="3"/>
  <c r="I1835" i="3"/>
  <c r="D1843" i="3"/>
  <c r="V1833" i="3"/>
  <c r="F1843" i="3"/>
  <c r="Z1833" i="3"/>
  <c r="O1833" i="3"/>
  <c r="K1833" i="3"/>
  <c r="K1852" i="3" s="1"/>
  <c r="D1848" i="3"/>
  <c r="S1833" i="3"/>
  <c r="Q1833" i="3"/>
  <c r="Y1833" i="3"/>
  <c r="C1833" i="3"/>
  <c r="T1833" i="3"/>
  <c r="I1833" i="3"/>
  <c r="I1852" i="3" s="1"/>
  <c r="E1833" i="3"/>
  <c r="D1833" i="3"/>
  <c r="U1833" i="3"/>
  <c r="L1833" i="3"/>
  <c r="L1852" i="3" s="1"/>
  <c r="G1833" i="3"/>
  <c r="B1833" i="3"/>
  <c r="F1833" i="3"/>
  <c r="X1833" i="3"/>
  <c r="J1833" i="3"/>
  <c r="J1852" i="3" s="1"/>
  <c r="M1833" i="3"/>
  <c r="M1852" i="3" s="1"/>
  <c r="H1833" i="3"/>
  <c r="H1852" i="3" s="1"/>
  <c r="P1833" i="3"/>
  <c r="O1840" i="3"/>
  <c r="O1835" i="3"/>
  <c r="O1843" i="3"/>
  <c r="N1848" i="3"/>
  <c r="O1841" i="3"/>
  <c r="H1840" i="3"/>
  <c r="H1859" i="3" s="1"/>
  <c r="C1848" i="3"/>
  <c r="I1847" i="3"/>
  <c r="K1843" i="3"/>
  <c r="E1844" i="3"/>
  <c r="D1842" i="3"/>
  <c r="N1838" i="3"/>
  <c r="J1843" i="3"/>
  <c r="O1837" i="3"/>
  <c r="L1839" i="3"/>
  <c r="M1836" i="3"/>
  <c r="F1847" i="3"/>
  <c r="M1838" i="3"/>
  <c r="E1836" i="3"/>
  <c r="D1847" i="3"/>
  <c r="F1835" i="3"/>
  <c r="L1845" i="3"/>
  <c r="E1839" i="3"/>
  <c r="F1839" i="3"/>
  <c r="G1839" i="3"/>
  <c r="M1844" i="3"/>
  <c r="D1836" i="3"/>
  <c r="C1849" i="3"/>
  <c r="I1844" i="3"/>
  <c r="J1845" i="3"/>
  <c r="D1849" i="3"/>
  <c r="H1845" i="3"/>
  <c r="H1864" i="3" s="1"/>
  <c r="G1840" i="3"/>
  <c r="E1840" i="3"/>
  <c r="Q1836" i="3"/>
  <c r="G1847" i="3"/>
  <c r="E1849" i="3"/>
  <c r="E1835" i="3"/>
  <c r="G1836" i="3"/>
  <c r="C1837" i="3"/>
  <c r="Q1837" i="3"/>
  <c r="M1837" i="3"/>
  <c r="B1841" i="3"/>
  <c r="B1839" i="3"/>
  <c r="K1839" i="3"/>
  <c r="Q1843" i="3"/>
  <c r="B1837" i="3"/>
  <c r="G1843" i="3"/>
  <c r="D1840" i="3"/>
  <c r="J1839" i="3"/>
  <c r="H1843" i="3"/>
  <c r="L1837" i="3"/>
  <c r="P1835" i="3"/>
  <c r="E1843" i="3"/>
  <c r="B1847" i="3"/>
  <c r="F1837" i="3"/>
  <c r="Q1841" i="3"/>
  <c r="C1850" i="3"/>
  <c r="N1841" i="3"/>
  <c r="P1838" i="3"/>
  <c r="N1850" i="3"/>
  <c r="N1844" i="3"/>
  <c r="L1843" i="3"/>
  <c r="M1847" i="3"/>
  <c r="J1850" i="3"/>
  <c r="O1842" i="3"/>
  <c r="O1838" i="3"/>
  <c r="N1842" i="3"/>
  <c r="O1836" i="3"/>
  <c r="N1849" i="3"/>
  <c r="O1839" i="3"/>
  <c r="P1839" i="3"/>
  <c r="N1836" i="3"/>
  <c r="N1846" i="3"/>
  <c r="H1839" i="3"/>
  <c r="N1839" i="3"/>
  <c r="G1846" i="3"/>
  <c r="J1837" i="3"/>
  <c r="I1845" i="3"/>
  <c r="I1864" i="3" s="1"/>
  <c r="C1844" i="3"/>
  <c r="K1845" i="3"/>
  <c r="L1838" i="3"/>
  <c r="L1846" i="3"/>
  <c r="I1850" i="3"/>
  <c r="H1846" i="3"/>
  <c r="I1842" i="3"/>
  <c r="D1846" i="3"/>
  <c r="M1848" i="3"/>
  <c r="D1850" i="3"/>
  <c r="D1844" i="3"/>
  <c r="M1849" i="3"/>
  <c r="K1846" i="3"/>
  <c r="C1842" i="3"/>
  <c r="P1842" i="3"/>
  <c r="D1838" i="3"/>
  <c r="B1845" i="3"/>
  <c r="I1849" i="3"/>
  <c r="F1838" i="3"/>
  <c r="G1850" i="3"/>
  <c r="M1840" i="3"/>
  <c r="C1836" i="3"/>
  <c r="G1838" i="3"/>
  <c r="M1845" i="3"/>
  <c r="M1864" i="3" s="1"/>
  <c r="G1844" i="3"/>
  <c r="G1837" i="3"/>
  <c r="Q1842" i="3"/>
  <c r="P1836" i="3"/>
  <c r="M1842" i="3"/>
  <c r="P1841" i="3"/>
  <c r="L1849" i="3"/>
  <c r="G1848" i="3"/>
  <c r="J1844" i="3"/>
  <c r="Q1838" i="3"/>
  <c r="B1848" i="3"/>
  <c r="P1837" i="3"/>
  <c r="M1841" i="3"/>
  <c r="G1841" i="3"/>
  <c r="M1846" i="3"/>
  <c r="M1850" i="3"/>
  <c r="G1842" i="3"/>
  <c r="G1849" i="3"/>
  <c r="L1840" i="3"/>
  <c r="G1845" i="3"/>
  <c r="I1836" i="3"/>
  <c r="E1848" i="3"/>
  <c r="E1837" i="3"/>
  <c r="C1845" i="3"/>
  <c r="F1845" i="3"/>
  <c r="I1848" i="3"/>
  <c r="C1838" i="3"/>
  <c r="H1836" i="3"/>
  <c r="I1840" i="3"/>
  <c r="C1846" i="3"/>
  <c r="H1849" i="3"/>
  <c r="J1841" i="3"/>
  <c r="K1838" i="3"/>
  <c r="E1846" i="3"/>
  <c r="F1846" i="3"/>
  <c r="J1846" i="3"/>
  <c r="H1844" i="3"/>
  <c r="K1848" i="3"/>
  <c r="F1840" i="3"/>
  <c r="I1841" i="3"/>
  <c r="L1836" i="3"/>
  <c r="K1841" i="3"/>
  <c r="B1844" i="3"/>
  <c r="H1842" i="3"/>
  <c r="F1849" i="3"/>
  <c r="D1837" i="3"/>
  <c r="E1838" i="3"/>
  <c r="C1841" i="3"/>
  <c r="L1841" i="3"/>
  <c r="J1842" i="3"/>
  <c r="K1849" i="3"/>
  <c r="D1841" i="3"/>
  <c r="L1848" i="3"/>
  <c r="E1845" i="3"/>
  <c r="I1846" i="3"/>
  <c r="I1837" i="3"/>
  <c r="K1842" i="3"/>
  <c r="L1844" i="3"/>
  <c r="K1836" i="3"/>
  <c r="K1840" i="3"/>
  <c r="J1849" i="3"/>
  <c r="E1842" i="3"/>
  <c r="H1841" i="3"/>
  <c r="D1845" i="3"/>
  <c r="B1849" i="3"/>
  <c r="K1844" i="3"/>
  <c r="J1836" i="3"/>
  <c r="F1836" i="3"/>
  <c r="H1838" i="3"/>
  <c r="H1837" i="3"/>
  <c r="B1836" i="3"/>
  <c r="I1838" i="3"/>
  <c r="E1850" i="3"/>
  <c r="F1850" i="3"/>
  <c r="B1840" i="3"/>
  <c r="F1842" i="3"/>
  <c r="J1840" i="3"/>
  <c r="E1841" i="3"/>
  <c r="K1850" i="3"/>
  <c r="J1838" i="3"/>
  <c r="K1837" i="3"/>
  <c r="F1848" i="3"/>
  <c r="H1848" i="3"/>
  <c r="F1844" i="3"/>
  <c r="L1842" i="3"/>
  <c r="J1848" i="3"/>
  <c r="L1850" i="3"/>
  <c r="H1850" i="3"/>
  <c r="F1841" i="3"/>
  <c r="B1825" i="3"/>
  <c r="T1839" i="3"/>
  <c r="S1839" i="3"/>
  <c r="X1843" i="3"/>
  <c r="S1846" i="3"/>
  <c r="Z1839" i="3"/>
  <c r="Y1843" i="3"/>
  <c r="T1843" i="3"/>
  <c r="U1839" i="3"/>
  <c r="U1838" i="3"/>
  <c r="V1835" i="3"/>
  <c r="Y1835" i="3"/>
  <c r="S1835" i="3"/>
  <c r="X1835" i="3"/>
  <c r="S1844" i="3"/>
  <c r="V1837" i="3"/>
  <c r="Z1835" i="3"/>
  <c r="O1834" i="3"/>
  <c r="Z1841" i="3"/>
  <c r="Z1837" i="3"/>
  <c r="T1836" i="3"/>
  <c r="J1827" i="3"/>
  <c r="L1827" i="3"/>
  <c r="B1842" i="3"/>
  <c r="M1827" i="3"/>
  <c r="W1837" i="3"/>
  <c r="C1834" i="3"/>
  <c r="F1834" i="3"/>
  <c r="U1837" i="3"/>
  <c r="X1842" i="3"/>
  <c r="K1834" i="3"/>
  <c r="J1834" i="3"/>
  <c r="W1841" i="3"/>
  <c r="S1847" i="3"/>
  <c r="Y1840" i="3"/>
  <c r="L1825" i="3"/>
  <c r="N1825" i="3"/>
  <c r="H1829" i="3" s="1"/>
  <c r="O1825" i="3"/>
  <c r="K1825" i="3"/>
  <c r="E1825" i="3"/>
  <c r="P1825" i="3"/>
  <c r="I1825" i="3"/>
  <c r="G1825" i="3"/>
  <c r="C1825" i="3"/>
  <c r="M1825" i="3"/>
  <c r="F1825" i="3"/>
  <c r="H1825" i="3"/>
  <c r="J1825" i="3"/>
  <c r="D1825" i="3"/>
  <c r="Q1825" i="3"/>
  <c r="V1839" i="3"/>
  <c r="U1836" i="3"/>
  <c r="X1836" i="3"/>
  <c r="X1838" i="3"/>
  <c r="W1835" i="3"/>
  <c r="U1835" i="3"/>
  <c r="Z1843" i="3"/>
  <c r="Z1840" i="3"/>
  <c r="U1840" i="3"/>
  <c r="S1836" i="3"/>
  <c r="V1840" i="3"/>
  <c r="I1827" i="3"/>
  <c r="U1841" i="3"/>
  <c r="S1845" i="3"/>
  <c r="X1840" i="3"/>
  <c r="N1834" i="3"/>
  <c r="H1827" i="3"/>
  <c r="Z1842" i="3"/>
  <c r="W1842" i="3"/>
  <c r="T1838" i="3"/>
  <c r="V1841" i="3"/>
  <c r="X1839" i="3"/>
  <c r="T1837" i="3"/>
  <c r="Z1838" i="3"/>
  <c r="L1834" i="3"/>
  <c r="B1834" i="3"/>
  <c r="W1843" i="3"/>
  <c r="V1843" i="3"/>
  <c r="B1850" i="3"/>
  <c r="T1835" i="3"/>
  <c r="V1836" i="3"/>
  <c r="K1827" i="3"/>
  <c r="D1834" i="3"/>
  <c r="S1837" i="3"/>
  <c r="B1838" i="3"/>
  <c r="W1838" i="3"/>
  <c r="S1840" i="3"/>
  <c r="Y1837" i="3"/>
  <c r="Y1838" i="3"/>
  <c r="Q1834" i="3"/>
  <c r="Y1836" i="3"/>
  <c r="H1834" i="3"/>
  <c r="Y1842" i="3"/>
  <c r="M1834" i="3"/>
  <c r="U1843" i="3"/>
  <c r="X1837" i="3"/>
  <c r="J1829" i="3"/>
  <c r="I1829" i="3"/>
  <c r="M1829" i="3"/>
  <c r="K1829" i="3"/>
  <c r="L1829" i="3"/>
  <c r="S1842" i="3"/>
  <c r="S1848" i="3"/>
  <c r="S1838" i="3"/>
  <c r="X1841" i="3"/>
  <c r="P1834" i="3"/>
  <c r="U1842" i="3"/>
  <c r="G1834" i="3"/>
  <c r="W1839" i="3"/>
  <c r="B1846" i="3"/>
  <c r="L1830" i="3"/>
  <c r="J1830" i="3"/>
  <c r="K1830" i="3"/>
  <c r="M1830" i="3"/>
  <c r="I1830" i="3"/>
  <c r="Y1841" i="3"/>
  <c r="K5" i="8"/>
  <c r="J7" i="8"/>
  <c r="K7" i="8" s="1"/>
  <c r="W1836" i="3"/>
  <c r="Z1836" i="3"/>
  <c r="S1841" i="3"/>
  <c r="T1841" i="3"/>
  <c r="V1838" i="3"/>
  <c r="I1834" i="3"/>
  <c r="S1843" i="3"/>
  <c r="W1840" i="3"/>
  <c r="Y1839" i="3"/>
  <c r="E1834" i="3"/>
  <c r="T1840" i="3"/>
  <c r="T1842" i="3"/>
  <c r="V1842" i="3"/>
  <c r="D1867" i="3" l="1"/>
  <c r="E1867" i="3"/>
  <c r="F1867" i="3"/>
  <c r="B1867" i="3"/>
  <c r="G1867" i="3"/>
  <c r="C1867" i="3"/>
  <c r="J1861" i="3"/>
  <c r="D1876" i="3" s="1"/>
  <c r="H1861" i="3"/>
  <c r="B1876" i="3" s="1"/>
  <c r="L1861" i="3"/>
  <c r="F1876" i="3" s="1"/>
  <c r="M1861" i="3"/>
  <c r="G1876" i="3" s="1"/>
  <c r="K1861" i="3"/>
  <c r="I1861" i="3"/>
  <c r="C1876" i="3" s="1"/>
  <c r="L1864" i="3"/>
  <c r="F1879" i="3" s="1"/>
  <c r="J1864" i="3"/>
  <c r="D1879" i="3" s="1"/>
  <c r="K1864" i="3"/>
  <c r="E1879" i="3" s="1"/>
  <c r="K1862" i="3"/>
  <c r="E1877" i="3" s="1"/>
  <c r="J1858" i="3"/>
  <c r="D1873" i="3" s="1"/>
  <c r="C1879" i="3"/>
  <c r="L1858" i="3"/>
  <c r="F1873" i="3" s="1"/>
  <c r="K1865" i="3"/>
  <c r="E1880" i="3" s="1"/>
  <c r="M1854" i="3"/>
  <c r="G1869" i="3" s="1"/>
  <c r="H1858" i="3"/>
  <c r="B1873" i="3" s="1"/>
  <c r="M1858" i="3"/>
  <c r="G1873" i="3" s="1"/>
  <c r="H1854" i="3"/>
  <c r="B1869" i="3" s="1"/>
  <c r="L1854" i="3"/>
  <c r="F1869" i="3" s="1"/>
  <c r="I1854" i="3"/>
  <c r="C1869" i="3" s="1"/>
  <c r="J1854" i="3"/>
  <c r="D1869" i="3" s="1"/>
  <c r="H1855" i="3"/>
  <c r="B1870" i="3" s="1"/>
  <c r="K1854" i="3"/>
  <c r="E1869" i="3" s="1"/>
  <c r="K1858" i="3"/>
  <c r="E1873" i="3" s="1"/>
  <c r="H1862" i="3"/>
  <c r="B1877" i="3" s="1"/>
  <c r="L1859" i="3"/>
  <c r="F1874" i="3" s="1"/>
  <c r="I1857" i="3"/>
  <c r="C1872" i="3" s="1"/>
  <c r="J1859" i="3"/>
  <c r="D1874" i="3" s="1"/>
  <c r="K1856" i="3"/>
  <c r="E1871" i="3" s="1"/>
  <c r="I1858" i="3"/>
  <c r="C1873" i="3" s="1"/>
  <c r="L1865" i="3"/>
  <c r="F1880" i="3" s="1"/>
  <c r="H1865" i="3"/>
  <c r="B1880" i="3" s="1"/>
  <c r="K1860" i="3"/>
  <c r="E1875" i="3" s="1"/>
  <c r="J1865" i="3"/>
  <c r="D1880" i="3" s="1"/>
  <c r="M1865" i="3"/>
  <c r="G1880" i="3" s="1"/>
  <c r="I1853" i="3"/>
  <c r="C1868" i="3" s="1"/>
  <c r="J1863" i="3"/>
  <c r="D1878" i="3" s="1"/>
  <c r="H1853" i="3"/>
  <c r="B1868" i="3" s="1"/>
  <c r="B1882" i="3" s="1"/>
  <c r="L1860" i="3"/>
  <c r="F1875" i="3" s="1"/>
  <c r="L1853" i="3"/>
  <c r="F1868" i="3" s="1"/>
  <c r="F1882" i="3" s="1"/>
  <c r="I1865" i="3"/>
  <c r="C1880" i="3" s="1"/>
  <c r="M1860" i="3"/>
  <c r="G1875" i="3" s="1"/>
  <c r="H1860" i="3"/>
  <c r="B1875" i="3" s="1"/>
  <c r="K1855" i="3"/>
  <c r="E1870" i="3" s="1"/>
  <c r="E1894" i="3"/>
  <c r="L1831" i="3"/>
  <c r="I1862" i="3"/>
  <c r="C1877" i="3" s="1"/>
  <c r="I1860" i="3"/>
  <c r="C1875" i="3" s="1"/>
  <c r="M1855" i="3"/>
  <c r="G1870" i="3" s="1"/>
  <c r="J1856" i="3"/>
  <c r="D1871" i="3" s="1"/>
  <c r="M1856" i="3"/>
  <c r="G1871" i="3" s="1"/>
  <c r="D1894" i="3"/>
  <c r="L1856" i="3"/>
  <c r="F1871" i="3" s="1"/>
  <c r="H1856" i="3"/>
  <c r="B1871" i="3" s="1"/>
  <c r="H1863" i="3"/>
  <c r="B1878" i="3" s="1"/>
  <c r="L1863" i="3"/>
  <c r="F1878" i="3" s="1"/>
  <c r="E1876" i="3"/>
  <c r="G1879" i="3"/>
  <c r="I1856" i="3"/>
  <c r="C1871" i="3" s="1"/>
  <c r="L1857" i="3"/>
  <c r="F1872" i="3" s="1"/>
  <c r="M1857" i="3"/>
  <c r="G1872" i="3" s="1"/>
  <c r="H1831" i="3"/>
  <c r="B1874" i="3"/>
  <c r="Y1825" i="3"/>
  <c r="Y1834" i="3"/>
  <c r="I1831" i="3"/>
  <c r="W1825" i="3"/>
  <c r="W1834" i="3"/>
  <c r="J1831" i="3"/>
  <c r="T1834" i="3"/>
  <c r="T1825" i="3"/>
  <c r="M1853" i="3"/>
  <c r="G1868" i="3" s="1"/>
  <c r="G1882" i="3" s="1"/>
  <c r="K1853" i="3"/>
  <c r="E1868" i="3" s="1"/>
  <c r="E1882" i="3" s="1"/>
  <c r="M1831" i="3"/>
  <c r="L1855" i="3"/>
  <c r="F1870" i="3" s="1"/>
  <c r="J1855" i="3"/>
  <c r="D1870" i="3" s="1"/>
  <c r="J1862" i="3"/>
  <c r="D1877" i="3" s="1"/>
  <c r="X1825" i="3"/>
  <c r="X1834" i="3"/>
  <c r="S1859" i="3"/>
  <c r="S1857" i="3"/>
  <c r="K1831" i="3"/>
  <c r="B1894" i="3"/>
  <c r="M1863" i="3"/>
  <c r="G1878" i="3" s="1"/>
  <c r="I1863" i="3"/>
  <c r="C1878" i="3" s="1"/>
  <c r="C1894" i="3"/>
  <c r="B1879" i="3"/>
  <c r="I1859" i="3"/>
  <c r="C1874" i="3" s="1"/>
  <c r="V1834" i="3"/>
  <c r="V1825" i="3"/>
  <c r="J1853" i="3"/>
  <c r="D1868" i="3" s="1"/>
  <c r="J1857" i="3"/>
  <c r="D1872" i="3" s="1"/>
  <c r="G1894" i="3"/>
  <c r="J1860" i="3"/>
  <c r="D1875" i="3" s="1"/>
  <c r="Z1834" i="3"/>
  <c r="Z1825" i="3"/>
  <c r="U1834" i="3"/>
  <c r="U1825" i="3"/>
  <c r="M1862" i="3"/>
  <c r="G1877" i="3" s="1"/>
  <c r="K1857" i="3"/>
  <c r="E1872" i="3" s="1"/>
  <c r="F1894" i="3"/>
  <c r="H1857" i="3"/>
  <c r="B1872" i="3" s="1"/>
  <c r="K1863" i="3"/>
  <c r="E1878" i="3" s="1"/>
  <c r="S1834" i="3"/>
  <c r="S1825" i="3"/>
  <c r="M1859" i="3"/>
  <c r="G1874" i="3" s="1"/>
  <c r="L1862" i="3"/>
  <c r="F1877" i="3" s="1"/>
  <c r="K1859" i="3"/>
  <c r="E1874" i="3" s="1"/>
  <c r="I1855" i="3"/>
  <c r="C1870" i="3" s="1"/>
  <c r="D1882" i="3" l="1"/>
  <c r="D1890" i="3"/>
  <c r="C1882" i="3"/>
  <c r="E1891" i="3"/>
  <c r="B1891" i="3"/>
  <c r="C1893" i="3"/>
  <c r="B1890" i="3"/>
  <c r="D1888" i="3"/>
  <c r="D1883" i="3"/>
  <c r="B1892" i="3"/>
  <c r="B1883" i="3"/>
  <c r="D1893" i="3"/>
  <c r="E1883" i="3"/>
  <c r="F1883" i="3"/>
  <c r="C1886" i="3"/>
  <c r="F1888" i="3"/>
  <c r="E1885" i="3"/>
  <c r="E1889" i="3"/>
  <c r="C1883" i="3"/>
  <c r="E1884" i="3"/>
  <c r="G1883" i="3"/>
  <c r="C1885" i="3"/>
  <c r="C1889" i="3"/>
  <c r="F1889" i="3"/>
  <c r="G1893" i="3"/>
  <c r="F1890" i="3"/>
  <c r="B1893" i="3"/>
  <c r="E1888" i="3"/>
  <c r="C1892" i="3"/>
  <c r="F1893" i="3"/>
  <c r="C1884" i="3"/>
  <c r="C1888" i="3"/>
  <c r="G1887" i="3"/>
  <c r="E1890" i="3"/>
  <c r="D1885" i="3"/>
  <c r="F1885" i="3"/>
  <c r="G1889" i="3"/>
  <c r="G1888" i="3"/>
  <c r="E1893" i="3"/>
  <c r="E1892" i="3"/>
  <c r="B1886" i="3"/>
  <c r="B1887" i="3"/>
  <c r="G1884" i="3"/>
  <c r="G1885" i="3"/>
  <c r="E1887" i="3"/>
  <c r="G1892" i="3"/>
  <c r="B1889" i="3"/>
  <c r="B1888" i="3"/>
  <c r="B1885" i="3"/>
  <c r="B1884" i="3"/>
  <c r="B1863" i="3"/>
  <c r="F1887" i="3"/>
  <c r="F1886" i="3"/>
  <c r="D1892" i="3"/>
  <c r="D1891" i="3"/>
  <c r="C1887" i="3"/>
  <c r="D1887" i="3"/>
  <c r="D1886" i="3"/>
  <c r="C1891" i="3"/>
  <c r="G1891" i="3"/>
  <c r="E1886" i="3"/>
  <c r="G1890" i="3"/>
  <c r="D1884" i="3"/>
  <c r="G1886" i="3"/>
  <c r="D1889" i="3"/>
  <c r="C1890" i="3"/>
  <c r="F1891" i="3"/>
  <c r="F1892" i="3"/>
  <c r="F1884" i="3"/>
</calcChain>
</file>

<file path=xl/comments1.xml><?xml version="1.0" encoding="utf-8"?>
<comments xmlns="http://schemas.openxmlformats.org/spreadsheetml/2006/main">
  <authors>
    <author>Yovita Halim</author>
  </authors>
  <commentList>
    <comment ref="D631" authorId="0" shapeId="0">
      <text>
        <r>
          <rPr>
            <b/>
            <sz val="9"/>
            <color indexed="81"/>
            <rFont val="Tahoma"/>
            <family val="2"/>
          </rPr>
          <t>Yovita Halim:</t>
        </r>
        <r>
          <rPr>
            <sz val="9"/>
            <color indexed="81"/>
            <rFont val="Tahoma"/>
            <family val="2"/>
          </rPr>
          <t xml:space="preserve">
adjust manual dengan angka treasury</t>
        </r>
      </text>
    </comment>
  </commentList>
</comments>
</file>

<file path=xl/comments2.xml><?xml version="1.0" encoding="utf-8"?>
<comments xmlns="http://schemas.openxmlformats.org/spreadsheetml/2006/main">
  <authors>
    <author>Salsabila</author>
  </authors>
  <commentList>
    <comment ref="P2" authorId="0" shapeId="0">
      <text>
        <r>
          <rPr>
            <b/>
            <sz val="9"/>
            <color indexed="81"/>
            <rFont val="Tahoma"/>
            <family val="2"/>
          </rPr>
          <t>Salsabila:</t>
        </r>
        <r>
          <rPr>
            <sz val="9"/>
            <color indexed="81"/>
            <rFont val="Tahoma"/>
            <family val="2"/>
          </rPr>
          <t xml:space="preserve">
Per tanggal 06 Feb 2024 seluruh Repo diperhitungkan di pos ini</t>
        </r>
      </text>
    </comment>
    <comment ref="S2" authorId="0" shapeId="0">
      <text>
        <r>
          <rPr>
            <b/>
            <sz val="9"/>
            <color indexed="81"/>
            <rFont val="Tahoma"/>
            <family val="2"/>
          </rPr>
          <t>Salsabila:</t>
        </r>
        <r>
          <rPr>
            <sz val="9"/>
            <color indexed="81"/>
            <rFont val="Tahoma"/>
            <family val="2"/>
          </rPr>
          <t xml:space="preserve">
Per tanggal 06 Feb 2024 Repo BI digabung dengan kolom Q</t>
        </r>
      </text>
    </comment>
  </commentList>
</comments>
</file>

<file path=xl/sharedStrings.xml><?xml version="1.0" encoding="utf-8"?>
<sst xmlns="http://schemas.openxmlformats.org/spreadsheetml/2006/main" count="695" uniqueCount="325">
  <si>
    <t>HSM</t>
  </si>
  <si>
    <t>HSM BAU USD</t>
  </si>
  <si>
    <t>HSM Stress USD</t>
  </si>
  <si>
    <t>As of</t>
  </si>
  <si>
    <t>Deposits</t>
  </si>
  <si>
    <t>One day</t>
  </si>
  <si>
    <t>Up to 1-wk</t>
  </si>
  <si>
    <t>1-wk to 1-mth</t>
  </si>
  <si>
    <t>1-3 months</t>
  </si>
  <si>
    <t>&gt; 3-6 mths</t>
  </si>
  <si>
    <t>&gt; 6 mth -1yr</t>
  </si>
  <si>
    <t>&gt; 1 yr</t>
  </si>
  <si>
    <t xml:space="preserve">FOR 95TH PERCENTILE </t>
  </si>
  <si>
    <t>Wholesale</t>
  </si>
  <si>
    <t>Retail</t>
  </si>
  <si>
    <t>SME</t>
  </si>
  <si>
    <t>Agie</t>
  </si>
  <si>
    <t>By</t>
  </si>
  <si>
    <t>HSM Stress IDR (Yearly)</t>
  </si>
  <si>
    <t>HSM BAU IDR (Semi-Annual)</t>
  </si>
  <si>
    <t>Andika</t>
  </si>
  <si>
    <t>Konven</t>
  </si>
  <si>
    <t>Syariah</t>
  </si>
  <si>
    <t>in (Rp 000)</t>
  </si>
  <si>
    <t>Giro Wajib Minimum</t>
  </si>
  <si>
    <t xml:space="preserve">Saldo Giro Akhir hari </t>
  </si>
  <si>
    <t>Total Excess</t>
  </si>
  <si>
    <t>Excess GWM</t>
  </si>
  <si>
    <t>Total Excess (KLJD)</t>
  </si>
  <si>
    <t>Total Excess (Gap)</t>
  </si>
  <si>
    <t>Kredit</t>
  </si>
  <si>
    <t>Giro</t>
  </si>
  <si>
    <t>Tabungan</t>
  </si>
  <si>
    <t>Simpanan Berjangka</t>
  </si>
  <si>
    <t>IDR</t>
  </si>
  <si>
    <t>Rate</t>
  </si>
  <si>
    <t>MM Borrowing</t>
  </si>
  <si>
    <t>Total IDR DPK</t>
  </si>
  <si>
    <t>Total USD DPK</t>
  </si>
  <si>
    <t xml:space="preserve">Excess GWM </t>
  </si>
  <si>
    <t>Konven in (Rp 000)</t>
  </si>
  <si>
    <t>5 Excess GWM (KLJD)</t>
  </si>
  <si>
    <t>6 Excess GWM (Gap)</t>
  </si>
  <si>
    <t>8 Giro Wajib Minimum</t>
  </si>
  <si>
    <t xml:space="preserve">9 Saldo Giro Akhir hari </t>
  </si>
  <si>
    <t>10 Excess GWM (KLJD)</t>
  </si>
  <si>
    <t xml:space="preserve">3 Saldo Giro Akhir hari </t>
  </si>
  <si>
    <t>4 Average Saldo Akhir Hari</t>
  </si>
  <si>
    <t>Interbank Repo IDR</t>
  </si>
  <si>
    <t>Interbank Repo USD</t>
  </si>
  <si>
    <t>BI Repo IDR</t>
  </si>
  <si>
    <t>BI Repo USD</t>
  </si>
  <si>
    <t>Maria</t>
  </si>
  <si>
    <t>Holiday</t>
  </si>
  <si>
    <t xml:space="preserve">Previous: </t>
  </si>
  <si>
    <t>Undrawn</t>
  </si>
  <si>
    <t>Overnight</t>
  </si>
  <si>
    <t>1-week</t>
  </si>
  <si>
    <t>1-month</t>
  </si>
  <si>
    <t>3-month</t>
  </si>
  <si>
    <t>6-month</t>
  </si>
  <si>
    <t>12-month</t>
  </si>
  <si>
    <t>&gt;12-month</t>
  </si>
  <si>
    <t>95% Conf. level</t>
  </si>
  <si>
    <t>2SD and Average Utilisation Ratio</t>
  </si>
  <si>
    <t>Undrawn OD</t>
  </si>
  <si>
    <t>Undrawn RC</t>
  </si>
  <si>
    <t>Guarantees/standby letter of credits</t>
  </si>
  <si>
    <t>Undrawn Credit Card</t>
  </si>
  <si>
    <t>Undrawn TF</t>
  </si>
  <si>
    <t>Undrawn HP + Others</t>
  </si>
  <si>
    <t xml:space="preserve"> </t>
  </si>
  <si>
    <t>HSM Undrawn (IDR)</t>
  </si>
  <si>
    <t>TotalUndrawn OD</t>
  </si>
  <si>
    <t>Total Undrawn OD</t>
  </si>
  <si>
    <t>Total Undrawn Revolving</t>
  </si>
  <si>
    <t>Guarantees</t>
  </si>
  <si>
    <t>HSM Undrawn (USD)</t>
  </si>
  <si>
    <t>MYR/IDR</t>
  </si>
  <si>
    <t>DEAL D</t>
  </si>
  <si>
    <t>CPTY</t>
  </si>
  <si>
    <t>TRN</t>
  </si>
  <si>
    <t>B/S</t>
  </si>
  <si>
    <t xml:space="preserve">AMOUNT </t>
  </si>
  <si>
    <t>Value Date</t>
  </si>
  <si>
    <t>Mat Date</t>
  </si>
  <si>
    <t xml:space="preserve">PTS </t>
  </si>
  <si>
    <t>Premi swap</t>
  </si>
  <si>
    <t>DAYS</t>
  </si>
  <si>
    <t>ANZ IDJ</t>
  </si>
  <si>
    <t>SB</t>
  </si>
  <si>
    <t>NISP JKT</t>
  </si>
  <si>
    <t>CHAS CGK</t>
  </si>
  <si>
    <t>INDO CGK</t>
  </si>
  <si>
    <t>BBBA CGK</t>
  </si>
  <si>
    <t>IBBK CGK</t>
  </si>
  <si>
    <t>BEII CGK</t>
  </si>
  <si>
    <t>BRIN CGK</t>
  </si>
  <si>
    <t xml:space="preserve"> 1st LEG </t>
  </si>
  <si>
    <t xml:space="preserve"> 2nd LEG </t>
  </si>
  <si>
    <t>AverageFeb20</t>
  </si>
  <si>
    <t>GWM Valas adjust manual dengan angka treasury</t>
  </si>
  <si>
    <t>AverageMar20</t>
  </si>
  <si>
    <t>AverageApr20</t>
  </si>
  <si>
    <t>AverageMay20</t>
  </si>
  <si>
    <t>AverageJun20</t>
  </si>
  <si>
    <t>AverageJul20</t>
  </si>
  <si>
    <t>MoM Avg</t>
  </si>
  <si>
    <t>MoM Avg All CCY</t>
  </si>
  <si>
    <t>MoM Total All CCY</t>
  </si>
  <si>
    <t>AverageAug20</t>
  </si>
  <si>
    <t>AverageSep20</t>
  </si>
  <si>
    <t>AverageOct20</t>
  </si>
  <si>
    <t>AverageNov20</t>
  </si>
  <si>
    <t>AverageDec20</t>
  </si>
  <si>
    <t>AverageJan21</t>
  </si>
  <si>
    <t>AverageFeb21</t>
  </si>
  <si>
    <t>Q1 2020</t>
  </si>
  <si>
    <t>Q2 2020</t>
  </si>
  <si>
    <t>Q3 2020</t>
  </si>
  <si>
    <t>Q4 2020</t>
  </si>
  <si>
    <t>AverageMar21</t>
  </si>
  <si>
    <t>Q1 2021</t>
  </si>
  <si>
    <t>AverageApr21</t>
  </si>
  <si>
    <t>TD</t>
  </si>
  <si>
    <t>Total DPK ALL CCY</t>
  </si>
  <si>
    <t>AverageMay21</t>
  </si>
  <si>
    <t>AverageJun21</t>
  </si>
  <si>
    <t>Q2 2021</t>
  </si>
  <si>
    <t>AverageJul21</t>
  </si>
  <si>
    <t>AverageAug21</t>
  </si>
  <si>
    <t>FCY</t>
  </si>
  <si>
    <t>MM Lending IDR</t>
  </si>
  <si>
    <t>MM Lending FCY</t>
  </si>
  <si>
    <t>Reverse Repo IDR</t>
  </si>
  <si>
    <t>Reverse Repo USD</t>
  </si>
  <si>
    <t>Bonds IDR</t>
  </si>
  <si>
    <t>Bonds FCY</t>
  </si>
  <si>
    <t>AverageSep21</t>
  </si>
  <si>
    <t>Q3 2021</t>
  </si>
  <si>
    <t>AverageOct21</t>
  </si>
  <si>
    <t>AverageNov21</t>
  </si>
  <si>
    <t>AverageDec21</t>
  </si>
  <si>
    <t>Q4 2021</t>
  </si>
  <si>
    <t>2021 Q4 All CCY</t>
  </si>
  <si>
    <t>2021 Q3 All CCY</t>
  </si>
  <si>
    <t>2021 Q2 All CCY</t>
  </si>
  <si>
    <t>2021 Q1 All CCY</t>
  </si>
  <si>
    <t>2021 Q4 in IDR</t>
  </si>
  <si>
    <t>2021 Q3 in IDR</t>
  </si>
  <si>
    <t>2021 Q2 in IDR</t>
  </si>
  <si>
    <t>2021 Q1 in IDR</t>
  </si>
  <si>
    <t>AverageJan22</t>
  </si>
  <si>
    <t>AverageFeb22</t>
  </si>
  <si>
    <t>AverageMar22</t>
  </si>
  <si>
    <t>Q1 2022</t>
  </si>
  <si>
    <t>2022 Q1 in IDR</t>
  </si>
  <si>
    <t>2022 Q1 All CCY</t>
  </si>
  <si>
    <t>MOVEMENT</t>
  </si>
  <si>
    <t>2021 IDR eq Q4 vs Q3</t>
  </si>
  <si>
    <t>2021 IDR eq Q3 vs Q2</t>
  </si>
  <si>
    <t>2021 IDR eq Q2 vs Q1</t>
  </si>
  <si>
    <t>2022 IDR eq Q1 vs 2021 Q4</t>
  </si>
  <si>
    <t>QUARTERLY ALL CCY</t>
  </si>
  <si>
    <t>AverageApr22</t>
  </si>
  <si>
    <t>AverageMay22</t>
  </si>
  <si>
    <t>EUR / USD</t>
  </si>
  <si>
    <t>AUD / USD</t>
  </si>
  <si>
    <t>USD / CAD</t>
  </si>
  <si>
    <t>USD / CHF</t>
  </si>
  <si>
    <t>GBP / USD</t>
  </si>
  <si>
    <t>USD / HKD</t>
  </si>
  <si>
    <t>USD / JPY</t>
  </si>
  <si>
    <t>USD / MYR</t>
  </si>
  <si>
    <t>NZD / USD</t>
  </si>
  <si>
    <t>USD / SGD</t>
  </si>
  <si>
    <t>USD / SAR</t>
  </si>
  <si>
    <t>USD / THB</t>
  </si>
  <si>
    <t>USD / SEK</t>
  </si>
  <si>
    <t>USD / CNY</t>
  </si>
  <si>
    <t>USD / CNH</t>
  </si>
  <si>
    <t>EUR</t>
  </si>
  <si>
    <t>AUD</t>
  </si>
  <si>
    <t>CAD</t>
  </si>
  <si>
    <t>CHF</t>
  </si>
  <si>
    <t>GBP</t>
  </si>
  <si>
    <t>HKD</t>
  </si>
  <si>
    <t>JPY</t>
  </si>
  <si>
    <t>MYR</t>
  </si>
  <si>
    <t>NZD</t>
  </si>
  <si>
    <t>SGD</t>
  </si>
  <si>
    <t>SAR</t>
  </si>
  <si>
    <t>THB</t>
  </si>
  <si>
    <t>SEK</t>
  </si>
  <si>
    <t>CNY</t>
  </si>
  <si>
    <t>KRW</t>
  </si>
  <si>
    <t>INR</t>
  </si>
  <si>
    <t>CNH</t>
  </si>
  <si>
    <t>Tanggal</t>
  </si>
  <si>
    <t>USD/IDR</t>
  </si>
  <si>
    <t>EUR/IDR</t>
  </si>
  <si>
    <t>Eq.IDR</t>
  </si>
  <si>
    <t>AverageJun22</t>
  </si>
  <si>
    <t>AverageJan20</t>
  </si>
  <si>
    <t>AverageDec19</t>
  </si>
  <si>
    <t>Q2 2022</t>
  </si>
  <si>
    <t>2022 Q2 in IDR</t>
  </si>
  <si>
    <t>2022 Q2 All CCY</t>
  </si>
  <si>
    <t>2022 IDR eq Q2 vs Q1</t>
  </si>
  <si>
    <t>AverageJul22</t>
  </si>
  <si>
    <t>AverageAug22</t>
  </si>
  <si>
    <t>AverageSep22</t>
  </si>
  <si>
    <t>Q3 2022</t>
  </si>
  <si>
    <t>2022 Q3 in IDR</t>
  </si>
  <si>
    <t>2022 Q3 All CCY</t>
  </si>
  <si>
    <t>2022 IDR eq Q3 vs Q2</t>
  </si>
  <si>
    <t>AverageOct22</t>
  </si>
  <si>
    <t>AverageNov22</t>
  </si>
  <si>
    <t>Q4 2022</t>
  </si>
  <si>
    <t>AverageDec22</t>
  </si>
  <si>
    <t>2022 Q4 in IDR</t>
  </si>
  <si>
    <t>2022 IDR eq Q4 vs Q3</t>
  </si>
  <si>
    <t>2022 Q4 All CCY</t>
  </si>
  <si>
    <t>AverageJan23</t>
  </si>
  <si>
    <t>AverageFeb23</t>
  </si>
  <si>
    <t>AverageMar23</t>
  </si>
  <si>
    <t>Q1 2023</t>
  </si>
  <si>
    <t>2023 Q1 in IDR</t>
  </si>
  <si>
    <t>2023 IDR eq Q1 vs 2022 Q4</t>
  </si>
  <si>
    <t>2023 Q1 All CCY</t>
  </si>
  <si>
    <t>Date</t>
  </si>
  <si>
    <t>AverageApr23</t>
  </si>
  <si>
    <t>AverageMay23</t>
  </si>
  <si>
    <t>Period</t>
  </si>
  <si>
    <t>Conventional</t>
  </si>
  <si>
    <t>Average DPK</t>
  </si>
  <si>
    <t>Historical Average GWM IDR (in IDR Mio)</t>
  </si>
  <si>
    <t>Average GWM</t>
  </si>
  <si>
    <t>%</t>
  </si>
  <si>
    <t>Bankwide</t>
  </si>
  <si>
    <t>Yes</t>
  </si>
  <si>
    <t>Start</t>
  </si>
  <si>
    <t>End</t>
  </si>
  <si>
    <t>May 2023</t>
  </si>
  <si>
    <t>AverageJun23</t>
  </si>
  <si>
    <t>Q2 2023</t>
  </si>
  <si>
    <t>2023 Q2 in IDR</t>
  </si>
  <si>
    <t>2023 Q2 All CCY</t>
  </si>
  <si>
    <t>2023 IDR eq Q1 vs Q2</t>
  </si>
  <si>
    <t>AverageJul23</t>
  </si>
  <si>
    <t>AverageAug23</t>
  </si>
  <si>
    <t>AverageSep23</t>
  </si>
  <si>
    <t>Q3 2023</t>
  </si>
  <si>
    <t>2023 Q3 in IDR</t>
  </si>
  <si>
    <t>2023 Q3 All CCY</t>
  </si>
  <si>
    <t>2023 IDR eq Q2 vs Q3</t>
  </si>
  <si>
    <t>USD / KRW</t>
  </si>
  <si>
    <t>AverageOct23</t>
  </si>
  <si>
    <t>AverageNov23</t>
  </si>
  <si>
    <t>AverageDec23</t>
  </si>
  <si>
    <t>Q4 2023</t>
  </si>
  <si>
    <t>2023 Q4 in IDR</t>
  </si>
  <si>
    <t>2023 Q4 All CCY</t>
  </si>
  <si>
    <t>Total DPK FCY in IDR</t>
  </si>
  <si>
    <t>2023 IDR eq Q3 vs Q4</t>
  </si>
  <si>
    <t>AverageJan24</t>
  </si>
  <si>
    <t>AverageFeb24</t>
  </si>
  <si>
    <t>AverageMar24</t>
  </si>
  <si>
    <t>Q1 2024</t>
  </si>
  <si>
    <t>2024 Q1 in IDR</t>
  </si>
  <si>
    <t>2024 Q1 All CCY</t>
  </si>
  <si>
    <t>2024 IDR eq Q1 vs 2023 Q4</t>
  </si>
  <si>
    <t>AverageApr24</t>
  </si>
  <si>
    <t>USD</t>
  </si>
  <si>
    <t>AverageMay24</t>
  </si>
  <si>
    <t>Interbank Borrowing</t>
  </si>
  <si>
    <t>Tenor</t>
  </si>
  <si>
    <t>Group CIF</t>
  </si>
  <si>
    <t>Product</t>
  </si>
  <si>
    <t>BA Borrow</t>
  </si>
  <si>
    <t>5.50% - 5.60%</t>
  </si>
  <si>
    <t>1W</t>
  </si>
  <si>
    <t>5.56% - 5.58%</t>
  </si>
  <si>
    <t>Astra Group</t>
  </si>
  <si>
    <t>BPKH</t>
  </si>
  <si>
    <t>Sinarmas Group</t>
  </si>
  <si>
    <t>Samudera Shipping Services</t>
  </si>
  <si>
    <t>Jakarta International School</t>
  </si>
  <si>
    <t>Tenor (Days)</t>
  </si>
  <si>
    <t>IB Ratio FCY</t>
  </si>
  <si>
    <t>IB Ratio FCY Limit</t>
  </si>
  <si>
    <t>Borrowing FCY</t>
  </si>
  <si>
    <t>3M</t>
  </si>
  <si>
    <t>Liabilities FCY</t>
  </si>
  <si>
    <t>TD BI</t>
  </si>
  <si>
    <t>MM Lending</t>
  </si>
  <si>
    <t>SVBI</t>
  </si>
  <si>
    <t>Jan 24</t>
  </si>
  <si>
    <t>Feb 24</t>
  </si>
  <si>
    <t>Mar 24</t>
  </si>
  <si>
    <t>Apr 24</t>
  </si>
  <si>
    <t>4 Jun 24</t>
  </si>
  <si>
    <t>5 Jun 24</t>
  </si>
  <si>
    <t>6 Jun 24</t>
  </si>
  <si>
    <t>7 Jun 24</t>
  </si>
  <si>
    <t>10 Jun 24</t>
  </si>
  <si>
    <t>11 Jun 24</t>
  </si>
  <si>
    <t>12 Jun 24</t>
  </si>
  <si>
    <t>13 Jun 24</t>
  </si>
  <si>
    <t>14 Jun 24</t>
  </si>
  <si>
    <t>3 Jun 24</t>
  </si>
  <si>
    <t>31 May 24</t>
  </si>
  <si>
    <t>Loan</t>
  </si>
  <si>
    <t>FCY DPK</t>
  </si>
  <si>
    <t>IB Borrow FCY</t>
  </si>
  <si>
    <t>BA Borrow FCY</t>
  </si>
  <si>
    <t>LDR FCY</t>
  </si>
  <si>
    <t>Top Depo FCY TD</t>
  </si>
  <si>
    <t>AverageJun24</t>
  </si>
  <si>
    <t>2024 IDR eq Q2 vs 2024 Q1</t>
  </si>
  <si>
    <t>2024 Q2 All CCY</t>
  </si>
  <si>
    <t>Q2 2024</t>
  </si>
  <si>
    <t>2024 Q2 in IDR</t>
  </si>
  <si>
    <t>AverageJul24</t>
  </si>
  <si>
    <t>AverageAug24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</si>
</sst>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9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[$-409]d\-mmm\-yy;@"/>
    <numFmt numFmtId="169" formatCode="_(* #,##0_);_(* \(#,##0\);_(* &quot;-&quot;??_);_(@_)"/>
    <numFmt numFmtId="170" formatCode="&quot;£&quot;#,##0\ ;\(&quot;£&quot;#,##0\)"/>
    <numFmt numFmtId="171" formatCode="0."/>
    <numFmt numFmtId="172" formatCode="0.00_)"/>
    <numFmt numFmtId="173" formatCode="ddd\ dd\-mmm\-yy"/>
    <numFmt numFmtId="174" formatCode="General_)"/>
    <numFmt numFmtId="175" formatCode="#.00"/>
    <numFmt numFmtId="176" formatCode="#."/>
    <numFmt numFmtId="177" formatCode="m\o\n\th\ d\,\ yyyy"/>
    <numFmt numFmtId="178" formatCode="0.00000"/>
    <numFmt numFmtId="179" formatCode="0.000"/>
    <numFmt numFmtId="180" formatCode="0.000000"/>
    <numFmt numFmtId="181" formatCode="_(* #,##0.0000_);_(* \(#,##0.0000\);_(* &quot;-&quot;??_);_(@_)"/>
    <numFmt numFmtId="182" formatCode="ddd"/>
    <numFmt numFmtId="183" formatCode="0.00000000"/>
    <numFmt numFmtId="184" formatCode="0.000000000"/>
    <numFmt numFmtId="185" formatCode="0.0000000000"/>
    <numFmt numFmtId="186" formatCode="0.00000000000"/>
    <numFmt numFmtId="187" formatCode="mm"/>
    <numFmt numFmtId="188" formatCode="_([$€-2]* #,##0.00_);_([$€-2]* \(#,##0.00\);_([$€-2]* &quot;-&quot;??_)"/>
    <numFmt numFmtId="189" formatCode="[$-409]dd\-mmm\-yy;@"/>
    <numFmt numFmtId="190" formatCode="_(* #,##0.00000_);_(* \(#,##0.00000\);_(* &quot;-&quot;??_);_(@_)"/>
  </numFmts>
  <fonts count="6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sz val="8"/>
      <name val="Arial"/>
      <family val="2"/>
    </font>
    <font>
      <sz val="7"/>
      <name val="Small Fonts"/>
      <family val="2"/>
    </font>
    <font>
      <b/>
      <i/>
      <sz val="16"/>
      <name val="Helv"/>
    </font>
    <font>
      <b/>
      <sz val="8.25"/>
      <name val="Helv"/>
    </font>
    <font>
      <sz val="10"/>
      <color indexed="8"/>
      <name val="Arial"/>
      <family val="2"/>
    </font>
    <font>
      <b/>
      <u/>
      <sz val="11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Tw Cen MT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sz val="10"/>
      <color theme="5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0"/>
      <name val="Calibri"/>
      <family val="2"/>
      <scheme val="minor"/>
    </font>
    <font>
      <b/>
      <sz val="8"/>
      <color rgb="FF000000"/>
      <name val="Arial"/>
      <family val="2"/>
    </font>
    <font>
      <b/>
      <sz val="8"/>
      <color theme="1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4"/>
      <color theme="0"/>
      <name val="Calibri"/>
      <family val="2"/>
      <scheme val="minor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10"/>
      <name val="MS Sans Serif"/>
      <family val="2"/>
    </font>
    <font>
      <sz val="9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b/>
      <sz val="15"/>
      <name val="Calibri"/>
      <family val="2"/>
      <scheme val="minor"/>
    </font>
    <font>
      <b/>
      <sz val="15"/>
      <color rgb="FFFF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darkGray">
        <fgColor indexed="15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34998626667073579"/>
        <bgColor indexed="64"/>
      </patternFill>
    </fill>
  </fills>
  <borders count="8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</borders>
  <cellStyleXfs count="57619">
    <xf numFmtId="0" fontId="0" fillId="0" borderId="0"/>
    <xf numFmtId="167" fontId="1" fillId="0" borderId="0" applyFont="0" applyFill="0" applyBorder="0" applyAlignment="0" applyProtection="0"/>
    <xf numFmtId="168" fontId="18" fillId="0" borderId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3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8" fillId="33" borderId="0" applyFont="0" applyBorder="0"/>
    <xf numFmtId="168" fontId="19" fillId="0" borderId="0" applyFont="0" applyFill="0" applyBorder="0" applyAlignment="0" applyProtection="0"/>
    <xf numFmtId="2" fontId="19" fillId="0" borderId="0" applyFont="0" applyFill="0" applyBorder="0" applyAlignment="0" applyProtection="0"/>
    <xf numFmtId="38" fontId="22" fillId="33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0" fontId="22" fillId="34" borderId="11" applyNumberFormat="0" applyBorder="0" applyAlignment="0" applyProtection="0"/>
    <xf numFmtId="37" fontId="23" fillId="0" borderId="0"/>
    <xf numFmtId="172" fontId="24" fillId="0" borderId="0"/>
    <xf numFmtId="168" fontId="18" fillId="0" borderId="0" applyFont="0" applyFill="0" applyBorder="0" applyAlignment="0" applyProtection="0"/>
    <xf numFmtId="168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8" fontId="25" fillId="35" borderId="12"/>
    <xf numFmtId="168" fontId="19" fillId="0" borderId="13" applyNumberFormat="0" applyFont="0" applyFill="0" applyAlignment="0" applyProtection="0"/>
    <xf numFmtId="168" fontId="2" fillId="0" borderId="0" applyNumberFormat="0" applyFill="0" applyBorder="0" applyAlignment="0" applyProtection="0"/>
    <xf numFmtId="168" fontId="5" fillId="0" borderId="3" applyNumberFormat="0" applyFill="0" applyAlignment="0" applyProtection="0"/>
    <xf numFmtId="168" fontId="5" fillId="0" borderId="0" applyNumberFormat="0" applyFill="0" applyBorder="0" applyAlignment="0" applyProtection="0"/>
    <xf numFmtId="168" fontId="6" fillId="2" borderId="0" applyNumberFormat="0" applyBorder="0" applyAlignment="0" applyProtection="0"/>
    <xf numFmtId="168" fontId="7" fillId="3" borderId="0" applyNumberFormat="0" applyBorder="0" applyAlignment="0" applyProtection="0"/>
    <xf numFmtId="168" fontId="8" fillId="4" borderId="0" applyNumberFormat="0" applyBorder="0" applyAlignment="0" applyProtection="0"/>
    <xf numFmtId="168" fontId="9" fillId="5" borderId="4" applyNumberFormat="0" applyAlignment="0" applyProtection="0"/>
    <xf numFmtId="168" fontId="10" fillId="6" borderId="5" applyNumberFormat="0" applyAlignment="0" applyProtection="0"/>
    <xf numFmtId="168" fontId="11" fillId="6" borderId="4" applyNumberFormat="0" applyAlignment="0" applyProtection="0"/>
    <xf numFmtId="168" fontId="12" fillId="0" borderId="6" applyNumberFormat="0" applyFill="0" applyAlignment="0" applyProtection="0"/>
    <xf numFmtId="168" fontId="13" fillId="7" borderId="7" applyNumberFormat="0" applyAlignment="0" applyProtection="0"/>
    <xf numFmtId="168" fontId="14" fillId="0" borderId="0" applyNumberFormat="0" applyFill="0" applyBorder="0" applyAlignment="0" applyProtection="0"/>
    <xf numFmtId="168" fontId="15" fillId="0" borderId="0" applyNumberFormat="0" applyFill="0" applyBorder="0" applyAlignment="0" applyProtection="0"/>
    <xf numFmtId="168" fontId="17" fillId="9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7" fillId="12" borderId="0" applyNumberFormat="0" applyBorder="0" applyAlignment="0" applyProtection="0"/>
    <xf numFmtId="168" fontId="17" fillId="13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7" fillId="16" borderId="0" applyNumberFormat="0" applyBorder="0" applyAlignment="0" applyProtection="0"/>
    <xf numFmtId="168" fontId="17" fillId="1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7" fillId="20" borderId="0" applyNumberFormat="0" applyBorder="0" applyAlignment="0" applyProtection="0"/>
    <xf numFmtId="168" fontId="17" fillId="21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7" fillId="24" borderId="0" applyNumberFormat="0" applyBorder="0" applyAlignment="0" applyProtection="0"/>
    <xf numFmtId="168" fontId="17" fillId="25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7" fillId="28" borderId="0" applyNumberFormat="0" applyBorder="0" applyAlignment="0" applyProtection="0"/>
    <xf numFmtId="168" fontId="17" fillId="29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7" fillId="32" borderId="0" applyNumberFormat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1" fillId="8" borderId="8" applyNumberFormat="0" applyFont="0" applyAlignment="0" applyProtection="0"/>
    <xf numFmtId="168" fontId="3" fillId="0" borderId="1" applyNumberFormat="0" applyFill="0" applyAlignment="0" applyProtection="0"/>
    <xf numFmtId="168" fontId="16" fillId="0" borderId="9" applyNumberFormat="0" applyFill="0" applyAlignment="0" applyProtection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4" fillId="0" borderId="2" applyNumberFormat="0" applyFill="0" applyAlignment="0" applyProtection="0"/>
    <xf numFmtId="168" fontId="16" fillId="0" borderId="9" applyNumberFormat="0" applyFill="0" applyAlignment="0" applyProtection="0"/>
    <xf numFmtId="168" fontId="16" fillId="0" borderId="9" applyNumberFormat="0" applyFill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16" fillId="0" borderId="9" applyNumberFormat="0" applyFill="0" applyAlignment="0" applyProtection="0"/>
    <xf numFmtId="168" fontId="4" fillId="0" borderId="2" applyNumberFormat="0" applyFill="0" applyAlignment="0" applyProtection="0"/>
    <xf numFmtId="168" fontId="16" fillId="0" borderId="9" applyNumberFormat="0" applyFill="0" applyAlignment="0" applyProtection="0"/>
    <xf numFmtId="168" fontId="4" fillId="0" borderId="2" applyNumberFormat="0" applyFill="0" applyAlignment="0" applyProtection="0"/>
    <xf numFmtId="168" fontId="16" fillId="0" borderId="9" applyNumberFormat="0" applyFill="0" applyAlignment="0" applyProtection="0"/>
    <xf numFmtId="168" fontId="4" fillId="0" borderId="2" applyNumberFormat="0" applyFill="0" applyAlignment="0" applyProtection="0"/>
    <xf numFmtId="168" fontId="16" fillId="0" borderId="9" applyNumberFormat="0" applyFill="0" applyAlignment="0" applyProtection="0"/>
    <xf numFmtId="168" fontId="1" fillId="0" borderId="0"/>
    <xf numFmtId="168" fontId="1" fillId="8" borderId="8" applyNumberFormat="0" applyFont="0" applyAlignment="0" applyProtection="0"/>
    <xf numFmtId="168" fontId="18" fillId="0" borderId="0"/>
    <xf numFmtId="167" fontId="18" fillId="0" borderId="0" applyFont="0" applyFill="0" applyBorder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71" fontId="18" fillId="33" borderId="0" applyFont="0" applyBorder="0"/>
    <xf numFmtId="168" fontId="1" fillId="14" borderId="0" applyNumberFormat="0" applyBorder="0" applyAlignment="0" applyProtection="0"/>
    <xf numFmtId="38" fontId="22" fillId="33" borderId="0" applyNumberFormat="0" applyBorder="0" applyAlignment="0" applyProtection="0"/>
    <xf numFmtId="10" fontId="22" fillId="34" borderId="11" applyNumberFormat="0" applyBorder="0" applyAlignment="0" applyProtection="0"/>
    <xf numFmtId="10" fontId="22" fillId="34" borderId="11" applyNumberFormat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38" fontId="22" fillId="33" borderId="0" applyNumberFormat="0" applyBorder="0" applyAlignment="0" applyProtection="0"/>
    <xf numFmtId="9" fontId="18" fillId="0" borderId="0" applyFont="0" applyFill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68" fontId="18" fillId="0" borderId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71" fontId="18" fillId="33" borderId="0" applyFont="0" applyBorder="0"/>
    <xf numFmtId="167" fontId="18" fillId="0" borderId="0" applyFont="0" applyFill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168" fontId="1" fillId="14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71" fontId="18" fillId="33" borderId="0" applyFont="0" applyBorder="0"/>
    <xf numFmtId="168" fontId="1" fillId="0" borderId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0" fontId="22" fillId="34" borderId="11" applyNumberFormat="0" applyBorder="0" applyAlignment="0" applyProtection="0"/>
    <xf numFmtId="0" fontId="23" fillId="0" borderId="0"/>
    <xf numFmtId="168" fontId="1" fillId="18" borderId="0" applyNumberFormat="0" applyBorder="0" applyAlignment="0" applyProtection="0"/>
    <xf numFmtId="10" fontId="18" fillId="0" borderId="0" applyFont="0" applyFill="0" applyBorder="0" applyAlignment="0" applyProtection="0"/>
    <xf numFmtId="0" fontId="22" fillId="33" borderId="0" applyNumberFormat="0" applyBorder="0" applyAlignment="0" applyProtection="0"/>
    <xf numFmtId="168" fontId="1" fillId="19" borderId="0" applyNumberFormat="0" applyBorder="0" applyAlignment="0" applyProtection="0"/>
    <xf numFmtId="168" fontId="19" fillId="0" borderId="13" applyNumberFormat="0" applyFont="0" applyFill="0" applyAlignment="0" applyProtection="0"/>
    <xf numFmtId="168" fontId="2" fillId="0" borderId="0" applyNumberFormat="0" applyFill="0" applyBorder="0" applyAlignment="0" applyProtection="0"/>
    <xf numFmtId="168" fontId="5" fillId="0" borderId="3" applyNumberFormat="0" applyFill="0" applyAlignment="0" applyProtection="0"/>
    <xf numFmtId="168" fontId="5" fillId="0" borderId="0" applyNumberFormat="0" applyFill="0" applyBorder="0" applyAlignment="0" applyProtection="0"/>
    <xf numFmtId="168" fontId="6" fillId="2" borderId="0" applyNumberFormat="0" applyBorder="0" applyAlignment="0" applyProtection="0"/>
    <xf numFmtId="168" fontId="7" fillId="3" borderId="0" applyNumberFormat="0" applyBorder="0" applyAlignment="0" applyProtection="0"/>
    <xf numFmtId="168" fontId="8" fillId="4" borderId="0" applyNumberFormat="0" applyBorder="0" applyAlignment="0" applyProtection="0"/>
    <xf numFmtId="168" fontId="9" fillId="5" borderId="4" applyNumberFormat="0" applyAlignment="0" applyProtection="0"/>
    <xf numFmtId="168" fontId="10" fillId="6" borderId="5" applyNumberFormat="0" applyAlignment="0" applyProtection="0"/>
    <xf numFmtId="168" fontId="11" fillId="6" borderId="4" applyNumberFormat="0" applyAlignment="0" applyProtection="0"/>
    <xf numFmtId="168" fontId="12" fillId="0" borderId="6" applyNumberFormat="0" applyFill="0" applyAlignment="0" applyProtection="0"/>
    <xf numFmtId="168" fontId="13" fillId="7" borderId="7" applyNumberFormat="0" applyAlignment="0" applyProtection="0"/>
    <xf numFmtId="168" fontId="14" fillId="0" borderId="0" applyNumberFormat="0" applyFill="0" applyBorder="0" applyAlignment="0" applyProtection="0"/>
    <xf numFmtId="168" fontId="15" fillId="0" borderId="0" applyNumberFormat="0" applyFill="0" applyBorder="0" applyAlignment="0" applyProtection="0"/>
    <xf numFmtId="168" fontId="17" fillId="9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7" fillId="12" borderId="0" applyNumberFormat="0" applyBorder="0" applyAlignment="0" applyProtection="0"/>
    <xf numFmtId="168" fontId="17" fillId="13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7" fillId="16" borderId="0" applyNumberFormat="0" applyBorder="0" applyAlignment="0" applyProtection="0"/>
    <xf numFmtId="168" fontId="17" fillId="1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7" fillId="20" borderId="0" applyNumberFormat="0" applyBorder="0" applyAlignment="0" applyProtection="0"/>
    <xf numFmtId="168" fontId="17" fillId="21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7" fillId="24" borderId="0" applyNumberFormat="0" applyBorder="0" applyAlignment="0" applyProtection="0"/>
    <xf numFmtId="168" fontId="17" fillId="25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7" fillId="28" borderId="0" applyNumberFormat="0" applyBorder="0" applyAlignment="0" applyProtection="0"/>
    <xf numFmtId="168" fontId="17" fillId="29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7" fillId="32" borderId="0" applyNumberFormat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6" fillId="0" borderId="9" applyNumberFormat="0" applyFill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0" fontId="18" fillId="0" borderId="0" applyFont="0" applyFill="0" applyBorder="0" applyAlignment="0" applyProtection="0"/>
    <xf numFmtId="168" fontId="19" fillId="0" borderId="13" applyNumberFormat="0" applyFont="0" applyFill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6" fillId="0" borderId="9" applyNumberFormat="0" applyFill="0" applyAlignment="0" applyProtection="0"/>
    <xf numFmtId="168" fontId="1" fillId="18" borderId="0" applyNumberFormat="0" applyBorder="0" applyAlignment="0" applyProtection="0"/>
    <xf numFmtId="10" fontId="22" fillId="34" borderId="11" applyNumberFormat="0" applyBorder="0" applyAlignment="0" applyProtection="0"/>
    <xf numFmtId="168" fontId="3" fillId="0" borderId="1" applyNumberFormat="0" applyFill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8" borderId="8" applyNumberFormat="0" applyFont="0" applyAlignment="0" applyProtection="0"/>
    <xf numFmtId="168" fontId="18" fillId="0" borderId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21" fillId="0" borderId="0" applyNumberFormat="0" applyFill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3" fillId="0" borderId="1" applyNumberFormat="0" applyFill="0" applyAlignment="0" applyProtection="0"/>
    <xf numFmtId="168" fontId="1" fillId="23" borderId="0" applyNumberFormat="0" applyBorder="0" applyAlignment="0" applyProtection="0"/>
    <xf numFmtId="168" fontId="20" fillId="0" borderId="0" applyNumberForma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14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8" borderId="0" applyNumberFormat="0" applyBorder="0" applyAlignment="0" applyProtection="0"/>
    <xf numFmtId="168" fontId="1" fillId="26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8" fillId="0" borderId="0" applyFont="0" applyFill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9" fontId="18" fillId="0" borderId="0" applyFont="0" applyFill="0" applyBorder="0" applyAlignment="0" applyProtection="0"/>
    <xf numFmtId="168" fontId="19" fillId="0" borderId="13" applyNumberFormat="0" applyFont="0" applyFill="0" applyAlignment="0" applyProtection="0"/>
    <xf numFmtId="168" fontId="2" fillId="0" borderId="0" applyNumberFormat="0" applyFill="0" applyBorder="0" applyAlignment="0" applyProtection="0"/>
    <xf numFmtId="168" fontId="5" fillId="0" borderId="3" applyNumberFormat="0" applyFill="0" applyAlignment="0" applyProtection="0"/>
    <xf numFmtId="168" fontId="5" fillId="0" borderId="0" applyNumberFormat="0" applyFill="0" applyBorder="0" applyAlignment="0" applyProtection="0"/>
    <xf numFmtId="168" fontId="6" fillId="2" borderId="0" applyNumberFormat="0" applyBorder="0" applyAlignment="0" applyProtection="0"/>
    <xf numFmtId="168" fontId="7" fillId="3" borderId="0" applyNumberFormat="0" applyBorder="0" applyAlignment="0" applyProtection="0"/>
    <xf numFmtId="168" fontId="8" fillId="4" borderId="0" applyNumberFormat="0" applyBorder="0" applyAlignment="0" applyProtection="0"/>
    <xf numFmtId="168" fontId="9" fillId="5" borderId="4" applyNumberFormat="0" applyAlignment="0" applyProtection="0"/>
    <xf numFmtId="168" fontId="10" fillId="6" borderId="5" applyNumberFormat="0" applyAlignment="0" applyProtection="0"/>
    <xf numFmtId="168" fontId="11" fillId="6" borderId="4" applyNumberFormat="0" applyAlignment="0" applyProtection="0"/>
    <xf numFmtId="168" fontId="12" fillId="0" borderId="6" applyNumberFormat="0" applyFill="0" applyAlignment="0" applyProtection="0"/>
    <xf numFmtId="168" fontId="13" fillId="7" borderId="7" applyNumberFormat="0" applyAlignment="0" applyProtection="0"/>
    <xf numFmtId="168" fontId="14" fillId="0" borderId="0" applyNumberFormat="0" applyFill="0" applyBorder="0" applyAlignment="0" applyProtection="0"/>
    <xf numFmtId="168" fontId="15" fillId="0" borderId="0" applyNumberFormat="0" applyFill="0" applyBorder="0" applyAlignment="0" applyProtection="0"/>
    <xf numFmtId="168" fontId="17" fillId="9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7" fillId="12" borderId="0" applyNumberFormat="0" applyBorder="0" applyAlignment="0" applyProtection="0"/>
    <xf numFmtId="168" fontId="17" fillId="13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7" fillId="16" borderId="0" applyNumberFormat="0" applyBorder="0" applyAlignment="0" applyProtection="0"/>
    <xf numFmtId="168" fontId="17" fillId="1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7" fillId="20" borderId="0" applyNumberFormat="0" applyBorder="0" applyAlignment="0" applyProtection="0"/>
    <xf numFmtId="168" fontId="17" fillId="21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7" fillId="24" borderId="0" applyNumberFormat="0" applyBorder="0" applyAlignment="0" applyProtection="0"/>
    <xf numFmtId="168" fontId="17" fillId="25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7" fillId="28" borderId="0" applyNumberFormat="0" applyBorder="0" applyAlignment="0" applyProtection="0"/>
    <xf numFmtId="168" fontId="17" fillId="29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7" fillId="32" borderId="0" applyNumberFormat="0" applyBorder="0" applyAlignment="0" applyProtection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16" fillId="0" borderId="9" applyNumberFormat="0" applyFill="0" applyAlignment="0" applyProtection="0"/>
    <xf numFmtId="168" fontId="18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6" fillId="0" borderId="9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71" fontId="18" fillId="33" borderId="0" applyFont="0" applyBorder="0"/>
    <xf numFmtId="168" fontId="1" fillId="10" borderId="0" applyNumberFormat="0" applyBorder="0" applyAlignment="0" applyProtection="0"/>
    <xf numFmtId="168" fontId="16" fillId="0" borderId="9" applyNumberFormat="0" applyFill="0" applyAlignment="0" applyProtection="0"/>
    <xf numFmtId="168" fontId="1" fillId="15" borderId="0" applyNumberFormat="0" applyBorder="0" applyAlignment="0" applyProtection="0"/>
    <xf numFmtId="168" fontId="3" fillId="0" borderId="1" applyNumberFormat="0" applyFill="0" applyAlignment="0" applyProtection="0"/>
    <xf numFmtId="168" fontId="1" fillId="14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22" borderId="0" applyNumberFormat="0" applyBorder="0" applyAlignment="0" applyProtection="0"/>
    <xf numFmtId="168" fontId="1" fillId="31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6" fillId="0" borderId="9" applyNumberFormat="0" applyFill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0" fontId="22" fillId="34" borderId="11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168" fontId="4" fillId="0" borderId="2" applyNumberFormat="0" applyFill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8" borderId="8" applyNumberFormat="0" applyFont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8" fillId="0" borderId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4" fillId="0" borderId="2" applyNumberFormat="0" applyFill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3" fillId="0" borderId="1" applyNumberFormat="0" applyFill="0" applyAlignment="0" applyProtection="0"/>
    <xf numFmtId="168" fontId="16" fillId="0" borderId="9" applyNumberFormat="0" applyFill="0" applyAlignment="0" applyProtection="0"/>
    <xf numFmtId="171" fontId="18" fillId="33" borderId="0" applyFont="0" applyBorder="0"/>
    <xf numFmtId="168" fontId="1" fillId="19" borderId="0" applyNumberFormat="0" applyBorder="0" applyAlignment="0" applyProtection="0"/>
    <xf numFmtId="168" fontId="3" fillId="0" borderId="1" applyNumberFormat="0" applyFill="0" applyAlignment="0" applyProtection="0"/>
    <xf numFmtId="0" fontId="22" fillId="33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0" fontId="22" fillId="34" borderId="11" applyNumberFormat="0" applyBorder="0" applyAlignment="0" applyProtection="0"/>
    <xf numFmtId="0" fontId="23" fillId="0" borderId="0"/>
    <xf numFmtId="168" fontId="1" fillId="18" borderId="0" applyNumberFormat="0" applyBorder="0" applyAlignment="0" applyProtection="0"/>
    <xf numFmtId="10" fontId="18" fillId="0" borderId="0" applyFont="0" applyFill="0" applyBorder="0" applyAlignment="0" applyProtection="0"/>
    <xf numFmtId="0" fontId="23" fillId="0" borderId="0"/>
    <xf numFmtId="168" fontId="19" fillId="0" borderId="13" applyNumberFormat="0" applyFont="0" applyFill="0" applyAlignment="0" applyProtection="0"/>
    <xf numFmtId="10" fontId="22" fillId="34" borderId="11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2" borderId="0" applyNumberFormat="0" applyBorder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3" fillId="0" borderId="1" applyNumberFormat="0" applyFill="0" applyAlignment="0" applyProtection="0"/>
    <xf numFmtId="168" fontId="4" fillId="0" borderId="2" applyNumberFormat="0" applyFill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6" fillId="0" borderId="9" applyNumberFormat="0" applyFill="0" applyAlignment="0" applyProtection="0"/>
    <xf numFmtId="168" fontId="3" fillId="0" borderId="1" applyNumberFormat="0" applyFill="0" applyAlignment="0" applyProtection="0"/>
    <xf numFmtId="168" fontId="1" fillId="8" borderId="8" applyNumberFormat="0" applyFont="0" applyAlignment="0" applyProtection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71" fontId="18" fillId="33" borderId="0" applyFont="0" applyBorder="0"/>
    <xf numFmtId="168" fontId="1" fillId="10" borderId="0" applyNumberFormat="0" applyBorder="0" applyAlignment="0" applyProtection="0"/>
    <xf numFmtId="168" fontId="16" fillId="0" borderId="9" applyNumberFormat="0" applyFill="0" applyAlignment="0" applyProtection="0"/>
    <xf numFmtId="168" fontId="1" fillId="15" borderId="0" applyNumberFormat="0" applyBorder="0" applyAlignment="0" applyProtection="0"/>
    <xf numFmtId="168" fontId="3" fillId="0" borderId="1" applyNumberFormat="0" applyFill="0" applyAlignment="0" applyProtection="0"/>
    <xf numFmtId="168" fontId="1" fillId="14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3" fillId="0" borderId="1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168" fontId="4" fillId="0" borderId="2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168" fontId="4" fillId="0" borderId="2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6" fillId="0" borderId="9" applyNumberFormat="0" applyFill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0" fontId="22" fillId="34" borderId="11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0" fontId="23" fillId="0" borderId="0"/>
    <xf numFmtId="168" fontId="1" fillId="8" borderId="8" applyNumberFormat="0" applyFont="0" applyAlignment="0" applyProtection="0"/>
    <xf numFmtId="168" fontId="19" fillId="0" borderId="13" applyNumberFormat="0" applyFont="0" applyFill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71" fontId="18" fillId="33" borderId="0" applyFont="0" applyBorder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4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0" fontId="18" fillId="0" borderId="0" applyFont="0" applyFill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20" fillId="0" borderId="0" applyNumberFormat="0" applyFill="0" applyBorder="0" applyAlignment="0" applyProtection="0"/>
    <xf numFmtId="168" fontId="21" fillId="0" borderId="0" applyNumberFormat="0" applyFill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4" fillId="0" borderId="2" applyNumberFormat="0" applyFill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0" fontId="22" fillId="33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0" fontId="22" fillId="33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8" fillId="0" borderId="0"/>
    <xf numFmtId="0" fontId="22" fillId="33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4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8" borderId="8" applyNumberFormat="0" applyFont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8" borderId="8" applyNumberFormat="0" applyFont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4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14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8" borderId="0" applyNumberFormat="0" applyBorder="0" applyAlignment="0" applyProtection="0"/>
    <xf numFmtId="168" fontId="1" fillId="26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22" borderId="0" applyNumberFormat="0" applyBorder="0" applyAlignment="0" applyProtection="0"/>
    <xf numFmtId="168" fontId="1" fillId="31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4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8" borderId="8" applyNumberFormat="0" applyFont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8" borderId="8" applyNumberFormat="0" applyFont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4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14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8" borderId="0" applyNumberFormat="0" applyBorder="0" applyAlignment="0" applyProtection="0"/>
    <xf numFmtId="168" fontId="1" fillId="26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22" borderId="0" applyNumberFormat="0" applyBorder="0" applyAlignment="0" applyProtection="0"/>
    <xf numFmtId="168" fontId="1" fillId="31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4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22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8" borderId="8" applyNumberFormat="0" applyFont="0" applyAlignment="0" applyProtection="0"/>
    <xf numFmtId="168" fontId="1" fillId="19" borderId="0" applyNumberFormat="0" applyBorder="0" applyAlignment="0" applyProtection="0"/>
    <xf numFmtId="168" fontId="1" fillId="0" borderId="0"/>
    <xf numFmtId="168" fontId="1" fillId="0" borderId="0"/>
    <xf numFmtId="168" fontId="1" fillId="8" borderId="8" applyNumberFormat="0" applyFont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4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14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8" borderId="0" applyNumberFormat="0" applyBorder="0" applyAlignment="0" applyProtection="0"/>
    <xf numFmtId="168" fontId="1" fillId="26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1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7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0" borderId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30" borderId="0" applyNumberFormat="0" applyBorder="0" applyAlignment="0" applyProtection="0"/>
    <xf numFmtId="168" fontId="1" fillId="22" borderId="0" applyNumberFormat="0" applyBorder="0" applyAlignment="0" applyProtection="0"/>
    <xf numFmtId="168" fontId="1" fillId="31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23" borderId="0" applyNumberFormat="0" applyBorder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14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11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0" borderId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18" borderId="0" applyNumberFormat="0" applyBorder="0" applyAlignment="0" applyProtection="0"/>
    <xf numFmtId="168" fontId="1" fillId="22" borderId="0" applyNumberFormat="0" applyBorder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0" borderId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15" borderId="0" applyNumberFormat="0" applyBorder="0" applyAlignment="0" applyProtection="0"/>
    <xf numFmtId="168" fontId="1" fillId="26" borderId="0" applyNumberFormat="0" applyBorder="0" applyAlignment="0" applyProtection="0"/>
    <xf numFmtId="168" fontId="1" fillId="19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10" borderId="0" applyNumberFormat="0" applyBorder="0" applyAlignment="0" applyProtection="0"/>
    <xf numFmtId="168" fontId="1" fillId="10" borderId="0" applyNumberFormat="0" applyBorder="0" applyAlignment="0" applyProtection="0"/>
    <xf numFmtId="168" fontId="1" fillId="15" borderId="0" applyNumberFormat="0" applyBorder="0" applyAlignment="0" applyProtection="0"/>
    <xf numFmtId="168" fontId="1" fillId="14" borderId="0" applyNumberFormat="0" applyBorder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9" borderId="0" applyNumberFormat="0" applyBorder="0" applyAlignment="0" applyProtection="0"/>
    <xf numFmtId="168" fontId="1" fillId="18" borderId="0" applyNumberFormat="0" applyBorder="0" applyAlignment="0" applyProtection="0"/>
    <xf numFmtId="168" fontId="1" fillId="27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0" borderId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0" borderId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8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22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5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7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18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26" borderId="0" applyNumberFormat="0" applyBorder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4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31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23" borderId="0" applyNumberFormat="0" applyBorder="0" applyAlignment="0" applyProtection="0"/>
    <xf numFmtId="168" fontId="1" fillId="22" borderId="0" applyNumberFormat="0" applyBorder="0" applyAlignment="0" applyProtection="0"/>
    <xf numFmtId="168" fontId="1" fillId="15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27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6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30" borderId="0" applyNumberFormat="0" applyBorder="0" applyAlignment="0" applyProtection="0"/>
    <xf numFmtId="168" fontId="1" fillId="11" borderId="0" applyNumberFormat="0" applyBorder="0" applyAlignment="0" applyProtection="0"/>
    <xf numFmtId="168" fontId="1" fillId="10" borderId="0" applyNumberFormat="0" applyBorder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8" borderId="8" applyNumberFormat="0" applyFont="0" applyAlignment="0" applyProtection="0"/>
    <xf numFmtId="168" fontId="1" fillId="0" borderId="0"/>
    <xf numFmtId="168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168" fontId="1" fillId="10" borderId="0" applyNumberFormat="0" applyBorder="0" applyAlignment="0" applyProtection="0"/>
    <xf numFmtId="168" fontId="1" fillId="11" borderId="0" applyNumberFormat="0" applyBorder="0" applyAlignment="0" applyProtection="0"/>
    <xf numFmtId="168" fontId="1" fillId="14" borderId="0" applyNumberFormat="0" applyBorder="0" applyAlignment="0" applyProtection="0"/>
    <xf numFmtId="168" fontId="1" fillId="15" borderId="0" applyNumberFormat="0" applyBorder="0" applyAlignment="0" applyProtection="0"/>
    <xf numFmtId="168" fontId="1" fillId="18" borderId="0" applyNumberFormat="0" applyBorder="0" applyAlignment="0" applyProtection="0"/>
    <xf numFmtId="168" fontId="1" fillId="19" borderId="0" applyNumberFormat="0" applyBorder="0" applyAlignment="0" applyProtection="0"/>
    <xf numFmtId="168" fontId="1" fillId="22" borderId="0" applyNumberFormat="0" applyBorder="0" applyAlignment="0" applyProtection="0"/>
    <xf numFmtId="168" fontId="1" fillId="23" borderId="0" applyNumberFormat="0" applyBorder="0" applyAlignment="0" applyProtection="0"/>
    <xf numFmtId="168" fontId="1" fillId="26" borderId="0" applyNumberFormat="0" applyBorder="0" applyAlignment="0" applyProtection="0"/>
    <xf numFmtId="168" fontId="1" fillId="27" borderId="0" applyNumberFormat="0" applyBorder="0" applyAlignment="0" applyProtection="0"/>
    <xf numFmtId="168" fontId="1" fillId="30" borderId="0" applyNumberFormat="0" applyBorder="0" applyAlignment="0" applyProtection="0"/>
    <xf numFmtId="168" fontId="1" fillId="3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6" fillId="0" borderId="0" applyFont="0" applyFill="0" applyBorder="0" applyAlignment="0" applyProtection="0">
      <alignment vertical="top"/>
    </xf>
    <xf numFmtId="9" fontId="31" fillId="0" borderId="0" applyFont="0" applyFill="0" applyBorder="0" applyAlignment="0" applyProtection="0"/>
    <xf numFmtId="165" fontId="18" fillId="0" borderId="0" applyFont="0" applyFill="0" applyBorder="0" applyAlignment="0" applyProtection="0"/>
    <xf numFmtId="9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74" fontId="18" fillId="0" borderId="0"/>
    <xf numFmtId="164" fontId="55" fillId="0" borderId="0" applyFill="0" applyBorder="0" applyAlignment="0"/>
    <xf numFmtId="174" fontId="56" fillId="0" borderId="0" applyFill="0" applyBorder="0" applyAlignment="0"/>
    <xf numFmtId="179" fontId="56" fillId="0" borderId="0" applyFill="0" applyBorder="0" applyAlignment="0"/>
    <xf numFmtId="182" fontId="55" fillId="0" borderId="0" applyFill="0" applyBorder="0" applyAlignment="0"/>
    <xf numFmtId="183" fontId="55" fillId="0" borderId="0" applyFill="0" applyBorder="0" applyAlignment="0"/>
    <xf numFmtId="164" fontId="55" fillId="0" borderId="0" applyFill="0" applyBorder="0" applyAlignment="0"/>
    <xf numFmtId="184" fontId="55" fillId="0" borderId="0" applyFill="0" applyBorder="0" applyAlignment="0"/>
    <xf numFmtId="174" fontId="56" fillId="0" borderId="0" applyFill="0" applyBorder="0" applyAlignment="0"/>
    <xf numFmtId="167" fontId="18" fillId="0" borderId="0" applyFont="0" applyFill="0" applyBorder="0" applyAlignment="0" applyProtection="0"/>
    <xf numFmtId="164" fontId="55" fillId="0" borderId="0" applyFont="0" applyFill="0" applyBorder="0" applyAlignment="0" applyProtection="0"/>
    <xf numFmtId="174" fontId="56" fillId="0" borderId="0" applyFont="0" applyFill="0" applyBorder="0" applyAlignment="0" applyProtection="0"/>
    <xf numFmtId="177" fontId="53" fillId="0" borderId="0">
      <protection locked="0"/>
    </xf>
    <xf numFmtId="14" fontId="26" fillId="0" borderId="0" applyFill="0" applyBorder="0" applyAlignment="0"/>
    <xf numFmtId="38" fontId="55" fillId="0" borderId="38">
      <alignment vertical="center"/>
    </xf>
    <xf numFmtId="164" fontId="55" fillId="0" borderId="0" applyFill="0" applyBorder="0" applyAlignment="0"/>
    <xf numFmtId="174" fontId="56" fillId="0" borderId="0" applyFill="0" applyBorder="0" applyAlignment="0"/>
    <xf numFmtId="164" fontId="55" fillId="0" borderId="0" applyFill="0" applyBorder="0" applyAlignment="0"/>
    <xf numFmtId="184" fontId="55" fillId="0" borderId="0" applyFill="0" applyBorder="0" applyAlignment="0"/>
    <xf numFmtId="174" fontId="56" fillId="0" borderId="0" applyFill="0" applyBorder="0" applyAlignment="0"/>
    <xf numFmtId="188" fontId="18" fillId="0" borderId="0" applyFont="0" applyFill="0" applyBorder="0" applyAlignment="0" applyProtection="0"/>
    <xf numFmtId="175" fontId="53" fillId="0" borderId="0">
      <protection locked="0"/>
    </xf>
    <xf numFmtId="0" fontId="57" fillId="0" borderId="20" applyNumberFormat="0" applyAlignment="0" applyProtection="0">
      <alignment horizontal="left" vertical="center"/>
    </xf>
    <xf numFmtId="0" fontId="57" fillId="0" borderId="39">
      <alignment horizontal="left" vertical="center"/>
    </xf>
    <xf numFmtId="176" fontId="54" fillId="0" borderId="0">
      <protection locked="0"/>
    </xf>
    <xf numFmtId="176" fontId="54" fillId="0" borderId="0">
      <protection locked="0"/>
    </xf>
    <xf numFmtId="164" fontId="55" fillId="0" borderId="0" applyFill="0" applyBorder="0" applyAlignment="0"/>
    <xf numFmtId="174" fontId="56" fillId="0" borderId="0" applyFill="0" applyBorder="0" applyAlignment="0"/>
    <xf numFmtId="164" fontId="55" fillId="0" borderId="0" applyFill="0" applyBorder="0" applyAlignment="0"/>
    <xf numFmtId="184" fontId="55" fillId="0" borderId="0" applyFill="0" applyBorder="0" applyAlignment="0"/>
    <xf numFmtId="174" fontId="56" fillId="0" borderId="0" applyFill="0" applyBorder="0" applyAlignment="0"/>
    <xf numFmtId="180" fontId="18" fillId="0" borderId="0" applyFont="0" applyFill="0" applyBorder="0" applyAlignment="0" applyProtection="0"/>
    <xf numFmtId="178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6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83" fontId="55" fillId="0" borderId="0" applyFont="0" applyFill="0" applyBorder="0" applyAlignment="0" applyProtection="0"/>
    <xf numFmtId="187" fontId="55" fillId="0" borderId="0" applyFont="0" applyFill="0" applyBorder="0" applyAlignment="0" applyProtection="0"/>
    <xf numFmtId="174" fontId="18" fillId="0" borderId="0"/>
    <xf numFmtId="164" fontId="55" fillId="0" borderId="0" applyFill="0" applyBorder="0" applyAlignment="0"/>
    <xf numFmtId="174" fontId="56" fillId="0" borderId="0" applyFill="0" applyBorder="0" applyAlignment="0"/>
    <xf numFmtId="164" fontId="55" fillId="0" borderId="0" applyFill="0" applyBorder="0" applyAlignment="0"/>
    <xf numFmtId="184" fontId="55" fillId="0" borderId="0" applyFill="0" applyBorder="0" applyAlignment="0"/>
    <xf numFmtId="174" fontId="56" fillId="0" borderId="0" applyFill="0" applyBorder="0" applyAlignment="0"/>
    <xf numFmtId="49" fontId="26" fillId="0" borderId="0" applyFill="0" applyBorder="0" applyAlignment="0"/>
    <xf numFmtId="185" fontId="55" fillId="0" borderId="0" applyFill="0" applyBorder="0" applyAlignment="0"/>
    <xf numFmtId="186" fontId="55" fillId="0" borderId="0" applyFill="0" applyBorder="0" applyAlignment="0"/>
    <xf numFmtId="176" fontId="53" fillId="0" borderId="40">
      <protection locked="0"/>
    </xf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58" fillId="0" borderId="0"/>
    <xf numFmtId="43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58" fillId="0" borderId="0"/>
    <xf numFmtId="43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16" fontId="26" fillId="0" borderId="0" applyFill="0" applyBorder="0" applyAlignment="0"/>
    <xf numFmtId="0" fontId="55" fillId="0" borderId="38">
      <alignment vertical="center"/>
    </xf>
    <xf numFmtId="9" fontId="18" fillId="0" borderId="0" applyFont="0" applyFill="0" applyBorder="0" applyAlignment="0" applyProtection="0"/>
    <xf numFmtId="0" fontId="26" fillId="0" borderId="0" applyFill="0" applyBorder="0" applyAlignment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59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59" fillId="0" borderId="0"/>
    <xf numFmtId="43" fontId="18" fillId="0" borderId="0" applyFont="0" applyFill="0" applyBorder="0" applyAlignment="0" applyProtection="0"/>
    <xf numFmtId="0" fontId="59" fillId="0" borderId="0"/>
    <xf numFmtId="43" fontId="18" fillId="0" borderId="0" applyFont="0" applyFill="0" applyBorder="0" applyAlignment="0" applyProtection="0"/>
    <xf numFmtId="0" fontId="59" fillId="0" borderId="0"/>
    <xf numFmtId="43" fontId="18" fillId="0" borderId="0" applyFont="0" applyFill="0" applyBorder="0" applyAlignment="0" applyProtection="0"/>
    <xf numFmtId="0" fontId="59" fillId="0" borderId="0"/>
    <xf numFmtId="0" fontId="59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74" fontId="18" fillId="0" borderId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167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74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3323">
    <xf numFmtId="0" fontId="0" fillId="0" borderId="0" xfId="0"/>
    <xf numFmtId="0" fontId="16" fillId="0" borderId="0" xfId="0" applyFont="1"/>
    <xf numFmtId="0" fontId="0" fillId="0" borderId="11" xfId="0" applyBorder="1"/>
    <xf numFmtId="10" fontId="0" fillId="0" borderId="11" xfId="0" applyNumberFormat="1" applyBorder="1"/>
    <xf numFmtId="0" fontId="0" fillId="0" borderId="14" xfId="0" applyBorder="1"/>
    <xf numFmtId="0" fontId="0" fillId="0" borderId="22" xfId="0" applyBorder="1"/>
    <xf numFmtId="10" fontId="0" fillId="0" borderId="22" xfId="0" applyNumberFormat="1" applyBorder="1"/>
    <xf numFmtId="10" fontId="0" fillId="0" borderId="16" xfId="0" applyNumberFormat="1" applyBorder="1"/>
    <xf numFmtId="10" fontId="0" fillId="0" borderId="23" xfId="0" applyNumberFormat="1" applyBorder="1"/>
    <xf numFmtId="0" fontId="16" fillId="0" borderId="17" xfId="0" applyFont="1" applyBorder="1"/>
    <xf numFmtId="0" fontId="16" fillId="0" borderId="14" xfId="0" applyFont="1" applyBorder="1"/>
    <xf numFmtId="0" fontId="16" fillId="0" borderId="15" xfId="0" applyFont="1" applyBorder="1"/>
    <xf numFmtId="0" fontId="16" fillId="0" borderId="0" xfId="0" applyFont="1" applyAlignment="1">
      <alignment horizontal="right" wrapText="1"/>
    </xf>
    <xf numFmtId="15" fontId="0" fillId="0" borderId="0" xfId="0" applyNumberFormat="1" applyAlignment="1">
      <alignment horizontal="righ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  <xf numFmtId="0" fontId="16" fillId="0" borderId="17" xfId="0" applyFont="1" applyBorder="1" applyAlignment="1">
      <alignment wrapText="1"/>
    </xf>
    <xf numFmtId="0" fontId="16" fillId="0" borderId="18" xfId="0" applyFont="1" applyBorder="1" applyAlignment="1">
      <alignment wrapText="1"/>
    </xf>
    <xf numFmtId="0" fontId="16" fillId="0" borderId="21" xfId="0" applyFont="1" applyBorder="1" applyAlignment="1">
      <alignment wrapText="1"/>
    </xf>
    <xf numFmtId="0" fontId="0" fillId="0" borderId="14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22" xfId="0" applyBorder="1" applyAlignment="1">
      <alignment wrapText="1"/>
    </xf>
    <xf numFmtId="0" fontId="16" fillId="0" borderId="14" xfId="0" applyFont="1" applyBorder="1" applyAlignment="1">
      <alignment wrapText="1"/>
    </xf>
    <xf numFmtId="10" fontId="0" fillId="0" borderId="11" xfId="0" applyNumberFormat="1" applyBorder="1" applyAlignment="1">
      <alignment wrapText="1"/>
    </xf>
    <xf numFmtId="10" fontId="0" fillId="0" borderId="22" xfId="0" applyNumberFormat="1" applyBorder="1" applyAlignment="1">
      <alignment wrapText="1"/>
    </xf>
    <xf numFmtId="0" fontId="16" fillId="0" borderId="15" xfId="0" applyFont="1" applyBorder="1" applyAlignment="1">
      <alignment wrapText="1"/>
    </xf>
    <xf numFmtId="10" fontId="0" fillId="0" borderId="16" xfId="0" applyNumberFormat="1" applyBorder="1" applyAlignment="1">
      <alignment wrapText="1"/>
    </xf>
    <xf numFmtId="10" fontId="0" fillId="0" borderId="23" xfId="0" applyNumberFormat="1" applyBorder="1" applyAlignment="1">
      <alignment wrapText="1"/>
    </xf>
    <xf numFmtId="0" fontId="16" fillId="0" borderId="0" xfId="0" applyFont="1" applyAlignment="1">
      <alignment wrapText="1"/>
    </xf>
    <xf numFmtId="0" fontId="0" fillId="0" borderId="14" xfId="0" applyFont="1" applyBorder="1"/>
    <xf numFmtId="0" fontId="33" fillId="0" borderId="0" xfId="0" applyFont="1" applyFill="1" applyBorder="1" applyAlignment="1">
      <alignment horizontal="center" vertical="center" wrapText="1"/>
    </xf>
    <xf numFmtId="0" fontId="0" fillId="0" borderId="0" xfId="0"/>
    <xf numFmtId="38" fontId="0" fillId="0" borderId="0" xfId="0" applyNumberFormat="1"/>
    <xf numFmtId="173" fontId="32" fillId="0" borderId="0" xfId="0" applyNumberFormat="1" applyFont="1" applyFill="1"/>
    <xf numFmtId="0" fontId="35" fillId="0" borderId="0" xfId="0" applyFont="1" applyFill="1" applyAlignment="1">
      <alignment wrapText="1"/>
    </xf>
    <xf numFmtId="169" fontId="30" fillId="38" borderId="0" xfId="1" applyNumberFormat="1" applyFont="1" applyFill="1"/>
    <xf numFmtId="169" fontId="29" fillId="0" borderId="0" xfId="1" applyNumberFormat="1" applyFont="1" applyFill="1"/>
    <xf numFmtId="169" fontId="32" fillId="0" borderId="0" xfId="1" applyNumberFormat="1" applyFont="1" applyFill="1"/>
    <xf numFmtId="169" fontId="30" fillId="0" borderId="0" xfId="1" applyNumberFormat="1" applyFont="1" applyFill="1"/>
    <xf numFmtId="0" fontId="0" fillId="40" borderId="0" xfId="0" applyFill="1"/>
    <xf numFmtId="169" fontId="33" fillId="0" borderId="0" xfId="0" applyNumberFormat="1" applyFont="1" applyFill="1" applyBorder="1" applyAlignment="1">
      <alignment horizontal="center" vertical="center" wrapText="1"/>
    </xf>
    <xf numFmtId="3" fontId="33" fillId="0" borderId="0" xfId="0" applyNumberFormat="1" applyFont="1" applyFill="1" applyBorder="1" applyAlignment="1">
      <alignment horizontal="center" vertical="center" wrapText="1"/>
    </xf>
    <xf numFmtId="3" fontId="33" fillId="40" borderId="0" xfId="0" applyNumberFormat="1" applyFont="1" applyFill="1" applyBorder="1" applyAlignment="1">
      <alignment horizontal="center" vertical="center" wrapText="1"/>
    </xf>
    <xf numFmtId="0" fontId="32" fillId="0" borderId="0" xfId="0" applyFont="1"/>
    <xf numFmtId="169" fontId="32" fillId="0" borderId="0" xfId="0" applyNumberFormat="1" applyFont="1"/>
    <xf numFmtId="169" fontId="32" fillId="0" borderId="0" xfId="1" applyNumberFormat="1" applyFont="1"/>
    <xf numFmtId="169" fontId="33" fillId="0" borderId="0" xfId="1" applyNumberFormat="1" applyFont="1"/>
    <xf numFmtId="3" fontId="33" fillId="41" borderId="0" xfId="0" applyNumberFormat="1" applyFont="1" applyFill="1" applyBorder="1" applyAlignment="1">
      <alignment horizontal="center" vertical="center" wrapText="1"/>
    </xf>
    <xf numFmtId="0" fontId="32" fillId="40" borderId="0" xfId="0" applyFont="1" applyFill="1"/>
    <xf numFmtId="167" fontId="0" fillId="0" borderId="0" xfId="0" applyNumberFormat="1"/>
    <xf numFmtId="169" fontId="33" fillId="41" borderId="0" xfId="1" applyNumberFormat="1" applyFont="1" applyFill="1"/>
    <xf numFmtId="15" fontId="0" fillId="0" borderId="0" xfId="0" applyNumberFormat="1"/>
    <xf numFmtId="169" fontId="0" fillId="0" borderId="0" xfId="1" applyNumberFormat="1" applyFont="1"/>
    <xf numFmtId="15" fontId="32" fillId="0" borderId="0" xfId="0" applyNumberFormat="1" applyFont="1"/>
    <xf numFmtId="0" fontId="0" fillId="0" borderId="14" xfId="0" applyBorder="1" applyAlignment="1"/>
    <xf numFmtId="169" fontId="0" fillId="0" borderId="0" xfId="0" applyNumberFormat="1"/>
    <xf numFmtId="169" fontId="33" fillId="41" borderId="0" xfId="1" applyNumberFormat="1" applyFont="1" applyFill="1" applyAlignment="1">
      <alignment horizontal="center" vertical="center"/>
    </xf>
    <xf numFmtId="169" fontId="30" fillId="41" borderId="0" xfId="1" applyNumberFormat="1" applyFont="1" applyFill="1" applyAlignment="1">
      <alignment horizontal="center" vertical="center"/>
    </xf>
    <xf numFmtId="10" fontId="0" fillId="38" borderId="11" xfId="0" applyNumberFormat="1" applyFill="1" applyBorder="1" applyAlignment="1">
      <alignment wrapText="1"/>
    </xf>
    <xf numFmtId="0" fontId="37" fillId="41" borderId="0" xfId="0" applyFont="1" applyFill="1"/>
    <xf numFmtId="0" fontId="30" fillId="0" borderId="11" xfId="0" applyFont="1" applyFill="1" applyBorder="1"/>
    <xf numFmtId="0" fontId="30" fillId="0" borderId="26" xfId="0" applyFont="1" applyFill="1" applyBorder="1" applyAlignment="1">
      <alignment horizontal="center"/>
    </xf>
    <xf numFmtId="0" fontId="30" fillId="0" borderId="25" xfId="0" applyFont="1" applyFill="1" applyBorder="1"/>
    <xf numFmtId="0" fontId="30" fillId="0" borderId="28" xfId="0" applyFont="1" applyFill="1" applyBorder="1" applyAlignment="1">
      <alignment horizontal="center"/>
    </xf>
    <xf numFmtId="0" fontId="30" fillId="0" borderId="29" xfId="0" applyFont="1" applyFill="1" applyBorder="1" applyAlignment="1">
      <alignment horizontal="center"/>
    </xf>
    <xf numFmtId="0" fontId="30" fillId="0" borderId="24" xfId="0" applyFont="1" applyFill="1" applyBorder="1" applyAlignment="1">
      <alignment horizontal="center"/>
    </xf>
    <xf numFmtId="0" fontId="30" fillId="0" borderId="25" xfId="0" applyFont="1" applyFill="1" applyBorder="1" applyAlignment="1">
      <alignment horizontal="left" vertical="top" wrapText="1"/>
    </xf>
    <xf numFmtId="10" fontId="29" fillId="0" borderId="30" xfId="0" applyNumberFormat="1" applyFont="1" applyFill="1" applyBorder="1" applyAlignment="1">
      <alignment horizontal="center"/>
    </xf>
    <xf numFmtId="10" fontId="29" fillId="0" borderId="31" xfId="0" applyNumberFormat="1" applyFont="1" applyFill="1" applyBorder="1" applyAlignment="1">
      <alignment horizontal="center"/>
    </xf>
    <xf numFmtId="10" fontId="29" fillId="0" borderId="32" xfId="0" applyNumberFormat="1" applyFont="1" applyFill="1" applyBorder="1" applyAlignment="1">
      <alignment horizontal="center"/>
    </xf>
    <xf numFmtId="0" fontId="29" fillId="0" borderId="11" xfId="0" applyFont="1" applyFill="1" applyBorder="1"/>
    <xf numFmtId="10" fontId="29" fillId="0" borderId="27" xfId="21" applyNumberFormat="1" applyFont="1" applyFill="1" applyBorder="1" applyAlignment="1">
      <alignment horizontal="center"/>
    </xf>
    <xf numFmtId="10" fontId="29" fillId="0" borderId="11" xfId="21" applyNumberFormat="1" applyFont="1" applyFill="1" applyBorder="1" applyAlignment="1">
      <alignment horizontal="center"/>
    </xf>
    <xf numFmtId="0" fontId="33" fillId="0" borderId="0" xfId="0" applyFont="1" applyAlignment="1">
      <alignment horizontal="right" wrapText="1"/>
    </xf>
    <xf numFmtId="15" fontId="32" fillId="0" borderId="0" xfId="0" applyNumberFormat="1" applyFont="1" applyAlignment="1">
      <alignment horizontal="right" wrapText="1"/>
    </xf>
    <xf numFmtId="0" fontId="32" fillId="0" borderId="0" xfId="0" applyFont="1" applyAlignment="1">
      <alignment horizontal="right" wrapText="1"/>
    </xf>
    <xf numFmtId="0" fontId="32" fillId="0" borderId="0" xfId="0" applyFont="1" applyAlignment="1">
      <alignment wrapText="1"/>
    </xf>
    <xf numFmtId="10" fontId="32" fillId="0" borderId="0" xfId="55961" applyNumberFormat="1" applyFont="1"/>
    <xf numFmtId="0" fontId="30" fillId="0" borderId="25" xfId="0" applyFont="1" applyFill="1" applyBorder="1" applyAlignment="1">
      <alignment horizontal="left" vertical="top"/>
    </xf>
    <xf numFmtId="10" fontId="29" fillId="38" borderId="27" xfId="21" applyNumberFormat="1" applyFont="1" applyFill="1" applyBorder="1" applyAlignment="1">
      <alignment horizontal="center"/>
    </xf>
    <xf numFmtId="10" fontId="29" fillId="38" borderId="11" xfId="21" applyNumberFormat="1" applyFont="1" applyFill="1" applyBorder="1" applyAlignment="1">
      <alignment horizontal="center"/>
    </xf>
    <xf numFmtId="173" fontId="32" fillId="38" borderId="0" xfId="0" applyNumberFormat="1" applyFont="1" applyFill="1"/>
    <xf numFmtId="169" fontId="33" fillId="38" borderId="0" xfId="1" applyNumberFormat="1" applyFont="1" applyFill="1"/>
    <xf numFmtId="169" fontId="33" fillId="38" borderId="0" xfId="1" applyNumberFormat="1" applyFont="1" applyFill="1" applyAlignment="1">
      <alignment horizontal="center" vertical="center"/>
    </xf>
    <xf numFmtId="0" fontId="32" fillId="38" borderId="0" xfId="0" applyFont="1" applyFill="1"/>
    <xf numFmtId="169" fontId="32" fillId="38" borderId="0" xfId="1" applyNumberFormat="1" applyFont="1" applyFill="1"/>
    <xf numFmtId="169" fontId="32" fillId="38" borderId="0" xfId="0" applyNumberFormat="1" applyFont="1" applyFill="1"/>
    <xf numFmtId="0" fontId="0" fillId="38" borderId="0" xfId="0" applyFill="1"/>
    <xf numFmtId="3" fontId="33" fillId="38" borderId="0" xfId="0" applyNumberFormat="1" applyFont="1" applyFill="1" applyBorder="1" applyAlignment="1">
      <alignment horizontal="center" vertical="center" wrapText="1"/>
    </xf>
    <xf numFmtId="0" fontId="39" fillId="43" borderId="33" xfId="0" applyFont="1" applyFill="1" applyBorder="1" applyAlignment="1">
      <alignment horizontal="center" vertical="center"/>
    </xf>
    <xf numFmtId="0" fontId="39" fillId="44" borderId="10" xfId="0" applyFont="1" applyFill="1" applyBorder="1" applyAlignment="1">
      <alignment horizontal="center" vertical="center"/>
    </xf>
    <xf numFmtId="0" fontId="39" fillId="43" borderId="10" xfId="0" applyFont="1" applyFill="1" applyBorder="1" applyAlignment="1">
      <alignment horizontal="center" vertical="center"/>
    </xf>
    <xf numFmtId="0" fontId="39" fillId="45" borderId="10" xfId="0" applyFont="1" applyFill="1" applyBorder="1" applyAlignment="1">
      <alignment horizontal="center" vertical="center"/>
    </xf>
    <xf numFmtId="0" fontId="40" fillId="0" borderId="10" xfId="0" applyFont="1" applyBorder="1" applyAlignment="1">
      <alignment horizontal="center" vertical="center"/>
    </xf>
    <xf numFmtId="0" fontId="40" fillId="0" borderId="10" xfId="0" applyFont="1" applyBorder="1" applyAlignment="1">
      <alignment vertical="center"/>
    </xf>
    <xf numFmtId="15" fontId="41" fillId="0" borderId="34" xfId="0" applyNumberFormat="1" applyFont="1" applyBorder="1" applyAlignment="1">
      <alignment horizontal="right" vertical="center"/>
    </xf>
    <xf numFmtId="0" fontId="41" fillId="0" borderId="35" xfId="0" applyFont="1" applyBorder="1" applyAlignment="1">
      <alignment vertical="center"/>
    </xf>
    <xf numFmtId="0" fontId="41" fillId="0" borderId="35" xfId="0" applyFont="1" applyBorder="1" applyAlignment="1">
      <alignment horizontal="right" vertical="center"/>
    </xf>
    <xf numFmtId="15" fontId="41" fillId="0" borderId="35" xfId="0" applyNumberFormat="1" applyFont="1" applyBorder="1" applyAlignment="1">
      <alignment horizontal="right" vertical="center"/>
    </xf>
    <xf numFmtId="0" fontId="42" fillId="0" borderId="35" xfId="0" applyFont="1" applyBorder="1" applyAlignment="1">
      <alignment vertical="center"/>
    </xf>
    <xf numFmtId="10" fontId="40" fillId="0" borderId="35" xfId="0" applyNumberFormat="1" applyFont="1" applyBorder="1" applyAlignment="1">
      <alignment horizontal="right" vertical="center"/>
    </xf>
    <xf numFmtId="0" fontId="42" fillId="0" borderId="35" xfId="0" applyFont="1" applyBorder="1" applyAlignment="1">
      <alignment horizontal="right" vertical="center"/>
    </xf>
    <xf numFmtId="0" fontId="41" fillId="0" borderId="34" xfId="0" applyFont="1" applyBorder="1" applyAlignment="1">
      <alignment vertical="center"/>
    </xf>
    <xf numFmtId="0" fontId="40" fillId="0" borderId="35" xfId="0" applyFont="1" applyBorder="1" applyAlignment="1">
      <alignment vertical="center"/>
    </xf>
    <xf numFmtId="0" fontId="43" fillId="0" borderId="36" xfId="0" applyFont="1" applyBorder="1" applyAlignment="1">
      <alignment vertical="center"/>
    </xf>
    <xf numFmtId="0" fontId="43" fillId="0" borderId="37" xfId="0" applyFont="1" applyBorder="1" applyAlignment="1">
      <alignment vertical="center"/>
    </xf>
    <xf numFmtId="4" fontId="44" fillId="0" borderId="37" xfId="0" applyNumberFormat="1" applyFont="1" applyBorder="1" applyAlignment="1">
      <alignment vertical="center"/>
    </xf>
    <xf numFmtId="169" fontId="42" fillId="0" borderId="35" xfId="1" applyNumberFormat="1" applyFont="1" applyBorder="1" applyAlignment="1">
      <alignment vertical="center"/>
    </xf>
    <xf numFmtId="167" fontId="41" fillId="0" borderId="35" xfId="1" applyFont="1" applyBorder="1" applyAlignment="1">
      <alignment vertical="center"/>
    </xf>
    <xf numFmtId="169" fontId="41" fillId="0" borderId="35" xfId="1" applyNumberFormat="1" applyFont="1" applyBorder="1" applyAlignment="1">
      <alignment vertical="center"/>
    </xf>
    <xf numFmtId="169" fontId="44" fillId="0" borderId="37" xfId="1" applyNumberFormat="1" applyFont="1" applyBorder="1" applyAlignment="1">
      <alignment vertical="center"/>
    </xf>
    <xf numFmtId="41" fontId="33" fillId="41" borderId="0" xfId="55962" applyFont="1" applyFill="1" applyAlignment="1">
      <alignment horizontal="center" vertical="center"/>
    </xf>
    <xf numFmtId="0" fontId="32" fillId="0" borderId="0" xfId="0" applyFont="1" applyAlignment="1">
      <alignment horizontal="center" vertical="center"/>
    </xf>
    <xf numFmtId="169" fontId="33" fillId="0" borderId="0" xfId="0" applyNumberFormat="1" applyFont="1" applyFill="1" applyBorder="1" applyAlignment="1">
      <alignment horizontal="center" wrapText="1"/>
    </xf>
    <xf numFmtId="0" fontId="47" fillId="0" borderId="0" xfId="0" applyFont="1"/>
    <xf numFmtId="167" fontId="47" fillId="38" borderId="0" xfId="1" applyNumberFormat="1" applyFont="1" applyFill="1"/>
    <xf numFmtId="167" fontId="47" fillId="0" borderId="0" xfId="1" applyNumberFormat="1" applyFont="1"/>
    <xf numFmtId="0" fontId="47" fillId="0" borderId="0" xfId="0" applyFont="1" applyAlignment="1">
      <alignment horizontal="center" vertical="center"/>
    </xf>
    <xf numFmtId="0" fontId="48" fillId="0" borderId="0" xfId="0" applyFont="1" applyAlignment="1">
      <alignment horizontal="center" vertical="center" wrapText="1"/>
    </xf>
    <xf numFmtId="167" fontId="48" fillId="38" borderId="0" xfId="1" applyNumberFormat="1" applyFont="1" applyFill="1" applyAlignment="1">
      <alignment horizontal="center" vertical="center"/>
    </xf>
    <xf numFmtId="167" fontId="48" fillId="0" borderId="0" xfId="1" applyNumberFormat="1" applyFont="1" applyAlignment="1">
      <alignment horizontal="center" vertical="center" wrapText="1"/>
    </xf>
    <xf numFmtId="173" fontId="48" fillId="0" borderId="0" xfId="0" applyNumberFormat="1" applyFont="1"/>
    <xf numFmtId="169" fontId="47" fillId="0" borderId="0" xfId="1" applyNumberFormat="1" applyFont="1" applyAlignment="1">
      <alignment wrapText="1"/>
    </xf>
    <xf numFmtId="38" fontId="48" fillId="0" borderId="0" xfId="0" applyNumberFormat="1" applyFont="1"/>
    <xf numFmtId="0" fontId="48" fillId="0" borderId="0" xfId="0" applyFont="1" applyAlignment="1">
      <alignment wrapText="1"/>
    </xf>
    <xf numFmtId="38" fontId="47" fillId="0" borderId="0" xfId="0" applyNumberFormat="1" applyFont="1"/>
    <xf numFmtId="169" fontId="47" fillId="0" borderId="0" xfId="1" applyNumberFormat="1" applyFont="1"/>
    <xf numFmtId="0" fontId="48" fillId="0" borderId="0" xfId="0" applyFont="1"/>
    <xf numFmtId="167" fontId="47" fillId="0" borderId="0" xfId="0" applyNumberFormat="1" applyFont="1"/>
    <xf numFmtId="173" fontId="48" fillId="42" borderId="0" xfId="0" applyNumberFormat="1" applyFont="1" applyFill="1"/>
    <xf numFmtId="38" fontId="47" fillId="42" borderId="0" xfId="0" applyNumberFormat="1" applyFont="1" applyFill="1"/>
    <xf numFmtId="38" fontId="48" fillId="42" borderId="0" xfId="0" applyNumberFormat="1" applyFont="1" applyFill="1"/>
    <xf numFmtId="169" fontId="47" fillId="42" borderId="0" xfId="1" applyNumberFormat="1" applyFont="1" applyFill="1" applyAlignment="1">
      <alignment wrapText="1"/>
    </xf>
    <xf numFmtId="167" fontId="47" fillId="42" borderId="0" xfId="1" applyNumberFormat="1" applyFont="1" applyFill="1"/>
    <xf numFmtId="0" fontId="47" fillId="42" borderId="0" xfId="0" applyFont="1" applyFill="1"/>
    <xf numFmtId="167" fontId="47" fillId="0" borderId="0" xfId="1" applyFont="1"/>
    <xf numFmtId="38" fontId="47" fillId="38" borderId="0" xfId="0" applyNumberFormat="1" applyFont="1" applyFill="1"/>
    <xf numFmtId="38" fontId="48" fillId="38" borderId="0" xfId="0" applyNumberFormat="1" applyFont="1" applyFill="1"/>
    <xf numFmtId="169" fontId="48" fillId="0" borderId="0" xfId="0" applyNumberFormat="1" applyFont="1"/>
    <xf numFmtId="167" fontId="47" fillId="0" borderId="0" xfId="1" applyNumberFormat="1" applyFont="1" applyFill="1"/>
    <xf numFmtId="169" fontId="47" fillId="0" borderId="0" xfId="0" applyNumberFormat="1" applyFont="1" applyFill="1"/>
    <xf numFmtId="0" fontId="47" fillId="0" borderId="0" xfId="0" applyFont="1" applyFill="1"/>
    <xf numFmtId="38" fontId="47" fillId="0" borderId="0" xfId="0" applyNumberFormat="1" applyFont="1" applyFill="1"/>
    <xf numFmtId="167" fontId="47" fillId="0" borderId="0" xfId="0" applyNumberFormat="1" applyFont="1" applyFill="1"/>
    <xf numFmtId="169" fontId="47" fillId="0" borderId="0" xfId="1" applyNumberFormat="1" applyFont="1" applyFill="1"/>
    <xf numFmtId="0" fontId="48" fillId="46" borderId="0" xfId="0" applyFont="1" applyFill="1"/>
    <xf numFmtId="38" fontId="48" fillId="46" borderId="0" xfId="0" applyNumberFormat="1" applyFont="1" applyFill="1"/>
    <xf numFmtId="0" fontId="48" fillId="0" borderId="0" xfId="0" applyFont="1" applyAlignment="1">
      <alignment horizontal="center" vertical="center"/>
    </xf>
    <xf numFmtId="0" fontId="49" fillId="47" borderId="0" xfId="0" applyFont="1" applyFill="1"/>
    <xf numFmtId="169" fontId="49" fillId="47" borderId="0" xfId="1" applyNumberFormat="1" applyFont="1" applyFill="1"/>
    <xf numFmtId="0" fontId="33" fillId="0" borderId="31" xfId="0" applyFont="1" applyFill="1" applyBorder="1" applyAlignment="1">
      <alignment horizontal="center" vertical="center" wrapText="1"/>
    </xf>
    <xf numFmtId="3" fontId="33" fillId="41" borderId="31" xfId="0" applyNumberFormat="1" applyFont="1" applyFill="1" applyBorder="1" applyAlignment="1">
      <alignment horizontal="center" vertical="center" wrapText="1"/>
    </xf>
    <xf numFmtId="0" fontId="33" fillId="40" borderId="31" xfId="0" applyFont="1" applyFill="1" applyBorder="1" applyAlignment="1">
      <alignment horizontal="center" vertical="center" wrapText="1"/>
    </xf>
    <xf numFmtId="169" fontId="33" fillId="0" borderId="31" xfId="0" applyNumberFormat="1" applyFont="1" applyFill="1" applyBorder="1" applyAlignment="1">
      <alignment horizontal="center" vertical="center" wrapText="1"/>
    </xf>
    <xf numFmtId="0" fontId="0" fillId="40" borderId="0" xfId="0" applyFill="1" applyAlignment="1">
      <alignment vertical="center"/>
    </xf>
    <xf numFmtId="169" fontId="33" fillId="0" borderId="31" xfId="1" applyNumberFormat="1" applyFont="1" applyBorder="1" applyAlignment="1">
      <alignment horizontal="center" vertical="center" wrapText="1"/>
    </xf>
    <xf numFmtId="169" fontId="33" fillId="41" borderId="31" xfId="1" applyNumberFormat="1" applyFont="1" applyFill="1" applyBorder="1" applyAlignment="1">
      <alignment horizontal="center" vertical="center" wrapText="1"/>
    </xf>
    <xf numFmtId="169" fontId="33" fillId="0" borderId="31" xfId="1" applyNumberFormat="1" applyFont="1" applyBorder="1" applyAlignment="1">
      <alignment vertical="center"/>
    </xf>
    <xf numFmtId="0" fontId="34" fillId="38" borderId="31" xfId="0" applyFont="1" applyFill="1" applyBorder="1" applyAlignment="1">
      <alignment horizontal="center" vertical="center" wrapText="1"/>
    </xf>
    <xf numFmtId="169" fontId="32" fillId="0" borderId="31" xfId="1" applyNumberFormat="1" applyFont="1" applyBorder="1" applyAlignment="1">
      <alignment horizontal="center" vertical="center"/>
    </xf>
    <xf numFmtId="169" fontId="47" fillId="0" borderId="0" xfId="0" applyNumberFormat="1" applyFont="1"/>
    <xf numFmtId="169" fontId="50" fillId="0" borderId="0" xfId="1" applyNumberFormat="1" applyFont="1"/>
    <xf numFmtId="38" fontId="51" fillId="0" borderId="0" xfId="0" applyNumberFormat="1" applyFont="1"/>
    <xf numFmtId="0" fontId="50" fillId="0" borderId="0" xfId="0" applyFont="1"/>
    <xf numFmtId="169" fontId="48" fillId="0" borderId="0" xfId="1" applyNumberFormat="1" applyFont="1" applyAlignment="1">
      <alignment wrapText="1"/>
    </xf>
    <xf numFmtId="169" fontId="48" fillId="38" borderId="0" xfId="1" applyNumberFormat="1" applyFont="1" applyFill="1" applyAlignment="1">
      <alignment wrapText="1"/>
    </xf>
    <xf numFmtId="169" fontId="47" fillId="46" borderId="0" xfId="0" applyNumberFormat="1" applyFont="1" applyFill="1"/>
    <xf numFmtId="0" fontId="0" fillId="0" borderId="0" xfId="0" applyAlignment="1">
      <alignment horizontal="right"/>
    </xf>
    <xf numFmtId="3" fontId="32" fillId="0" borderId="0" xfId="0" applyNumberFormat="1" applyFont="1" applyFill="1" applyBorder="1" applyAlignment="1">
      <alignment horizontal="right" vertical="center" wrapText="1"/>
    </xf>
    <xf numFmtId="3" fontId="32" fillId="38" borderId="0" xfId="0" applyNumberFormat="1" applyFont="1" applyFill="1" applyBorder="1" applyAlignment="1">
      <alignment horizontal="right" vertical="center" wrapText="1"/>
    </xf>
    <xf numFmtId="169" fontId="32" fillId="0" borderId="0" xfId="0" applyNumberFormat="1" applyFont="1" applyFill="1" applyBorder="1" applyAlignment="1">
      <alignment horizontal="center" wrapText="1"/>
    </xf>
    <xf numFmtId="169" fontId="32" fillId="0" borderId="0" xfId="0" applyNumberFormat="1" applyFont="1" applyFill="1" applyBorder="1" applyAlignment="1">
      <alignment horizontal="center" vertical="center" wrapText="1"/>
    </xf>
    <xf numFmtId="169" fontId="32" fillId="38" borderId="0" xfId="0" applyNumberFormat="1" applyFont="1" applyFill="1" applyBorder="1" applyAlignment="1">
      <alignment horizontal="center" vertical="center" wrapText="1"/>
    </xf>
    <xf numFmtId="169" fontId="33" fillId="0" borderId="0" xfId="1" applyNumberFormat="1" applyFont="1" applyFill="1"/>
    <xf numFmtId="40" fontId="47" fillId="38" borderId="0" xfId="0" applyNumberFormat="1" applyFont="1" applyFill="1"/>
    <xf numFmtId="40" fontId="47" fillId="38" borderId="0" xfId="1" applyNumberFormat="1" applyFont="1" applyFill="1"/>
    <xf numFmtId="0" fontId="47" fillId="46" borderId="0" xfId="0" applyFont="1" applyFill="1"/>
    <xf numFmtId="0" fontId="49" fillId="0" borderId="0" xfId="0" applyFont="1" applyFill="1"/>
    <xf numFmtId="0" fontId="48" fillId="0" borderId="0" xfId="0" applyFont="1" applyFill="1"/>
    <xf numFmtId="169" fontId="49" fillId="0" borderId="0" xfId="1" applyNumberFormat="1" applyFont="1" applyFill="1"/>
    <xf numFmtId="169" fontId="52" fillId="0" borderId="0" xfId="1" applyNumberFormat="1" applyFont="1" applyFill="1"/>
    <xf numFmtId="169" fontId="50" fillId="0" borderId="0" xfId="1" applyNumberFormat="1" applyFont="1" applyAlignment="1"/>
    <xf numFmtId="169" fontId="49" fillId="0" borderId="0" xfId="1" applyNumberFormat="1" applyFont="1" applyFill="1" applyAlignment="1">
      <alignment vertical="center"/>
    </xf>
    <xf numFmtId="169" fontId="52" fillId="0" borderId="0" xfId="1" applyNumberFormat="1" applyFont="1" applyFill="1" applyAlignment="1">
      <alignment vertical="center"/>
    </xf>
    <xf numFmtId="167" fontId="47" fillId="0" borderId="0" xfId="1" applyNumberFormat="1" applyFont="1" applyAlignment="1">
      <alignment vertical="center"/>
    </xf>
    <xf numFmtId="0" fontId="47" fillId="0" borderId="0" xfId="0" applyFont="1" applyAlignment="1">
      <alignment vertical="center"/>
    </xf>
    <xf numFmtId="0" fontId="49" fillId="48" borderId="0" xfId="0" applyFont="1" applyFill="1"/>
    <xf numFmtId="169" fontId="49" fillId="48" borderId="0" xfId="0" applyNumberFormat="1" applyFont="1" applyFill="1"/>
    <xf numFmtId="15" fontId="37" fillId="0" borderId="0" xfId="55963" applyNumberFormat="1" applyFont="1" applyFill="1" applyAlignment="1">
      <alignment horizontal="center"/>
    </xf>
    <xf numFmtId="167" fontId="37" fillId="0" borderId="41" xfId="55972" applyNumberFormat="1" applyFont="1" applyFill="1" applyBorder="1" applyAlignment="1">
      <alignment horizontal="center"/>
    </xf>
    <xf numFmtId="167" fontId="37" fillId="0" borderId="42" xfId="55972" applyNumberFormat="1" applyFont="1" applyFill="1" applyBorder="1" applyAlignment="1">
      <alignment horizontal="center"/>
    </xf>
    <xf numFmtId="167" fontId="37" fillId="0" borderId="0" xfId="55972" applyNumberFormat="1" applyFont="1" applyFill="1" applyBorder="1" applyAlignment="1">
      <alignment horizontal="center"/>
    </xf>
    <xf numFmtId="181" fontId="37" fillId="0" borderId="0" xfId="55972" applyNumberFormat="1" applyFont="1" applyFill="1" applyBorder="1" applyAlignment="1">
      <alignment horizontal="center"/>
    </xf>
    <xf numFmtId="181" fontId="37" fillId="0" borderId="42" xfId="55972" applyNumberFormat="1" applyFont="1" applyFill="1" applyBorder="1" applyAlignment="1">
      <alignment horizontal="center"/>
    </xf>
    <xf numFmtId="168" fontId="37" fillId="0" borderId="39" xfId="55972" applyNumberFormat="1" applyFont="1" applyFill="1" applyBorder="1" applyAlignment="1">
      <alignment horizontal="center"/>
    </xf>
    <xf numFmtId="181" fontId="37" fillId="0" borderId="11" xfId="55972" applyNumberFormat="1" applyFont="1" applyFill="1" applyBorder="1" applyAlignment="1">
      <alignment horizontal="center"/>
    </xf>
    <xf numFmtId="167" fontId="37" fillId="0" borderId="11" xfId="55972" applyFont="1" applyFill="1" applyBorder="1" applyAlignment="1">
      <alignment horizontal="center"/>
    </xf>
    <xf numFmtId="167" fontId="37" fillId="0" borderId="11" xfId="55972" applyNumberFormat="1" applyFont="1" applyFill="1" applyBorder="1" applyAlignment="1">
      <alignment horizontal="center"/>
    </xf>
    <xf numFmtId="167" fontId="37" fillId="0" borderId="11" xfId="55963" applyNumberFormat="1" applyFont="1" applyFill="1" applyBorder="1" applyAlignment="1">
      <alignment horizontal="center"/>
    </xf>
    <xf numFmtId="15" fontId="37" fillId="0" borderId="0" xfId="56001" applyNumberFormat="1" applyFont="1" applyFill="1" applyAlignment="1">
      <alignment horizontal="center"/>
    </xf>
    <xf numFmtId="167" fontId="37" fillId="0" borderId="41" xfId="56011" applyNumberFormat="1" applyFont="1" applyFill="1" applyBorder="1" applyAlignment="1">
      <alignment horizontal="center"/>
    </xf>
    <xf numFmtId="167" fontId="37" fillId="0" borderId="42" xfId="56011" applyNumberFormat="1" applyFont="1" applyFill="1" applyBorder="1" applyAlignment="1">
      <alignment horizontal="center"/>
    </xf>
    <xf numFmtId="167" fontId="37" fillId="0" borderId="0" xfId="56011" applyNumberFormat="1" applyFont="1" applyFill="1" applyBorder="1" applyAlignment="1">
      <alignment horizontal="center"/>
    </xf>
    <xf numFmtId="181" fontId="37" fillId="0" borderId="0" xfId="56011" applyNumberFormat="1" applyFont="1" applyFill="1" applyBorder="1" applyAlignment="1">
      <alignment horizontal="center"/>
    </xf>
    <xf numFmtId="181" fontId="37" fillId="0" borderId="42" xfId="56011" applyNumberFormat="1" applyFont="1" applyFill="1" applyBorder="1" applyAlignment="1">
      <alignment horizontal="center"/>
    </xf>
    <xf numFmtId="15" fontId="37" fillId="0" borderId="0" xfId="56013" applyNumberFormat="1" applyFont="1" applyFill="1" applyAlignment="1">
      <alignment horizontal="center"/>
    </xf>
    <xf numFmtId="167" fontId="37" fillId="0" borderId="41" xfId="56014" applyNumberFormat="1" applyFont="1" applyFill="1" applyBorder="1" applyAlignment="1">
      <alignment horizontal="center"/>
    </xf>
    <xf numFmtId="167" fontId="37" fillId="0" borderId="42" xfId="56014" applyNumberFormat="1" applyFont="1" applyFill="1" applyBorder="1" applyAlignment="1">
      <alignment horizontal="center"/>
    </xf>
    <xf numFmtId="167" fontId="37" fillId="0" borderId="0" xfId="56014" applyNumberFormat="1" applyFont="1" applyFill="1" applyBorder="1" applyAlignment="1">
      <alignment horizontal="center"/>
    </xf>
    <xf numFmtId="181" fontId="37" fillId="0" borderId="0" xfId="56014" applyNumberFormat="1" applyFont="1" applyFill="1" applyBorder="1" applyAlignment="1">
      <alignment horizontal="center"/>
    </xf>
    <xf numFmtId="181" fontId="37" fillId="0" borderId="42" xfId="56014" applyNumberFormat="1" applyFont="1" applyFill="1" applyBorder="1" applyAlignment="1">
      <alignment horizontal="center"/>
    </xf>
    <xf numFmtId="15" fontId="37" fillId="0" borderId="0" xfId="56016" applyNumberFormat="1" applyFont="1" applyFill="1" applyAlignment="1">
      <alignment horizontal="center"/>
    </xf>
    <xf numFmtId="167" fontId="37" fillId="0" borderId="41" xfId="56017" applyNumberFormat="1" applyFont="1" applyFill="1" applyBorder="1" applyAlignment="1">
      <alignment horizontal="center"/>
    </xf>
    <xf numFmtId="167" fontId="37" fillId="0" borderId="42" xfId="56017" applyNumberFormat="1" applyFont="1" applyFill="1" applyBorder="1" applyAlignment="1">
      <alignment horizontal="center"/>
    </xf>
    <xf numFmtId="167" fontId="37" fillId="0" borderId="0" xfId="56017" applyNumberFormat="1" applyFont="1" applyFill="1" applyBorder="1" applyAlignment="1">
      <alignment horizontal="center"/>
    </xf>
    <xf numFmtId="181" fontId="37" fillId="0" borderId="0" xfId="56017" applyNumberFormat="1" applyFont="1" applyFill="1" applyBorder="1" applyAlignment="1">
      <alignment horizontal="center"/>
    </xf>
    <xf numFmtId="181" fontId="37" fillId="0" borderId="42" xfId="56017" applyNumberFormat="1" applyFont="1" applyFill="1" applyBorder="1" applyAlignment="1">
      <alignment horizontal="center"/>
    </xf>
    <xf numFmtId="15" fontId="37" fillId="0" borderId="0" xfId="56019" applyNumberFormat="1" applyFont="1" applyFill="1" applyAlignment="1">
      <alignment horizontal="center"/>
    </xf>
    <xf numFmtId="167" fontId="37" fillId="0" borderId="41" xfId="56020" applyNumberFormat="1" applyFont="1" applyFill="1" applyBorder="1" applyAlignment="1">
      <alignment horizontal="center"/>
    </xf>
    <xf numFmtId="167" fontId="37" fillId="0" borderId="42" xfId="56020" applyNumberFormat="1" applyFont="1" applyFill="1" applyBorder="1" applyAlignment="1">
      <alignment horizontal="center"/>
    </xf>
    <xf numFmtId="167" fontId="37" fillId="0" borderId="0" xfId="56020" applyNumberFormat="1" applyFont="1" applyFill="1" applyBorder="1" applyAlignment="1">
      <alignment horizontal="center"/>
    </xf>
    <xf numFmtId="181" fontId="37" fillId="0" borderId="0" xfId="56020" applyNumberFormat="1" applyFont="1" applyFill="1" applyBorder="1" applyAlignment="1">
      <alignment horizontal="center"/>
    </xf>
    <xf numFmtId="181" fontId="37" fillId="0" borderId="42" xfId="56020" applyNumberFormat="1" applyFont="1" applyFill="1" applyBorder="1" applyAlignment="1">
      <alignment horizontal="center"/>
    </xf>
    <xf numFmtId="15" fontId="37" fillId="0" borderId="0" xfId="56029" applyNumberFormat="1" applyFont="1" applyFill="1" applyAlignment="1">
      <alignment horizontal="center"/>
    </xf>
    <xf numFmtId="167" fontId="37" fillId="0" borderId="41" xfId="56030" applyNumberFormat="1" applyFont="1" applyFill="1" applyBorder="1" applyAlignment="1">
      <alignment horizontal="center"/>
    </xf>
    <xf numFmtId="167" fontId="37" fillId="0" borderId="42" xfId="56030" applyNumberFormat="1" applyFont="1" applyFill="1" applyBorder="1" applyAlignment="1">
      <alignment horizontal="center"/>
    </xf>
    <xf numFmtId="167" fontId="37" fillId="0" borderId="0" xfId="56030" applyNumberFormat="1" applyFont="1" applyFill="1" applyBorder="1" applyAlignment="1">
      <alignment horizontal="center"/>
    </xf>
    <xf numFmtId="181" fontId="37" fillId="0" borderId="0" xfId="56030" applyNumberFormat="1" applyFont="1" applyFill="1" applyBorder="1" applyAlignment="1">
      <alignment horizontal="center"/>
    </xf>
    <xf numFmtId="181" fontId="37" fillId="0" borderId="42" xfId="56030" applyNumberFormat="1" applyFont="1" applyFill="1" applyBorder="1" applyAlignment="1">
      <alignment horizontal="center"/>
    </xf>
    <xf numFmtId="0" fontId="52" fillId="0" borderId="0" xfId="0" applyFont="1"/>
    <xf numFmtId="15" fontId="37" fillId="0" borderId="0" xfId="56032" applyNumberFormat="1" applyFont="1" applyFill="1" applyAlignment="1">
      <alignment horizontal="center"/>
    </xf>
    <xf numFmtId="167" fontId="37" fillId="0" borderId="41" xfId="56033" applyNumberFormat="1" applyFont="1" applyFill="1" applyBorder="1" applyAlignment="1">
      <alignment horizontal="center"/>
    </xf>
    <xf numFmtId="167" fontId="37" fillId="0" borderId="42" xfId="56033" applyNumberFormat="1" applyFont="1" applyFill="1" applyBorder="1" applyAlignment="1">
      <alignment horizontal="center"/>
    </xf>
    <xf numFmtId="167" fontId="37" fillId="0" borderId="0" xfId="56033" applyNumberFormat="1" applyFont="1" applyFill="1" applyBorder="1" applyAlignment="1">
      <alignment horizontal="center"/>
    </xf>
    <xf numFmtId="181" fontId="37" fillId="0" borderId="0" xfId="56033" applyNumberFormat="1" applyFont="1" applyFill="1" applyBorder="1" applyAlignment="1">
      <alignment horizontal="center"/>
    </xf>
    <xf numFmtId="181" fontId="37" fillId="0" borderId="42" xfId="56033" applyNumberFormat="1" applyFont="1" applyFill="1" applyBorder="1" applyAlignment="1">
      <alignment horizontal="center"/>
    </xf>
    <xf numFmtId="15" fontId="37" fillId="0" borderId="0" xfId="56035" applyNumberFormat="1" applyFont="1" applyFill="1" applyAlignment="1">
      <alignment horizontal="center"/>
    </xf>
    <xf numFmtId="167" fontId="37" fillId="0" borderId="41" xfId="56036" applyNumberFormat="1" applyFont="1" applyFill="1" applyBorder="1" applyAlignment="1">
      <alignment horizontal="center"/>
    </xf>
    <xf numFmtId="167" fontId="37" fillId="0" borderId="42" xfId="56036" applyNumberFormat="1" applyFont="1" applyFill="1" applyBorder="1" applyAlignment="1">
      <alignment horizontal="center"/>
    </xf>
    <xf numFmtId="167" fontId="37" fillId="0" borderId="0" xfId="56036" applyNumberFormat="1" applyFont="1" applyFill="1" applyBorder="1" applyAlignment="1">
      <alignment horizontal="center"/>
    </xf>
    <xf numFmtId="181" fontId="37" fillId="0" borderId="0" xfId="56036" applyNumberFormat="1" applyFont="1" applyFill="1" applyBorder="1" applyAlignment="1">
      <alignment horizontal="center"/>
    </xf>
    <xf numFmtId="181" fontId="37" fillId="0" borderId="42" xfId="56036" applyNumberFormat="1" applyFont="1" applyFill="1" applyBorder="1" applyAlignment="1">
      <alignment horizontal="center"/>
    </xf>
    <xf numFmtId="15" fontId="37" fillId="0" borderId="0" xfId="56038" applyNumberFormat="1" applyFont="1" applyFill="1" applyAlignment="1">
      <alignment horizontal="center"/>
    </xf>
    <xf numFmtId="167" fontId="37" fillId="0" borderId="41" xfId="56039" applyNumberFormat="1" applyFont="1" applyFill="1" applyBorder="1" applyAlignment="1">
      <alignment horizontal="center"/>
    </xf>
    <xf numFmtId="167" fontId="37" fillId="0" borderId="42" xfId="56039" applyNumberFormat="1" applyFont="1" applyFill="1" applyBorder="1" applyAlignment="1">
      <alignment horizontal="center"/>
    </xf>
    <xf numFmtId="167" fontId="37" fillId="0" borderId="0" xfId="56039" applyNumberFormat="1" applyFont="1" applyFill="1" applyBorder="1" applyAlignment="1">
      <alignment horizontal="center"/>
    </xf>
    <xf numFmtId="181" fontId="37" fillId="0" borderId="0" xfId="56039" applyNumberFormat="1" applyFont="1" applyFill="1" applyBorder="1" applyAlignment="1">
      <alignment horizontal="center"/>
    </xf>
    <xf numFmtId="181" fontId="37" fillId="0" borderId="42" xfId="56039" applyNumberFormat="1" applyFont="1" applyFill="1" applyBorder="1" applyAlignment="1">
      <alignment horizontal="center"/>
    </xf>
    <xf numFmtId="15" fontId="37" fillId="0" borderId="0" xfId="56041" applyNumberFormat="1" applyFont="1" applyFill="1" applyAlignment="1">
      <alignment horizontal="center"/>
    </xf>
    <xf numFmtId="167" fontId="37" fillId="0" borderId="41" xfId="56042" applyNumberFormat="1" applyFont="1" applyFill="1" applyBorder="1" applyAlignment="1">
      <alignment horizontal="center"/>
    </xf>
    <xf numFmtId="167" fontId="37" fillId="0" borderId="42" xfId="56042" applyNumberFormat="1" applyFont="1" applyFill="1" applyBorder="1" applyAlignment="1">
      <alignment horizontal="center"/>
    </xf>
    <xf numFmtId="167" fontId="37" fillId="0" borderId="0" xfId="56042" applyNumberFormat="1" applyFont="1" applyFill="1" applyBorder="1" applyAlignment="1">
      <alignment horizontal="center"/>
    </xf>
    <xf numFmtId="181" fontId="37" fillId="0" borderId="0" xfId="56042" applyNumberFormat="1" applyFont="1" applyFill="1" applyBorder="1" applyAlignment="1">
      <alignment horizontal="center"/>
    </xf>
    <xf numFmtId="181" fontId="37" fillId="0" borderId="42" xfId="56042" applyNumberFormat="1" applyFont="1" applyFill="1" applyBorder="1" applyAlignment="1">
      <alignment horizontal="center"/>
    </xf>
    <xf numFmtId="15" fontId="37" fillId="0" borderId="0" xfId="56044" applyNumberFormat="1" applyFont="1" applyFill="1" applyAlignment="1">
      <alignment horizontal="center"/>
    </xf>
    <xf numFmtId="167" fontId="37" fillId="0" borderId="41" xfId="56045" applyNumberFormat="1" applyFont="1" applyFill="1" applyBorder="1" applyAlignment="1">
      <alignment horizontal="center"/>
    </xf>
    <xf numFmtId="167" fontId="37" fillId="0" borderId="42" xfId="56045" applyNumberFormat="1" applyFont="1" applyFill="1" applyBorder="1" applyAlignment="1">
      <alignment horizontal="center"/>
    </xf>
    <xf numFmtId="167" fontId="37" fillId="0" borderId="0" xfId="56045" applyNumberFormat="1" applyFont="1" applyFill="1" applyBorder="1" applyAlignment="1">
      <alignment horizontal="center"/>
    </xf>
    <xf numFmtId="181" fontId="37" fillId="0" borderId="0" xfId="56045" applyNumberFormat="1" applyFont="1" applyFill="1" applyBorder="1" applyAlignment="1">
      <alignment horizontal="center"/>
    </xf>
    <xf numFmtId="181" fontId="37" fillId="0" borderId="42" xfId="56045" applyNumberFormat="1" applyFont="1" applyFill="1" applyBorder="1" applyAlignment="1">
      <alignment horizontal="center"/>
    </xf>
    <xf numFmtId="15" fontId="37" fillId="0" borderId="0" xfId="56047" applyNumberFormat="1" applyFont="1" applyFill="1" applyAlignment="1">
      <alignment horizontal="center"/>
    </xf>
    <xf numFmtId="167" fontId="37" fillId="0" borderId="41" xfId="56048" applyNumberFormat="1" applyFont="1" applyFill="1" applyBorder="1" applyAlignment="1">
      <alignment horizontal="center"/>
    </xf>
    <xf numFmtId="167" fontId="37" fillId="0" borderId="42" xfId="56048" applyNumberFormat="1" applyFont="1" applyFill="1" applyBorder="1" applyAlignment="1">
      <alignment horizontal="center"/>
    </xf>
    <xf numFmtId="167" fontId="37" fillId="0" borderId="0" xfId="56048" applyNumberFormat="1" applyFont="1" applyFill="1" applyBorder="1" applyAlignment="1">
      <alignment horizontal="center"/>
    </xf>
    <xf numFmtId="181" fontId="37" fillId="0" borderId="0" xfId="56048" applyNumberFormat="1" applyFont="1" applyFill="1" applyBorder="1" applyAlignment="1">
      <alignment horizontal="center"/>
    </xf>
    <xf numFmtId="181" fontId="37" fillId="0" borderId="42" xfId="56048" applyNumberFormat="1" applyFont="1" applyFill="1" applyBorder="1" applyAlignment="1">
      <alignment horizontal="center"/>
    </xf>
    <xf numFmtId="15" fontId="37" fillId="0" borderId="0" xfId="56050" applyNumberFormat="1" applyFont="1" applyFill="1" applyAlignment="1">
      <alignment horizontal="center"/>
    </xf>
    <xf numFmtId="167" fontId="37" fillId="0" borderId="41" xfId="56051" applyNumberFormat="1" applyFont="1" applyFill="1" applyBorder="1" applyAlignment="1">
      <alignment horizontal="center"/>
    </xf>
    <xf numFmtId="167" fontId="37" fillId="0" borderId="42" xfId="56051" applyNumberFormat="1" applyFont="1" applyFill="1" applyBorder="1" applyAlignment="1">
      <alignment horizontal="center"/>
    </xf>
    <xf numFmtId="167" fontId="37" fillId="0" borderId="0" xfId="56051" applyNumberFormat="1" applyFont="1" applyFill="1" applyBorder="1" applyAlignment="1">
      <alignment horizontal="center"/>
    </xf>
    <xf numFmtId="181" fontId="37" fillId="0" borderId="0" xfId="56051" applyNumberFormat="1" applyFont="1" applyFill="1" applyBorder="1" applyAlignment="1">
      <alignment horizontal="center"/>
    </xf>
    <xf numFmtId="181" fontId="37" fillId="0" borderId="42" xfId="56051" applyNumberFormat="1" applyFont="1" applyFill="1" applyBorder="1" applyAlignment="1">
      <alignment horizontal="center"/>
    </xf>
    <xf numFmtId="15" fontId="37" fillId="0" borderId="0" xfId="56053" applyNumberFormat="1" applyFont="1" applyFill="1" applyAlignment="1">
      <alignment horizontal="center"/>
    </xf>
    <xf numFmtId="167" fontId="37" fillId="0" borderId="41" xfId="56054" applyNumberFormat="1" applyFont="1" applyFill="1" applyBorder="1" applyAlignment="1">
      <alignment horizontal="center"/>
    </xf>
    <xf numFmtId="167" fontId="37" fillId="0" borderId="42" xfId="56054" applyNumberFormat="1" applyFont="1" applyFill="1" applyBorder="1" applyAlignment="1">
      <alignment horizontal="center"/>
    </xf>
    <xf numFmtId="167" fontId="37" fillId="0" borderId="0" xfId="56054" applyNumberFormat="1" applyFont="1" applyFill="1" applyBorder="1" applyAlignment="1">
      <alignment horizontal="center"/>
    </xf>
    <xf numFmtId="181" fontId="37" fillId="0" borderId="0" xfId="56054" applyNumberFormat="1" applyFont="1" applyFill="1" applyBorder="1" applyAlignment="1">
      <alignment horizontal="center"/>
    </xf>
    <xf numFmtId="181" fontId="37" fillId="0" borderId="42" xfId="56054" applyNumberFormat="1" applyFont="1" applyFill="1" applyBorder="1" applyAlignment="1">
      <alignment horizontal="center"/>
    </xf>
    <xf numFmtId="15" fontId="37" fillId="0" borderId="0" xfId="56056" applyNumberFormat="1" applyFont="1" applyFill="1" applyAlignment="1">
      <alignment horizontal="center"/>
    </xf>
    <xf numFmtId="167" fontId="37" fillId="0" borderId="41" xfId="56057" applyNumberFormat="1" applyFont="1" applyFill="1" applyBorder="1" applyAlignment="1">
      <alignment horizontal="center"/>
    </xf>
    <xf numFmtId="167" fontId="37" fillId="0" borderId="42" xfId="56057" applyNumberFormat="1" applyFont="1" applyFill="1" applyBorder="1" applyAlignment="1">
      <alignment horizontal="center"/>
    </xf>
    <xf numFmtId="167" fontId="37" fillId="0" borderId="0" xfId="56057" applyNumberFormat="1" applyFont="1" applyFill="1" applyBorder="1" applyAlignment="1">
      <alignment horizontal="center"/>
    </xf>
    <xf numFmtId="181" fontId="37" fillId="0" borderId="0" xfId="56057" applyNumberFormat="1" applyFont="1" applyFill="1" applyBorder="1" applyAlignment="1">
      <alignment horizontal="center"/>
    </xf>
    <xf numFmtId="181" fontId="37" fillId="0" borderId="42" xfId="56057" applyNumberFormat="1" applyFont="1" applyFill="1" applyBorder="1" applyAlignment="1">
      <alignment horizontal="center"/>
    </xf>
    <xf numFmtId="15" fontId="37" fillId="0" borderId="0" xfId="56059" applyNumberFormat="1" applyFont="1" applyFill="1" applyAlignment="1">
      <alignment horizontal="center"/>
    </xf>
    <xf numFmtId="167" fontId="37" fillId="0" borderId="41" xfId="56060" applyNumberFormat="1" applyFont="1" applyFill="1" applyBorder="1" applyAlignment="1">
      <alignment horizontal="center"/>
    </xf>
    <xf numFmtId="167" fontId="37" fillId="0" borderId="42" xfId="56060" applyNumberFormat="1" applyFont="1" applyFill="1" applyBorder="1" applyAlignment="1">
      <alignment horizontal="center"/>
    </xf>
    <xf numFmtId="167" fontId="37" fillId="0" borderId="0" xfId="56060" applyNumberFormat="1" applyFont="1" applyFill="1" applyBorder="1" applyAlignment="1">
      <alignment horizontal="center"/>
    </xf>
    <xf numFmtId="181" fontId="37" fillId="0" borderId="0" xfId="56060" applyNumberFormat="1" applyFont="1" applyFill="1" applyBorder="1" applyAlignment="1">
      <alignment horizontal="center"/>
    </xf>
    <xf numFmtId="181" fontId="37" fillId="0" borderId="42" xfId="56060" applyNumberFormat="1" applyFont="1" applyFill="1" applyBorder="1" applyAlignment="1">
      <alignment horizontal="center"/>
    </xf>
    <xf numFmtId="15" fontId="37" fillId="0" borderId="0" xfId="56062" applyNumberFormat="1" applyFont="1" applyFill="1" applyAlignment="1">
      <alignment horizontal="center"/>
    </xf>
    <xf numFmtId="167" fontId="37" fillId="0" borderId="41" xfId="56063" applyNumberFormat="1" applyFont="1" applyFill="1" applyBorder="1" applyAlignment="1">
      <alignment horizontal="center"/>
    </xf>
    <xf numFmtId="167" fontId="37" fillId="0" borderId="42" xfId="56063" applyNumberFormat="1" applyFont="1" applyFill="1" applyBorder="1" applyAlignment="1">
      <alignment horizontal="center"/>
    </xf>
    <xf numFmtId="167" fontId="37" fillId="0" borderId="0" xfId="56063" applyNumberFormat="1" applyFont="1" applyFill="1" applyBorder="1" applyAlignment="1">
      <alignment horizontal="center"/>
    </xf>
    <xf numFmtId="181" fontId="37" fillId="0" borderId="0" xfId="56063" applyNumberFormat="1" applyFont="1" applyFill="1" applyBorder="1" applyAlignment="1">
      <alignment horizontal="center"/>
    </xf>
    <xf numFmtId="181" fontId="37" fillId="0" borderId="42" xfId="56063" applyNumberFormat="1" applyFont="1" applyFill="1" applyBorder="1" applyAlignment="1">
      <alignment horizontal="center"/>
    </xf>
    <xf numFmtId="167" fontId="37" fillId="0" borderId="41" xfId="56066" applyNumberFormat="1" applyFont="1" applyFill="1" applyBorder="1" applyAlignment="1">
      <alignment horizontal="center"/>
    </xf>
    <xf numFmtId="167" fontId="37" fillId="0" borderId="42" xfId="56066" applyNumberFormat="1" applyFont="1" applyFill="1" applyBorder="1" applyAlignment="1">
      <alignment horizontal="center"/>
    </xf>
    <xf numFmtId="167" fontId="37" fillId="0" borderId="0" xfId="56066" applyNumberFormat="1" applyFont="1" applyFill="1" applyBorder="1" applyAlignment="1">
      <alignment horizontal="center"/>
    </xf>
    <xf numFmtId="181" fontId="37" fillId="0" borderId="0" xfId="56066" applyNumberFormat="1" applyFont="1" applyFill="1" applyBorder="1" applyAlignment="1">
      <alignment horizontal="center"/>
    </xf>
    <xf numFmtId="181" fontId="37" fillId="0" borderId="42" xfId="56066" applyNumberFormat="1" applyFont="1" applyFill="1" applyBorder="1" applyAlignment="1">
      <alignment horizontal="center"/>
    </xf>
    <xf numFmtId="15" fontId="37" fillId="0" borderId="0" xfId="56071" applyNumberFormat="1" applyFont="1" applyFill="1" applyAlignment="1">
      <alignment horizontal="center"/>
    </xf>
    <xf numFmtId="167" fontId="37" fillId="0" borderId="41" xfId="56072" applyNumberFormat="1" applyFont="1" applyFill="1" applyBorder="1" applyAlignment="1">
      <alignment horizontal="center"/>
    </xf>
    <xf numFmtId="167" fontId="37" fillId="0" borderId="42" xfId="56072" applyNumberFormat="1" applyFont="1" applyFill="1" applyBorder="1" applyAlignment="1">
      <alignment horizontal="center"/>
    </xf>
    <xf numFmtId="167" fontId="37" fillId="0" borderId="0" xfId="56072" applyNumberFormat="1" applyFont="1" applyFill="1" applyBorder="1" applyAlignment="1">
      <alignment horizontal="center"/>
    </xf>
    <xf numFmtId="181" fontId="37" fillId="0" borderId="0" xfId="56072" applyNumberFormat="1" applyFont="1" applyFill="1" applyBorder="1" applyAlignment="1">
      <alignment horizontal="center"/>
    </xf>
    <xf numFmtId="181" fontId="37" fillId="0" borderId="42" xfId="56072" applyNumberFormat="1" applyFont="1" applyFill="1" applyBorder="1" applyAlignment="1">
      <alignment horizontal="center"/>
    </xf>
    <xf numFmtId="15" fontId="37" fillId="0" borderId="0" xfId="56074" applyNumberFormat="1" applyFont="1" applyFill="1" applyAlignment="1">
      <alignment horizontal="center"/>
    </xf>
    <xf numFmtId="167" fontId="37" fillId="0" borderId="41" xfId="56075" applyNumberFormat="1" applyFont="1" applyFill="1" applyBorder="1" applyAlignment="1">
      <alignment horizontal="center"/>
    </xf>
    <xf numFmtId="167" fontId="37" fillId="0" borderId="42" xfId="56075" applyNumberFormat="1" applyFont="1" applyFill="1" applyBorder="1" applyAlignment="1">
      <alignment horizontal="center"/>
    </xf>
    <xf numFmtId="167" fontId="37" fillId="0" borderId="0" xfId="56075" applyNumberFormat="1" applyFont="1" applyFill="1" applyBorder="1" applyAlignment="1">
      <alignment horizontal="center"/>
    </xf>
    <xf numFmtId="181" fontId="37" fillId="0" borderId="0" xfId="56075" applyNumberFormat="1" applyFont="1" applyFill="1" applyBorder="1" applyAlignment="1">
      <alignment horizontal="center"/>
    </xf>
    <xf numFmtId="181" fontId="37" fillId="0" borderId="42" xfId="56075" applyNumberFormat="1" applyFont="1" applyFill="1" applyBorder="1" applyAlignment="1">
      <alignment horizontal="center"/>
    </xf>
    <xf numFmtId="15" fontId="37" fillId="0" borderId="0" xfId="56077" applyNumberFormat="1" applyFont="1" applyFill="1" applyAlignment="1">
      <alignment horizontal="center"/>
    </xf>
    <xf numFmtId="167" fontId="37" fillId="0" borderId="41" xfId="56078" applyNumberFormat="1" applyFont="1" applyFill="1" applyBorder="1" applyAlignment="1">
      <alignment horizontal="center"/>
    </xf>
    <xf numFmtId="167" fontId="37" fillId="0" borderId="42" xfId="56078" applyNumberFormat="1" applyFont="1" applyFill="1" applyBorder="1" applyAlignment="1">
      <alignment horizontal="center"/>
    </xf>
    <xf numFmtId="167" fontId="37" fillId="0" borderId="0" xfId="56078" applyNumberFormat="1" applyFont="1" applyFill="1" applyBorder="1" applyAlignment="1">
      <alignment horizontal="center"/>
    </xf>
    <xf numFmtId="181" fontId="37" fillId="0" borderId="0" xfId="56078" applyNumberFormat="1" applyFont="1" applyFill="1" applyBorder="1" applyAlignment="1">
      <alignment horizontal="center"/>
    </xf>
    <xf numFmtId="181" fontId="37" fillId="0" borderId="42" xfId="56078" applyNumberFormat="1" applyFont="1" applyFill="1" applyBorder="1" applyAlignment="1">
      <alignment horizontal="center"/>
    </xf>
    <xf numFmtId="15" fontId="37" fillId="0" borderId="0" xfId="56080" applyNumberFormat="1" applyFont="1" applyFill="1" applyAlignment="1">
      <alignment horizontal="center"/>
    </xf>
    <xf numFmtId="167" fontId="37" fillId="0" borderId="41" xfId="56081" applyNumberFormat="1" applyFont="1" applyFill="1" applyBorder="1" applyAlignment="1">
      <alignment horizontal="center"/>
    </xf>
    <xf numFmtId="167" fontId="37" fillId="0" borderId="42" xfId="56081" applyNumberFormat="1" applyFont="1" applyFill="1" applyBorder="1" applyAlignment="1">
      <alignment horizontal="center"/>
    </xf>
    <xf numFmtId="167" fontId="37" fillId="0" borderId="0" xfId="56081" applyNumberFormat="1" applyFont="1" applyFill="1" applyBorder="1" applyAlignment="1">
      <alignment horizontal="center"/>
    </xf>
    <xf numFmtId="181" fontId="37" fillId="0" borderId="0" xfId="56081" applyNumberFormat="1" applyFont="1" applyFill="1" applyBorder="1" applyAlignment="1">
      <alignment horizontal="center"/>
    </xf>
    <xf numFmtId="181" fontId="37" fillId="0" borderId="42" xfId="56081" applyNumberFormat="1" applyFont="1" applyFill="1" applyBorder="1" applyAlignment="1">
      <alignment horizontal="center"/>
    </xf>
    <xf numFmtId="15" fontId="37" fillId="0" borderId="0" xfId="56083" applyNumberFormat="1" applyFont="1" applyFill="1" applyAlignment="1">
      <alignment horizontal="center"/>
    </xf>
    <xf numFmtId="167" fontId="37" fillId="0" borderId="41" xfId="56084" applyNumberFormat="1" applyFont="1" applyFill="1" applyBorder="1" applyAlignment="1">
      <alignment horizontal="center"/>
    </xf>
    <xf numFmtId="167" fontId="37" fillId="0" borderId="42" xfId="56084" applyNumberFormat="1" applyFont="1" applyFill="1" applyBorder="1" applyAlignment="1">
      <alignment horizontal="center"/>
    </xf>
    <xf numFmtId="167" fontId="37" fillId="0" borderId="0" xfId="56084" applyNumberFormat="1" applyFont="1" applyFill="1" applyBorder="1" applyAlignment="1">
      <alignment horizontal="center"/>
    </xf>
    <xf numFmtId="181" fontId="37" fillId="0" borderId="0" xfId="56084" applyNumberFormat="1" applyFont="1" applyFill="1" applyBorder="1" applyAlignment="1">
      <alignment horizontal="center"/>
    </xf>
    <xf numFmtId="181" fontId="37" fillId="0" borderId="42" xfId="56084" applyNumberFormat="1" applyFont="1" applyFill="1" applyBorder="1" applyAlignment="1">
      <alignment horizontal="center"/>
    </xf>
    <xf numFmtId="15" fontId="37" fillId="0" borderId="0" xfId="56086" applyNumberFormat="1" applyFont="1" applyFill="1" applyAlignment="1">
      <alignment horizontal="center"/>
    </xf>
    <xf numFmtId="167" fontId="37" fillId="0" borderId="41" xfId="56087" applyNumberFormat="1" applyFont="1" applyFill="1" applyBorder="1" applyAlignment="1">
      <alignment horizontal="center"/>
    </xf>
    <xf numFmtId="167" fontId="37" fillId="0" borderId="42" xfId="56087" applyNumberFormat="1" applyFont="1" applyFill="1" applyBorder="1" applyAlignment="1">
      <alignment horizontal="center"/>
    </xf>
    <xf numFmtId="167" fontId="37" fillId="0" borderId="0" xfId="56087" applyNumberFormat="1" applyFont="1" applyFill="1" applyBorder="1" applyAlignment="1">
      <alignment horizontal="center"/>
    </xf>
    <xf numFmtId="181" fontId="37" fillId="0" borderId="0" xfId="56087" applyNumberFormat="1" applyFont="1" applyFill="1" applyBorder="1" applyAlignment="1">
      <alignment horizontal="center"/>
    </xf>
    <xf numFmtId="181" fontId="37" fillId="0" borderId="42" xfId="56087" applyNumberFormat="1" applyFont="1" applyFill="1" applyBorder="1" applyAlignment="1">
      <alignment horizontal="center"/>
    </xf>
    <xf numFmtId="15" fontId="37" fillId="0" borderId="0" xfId="56089" applyNumberFormat="1" applyFont="1" applyFill="1" applyAlignment="1">
      <alignment horizontal="center"/>
    </xf>
    <xf numFmtId="167" fontId="37" fillId="0" borderId="41" xfId="56090" applyNumberFormat="1" applyFont="1" applyFill="1" applyBorder="1" applyAlignment="1">
      <alignment horizontal="center"/>
    </xf>
    <xf numFmtId="167" fontId="37" fillId="0" borderId="42" xfId="56090" applyNumberFormat="1" applyFont="1" applyFill="1" applyBorder="1" applyAlignment="1">
      <alignment horizontal="center"/>
    </xf>
    <xf numFmtId="167" fontId="37" fillId="0" borderId="0" xfId="56090" applyNumberFormat="1" applyFont="1" applyFill="1" applyBorder="1" applyAlignment="1">
      <alignment horizontal="center"/>
    </xf>
    <xf numFmtId="181" fontId="37" fillId="0" borderId="0" xfId="56090" applyNumberFormat="1" applyFont="1" applyFill="1" applyBorder="1" applyAlignment="1">
      <alignment horizontal="center"/>
    </xf>
    <xf numFmtId="181" fontId="37" fillId="0" borderId="42" xfId="56090" applyNumberFormat="1" applyFont="1" applyFill="1" applyBorder="1" applyAlignment="1">
      <alignment horizontal="center"/>
    </xf>
    <xf numFmtId="15" fontId="37" fillId="0" borderId="0" xfId="56092" applyNumberFormat="1" applyFont="1" applyFill="1" applyAlignment="1">
      <alignment horizontal="center"/>
    </xf>
    <xf numFmtId="167" fontId="37" fillId="0" borderId="41" xfId="56093" applyNumberFormat="1" applyFont="1" applyFill="1" applyBorder="1" applyAlignment="1">
      <alignment horizontal="center"/>
    </xf>
    <xf numFmtId="167" fontId="37" fillId="0" borderId="42" xfId="56093" applyNumberFormat="1" applyFont="1" applyFill="1" applyBorder="1" applyAlignment="1">
      <alignment horizontal="center"/>
    </xf>
    <xf numFmtId="167" fontId="37" fillId="0" borderId="0" xfId="56093" applyNumberFormat="1" applyFont="1" applyFill="1" applyBorder="1" applyAlignment="1">
      <alignment horizontal="center"/>
    </xf>
    <xf numFmtId="181" fontId="37" fillId="0" borderId="0" xfId="56093" applyNumberFormat="1" applyFont="1" applyFill="1" applyBorder="1" applyAlignment="1">
      <alignment horizontal="center"/>
    </xf>
    <xf numFmtId="181" fontId="37" fillId="0" borderId="42" xfId="56093" applyNumberFormat="1" applyFont="1" applyFill="1" applyBorder="1" applyAlignment="1">
      <alignment horizontal="center"/>
    </xf>
    <xf numFmtId="15" fontId="37" fillId="0" borderId="0" xfId="56095" applyNumberFormat="1" applyFont="1" applyFill="1" applyAlignment="1">
      <alignment horizontal="center"/>
    </xf>
    <xf numFmtId="167" fontId="37" fillId="0" borderId="41" xfId="56096" applyNumberFormat="1" applyFont="1" applyFill="1" applyBorder="1" applyAlignment="1">
      <alignment horizontal="center"/>
    </xf>
    <xf numFmtId="167" fontId="37" fillId="0" borderId="42" xfId="56096" applyNumberFormat="1" applyFont="1" applyFill="1" applyBorder="1" applyAlignment="1">
      <alignment horizontal="center"/>
    </xf>
    <xf numFmtId="167" fontId="37" fillId="0" borderId="0" xfId="56096" applyNumberFormat="1" applyFont="1" applyFill="1" applyBorder="1" applyAlignment="1">
      <alignment horizontal="center"/>
    </xf>
    <xf numFmtId="181" fontId="37" fillId="0" borderId="0" xfId="56096" applyNumberFormat="1" applyFont="1" applyFill="1" applyBorder="1" applyAlignment="1">
      <alignment horizontal="center"/>
    </xf>
    <xf numFmtId="181" fontId="37" fillId="0" borderId="42" xfId="56096" applyNumberFormat="1" applyFont="1" applyFill="1" applyBorder="1" applyAlignment="1">
      <alignment horizontal="center"/>
    </xf>
    <xf numFmtId="15" fontId="37" fillId="0" borderId="0" xfId="56098" applyNumberFormat="1" applyFont="1" applyFill="1" applyAlignment="1">
      <alignment horizontal="center"/>
    </xf>
    <xf numFmtId="167" fontId="37" fillId="0" borderId="41" xfId="56099" applyNumberFormat="1" applyFont="1" applyFill="1" applyBorder="1" applyAlignment="1">
      <alignment horizontal="center"/>
    </xf>
    <xf numFmtId="167" fontId="37" fillId="0" borderId="42" xfId="56099" applyNumberFormat="1" applyFont="1" applyFill="1" applyBorder="1" applyAlignment="1">
      <alignment horizontal="center"/>
    </xf>
    <xf numFmtId="167" fontId="37" fillId="0" borderId="0" xfId="56099" applyNumberFormat="1" applyFont="1" applyFill="1" applyBorder="1" applyAlignment="1">
      <alignment horizontal="center"/>
    </xf>
    <xf numFmtId="181" fontId="37" fillId="0" borderId="0" xfId="56099" applyNumberFormat="1" applyFont="1" applyFill="1" applyBorder="1" applyAlignment="1">
      <alignment horizontal="center"/>
    </xf>
    <xf numFmtId="181" fontId="37" fillId="0" borderId="42" xfId="56099" applyNumberFormat="1" applyFont="1" applyFill="1" applyBorder="1" applyAlignment="1">
      <alignment horizontal="center"/>
    </xf>
    <xf numFmtId="15" fontId="37" fillId="0" borderId="0" xfId="56101" applyNumberFormat="1" applyFont="1" applyFill="1" applyAlignment="1">
      <alignment horizontal="center"/>
    </xf>
    <xf numFmtId="167" fontId="37" fillId="0" borderId="41" xfId="56102" applyNumberFormat="1" applyFont="1" applyFill="1" applyBorder="1" applyAlignment="1">
      <alignment horizontal="center"/>
    </xf>
    <xf numFmtId="167" fontId="37" fillId="0" borderId="42" xfId="56102" applyNumberFormat="1" applyFont="1" applyFill="1" applyBorder="1" applyAlignment="1">
      <alignment horizontal="center"/>
    </xf>
    <xf numFmtId="167" fontId="37" fillId="0" borderId="0" xfId="56102" applyNumberFormat="1" applyFont="1" applyFill="1" applyBorder="1" applyAlignment="1">
      <alignment horizontal="center"/>
    </xf>
    <xf numFmtId="181" fontId="37" fillId="0" borderId="0" xfId="56102" applyNumberFormat="1" applyFont="1" applyFill="1" applyBorder="1" applyAlignment="1">
      <alignment horizontal="center"/>
    </xf>
    <xf numFmtId="181" fontId="37" fillId="0" borderId="42" xfId="56102" applyNumberFormat="1" applyFont="1" applyFill="1" applyBorder="1" applyAlignment="1">
      <alignment horizontal="center"/>
    </xf>
    <xf numFmtId="167" fontId="37" fillId="0" borderId="41" xfId="56105" applyNumberFormat="1" applyFont="1" applyFill="1" applyBorder="1" applyAlignment="1">
      <alignment horizontal="center"/>
    </xf>
    <xf numFmtId="167" fontId="37" fillId="0" borderId="42" xfId="56105" applyNumberFormat="1" applyFont="1" applyFill="1" applyBorder="1" applyAlignment="1">
      <alignment horizontal="center"/>
    </xf>
    <xf numFmtId="167" fontId="37" fillId="0" borderId="0" xfId="56105" applyNumberFormat="1" applyFont="1" applyFill="1" applyBorder="1" applyAlignment="1">
      <alignment horizontal="center"/>
    </xf>
    <xf numFmtId="181" fontId="37" fillId="0" borderId="0" xfId="56105" applyNumberFormat="1" applyFont="1" applyFill="1" applyBorder="1" applyAlignment="1">
      <alignment horizontal="center"/>
    </xf>
    <xf numFmtId="181" fontId="37" fillId="0" borderId="42" xfId="56105" applyNumberFormat="1" applyFont="1" applyFill="1" applyBorder="1" applyAlignment="1">
      <alignment horizontal="center"/>
    </xf>
    <xf numFmtId="167" fontId="37" fillId="0" borderId="41" xfId="56108" applyNumberFormat="1" applyFont="1" applyFill="1" applyBorder="1" applyAlignment="1">
      <alignment horizontal="center"/>
    </xf>
    <xf numFmtId="167" fontId="37" fillId="0" borderId="42" xfId="56108" applyNumberFormat="1" applyFont="1" applyFill="1" applyBorder="1" applyAlignment="1">
      <alignment horizontal="center"/>
    </xf>
    <xf numFmtId="167" fontId="37" fillId="0" borderId="0" xfId="56108" applyNumberFormat="1" applyFont="1" applyFill="1" applyBorder="1" applyAlignment="1">
      <alignment horizontal="center"/>
    </xf>
    <xf numFmtId="181" fontId="37" fillId="0" borderId="0" xfId="56108" applyNumberFormat="1" applyFont="1" applyFill="1" applyBorder="1" applyAlignment="1">
      <alignment horizontal="center"/>
    </xf>
    <xf numFmtId="181" fontId="37" fillId="0" borderId="42" xfId="56108" applyNumberFormat="1" applyFont="1" applyFill="1" applyBorder="1" applyAlignment="1">
      <alignment horizontal="center"/>
    </xf>
    <xf numFmtId="15" fontId="37" fillId="0" borderId="0" xfId="56110" applyNumberFormat="1" applyFont="1" applyFill="1" applyAlignment="1">
      <alignment horizontal="center"/>
    </xf>
    <xf numFmtId="167" fontId="37" fillId="0" borderId="41" xfId="56111" applyNumberFormat="1" applyFont="1" applyFill="1" applyBorder="1" applyAlignment="1">
      <alignment horizontal="center"/>
    </xf>
    <xf numFmtId="167" fontId="37" fillId="0" borderId="42" xfId="56111" applyNumberFormat="1" applyFont="1" applyFill="1" applyBorder="1" applyAlignment="1">
      <alignment horizontal="center"/>
    </xf>
    <xf numFmtId="167" fontId="37" fillId="0" borderId="0" xfId="56111" applyNumberFormat="1" applyFont="1" applyFill="1" applyBorder="1" applyAlignment="1">
      <alignment horizontal="center"/>
    </xf>
    <xf numFmtId="181" fontId="37" fillId="0" borderId="0" xfId="56111" applyNumberFormat="1" applyFont="1" applyFill="1" applyBorder="1" applyAlignment="1">
      <alignment horizontal="center"/>
    </xf>
    <xf numFmtId="181" fontId="37" fillId="0" borderId="42" xfId="56111" applyNumberFormat="1" applyFont="1" applyFill="1" applyBorder="1" applyAlignment="1">
      <alignment horizontal="center"/>
    </xf>
    <xf numFmtId="15" fontId="37" fillId="0" borderId="0" xfId="56113" applyNumberFormat="1" applyFont="1" applyFill="1" applyAlignment="1">
      <alignment horizontal="center"/>
    </xf>
    <xf numFmtId="167" fontId="37" fillId="0" borderId="41" xfId="56114" applyNumberFormat="1" applyFont="1" applyFill="1" applyBorder="1" applyAlignment="1">
      <alignment horizontal="center"/>
    </xf>
    <xf numFmtId="167" fontId="37" fillId="0" borderId="42" xfId="56114" applyNumberFormat="1" applyFont="1" applyFill="1" applyBorder="1" applyAlignment="1">
      <alignment horizontal="center"/>
    </xf>
    <xf numFmtId="167" fontId="37" fillId="0" borderId="0" xfId="56114" applyNumberFormat="1" applyFont="1" applyFill="1" applyBorder="1" applyAlignment="1">
      <alignment horizontal="center"/>
    </xf>
    <xf numFmtId="181" fontId="37" fillId="0" borderId="0" xfId="56114" applyNumberFormat="1" applyFont="1" applyFill="1" applyBorder="1" applyAlignment="1">
      <alignment horizontal="center"/>
    </xf>
    <xf numFmtId="181" fontId="37" fillId="0" borderId="42" xfId="56114" applyNumberFormat="1" applyFont="1" applyFill="1" applyBorder="1" applyAlignment="1">
      <alignment horizontal="center"/>
    </xf>
    <xf numFmtId="15" fontId="37" fillId="0" borderId="0" xfId="56116" applyNumberFormat="1" applyFont="1" applyFill="1" applyAlignment="1">
      <alignment horizontal="center"/>
    </xf>
    <xf numFmtId="167" fontId="37" fillId="0" borderId="41" xfId="56117" applyNumberFormat="1" applyFont="1" applyFill="1" applyBorder="1" applyAlignment="1">
      <alignment horizontal="center"/>
    </xf>
    <xf numFmtId="167" fontId="37" fillId="0" borderId="42" xfId="56117" applyNumberFormat="1" applyFont="1" applyFill="1" applyBorder="1" applyAlignment="1">
      <alignment horizontal="center"/>
    </xf>
    <xf numFmtId="167" fontId="37" fillId="0" borderId="0" xfId="56117" applyNumberFormat="1" applyFont="1" applyFill="1" applyBorder="1" applyAlignment="1">
      <alignment horizontal="center"/>
    </xf>
    <xf numFmtId="181" fontId="37" fillId="0" borderId="0" xfId="56117" applyNumberFormat="1" applyFont="1" applyFill="1" applyBorder="1" applyAlignment="1">
      <alignment horizontal="center"/>
    </xf>
    <xf numFmtId="181" fontId="37" fillId="0" borderId="42" xfId="56117" applyNumberFormat="1" applyFont="1" applyFill="1" applyBorder="1" applyAlignment="1">
      <alignment horizontal="center"/>
    </xf>
    <xf numFmtId="15" fontId="37" fillId="0" borderId="0" xfId="56119" applyNumberFormat="1" applyFont="1" applyFill="1" applyAlignment="1">
      <alignment horizontal="center"/>
    </xf>
    <xf numFmtId="167" fontId="37" fillId="0" borderId="41" xfId="56120" applyNumberFormat="1" applyFont="1" applyFill="1" applyBorder="1" applyAlignment="1">
      <alignment horizontal="center"/>
    </xf>
    <xf numFmtId="167" fontId="37" fillId="0" borderId="42" xfId="56120" applyNumberFormat="1" applyFont="1" applyFill="1" applyBorder="1" applyAlignment="1">
      <alignment horizontal="center"/>
    </xf>
    <xf numFmtId="167" fontId="37" fillId="0" borderId="0" xfId="56120" applyNumberFormat="1" applyFont="1" applyFill="1" applyBorder="1" applyAlignment="1">
      <alignment horizontal="center"/>
    </xf>
    <xf numFmtId="181" fontId="37" fillId="0" borderId="0" xfId="56120" applyNumberFormat="1" applyFont="1" applyFill="1" applyBorder="1" applyAlignment="1">
      <alignment horizontal="center"/>
    </xf>
    <xf numFmtId="181" fontId="37" fillId="0" borderId="42" xfId="56120" applyNumberFormat="1" applyFont="1" applyFill="1" applyBorder="1" applyAlignment="1">
      <alignment horizontal="center"/>
    </xf>
    <xf numFmtId="167" fontId="37" fillId="0" borderId="41" xfId="56123" applyNumberFormat="1" applyFont="1" applyFill="1" applyBorder="1" applyAlignment="1">
      <alignment horizontal="center"/>
    </xf>
    <xf numFmtId="167" fontId="37" fillId="0" borderId="42" xfId="56123" applyNumberFormat="1" applyFont="1" applyFill="1" applyBorder="1" applyAlignment="1">
      <alignment horizontal="center"/>
    </xf>
    <xf numFmtId="167" fontId="37" fillId="0" borderId="0" xfId="56123" applyNumberFormat="1" applyFont="1" applyFill="1" applyBorder="1" applyAlignment="1">
      <alignment horizontal="center"/>
    </xf>
    <xf numFmtId="181" fontId="37" fillId="0" borderId="0" xfId="56123" applyNumberFormat="1" applyFont="1" applyFill="1" applyBorder="1" applyAlignment="1">
      <alignment horizontal="center"/>
    </xf>
    <xf numFmtId="181" fontId="37" fillId="0" borderId="42" xfId="56123" applyNumberFormat="1" applyFont="1" applyFill="1" applyBorder="1" applyAlignment="1">
      <alignment horizontal="center"/>
    </xf>
    <xf numFmtId="15" fontId="37" fillId="0" borderId="0" xfId="56125" applyNumberFormat="1" applyFont="1" applyFill="1" applyAlignment="1">
      <alignment horizontal="center"/>
    </xf>
    <xf numFmtId="167" fontId="37" fillId="0" borderId="41" xfId="56126" applyNumberFormat="1" applyFont="1" applyFill="1" applyBorder="1" applyAlignment="1">
      <alignment horizontal="center"/>
    </xf>
    <xf numFmtId="167" fontId="37" fillId="0" borderId="42" xfId="56126" applyNumberFormat="1" applyFont="1" applyFill="1" applyBorder="1" applyAlignment="1">
      <alignment horizontal="center"/>
    </xf>
    <xf numFmtId="167" fontId="37" fillId="0" borderId="0" xfId="56126" applyNumberFormat="1" applyFont="1" applyFill="1" applyBorder="1" applyAlignment="1">
      <alignment horizontal="center"/>
    </xf>
    <xf numFmtId="181" fontId="37" fillId="0" borderId="0" xfId="56126" applyNumberFormat="1" applyFont="1" applyFill="1" applyBorder="1" applyAlignment="1">
      <alignment horizontal="center"/>
    </xf>
    <xf numFmtId="181" fontId="37" fillId="0" borderId="42" xfId="56126" applyNumberFormat="1" applyFont="1" applyFill="1" applyBorder="1" applyAlignment="1">
      <alignment horizontal="center"/>
    </xf>
    <xf numFmtId="15" fontId="37" fillId="0" borderId="0" xfId="56128" applyNumberFormat="1" applyFont="1" applyFill="1" applyAlignment="1">
      <alignment horizontal="center"/>
    </xf>
    <xf numFmtId="167" fontId="37" fillId="0" borderId="41" xfId="56129" applyNumberFormat="1" applyFont="1" applyFill="1" applyBorder="1" applyAlignment="1">
      <alignment horizontal="center"/>
    </xf>
    <xf numFmtId="167" fontId="37" fillId="0" borderId="42" xfId="56129" applyNumberFormat="1" applyFont="1" applyFill="1" applyBorder="1" applyAlignment="1">
      <alignment horizontal="center"/>
    </xf>
    <xf numFmtId="167" fontId="37" fillId="0" borderId="0" xfId="56129" applyNumberFormat="1" applyFont="1" applyFill="1" applyBorder="1" applyAlignment="1">
      <alignment horizontal="center"/>
    </xf>
    <xf numFmtId="181" fontId="37" fillId="0" borderId="0" xfId="56129" applyNumberFormat="1" applyFont="1" applyFill="1" applyBorder="1" applyAlignment="1">
      <alignment horizontal="center"/>
    </xf>
    <xf numFmtId="181" fontId="37" fillId="0" borderId="42" xfId="56129" applyNumberFormat="1" applyFont="1" applyFill="1" applyBorder="1" applyAlignment="1">
      <alignment horizontal="center"/>
    </xf>
    <xf numFmtId="15" fontId="37" fillId="0" borderId="0" xfId="56131" applyNumberFormat="1" applyFont="1" applyFill="1" applyAlignment="1">
      <alignment horizontal="center"/>
    </xf>
    <xf numFmtId="167" fontId="37" fillId="0" borderId="41" xfId="56132" applyNumberFormat="1" applyFont="1" applyFill="1" applyBorder="1" applyAlignment="1">
      <alignment horizontal="center"/>
    </xf>
    <xf numFmtId="167" fontId="37" fillId="0" borderId="42" xfId="56132" applyNumberFormat="1" applyFont="1" applyFill="1" applyBorder="1" applyAlignment="1">
      <alignment horizontal="center"/>
    </xf>
    <xf numFmtId="167" fontId="37" fillId="0" borderId="0" xfId="56132" applyNumberFormat="1" applyFont="1" applyFill="1" applyBorder="1" applyAlignment="1">
      <alignment horizontal="center"/>
    </xf>
    <xf numFmtId="181" fontId="37" fillId="0" borderId="0" xfId="56132" applyNumberFormat="1" applyFont="1" applyFill="1" applyBorder="1" applyAlignment="1">
      <alignment horizontal="center"/>
    </xf>
    <xf numFmtId="181" fontId="37" fillId="0" borderId="42" xfId="56132" applyNumberFormat="1" applyFont="1" applyFill="1" applyBorder="1" applyAlignment="1">
      <alignment horizontal="center"/>
    </xf>
    <xf numFmtId="15" fontId="37" fillId="0" borderId="0" xfId="56134" applyNumberFormat="1" applyFont="1" applyFill="1" applyAlignment="1">
      <alignment horizontal="center"/>
    </xf>
    <xf numFmtId="167" fontId="37" fillId="0" borderId="41" xfId="56135" applyNumberFormat="1" applyFont="1" applyFill="1" applyBorder="1" applyAlignment="1">
      <alignment horizontal="center"/>
    </xf>
    <xf numFmtId="167" fontId="37" fillId="0" borderId="42" xfId="56135" applyNumberFormat="1" applyFont="1" applyFill="1" applyBorder="1" applyAlignment="1">
      <alignment horizontal="center"/>
    </xf>
    <xf numFmtId="167" fontId="37" fillId="0" borderId="0" xfId="56135" applyNumberFormat="1" applyFont="1" applyFill="1" applyBorder="1" applyAlignment="1">
      <alignment horizontal="center"/>
    </xf>
    <xf numFmtId="181" fontId="37" fillId="0" borderId="0" xfId="56135" applyNumberFormat="1" applyFont="1" applyFill="1" applyBorder="1" applyAlignment="1">
      <alignment horizontal="center"/>
    </xf>
    <xf numFmtId="181" fontId="37" fillId="0" borderId="42" xfId="56135" applyNumberFormat="1" applyFont="1" applyFill="1" applyBorder="1" applyAlignment="1">
      <alignment horizontal="center"/>
    </xf>
    <xf numFmtId="15" fontId="37" fillId="0" borderId="0" xfId="56137" applyNumberFormat="1" applyFont="1" applyFill="1" applyAlignment="1">
      <alignment horizontal="center"/>
    </xf>
    <xf numFmtId="167" fontId="37" fillId="0" borderId="41" xfId="56138" applyNumberFormat="1" applyFont="1" applyFill="1" applyBorder="1" applyAlignment="1">
      <alignment horizontal="center"/>
    </xf>
    <xf numFmtId="167" fontId="37" fillId="0" borderId="42" xfId="56138" applyNumberFormat="1" applyFont="1" applyFill="1" applyBorder="1" applyAlignment="1">
      <alignment horizontal="center"/>
    </xf>
    <xf numFmtId="167" fontId="37" fillId="0" borderId="0" xfId="56138" applyNumberFormat="1" applyFont="1" applyFill="1" applyBorder="1" applyAlignment="1">
      <alignment horizontal="center"/>
    </xf>
    <xf numFmtId="181" fontId="37" fillId="0" borderId="0" xfId="56138" applyNumberFormat="1" applyFont="1" applyFill="1" applyBorder="1" applyAlignment="1">
      <alignment horizontal="center"/>
    </xf>
    <xf numFmtId="181" fontId="37" fillId="0" borderId="42" xfId="56138" applyNumberFormat="1" applyFont="1" applyFill="1" applyBorder="1" applyAlignment="1">
      <alignment horizontal="center"/>
    </xf>
    <xf numFmtId="15" fontId="37" fillId="0" borderId="0" xfId="56140" applyNumberFormat="1" applyFont="1" applyFill="1" applyAlignment="1">
      <alignment horizontal="center"/>
    </xf>
    <xf numFmtId="167" fontId="37" fillId="0" borderId="41" xfId="56141" applyNumberFormat="1" applyFont="1" applyFill="1" applyBorder="1" applyAlignment="1">
      <alignment horizontal="center"/>
    </xf>
    <xf numFmtId="167" fontId="37" fillId="0" borderId="42" xfId="56141" applyNumberFormat="1" applyFont="1" applyFill="1" applyBorder="1" applyAlignment="1">
      <alignment horizontal="center"/>
    </xf>
    <xf numFmtId="167" fontId="37" fillId="0" borderId="0" xfId="56141" applyNumberFormat="1" applyFont="1" applyFill="1" applyBorder="1" applyAlignment="1">
      <alignment horizontal="center"/>
    </xf>
    <xf numFmtId="181" fontId="37" fillId="0" borderId="0" xfId="56141" applyNumberFormat="1" applyFont="1" applyFill="1" applyBorder="1" applyAlignment="1">
      <alignment horizontal="center"/>
    </xf>
    <xf numFmtId="181" fontId="37" fillId="0" borderId="42" xfId="56141" applyNumberFormat="1" applyFont="1" applyFill="1" applyBorder="1" applyAlignment="1">
      <alignment horizontal="center"/>
    </xf>
    <xf numFmtId="15" fontId="37" fillId="0" borderId="0" xfId="56143" applyNumberFormat="1" applyFont="1" applyFill="1" applyAlignment="1">
      <alignment horizontal="center"/>
    </xf>
    <xf numFmtId="167" fontId="37" fillId="0" borderId="41" xfId="56144" applyNumberFormat="1" applyFont="1" applyFill="1" applyBorder="1" applyAlignment="1">
      <alignment horizontal="center"/>
    </xf>
    <xf numFmtId="167" fontId="37" fillId="0" borderId="42" xfId="56144" applyNumberFormat="1" applyFont="1" applyFill="1" applyBorder="1" applyAlignment="1">
      <alignment horizontal="center"/>
    </xf>
    <xf numFmtId="167" fontId="37" fillId="0" borderId="0" xfId="56144" applyNumberFormat="1" applyFont="1" applyFill="1" applyBorder="1" applyAlignment="1">
      <alignment horizontal="center"/>
    </xf>
    <xf numFmtId="181" fontId="37" fillId="0" borderId="0" xfId="56144" applyNumberFormat="1" applyFont="1" applyFill="1" applyBorder="1" applyAlignment="1">
      <alignment horizontal="center"/>
    </xf>
    <xf numFmtId="181" fontId="37" fillId="0" borderId="42" xfId="56144" applyNumberFormat="1" applyFont="1" applyFill="1" applyBorder="1" applyAlignment="1">
      <alignment horizontal="center"/>
    </xf>
    <xf numFmtId="15" fontId="37" fillId="0" borderId="0" xfId="56146" applyNumberFormat="1" applyFont="1" applyFill="1" applyAlignment="1">
      <alignment horizontal="center"/>
    </xf>
    <xf numFmtId="167" fontId="37" fillId="0" borderId="41" xfId="56147" applyNumberFormat="1" applyFont="1" applyFill="1" applyBorder="1" applyAlignment="1">
      <alignment horizontal="center"/>
    </xf>
    <xf numFmtId="167" fontId="37" fillId="0" borderId="42" xfId="56147" applyNumberFormat="1" applyFont="1" applyFill="1" applyBorder="1" applyAlignment="1">
      <alignment horizontal="center"/>
    </xf>
    <xf numFmtId="167" fontId="37" fillId="0" borderId="0" xfId="56147" applyNumberFormat="1" applyFont="1" applyFill="1" applyBorder="1" applyAlignment="1">
      <alignment horizontal="center"/>
    </xf>
    <xf numFmtId="181" fontId="37" fillId="0" borderId="0" xfId="56147" applyNumberFormat="1" applyFont="1" applyFill="1" applyBorder="1" applyAlignment="1">
      <alignment horizontal="center"/>
    </xf>
    <xf numFmtId="181" fontId="37" fillId="0" borderId="42" xfId="56147" applyNumberFormat="1" applyFont="1" applyFill="1" applyBorder="1" applyAlignment="1">
      <alignment horizontal="center"/>
    </xf>
    <xf numFmtId="15" fontId="37" fillId="0" borderId="0" xfId="56149" applyNumberFormat="1" applyFont="1" applyFill="1" applyAlignment="1">
      <alignment horizontal="center"/>
    </xf>
    <xf numFmtId="167" fontId="37" fillId="0" borderId="41" xfId="56150" applyNumberFormat="1" applyFont="1" applyFill="1" applyBorder="1" applyAlignment="1">
      <alignment horizontal="center"/>
    </xf>
    <xf numFmtId="167" fontId="37" fillId="0" borderId="42" xfId="56150" applyNumberFormat="1" applyFont="1" applyFill="1" applyBorder="1" applyAlignment="1">
      <alignment horizontal="center"/>
    </xf>
    <xf numFmtId="167" fontId="37" fillId="0" borderId="0" xfId="56150" applyNumberFormat="1" applyFont="1" applyFill="1" applyBorder="1" applyAlignment="1">
      <alignment horizontal="center"/>
    </xf>
    <xf numFmtId="181" fontId="37" fillId="0" borderId="0" xfId="56150" applyNumberFormat="1" applyFont="1" applyFill="1" applyBorder="1" applyAlignment="1">
      <alignment horizontal="center"/>
    </xf>
    <xf numFmtId="181" fontId="37" fillId="0" borderId="42" xfId="56150" applyNumberFormat="1" applyFont="1" applyFill="1" applyBorder="1" applyAlignment="1">
      <alignment horizontal="center"/>
    </xf>
    <xf numFmtId="15" fontId="37" fillId="0" borderId="0" xfId="56152" applyNumberFormat="1" applyFont="1" applyFill="1" applyAlignment="1">
      <alignment horizontal="center"/>
    </xf>
    <xf numFmtId="167" fontId="37" fillId="0" borderId="41" xfId="56153" applyNumberFormat="1" applyFont="1" applyFill="1" applyBorder="1" applyAlignment="1">
      <alignment horizontal="center"/>
    </xf>
    <xf numFmtId="167" fontId="37" fillId="0" borderId="42" xfId="56153" applyNumberFormat="1" applyFont="1" applyFill="1" applyBorder="1" applyAlignment="1">
      <alignment horizontal="center"/>
    </xf>
    <xf numFmtId="167" fontId="37" fillId="0" borderId="0" xfId="56153" applyNumberFormat="1" applyFont="1" applyFill="1" applyBorder="1" applyAlignment="1">
      <alignment horizontal="center"/>
    </xf>
    <xf numFmtId="181" fontId="37" fillId="0" borderId="0" xfId="56153" applyNumberFormat="1" applyFont="1" applyFill="1" applyBorder="1" applyAlignment="1">
      <alignment horizontal="center"/>
    </xf>
    <xf numFmtId="181" fontId="37" fillId="0" borderId="42" xfId="56153" applyNumberFormat="1" applyFont="1" applyFill="1" applyBorder="1" applyAlignment="1">
      <alignment horizontal="center"/>
    </xf>
    <xf numFmtId="15" fontId="37" fillId="0" borderId="0" xfId="56155" applyNumberFormat="1" applyFont="1" applyFill="1" applyAlignment="1">
      <alignment horizontal="center"/>
    </xf>
    <xf numFmtId="167" fontId="37" fillId="0" borderId="41" xfId="56156" applyNumberFormat="1" applyFont="1" applyFill="1" applyBorder="1" applyAlignment="1">
      <alignment horizontal="center"/>
    </xf>
    <xf numFmtId="167" fontId="37" fillId="0" borderId="42" xfId="56156" applyNumberFormat="1" applyFont="1" applyFill="1" applyBorder="1" applyAlignment="1">
      <alignment horizontal="center"/>
    </xf>
    <xf numFmtId="167" fontId="37" fillId="0" borderId="0" xfId="56156" applyNumberFormat="1" applyFont="1" applyFill="1" applyBorder="1" applyAlignment="1">
      <alignment horizontal="center"/>
    </xf>
    <xf numFmtId="181" fontId="37" fillId="0" borderId="0" xfId="56156" applyNumberFormat="1" applyFont="1" applyFill="1" applyBorder="1" applyAlignment="1">
      <alignment horizontal="center"/>
    </xf>
    <xf numFmtId="181" fontId="37" fillId="0" borderId="42" xfId="56156" applyNumberFormat="1" applyFont="1" applyFill="1" applyBorder="1" applyAlignment="1">
      <alignment horizontal="center"/>
    </xf>
    <xf numFmtId="15" fontId="37" fillId="0" borderId="0" xfId="56158" applyNumberFormat="1" applyFont="1" applyFill="1" applyAlignment="1">
      <alignment horizontal="center"/>
    </xf>
    <xf numFmtId="167" fontId="37" fillId="0" borderId="41" xfId="56159" applyNumberFormat="1" applyFont="1" applyFill="1" applyBorder="1" applyAlignment="1">
      <alignment horizontal="center"/>
    </xf>
    <xf numFmtId="167" fontId="37" fillId="0" borderId="42" xfId="56159" applyNumberFormat="1" applyFont="1" applyFill="1" applyBorder="1" applyAlignment="1">
      <alignment horizontal="center"/>
    </xf>
    <xf numFmtId="167" fontId="37" fillId="0" borderId="0" xfId="56159" applyNumberFormat="1" applyFont="1" applyFill="1" applyBorder="1" applyAlignment="1">
      <alignment horizontal="center"/>
    </xf>
    <xf numFmtId="181" fontId="37" fillId="0" borderId="0" xfId="56159" applyNumberFormat="1" applyFont="1" applyFill="1" applyBorder="1" applyAlignment="1">
      <alignment horizontal="center"/>
    </xf>
    <xf numFmtId="181" fontId="37" fillId="0" borderId="42" xfId="56159" applyNumberFormat="1" applyFont="1" applyFill="1" applyBorder="1" applyAlignment="1">
      <alignment horizontal="center"/>
    </xf>
    <xf numFmtId="15" fontId="37" fillId="0" borderId="0" xfId="56166" applyNumberFormat="1" applyFont="1" applyFill="1" applyAlignment="1">
      <alignment horizontal="center"/>
    </xf>
    <xf numFmtId="167" fontId="37" fillId="0" borderId="41" xfId="56165" applyNumberFormat="1" applyFont="1" applyFill="1" applyBorder="1" applyAlignment="1">
      <alignment horizontal="center"/>
    </xf>
    <xf numFmtId="167" fontId="37" fillId="0" borderId="42" xfId="56165" applyNumberFormat="1" applyFont="1" applyFill="1" applyBorder="1" applyAlignment="1">
      <alignment horizontal="center"/>
    </xf>
    <xf numFmtId="167" fontId="37" fillId="0" borderId="0" xfId="56165" applyNumberFormat="1" applyFont="1" applyFill="1" applyBorder="1" applyAlignment="1">
      <alignment horizontal="center"/>
    </xf>
    <xf numFmtId="181" fontId="37" fillId="0" borderId="0" xfId="56165" applyNumberFormat="1" applyFont="1" applyFill="1" applyBorder="1" applyAlignment="1">
      <alignment horizontal="center"/>
    </xf>
    <xf numFmtId="181" fontId="37" fillId="0" borderId="42" xfId="56165" applyNumberFormat="1" applyFont="1" applyFill="1" applyBorder="1" applyAlignment="1">
      <alignment horizontal="center"/>
    </xf>
    <xf numFmtId="15" fontId="37" fillId="0" borderId="0" xfId="56167" applyNumberFormat="1" applyFont="1" applyFill="1" applyAlignment="1">
      <alignment horizontal="center"/>
    </xf>
    <xf numFmtId="167" fontId="37" fillId="0" borderId="41" xfId="56168" applyNumberFormat="1" applyFont="1" applyFill="1" applyBorder="1" applyAlignment="1">
      <alignment horizontal="center"/>
    </xf>
    <xf numFmtId="167" fontId="37" fillId="0" borderId="42" xfId="56168" applyNumberFormat="1" applyFont="1" applyFill="1" applyBorder="1" applyAlignment="1">
      <alignment horizontal="center"/>
    </xf>
    <xf numFmtId="167" fontId="37" fillId="0" borderId="0" xfId="56168" applyNumberFormat="1" applyFont="1" applyFill="1" applyBorder="1" applyAlignment="1">
      <alignment horizontal="center"/>
    </xf>
    <xf numFmtId="181" fontId="37" fillId="0" borderId="0" xfId="56168" applyNumberFormat="1" applyFont="1" applyFill="1" applyBorder="1" applyAlignment="1">
      <alignment horizontal="center"/>
    </xf>
    <xf numFmtId="181" fontId="37" fillId="0" borderId="42" xfId="56168" applyNumberFormat="1" applyFont="1" applyFill="1" applyBorder="1" applyAlignment="1">
      <alignment horizontal="center"/>
    </xf>
    <xf numFmtId="15" fontId="37" fillId="0" borderId="0" xfId="56178" applyNumberFormat="1" applyFont="1" applyFill="1" applyAlignment="1">
      <alignment horizontal="center"/>
    </xf>
    <xf numFmtId="167" fontId="37" fillId="0" borderId="41" xfId="56177" applyNumberFormat="1" applyFont="1" applyFill="1" applyBorder="1" applyAlignment="1">
      <alignment horizontal="center"/>
    </xf>
    <xf numFmtId="167" fontId="37" fillId="0" borderId="42" xfId="56177" applyNumberFormat="1" applyFont="1" applyFill="1" applyBorder="1" applyAlignment="1">
      <alignment horizontal="center"/>
    </xf>
    <xf numFmtId="167" fontId="37" fillId="0" borderId="0" xfId="56177" applyNumberFormat="1" applyFont="1" applyFill="1" applyBorder="1" applyAlignment="1">
      <alignment horizontal="center"/>
    </xf>
    <xf numFmtId="181" fontId="37" fillId="0" borderId="0" xfId="56177" applyNumberFormat="1" applyFont="1" applyFill="1" applyBorder="1" applyAlignment="1">
      <alignment horizontal="center"/>
    </xf>
    <xf numFmtId="181" fontId="37" fillId="0" borderId="42" xfId="56177" applyNumberFormat="1" applyFont="1" applyFill="1" applyBorder="1" applyAlignment="1">
      <alignment horizontal="center"/>
    </xf>
    <xf numFmtId="15" fontId="37" fillId="0" borderId="0" xfId="56179" applyNumberFormat="1" applyFont="1" applyFill="1" applyAlignment="1">
      <alignment horizontal="center"/>
    </xf>
    <xf numFmtId="167" fontId="37" fillId="0" borderId="41" xfId="56180" applyNumberFormat="1" applyFont="1" applyFill="1" applyBorder="1" applyAlignment="1">
      <alignment horizontal="center"/>
    </xf>
    <xf numFmtId="167" fontId="37" fillId="0" borderId="42" xfId="56180" applyNumberFormat="1" applyFont="1" applyFill="1" applyBorder="1" applyAlignment="1">
      <alignment horizontal="center"/>
    </xf>
    <xf numFmtId="167" fontId="37" fillId="0" borderId="0" xfId="56180" applyNumberFormat="1" applyFont="1" applyFill="1" applyBorder="1" applyAlignment="1">
      <alignment horizontal="center"/>
    </xf>
    <xf numFmtId="181" fontId="37" fillId="0" borderId="0" xfId="56180" applyNumberFormat="1" applyFont="1" applyFill="1" applyBorder="1" applyAlignment="1">
      <alignment horizontal="center"/>
    </xf>
    <xf numFmtId="181" fontId="37" fillId="0" borderId="42" xfId="56180" applyNumberFormat="1" applyFont="1" applyFill="1" applyBorder="1" applyAlignment="1">
      <alignment horizontal="center"/>
    </xf>
    <xf numFmtId="15" fontId="37" fillId="0" borderId="0" xfId="56182" applyNumberFormat="1" applyFont="1" applyFill="1" applyAlignment="1">
      <alignment horizontal="center"/>
    </xf>
    <xf numFmtId="167" fontId="37" fillId="0" borderId="41" xfId="56183" applyNumberFormat="1" applyFont="1" applyFill="1" applyBorder="1" applyAlignment="1">
      <alignment horizontal="center"/>
    </xf>
    <xf numFmtId="167" fontId="37" fillId="0" borderId="42" xfId="56183" applyNumberFormat="1" applyFont="1" applyFill="1" applyBorder="1" applyAlignment="1">
      <alignment horizontal="center"/>
    </xf>
    <xf numFmtId="167" fontId="37" fillId="0" borderId="0" xfId="56183" applyNumberFormat="1" applyFont="1" applyFill="1" applyBorder="1" applyAlignment="1">
      <alignment horizontal="center"/>
    </xf>
    <xf numFmtId="181" fontId="37" fillId="0" borderId="0" xfId="56183" applyNumberFormat="1" applyFont="1" applyFill="1" applyBorder="1" applyAlignment="1">
      <alignment horizontal="center"/>
    </xf>
    <xf numFmtId="181" fontId="37" fillId="0" borderId="42" xfId="56183" applyNumberFormat="1" applyFont="1" applyFill="1" applyBorder="1" applyAlignment="1">
      <alignment horizontal="center"/>
    </xf>
    <xf numFmtId="15" fontId="37" fillId="0" borderId="0" xfId="56185" applyNumberFormat="1" applyFont="1" applyFill="1" applyAlignment="1">
      <alignment horizontal="center"/>
    </xf>
    <xf numFmtId="167" fontId="37" fillId="0" borderId="41" xfId="56186" applyNumberFormat="1" applyFont="1" applyFill="1" applyBorder="1" applyAlignment="1">
      <alignment horizontal="center"/>
    </xf>
    <xf numFmtId="167" fontId="37" fillId="0" borderId="42" xfId="56186" applyNumberFormat="1" applyFont="1" applyFill="1" applyBorder="1" applyAlignment="1">
      <alignment horizontal="center"/>
    </xf>
    <xf numFmtId="167" fontId="37" fillId="0" borderId="0" xfId="56186" applyNumberFormat="1" applyFont="1" applyFill="1" applyBorder="1" applyAlignment="1">
      <alignment horizontal="center"/>
    </xf>
    <xf numFmtId="181" fontId="37" fillId="0" borderId="0" xfId="56186" applyNumberFormat="1" applyFont="1" applyFill="1" applyBorder="1" applyAlignment="1">
      <alignment horizontal="center"/>
    </xf>
    <xf numFmtId="181" fontId="37" fillId="0" borderId="42" xfId="56186" applyNumberFormat="1" applyFont="1" applyFill="1" applyBorder="1" applyAlignment="1">
      <alignment horizontal="center"/>
    </xf>
    <xf numFmtId="15" fontId="37" fillId="0" borderId="0" xfId="56188" applyNumberFormat="1" applyFont="1" applyFill="1" applyAlignment="1">
      <alignment horizontal="center"/>
    </xf>
    <xf numFmtId="167" fontId="37" fillId="0" borderId="41" xfId="56189" applyNumberFormat="1" applyFont="1" applyFill="1" applyBorder="1" applyAlignment="1">
      <alignment horizontal="center"/>
    </xf>
    <xf numFmtId="167" fontId="37" fillId="0" borderId="42" xfId="56189" applyNumberFormat="1" applyFont="1" applyFill="1" applyBorder="1" applyAlignment="1">
      <alignment horizontal="center"/>
    </xf>
    <xf numFmtId="167" fontId="37" fillId="0" borderId="0" xfId="56189" applyNumberFormat="1" applyFont="1" applyFill="1" applyBorder="1" applyAlignment="1">
      <alignment horizontal="center"/>
    </xf>
    <xf numFmtId="181" fontId="37" fillId="0" borderId="0" xfId="56189" applyNumberFormat="1" applyFont="1" applyFill="1" applyBorder="1" applyAlignment="1">
      <alignment horizontal="center"/>
    </xf>
    <xf numFmtId="181" fontId="37" fillId="0" borderId="42" xfId="56189" applyNumberFormat="1" applyFont="1" applyFill="1" applyBorder="1" applyAlignment="1">
      <alignment horizontal="center"/>
    </xf>
    <xf numFmtId="15" fontId="37" fillId="0" borderId="0" xfId="56191" applyNumberFormat="1" applyFont="1" applyFill="1" applyAlignment="1">
      <alignment horizontal="center"/>
    </xf>
    <xf numFmtId="167" fontId="37" fillId="0" borderId="41" xfId="56192" applyNumberFormat="1" applyFont="1" applyFill="1" applyBorder="1" applyAlignment="1">
      <alignment horizontal="center"/>
    </xf>
    <xf numFmtId="167" fontId="37" fillId="0" borderId="42" xfId="56192" applyNumberFormat="1" applyFont="1" applyFill="1" applyBorder="1" applyAlignment="1">
      <alignment horizontal="center"/>
    </xf>
    <xf numFmtId="167" fontId="37" fillId="0" borderId="0" xfId="56192" applyNumberFormat="1" applyFont="1" applyFill="1" applyBorder="1" applyAlignment="1">
      <alignment horizontal="center"/>
    </xf>
    <xf numFmtId="181" fontId="37" fillId="0" borderId="0" xfId="56192" applyNumberFormat="1" applyFont="1" applyFill="1" applyBorder="1" applyAlignment="1">
      <alignment horizontal="center"/>
    </xf>
    <xf numFmtId="181" fontId="37" fillId="0" borderId="42" xfId="56192" applyNumberFormat="1" applyFont="1" applyFill="1" applyBorder="1" applyAlignment="1">
      <alignment horizontal="center"/>
    </xf>
    <xf numFmtId="15" fontId="37" fillId="0" borderId="0" xfId="56194" applyNumberFormat="1" applyFont="1" applyFill="1" applyAlignment="1">
      <alignment horizontal="center"/>
    </xf>
    <xf numFmtId="167" fontId="37" fillId="0" borderId="41" xfId="56195" applyNumberFormat="1" applyFont="1" applyFill="1" applyBorder="1" applyAlignment="1">
      <alignment horizontal="center"/>
    </xf>
    <xf numFmtId="167" fontId="37" fillId="0" borderId="42" xfId="56195" applyNumberFormat="1" applyFont="1" applyFill="1" applyBorder="1" applyAlignment="1">
      <alignment horizontal="center"/>
    </xf>
    <xf numFmtId="167" fontId="37" fillId="0" borderId="0" xfId="56195" applyNumberFormat="1" applyFont="1" applyFill="1" applyBorder="1" applyAlignment="1">
      <alignment horizontal="center"/>
    </xf>
    <xf numFmtId="181" fontId="37" fillId="0" borderId="0" xfId="56195" applyNumberFormat="1" applyFont="1" applyFill="1" applyBorder="1" applyAlignment="1">
      <alignment horizontal="center"/>
    </xf>
    <xf numFmtId="181" fontId="37" fillId="0" borderId="42" xfId="56195" applyNumberFormat="1" applyFont="1" applyFill="1" applyBorder="1" applyAlignment="1">
      <alignment horizontal="center"/>
    </xf>
    <xf numFmtId="3" fontId="32" fillId="0" borderId="0" xfId="0" applyNumberFormat="1" applyFont="1"/>
    <xf numFmtId="15" fontId="37" fillId="0" borderId="0" xfId="56214" applyNumberFormat="1" applyFont="1" applyFill="1" applyAlignment="1">
      <alignment horizontal="center"/>
    </xf>
    <xf numFmtId="167" fontId="37" fillId="0" borderId="41" xfId="56213" applyNumberFormat="1" applyFont="1" applyFill="1" applyBorder="1" applyAlignment="1">
      <alignment horizontal="center"/>
    </xf>
    <xf numFmtId="167" fontId="37" fillId="0" borderId="42" xfId="56213" applyNumberFormat="1" applyFont="1" applyFill="1" applyBorder="1" applyAlignment="1">
      <alignment horizontal="center"/>
    </xf>
    <xf numFmtId="167" fontId="37" fillId="0" borderId="0" xfId="56213" applyNumberFormat="1" applyFont="1" applyFill="1" applyBorder="1" applyAlignment="1">
      <alignment horizontal="center"/>
    </xf>
    <xf numFmtId="181" fontId="37" fillId="0" borderId="0" xfId="56213" applyNumberFormat="1" applyFont="1" applyFill="1" applyBorder="1" applyAlignment="1">
      <alignment horizontal="center"/>
    </xf>
    <xf numFmtId="181" fontId="37" fillId="0" borderId="42" xfId="56213" applyNumberFormat="1" applyFont="1" applyFill="1" applyBorder="1" applyAlignment="1">
      <alignment horizontal="center"/>
    </xf>
    <xf numFmtId="15" fontId="37" fillId="0" borderId="0" xfId="56220" applyNumberFormat="1" applyFont="1" applyFill="1" applyAlignment="1">
      <alignment horizontal="center"/>
    </xf>
    <xf numFmtId="167" fontId="37" fillId="0" borderId="41" xfId="56219" applyNumberFormat="1" applyFont="1" applyFill="1" applyBorder="1" applyAlignment="1">
      <alignment horizontal="center"/>
    </xf>
    <xf numFmtId="167" fontId="37" fillId="0" borderId="42" xfId="56219" applyNumberFormat="1" applyFont="1" applyFill="1" applyBorder="1" applyAlignment="1">
      <alignment horizontal="center"/>
    </xf>
    <xf numFmtId="167" fontId="37" fillId="0" borderId="0" xfId="56219" applyNumberFormat="1" applyFont="1" applyFill="1" applyBorder="1" applyAlignment="1">
      <alignment horizontal="center"/>
    </xf>
    <xf numFmtId="181" fontId="37" fillId="0" borderId="0" xfId="56219" applyNumberFormat="1" applyFont="1" applyFill="1" applyBorder="1" applyAlignment="1">
      <alignment horizontal="center"/>
    </xf>
    <xf numFmtId="181" fontId="37" fillId="0" borderId="42" xfId="56219" applyNumberFormat="1" applyFont="1" applyFill="1" applyBorder="1" applyAlignment="1">
      <alignment horizontal="center"/>
    </xf>
    <xf numFmtId="15" fontId="37" fillId="0" borderId="0" xfId="56221" applyNumberFormat="1" applyFont="1" applyFill="1" applyAlignment="1">
      <alignment horizontal="center"/>
    </xf>
    <xf numFmtId="167" fontId="37" fillId="0" borderId="41" xfId="56222" applyNumberFormat="1" applyFont="1" applyFill="1" applyBorder="1" applyAlignment="1">
      <alignment horizontal="center"/>
    </xf>
    <xf numFmtId="167" fontId="37" fillId="0" borderId="42" xfId="56222" applyNumberFormat="1" applyFont="1" applyFill="1" applyBorder="1" applyAlignment="1">
      <alignment horizontal="center"/>
    </xf>
    <xf numFmtId="167" fontId="37" fillId="0" borderId="0" xfId="56222" applyNumberFormat="1" applyFont="1" applyFill="1" applyBorder="1" applyAlignment="1">
      <alignment horizontal="center"/>
    </xf>
    <xf numFmtId="181" fontId="37" fillId="0" borderId="0" xfId="56222" applyNumberFormat="1" applyFont="1" applyFill="1" applyBorder="1" applyAlignment="1">
      <alignment horizontal="center"/>
    </xf>
    <xf numFmtId="181" fontId="37" fillId="0" borderId="42" xfId="56222" applyNumberFormat="1" applyFont="1" applyFill="1" applyBorder="1" applyAlignment="1">
      <alignment horizontal="center"/>
    </xf>
    <xf numFmtId="15" fontId="37" fillId="0" borderId="0" xfId="56229" applyNumberFormat="1" applyFont="1" applyFill="1" applyAlignment="1">
      <alignment horizontal="center"/>
    </xf>
    <xf numFmtId="167" fontId="37" fillId="0" borderId="41" xfId="56228" applyNumberFormat="1" applyFont="1" applyFill="1" applyBorder="1" applyAlignment="1">
      <alignment horizontal="center"/>
    </xf>
    <xf numFmtId="167" fontId="37" fillId="0" borderId="42" xfId="56228" applyNumberFormat="1" applyFont="1" applyFill="1" applyBorder="1" applyAlignment="1">
      <alignment horizontal="center"/>
    </xf>
    <xf numFmtId="167" fontId="37" fillId="0" borderId="0" xfId="56228" applyNumberFormat="1" applyFont="1" applyFill="1" applyBorder="1" applyAlignment="1">
      <alignment horizontal="center"/>
    </xf>
    <xf numFmtId="181" fontId="37" fillId="0" borderId="0" xfId="56228" applyNumberFormat="1" applyFont="1" applyFill="1" applyBorder="1" applyAlignment="1">
      <alignment horizontal="center"/>
    </xf>
    <xf numFmtId="181" fontId="37" fillId="0" borderId="42" xfId="56228" applyNumberFormat="1" applyFont="1" applyFill="1" applyBorder="1" applyAlignment="1">
      <alignment horizontal="center"/>
    </xf>
    <xf numFmtId="15" fontId="37" fillId="0" borderId="0" xfId="56235" applyNumberFormat="1" applyFont="1" applyFill="1" applyAlignment="1">
      <alignment horizontal="center"/>
    </xf>
    <xf numFmtId="167" fontId="37" fillId="0" borderId="41" xfId="56234" applyNumberFormat="1" applyFont="1" applyFill="1" applyBorder="1" applyAlignment="1">
      <alignment horizontal="center"/>
    </xf>
    <xf numFmtId="167" fontId="37" fillId="0" borderId="42" xfId="56234" applyNumberFormat="1" applyFont="1" applyFill="1" applyBorder="1" applyAlignment="1">
      <alignment horizontal="center"/>
    </xf>
    <xf numFmtId="167" fontId="37" fillId="0" borderId="0" xfId="56234" applyNumberFormat="1" applyFont="1" applyFill="1" applyBorder="1" applyAlignment="1">
      <alignment horizontal="center"/>
    </xf>
    <xf numFmtId="181" fontId="37" fillId="0" borderId="0" xfId="56234" applyNumberFormat="1" applyFont="1" applyFill="1" applyBorder="1" applyAlignment="1">
      <alignment horizontal="center"/>
    </xf>
    <xf numFmtId="181" fontId="37" fillId="0" borderId="42" xfId="56234" applyNumberFormat="1" applyFont="1" applyFill="1" applyBorder="1" applyAlignment="1">
      <alignment horizontal="center"/>
    </xf>
    <xf numFmtId="15" fontId="37" fillId="0" borderId="0" xfId="56236" applyNumberFormat="1" applyFont="1" applyFill="1" applyAlignment="1">
      <alignment horizontal="center"/>
    </xf>
    <xf numFmtId="167" fontId="37" fillId="0" borderId="41" xfId="56237" applyNumberFormat="1" applyFont="1" applyFill="1" applyBorder="1" applyAlignment="1">
      <alignment horizontal="center"/>
    </xf>
    <xf numFmtId="167" fontId="37" fillId="0" borderId="42" xfId="56237" applyNumberFormat="1" applyFont="1" applyFill="1" applyBorder="1" applyAlignment="1">
      <alignment horizontal="center"/>
    </xf>
    <xf numFmtId="167" fontId="37" fillId="0" borderId="0" xfId="56237" applyNumberFormat="1" applyFont="1" applyFill="1" applyBorder="1" applyAlignment="1">
      <alignment horizontal="center"/>
    </xf>
    <xf numFmtId="181" fontId="37" fillId="0" borderId="0" xfId="56237" applyNumberFormat="1" applyFont="1" applyFill="1" applyBorder="1" applyAlignment="1">
      <alignment horizontal="center"/>
    </xf>
    <xf numFmtId="181" fontId="37" fillId="0" borderId="42" xfId="56237" applyNumberFormat="1" applyFont="1" applyFill="1" applyBorder="1" applyAlignment="1">
      <alignment horizontal="center"/>
    </xf>
    <xf numFmtId="15" fontId="37" fillId="0" borderId="0" xfId="56239" applyNumberFormat="1" applyFont="1" applyFill="1" applyAlignment="1">
      <alignment horizontal="center"/>
    </xf>
    <xf numFmtId="167" fontId="37" fillId="0" borderId="41" xfId="56240" applyNumberFormat="1" applyFont="1" applyFill="1" applyBorder="1" applyAlignment="1">
      <alignment horizontal="center"/>
    </xf>
    <xf numFmtId="167" fontId="37" fillId="0" borderId="42" xfId="56240" applyNumberFormat="1" applyFont="1" applyFill="1" applyBorder="1" applyAlignment="1">
      <alignment horizontal="center"/>
    </xf>
    <xf numFmtId="167" fontId="37" fillId="0" borderId="0" xfId="56240" applyNumberFormat="1" applyFont="1" applyFill="1" applyBorder="1" applyAlignment="1">
      <alignment horizontal="center"/>
    </xf>
    <xf numFmtId="181" fontId="37" fillId="0" borderId="0" xfId="56240" applyNumberFormat="1" applyFont="1" applyFill="1" applyBorder="1" applyAlignment="1">
      <alignment horizontal="center"/>
    </xf>
    <xf numFmtId="181" fontId="37" fillId="0" borderId="42" xfId="56240" applyNumberFormat="1" applyFont="1" applyFill="1" applyBorder="1" applyAlignment="1">
      <alignment horizontal="center"/>
    </xf>
    <xf numFmtId="15" fontId="37" fillId="0" borderId="0" xfId="56242" applyNumberFormat="1" applyFont="1" applyFill="1" applyAlignment="1">
      <alignment horizontal="center"/>
    </xf>
    <xf numFmtId="167" fontId="37" fillId="0" borderId="41" xfId="56243" applyNumberFormat="1" applyFont="1" applyFill="1" applyBorder="1" applyAlignment="1">
      <alignment horizontal="center"/>
    </xf>
    <xf numFmtId="167" fontId="37" fillId="0" borderId="42" xfId="56243" applyNumberFormat="1" applyFont="1" applyFill="1" applyBorder="1" applyAlignment="1">
      <alignment horizontal="center"/>
    </xf>
    <xf numFmtId="167" fontId="37" fillId="0" borderId="0" xfId="56243" applyNumberFormat="1" applyFont="1" applyFill="1" applyBorder="1" applyAlignment="1">
      <alignment horizontal="center"/>
    </xf>
    <xf numFmtId="181" fontId="37" fillId="0" borderId="0" xfId="56243" applyNumberFormat="1" applyFont="1" applyFill="1" applyBorder="1" applyAlignment="1">
      <alignment horizontal="center"/>
    </xf>
    <xf numFmtId="181" fontId="37" fillId="0" borderId="42" xfId="56243" applyNumberFormat="1" applyFont="1" applyFill="1" applyBorder="1" applyAlignment="1">
      <alignment horizontal="center"/>
    </xf>
    <xf numFmtId="15" fontId="37" fillId="0" borderId="0" xfId="56245" applyNumberFormat="1" applyFont="1" applyFill="1" applyAlignment="1">
      <alignment horizontal="center"/>
    </xf>
    <xf numFmtId="167" fontId="37" fillId="0" borderId="41" xfId="56246" applyNumberFormat="1" applyFont="1" applyFill="1" applyBorder="1" applyAlignment="1">
      <alignment horizontal="center"/>
    </xf>
    <xf numFmtId="167" fontId="37" fillId="0" borderId="42" xfId="56246" applyNumberFormat="1" applyFont="1" applyFill="1" applyBorder="1" applyAlignment="1">
      <alignment horizontal="center"/>
    </xf>
    <xf numFmtId="167" fontId="37" fillId="0" borderId="0" xfId="56246" applyNumberFormat="1" applyFont="1" applyFill="1" applyBorder="1" applyAlignment="1">
      <alignment horizontal="center"/>
    </xf>
    <xf numFmtId="181" fontId="37" fillId="0" borderId="0" xfId="56246" applyNumberFormat="1" applyFont="1" applyFill="1" applyBorder="1" applyAlignment="1">
      <alignment horizontal="center"/>
    </xf>
    <xf numFmtId="181" fontId="37" fillId="0" borderId="42" xfId="56246" applyNumberFormat="1" applyFont="1" applyFill="1" applyBorder="1" applyAlignment="1">
      <alignment horizontal="center"/>
    </xf>
    <xf numFmtId="15" fontId="37" fillId="0" borderId="0" xfId="56248" applyNumberFormat="1" applyFont="1" applyFill="1" applyAlignment="1">
      <alignment horizontal="center"/>
    </xf>
    <xf numFmtId="167" fontId="37" fillId="0" borderId="41" xfId="56249" applyNumberFormat="1" applyFont="1" applyFill="1" applyBorder="1" applyAlignment="1">
      <alignment horizontal="center"/>
    </xf>
    <xf numFmtId="167" fontId="37" fillId="0" borderId="42" xfId="56249" applyNumberFormat="1" applyFont="1" applyFill="1" applyBorder="1" applyAlignment="1">
      <alignment horizontal="center"/>
    </xf>
    <xf numFmtId="167" fontId="37" fillId="0" borderId="0" xfId="56249" applyNumberFormat="1" applyFont="1" applyFill="1" applyBorder="1" applyAlignment="1">
      <alignment horizontal="center"/>
    </xf>
    <xf numFmtId="181" fontId="37" fillId="0" borderId="0" xfId="56249" applyNumberFormat="1" applyFont="1" applyFill="1" applyBorder="1" applyAlignment="1">
      <alignment horizontal="center"/>
    </xf>
    <xf numFmtId="181" fontId="37" fillId="0" borderId="42" xfId="56249" applyNumberFormat="1" applyFont="1" applyFill="1" applyBorder="1" applyAlignment="1">
      <alignment horizontal="center"/>
    </xf>
    <xf numFmtId="15" fontId="37" fillId="0" borderId="0" xfId="56251" applyNumberFormat="1" applyFont="1" applyFill="1" applyAlignment="1">
      <alignment horizontal="center"/>
    </xf>
    <xf numFmtId="167" fontId="37" fillId="0" borderId="41" xfId="56252" applyNumberFormat="1" applyFont="1" applyFill="1" applyBorder="1" applyAlignment="1">
      <alignment horizontal="center"/>
    </xf>
    <xf numFmtId="167" fontId="37" fillId="0" borderId="42" xfId="56252" applyNumberFormat="1" applyFont="1" applyFill="1" applyBorder="1" applyAlignment="1">
      <alignment horizontal="center"/>
    </xf>
    <xf numFmtId="167" fontId="37" fillId="0" borderId="0" xfId="56252" applyNumberFormat="1" applyFont="1" applyFill="1" applyBorder="1" applyAlignment="1">
      <alignment horizontal="center"/>
    </xf>
    <xf numFmtId="181" fontId="37" fillId="0" borderId="0" xfId="56252" applyNumberFormat="1" applyFont="1" applyFill="1" applyBorder="1" applyAlignment="1">
      <alignment horizontal="center"/>
    </xf>
    <xf numFmtId="181" fontId="37" fillId="0" borderId="42" xfId="56252" applyNumberFormat="1" applyFont="1" applyFill="1" applyBorder="1" applyAlignment="1">
      <alignment horizontal="center"/>
    </xf>
    <xf numFmtId="15" fontId="37" fillId="0" borderId="0" xfId="56254" applyNumberFormat="1" applyFont="1" applyFill="1" applyAlignment="1">
      <alignment horizontal="center"/>
    </xf>
    <xf numFmtId="167" fontId="37" fillId="0" borderId="41" xfId="56255" applyNumberFormat="1" applyFont="1" applyFill="1" applyBorder="1" applyAlignment="1">
      <alignment horizontal="center"/>
    </xf>
    <xf numFmtId="167" fontId="37" fillId="0" borderId="42" xfId="56255" applyNumberFormat="1" applyFont="1" applyFill="1" applyBorder="1" applyAlignment="1">
      <alignment horizontal="center"/>
    </xf>
    <xf numFmtId="167" fontId="37" fillId="0" borderId="0" xfId="56255" applyNumberFormat="1" applyFont="1" applyFill="1" applyBorder="1" applyAlignment="1">
      <alignment horizontal="center"/>
    </xf>
    <xf numFmtId="181" fontId="37" fillId="0" borderId="0" xfId="56255" applyNumberFormat="1" applyFont="1" applyFill="1" applyBorder="1" applyAlignment="1">
      <alignment horizontal="center"/>
    </xf>
    <xf numFmtId="181" fontId="37" fillId="0" borderId="42" xfId="56255" applyNumberFormat="1" applyFont="1" applyFill="1" applyBorder="1" applyAlignment="1">
      <alignment horizontal="center"/>
    </xf>
    <xf numFmtId="15" fontId="37" fillId="0" borderId="0" xfId="56257" applyNumberFormat="1" applyFont="1" applyFill="1" applyAlignment="1">
      <alignment horizontal="center"/>
    </xf>
    <xf numFmtId="167" fontId="37" fillId="0" borderId="41" xfId="56258" applyNumberFormat="1" applyFont="1" applyFill="1" applyBorder="1" applyAlignment="1">
      <alignment horizontal="center"/>
    </xf>
    <xf numFmtId="167" fontId="37" fillId="0" borderId="42" xfId="56258" applyNumberFormat="1" applyFont="1" applyFill="1" applyBorder="1" applyAlignment="1">
      <alignment horizontal="center"/>
    </xf>
    <xf numFmtId="167" fontId="37" fillId="0" borderId="0" xfId="56258" applyNumberFormat="1" applyFont="1" applyFill="1" applyBorder="1" applyAlignment="1">
      <alignment horizontal="center"/>
    </xf>
    <xf numFmtId="181" fontId="37" fillId="0" borderId="0" xfId="56258" applyNumberFormat="1" applyFont="1" applyFill="1" applyBorder="1" applyAlignment="1">
      <alignment horizontal="center"/>
    </xf>
    <xf numFmtId="181" fontId="37" fillId="0" borderId="42" xfId="56258" applyNumberFormat="1" applyFont="1" applyFill="1" applyBorder="1" applyAlignment="1">
      <alignment horizontal="center"/>
    </xf>
    <xf numFmtId="15" fontId="37" fillId="0" borderId="0" xfId="56260" applyNumberFormat="1" applyFont="1" applyFill="1" applyAlignment="1">
      <alignment horizontal="center"/>
    </xf>
    <xf numFmtId="167" fontId="37" fillId="0" borderId="41" xfId="56261" applyNumberFormat="1" applyFont="1" applyFill="1" applyBorder="1" applyAlignment="1">
      <alignment horizontal="center"/>
    </xf>
    <xf numFmtId="167" fontId="37" fillId="0" borderId="42" xfId="56261" applyNumberFormat="1" applyFont="1" applyFill="1" applyBorder="1" applyAlignment="1">
      <alignment horizontal="center"/>
    </xf>
    <xf numFmtId="167" fontId="37" fillId="0" borderId="0" xfId="56261" applyNumberFormat="1" applyFont="1" applyFill="1" applyBorder="1" applyAlignment="1">
      <alignment horizontal="center"/>
    </xf>
    <xf numFmtId="181" fontId="37" fillId="0" borderId="0" xfId="56261" applyNumberFormat="1" applyFont="1" applyFill="1" applyBorder="1" applyAlignment="1">
      <alignment horizontal="center"/>
    </xf>
    <xf numFmtId="181" fontId="37" fillId="0" borderId="42" xfId="56261" applyNumberFormat="1" applyFont="1" applyFill="1" applyBorder="1" applyAlignment="1">
      <alignment horizontal="center"/>
    </xf>
    <xf numFmtId="15" fontId="37" fillId="0" borderId="0" xfId="56263" applyNumberFormat="1" applyFont="1" applyFill="1" applyAlignment="1">
      <alignment horizontal="center"/>
    </xf>
    <xf numFmtId="167" fontId="37" fillId="0" borderId="41" xfId="56264" applyNumberFormat="1" applyFont="1" applyFill="1" applyBorder="1" applyAlignment="1">
      <alignment horizontal="center"/>
    </xf>
    <xf numFmtId="167" fontId="37" fillId="0" borderId="42" xfId="56264" applyNumberFormat="1" applyFont="1" applyFill="1" applyBorder="1" applyAlignment="1">
      <alignment horizontal="center"/>
    </xf>
    <xf numFmtId="167" fontId="37" fillId="0" borderId="0" xfId="56264" applyNumberFormat="1" applyFont="1" applyFill="1" applyBorder="1" applyAlignment="1">
      <alignment horizontal="center"/>
    </xf>
    <xf numFmtId="181" fontId="37" fillId="0" borderId="0" xfId="56264" applyNumberFormat="1" applyFont="1" applyFill="1" applyBorder="1" applyAlignment="1">
      <alignment horizontal="center"/>
    </xf>
    <xf numFmtId="181" fontId="37" fillId="0" borderId="42" xfId="56264" applyNumberFormat="1" applyFont="1" applyFill="1" applyBorder="1" applyAlignment="1">
      <alignment horizontal="center"/>
    </xf>
    <xf numFmtId="15" fontId="37" fillId="0" borderId="0" xfId="56266" applyNumberFormat="1" applyFont="1" applyFill="1" applyAlignment="1">
      <alignment horizontal="center"/>
    </xf>
    <xf numFmtId="167" fontId="37" fillId="0" borderId="41" xfId="56267" applyNumberFormat="1" applyFont="1" applyFill="1" applyBorder="1" applyAlignment="1">
      <alignment horizontal="center"/>
    </xf>
    <xf numFmtId="167" fontId="37" fillId="0" borderId="42" xfId="56267" applyNumberFormat="1" applyFont="1" applyFill="1" applyBorder="1" applyAlignment="1">
      <alignment horizontal="center"/>
    </xf>
    <xf numFmtId="167" fontId="37" fillId="0" borderId="0" xfId="56267" applyNumberFormat="1" applyFont="1" applyFill="1" applyBorder="1" applyAlignment="1">
      <alignment horizontal="center"/>
    </xf>
    <xf numFmtId="181" fontId="37" fillId="0" borderId="0" xfId="56267" applyNumberFormat="1" applyFont="1" applyFill="1" applyBorder="1" applyAlignment="1">
      <alignment horizontal="center"/>
    </xf>
    <xf numFmtId="181" fontId="37" fillId="0" borderId="42" xfId="56267" applyNumberFormat="1" applyFont="1" applyFill="1" applyBorder="1" applyAlignment="1">
      <alignment horizontal="center"/>
    </xf>
    <xf numFmtId="15" fontId="37" fillId="0" borderId="0" xfId="56269" applyNumberFormat="1" applyFont="1" applyFill="1" applyAlignment="1">
      <alignment horizontal="center"/>
    </xf>
    <xf numFmtId="167" fontId="37" fillId="0" borderId="41" xfId="56270" applyNumberFormat="1" applyFont="1" applyFill="1" applyBorder="1" applyAlignment="1">
      <alignment horizontal="center"/>
    </xf>
    <xf numFmtId="167" fontId="37" fillId="0" borderId="42" xfId="56270" applyNumberFormat="1" applyFont="1" applyFill="1" applyBorder="1" applyAlignment="1">
      <alignment horizontal="center"/>
    </xf>
    <xf numFmtId="167" fontId="37" fillId="0" borderId="0" xfId="56270" applyNumberFormat="1" applyFont="1" applyFill="1" applyBorder="1" applyAlignment="1">
      <alignment horizontal="center"/>
    </xf>
    <xf numFmtId="181" fontId="37" fillId="0" borderId="0" xfId="56270" applyNumberFormat="1" applyFont="1" applyFill="1" applyBorder="1" applyAlignment="1">
      <alignment horizontal="center"/>
    </xf>
    <xf numFmtId="181" fontId="37" fillId="0" borderId="42" xfId="56270" applyNumberFormat="1" applyFont="1" applyFill="1" applyBorder="1" applyAlignment="1">
      <alignment horizontal="center"/>
    </xf>
    <xf numFmtId="15" fontId="37" fillId="0" borderId="0" xfId="56272" applyNumberFormat="1" applyFont="1" applyFill="1" applyAlignment="1">
      <alignment horizontal="center"/>
    </xf>
    <xf numFmtId="167" fontId="37" fillId="0" borderId="41" xfId="56273" applyNumberFormat="1" applyFont="1" applyFill="1" applyBorder="1" applyAlignment="1">
      <alignment horizontal="center"/>
    </xf>
    <xf numFmtId="167" fontId="37" fillId="0" borderId="42" xfId="56273" applyNumberFormat="1" applyFont="1" applyFill="1" applyBorder="1" applyAlignment="1">
      <alignment horizontal="center"/>
    </xf>
    <xf numFmtId="167" fontId="37" fillId="0" borderId="0" xfId="56273" applyNumberFormat="1" applyFont="1" applyFill="1" applyBorder="1" applyAlignment="1">
      <alignment horizontal="center"/>
    </xf>
    <xf numFmtId="181" fontId="37" fillId="0" borderId="0" xfId="56273" applyNumberFormat="1" applyFont="1" applyFill="1" applyBorder="1" applyAlignment="1">
      <alignment horizontal="center"/>
    </xf>
    <xf numFmtId="181" fontId="37" fillId="0" borderId="42" xfId="56273" applyNumberFormat="1" applyFont="1" applyFill="1" applyBorder="1" applyAlignment="1">
      <alignment horizontal="center"/>
    </xf>
    <xf numFmtId="15" fontId="37" fillId="0" borderId="0" xfId="56275" applyNumberFormat="1" applyFont="1" applyFill="1" applyAlignment="1">
      <alignment horizontal="center"/>
    </xf>
    <xf numFmtId="167" fontId="37" fillId="0" borderId="41" xfId="56276" applyNumberFormat="1" applyFont="1" applyFill="1" applyBorder="1" applyAlignment="1">
      <alignment horizontal="center"/>
    </xf>
    <xf numFmtId="167" fontId="37" fillId="0" borderId="42" xfId="56276" applyNumberFormat="1" applyFont="1" applyFill="1" applyBorder="1" applyAlignment="1">
      <alignment horizontal="center"/>
    </xf>
    <xf numFmtId="167" fontId="37" fillId="0" borderId="0" xfId="56276" applyNumberFormat="1" applyFont="1" applyFill="1" applyBorder="1" applyAlignment="1">
      <alignment horizontal="center"/>
    </xf>
    <xf numFmtId="181" fontId="37" fillId="0" borderId="0" xfId="56276" applyNumberFormat="1" applyFont="1" applyFill="1" applyBorder="1" applyAlignment="1">
      <alignment horizontal="center"/>
    </xf>
    <xf numFmtId="181" fontId="37" fillId="0" borderId="42" xfId="56276" applyNumberFormat="1" applyFont="1" applyFill="1" applyBorder="1" applyAlignment="1">
      <alignment horizontal="center"/>
    </xf>
    <xf numFmtId="15" fontId="37" fillId="0" borderId="0" xfId="56278" applyNumberFormat="1" applyFont="1" applyFill="1" applyAlignment="1">
      <alignment horizontal="center"/>
    </xf>
    <xf numFmtId="167" fontId="37" fillId="0" borderId="41" xfId="56279" applyNumberFormat="1" applyFont="1" applyFill="1" applyBorder="1" applyAlignment="1">
      <alignment horizontal="center"/>
    </xf>
    <xf numFmtId="167" fontId="37" fillId="0" borderId="42" xfId="56279" applyNumberFormat="1" applyFont="1" applyFill="1" applyBorder="1" applyAlignment="1">
      <alignment horizontal="center"/>
    </xf>
    <xf numFmtId="167" fontId="37" fillId="0" borderId="0" xfId="56279" applyNumberFormat="1" applyFont="1" applyFill="1" applyBorder="1" applyAlignment="1">
      <alignment horizontal="center"/>
    </xf>
    <xf numFmtId="181" fontId="37" fillId="0" borderId="0" xfId="56279" applyNumberFormat="1" applyFont="1" applyFill="1" applyBorder="1" applyAlignment="1">
      <alignment horizontal="center"/>
    </xf>
    <xf numFmtId="181" fontId="37" fillId="0" borderId="42" xfId="56279" applyNumberFormat="1" applyFont="1" applyFill="1" applyBorder="1" applyAlignment="1">
      <alignment horizontal="center"/>
    </xf>
    <xf numFmtId="15" fontId="37" fillId="0" borderId="0" xfId="56281" applyNumberFormat="1" applyFont="1" applyFill="1" applyAlignment="1">
      <alignment horizontal="center"/>
    </xf>
    <xf numFmtId="167" fontId="37" fillId="0" borderId="41" xfId="56282" applyNumberFormat="1" applyFont="1" applyFill="1" applyBorder="1" applyAlignment="1">
      <alignment horizontal="center"/>
    </xf>
    <xf numFmtId="167" fontId="37" fillId="0" borderId="42" xfId="56282" applyNumberFormat="1" applyFont="1" applyFill="1" applyBorder="1" applyAlignment="1">
      <alignment horizontal="center"/>
    </xf>
    <xf numFmtId="167" fontId="37" fillId="0" borderId="0" xfId="56282" applyNumberFormat="1" applyFont="1" applyFill="1" applyBorder="1" applyAlignment="1">
      <alignment horizontal="center"/>
    </xf>
    <xf numFmtId="181" fontId="37" fillId="0" borderId="0" xfId="56282" applyNumberFormat="1" applyFont="1" applyFill="1" applyBorder="1" applyAlignment="1">
      <alignment horizontal="center"/>
    </xf>
    <xf numFmtId="181" fontId="37" fillId="0" borderId="42" xfId="56282" applyNumberFormat="1" applyFont="1" applyFill="1" applyBorder="1" applyAlignment="1">
      <alignment horizontal="center"/>
    </xf>
    <xf numFmtId="15" fontId="37" fillId="0" borderId="0" xfId="56284" applyNumberFormat="1" applyFont="1" applyFill="1" applyAlignment="1">
      <alignment horizontal="center"/>
    </xf>
    <xf numFmtId="167" fontId="37" fillId="0" borderId="41" xfId="56285" applyNumberFormat="1" applyFont="1" applyFill="1" applyBorder="1" applyAlignment="1">
      <alignment horizontal="center"/>
    </xf>
    <xf numFmtId="167" fontId="37" fillId="0" borderId="42" xfId="56285" applyNumberFormat="1" applyFont="1" applyFill="1" applyBorder="1" applyAlignment="1">
      <alignment horizontal="center"/>
    </xf>
    <xf numFmtId="167" fontId="37" fillId="0" borderId="0" xfId="56285" applyNumberFormat="1" applyFont="1" applyFill="1" applyBorder="1" applyAlignment="1">
      <alignment horizontal="center"/>
    </xf>
    <xf numFmtId="181" fontId="37" fillId="0" borderId="0" xfId="56285" applyNumberFormat="1" applyFont="1" applyFill="1" applyBorder="1" applyAlignment="1">
      <alignment horizontal="center"/>
    </xf>
    <xf numFmtId="181" fontId="37" fillId="0" borderId="42" xfId="56285" applyNumberFormat="1" applyFont="1" applyFill="1" applyBorder="1" applyAlignment="1">
      <alignment horizontal="center"/>
    </xf>
    <xf numFmtId="15" fontId="37" fillId="0" borderId="0" xfId="56292" applyNumberFormat="1" applyFont="1" applyFill="1" applyAlignment="1">
      <alignment horizontal="center"/>
    </xf>
    <xf numFmtId="167" fontId="37" fillId="0" borderId="41" xfId="56291" applyNumberFormat="1" applyFont="1" applyFill="1" applyBorder="1" applyAlignment="1">
      <alignment horizontal="center"/>
    </xf>
    <xf numFmtId="167" fontId="37" fillId="0" borderId="42" xfId="56291" applyNumberFormat="1" applyFont="1" applyFill="1" applyBorder="1" applyAlignment="1">
      <alignment horizontal="center"/>
    </xf>
    <xf numFmtId="167" fontId="37" fillId="0" borderId="0" xfId="56291" applyNumberFormat="1" applyFont="1" applyFill="1" applyBorder="1" applyAlignment="1">
      <alignment horizontal="center"/>
    </xf>
    <xf numFmtId="181" fontId="37" fillId="0" borderId="0" xfId="56291" applyNumberFormat="1" applyFont="1" applyFill="1" applyBorder="1" applyAlignment="1">
      <alignment horizontal="center"/>
    </xf>
    <xf numFmtId="181" fontId="37" fillId="0" borderId="42" xfId="56291" applyNumberFormat="1" applyFont="1" applyFill="1" applyBorder="1" applyAlignment="1">
      <alignment horizontal="center"/>
    </xf>
    <xf numFmtId="15" fontId="37" fillId="0" borderId="0" xfId="56293" applyNumberFormat="1" applyFont="1" applyFill="1" applyAlignment="1">
      <alignment horizontal="center"/>
    </xf>
    <xf numFmtId="167" fontId="37" fillId="0" borderId="41" xfId="56294" applyNumberFormat="1" applyFont="1" applyFill="1" applyBorder="1" applyAlignment="1">
      <alignment horizontal="center"/>
    </xf>
    <xf numFmtId="167" fontId="37" fillId="0" borderId="42" xfId="56294" applyNumberFormat="1" applyFont="1" applyFill="1" applyBorder="1" applyAlignment="1">
      <alignment horizontal="center"/>
    </xf>
    <xf numFmtId="167" fontId="37" fillId="0" borderId="0" xfId="56294" applyNumberFormat="1" applyFont="1" applyFill="1" applyBorder="1" applyAlignment="1">
      <alignment horizontal="center"/>
    </xf>
    <xf numFmtId="181" fontId="37" fillId="0" borderId="0" xfId="56294" applyNumberFormat="1" applyFont="1" applyFill="1" applyBorder="1" applyAlignment="1">
      <alignment horizontal="center"/>
    </xf>
    <xf numFmtId="181" fontId="37" fillId="0" borderId="42" xfId="56294" applyNumberFormat="1" applyFont="1" applyFill="1" applyBorder="1" applyAlignment="1">
      <alignment horizontal="center"/>
    </xf>
    <xf numFmtId="15" fontId="37" fillId="0" borderId="0" xfId="56296" applyNumberFormat="1" applyFont="1" applyFill="1" applyAlignment="1">
      <alignment horizontal="center"/>
    </xf>
    <xf numFmtId="167" fontId="37" fillId="0" borderId="41" xfId="56297" applyNumberFormat="1" applyFont="1" applyFill="1" applyBorder="1" applyAlignment="1">
      <alignment horizontal="center"/>
    </xf>
    <xf numFmtId="167" fontId="37" fillId="0" borderId="42" xfId="56297" applyNumberFormat="1" applyFont="1" applyFill="1" applyBorder="1" applyAlignment="1">
      <alignment horizontal="center"/>
    </xf>
    <xf numFmtId="167" fontId="37" fillId="0" borderId="0" xfId="56297" applyNumberFormat="1" applyFont="1" applyFill="1" applyBorder="1" applyAlignment="1">
      <alignment horizontal="center"/>
    </xf>
    <xf numFmtId="181" fontId="37" fillId="0" borderId="0" xfId="56297" applyNumberFormat="1" applyFont="1" applyFill="1" applyBorder="1" applyAlignment="1">
      <alignment horizontal="center"/>
    </xf>
    <xf numFmtId="181" fontId="37" fillId="0" borderId="42" xfId="56297" applyNumberFormat="1" applyFont="1" applyFill="1" applyBorder="1" applyAlignment="1">
      <alignment horizontal="center"/>
    </xf>
    <xf numFmtId="15" fontId="37" fillId="0" borderId="0" xfId="56299" applyNumberFormat="1" applyFont="1" applyFill="1" applyAlignment="1">
      <alignment horizontal="center"/>
    </xf>
    <xf numFmtId="167" fontId="37" fillId="0" borderId="41" xfId="56300" applyNumberFormat="1" applyFont="1" applyFill="1" applyBorder="1" applyAlignment="1">
      <alignment horizontal="center"/>
    </xf>
    <xf numFmtId="167" fontId="37" fillId="0" borderId="42" xfId="56300" applyNumberFormat="1" applyFont="1" applyFill="1" applyBorder="1" applyAlignment="1">
      <alignment horizontal="center"/>
    </xf>
    <xf numFmtId="167" fontId="37" fillId="0" borderId="0" xfId="56300" applyNumberFormat="1" applyFont="1" applyFill="1" applyBorder="1" applyAlignment="1">
      <alignment horizontal="center"/>
    </xf>
    <xf numFmtId="181" fontId="37" fillId="0" borderId="0" xfId="56300" applyNumberFormat="1" applyFont="1" applyFill="1" applyBorder="1" applyAlignment="1">
      <alignment horizontal="center"/>
    </xf>
    <xf numFmtId="181" fontId="37" fillId="0" borderId="42" xfId="56300" applyNumberFormat="1" applyFont="1" applyFill="1" applyBorder="1" applyAlignment="1">
      <alignment horizontal="center"/>
    </xf>
    <xf numFmtId="15" fontId="37" fillId="0" borderId="0" xfId="56308" applyNumberFormat="1" applyFont="1" applyFill="1" applyAlignment="1">
      <alignment horizontal="center"/>
    </xf>
    <xf numFmtId="167" fontId="37" fillId="0" borderId="41" xfId="56309" applyNumberFormat="1" applyFont="1" applyFill="1" applyBorder="1" applyAlignment="1">
      <alignment horizontal="center"/>
    </xf>
    <xf numFmtId="167" fontId="37" fillId="0" borderId="42" xfId="56309" applyNumberFormat="1" applyFont="1" applyFill="1" applyBorder="1" applyAlignment="1">
      <alignment horizontal="center"/>
    </xf>
    <xf numFmtId="167" fontId="37" fillId="0" borderId="0" xfId="56309" applyNumberFormat="1" applyFont="1" applyFill="1" applyBorder="1" applyAlignment="1">
      <alignment horizontal="center"/>
    </xf>
    <xf numFmtId="181" fontId="37" fillId="0" borderId="0" xfId="56309" applyNumberFormat="1" applyFont="1" applyFill="1" applyBorder="1" applyAlignment="1">
      <alignment horizontal="center"/>
    </xf>
    <xf numFmtId="181" fontId="37" fillId="0" borderId="42" xfId="56309" applyNumberFormat="1" applyFont="1" applyFill="1" applyBorder="1" applyAlignment="1">
      <alignment horizontal="center"/>
    </xf>
    <xf numFmtId="15" fontId="37" fillId="0" borderId="0" xfId="56311" applyNumberFormat="1" applyFont="1" applyFill="1" applyAlignment="1">
      <alignment horizontal="center"/>
    </xf>
    <xf numFmtId="167" fontId="37" fillId="0" borderId="41" xfId="56312" applyNumberFormat="1" applyFont="1" applyFill="1" applyBorder="1" applyAlignment="1">
      <alignment horizontal="center"/>
    </xf>
    <xf numFmtId="167" fontId="37" fillId="0" borderId="42" xfId="56312" applyNumberFormat="1" applyFont="1" applyFill="1" applyBorder="1" applyAlignment="1">
      <alignment horizontal="center"/>
    </xf>
    <xf numFmtId="167" fontId="37" fillId="0" borderId="0" xfId="56312" applyNumberFormat="1" applyFont="1" applyFill="1" applyBorder="1" applyAlignment="1">
      <alignment horizontal="center"/>
    </xf>
    <xf numFmtId="181" fontId="37" fillId="0" borderId="0" xfId="56312" applyNumberFormat="1" applyFont="1" applyFill="1" applyBorder="1" applyAlignment="1">
      <alignment horizontal="center"/>
    </xf>
    <xf numFmtId="181" fontId="37" fillId="0" borderId="42" xfId="56312" applyNumberFormat="1" applyFont="1" applyFill="1" applyBorder="1" applyAlignment="1">
      <alignment horizontal="center"/>
    </xf>
    <xf numFmtId="15" fontId="37" fillId="0" borderId="0" xfId="56319" applyNumberFormat="1" applyFont="1" applyFill="1" applyAlignment="1">
      <alignment horizontal="center"/>
    </xf>
    <xf numFmtId="167" fontId="37" fillId="0" borderId="41" xfId="56318" applyNumberFormat="1" applyFont="1" applyFill="1" applyBorder="1" applyAlignment="1">
      <alignment horizontal="center"/>
    </xf>
    <xf numFmtId="167" fontId="37" fillId="0" borderId="42" xfId="56318" applyNumberFormat="1" applyFont="1" applyFill="1" applyBorder="1" applyAlignment="1">
      <alignment horizontal="center"/>
    </xf>
    <xf numFmtId="167" fontId="37" fillId="0" borderId="0" xfId="56318" applyNumberFormat="1" applyFont="1" applyFill="1" applyBorder="1" applyAlignment="1">
      <alignment horizontal="center"/>
    </xf>
    <xf numFmtId="181" fontId="37" fillId="0" borderId="0" xfId="56318" applyNumberFormat="1" applyFont="1" applyFill="1" applyBorder="1" applyAlignment="1">
      <alignment horizontal="center"/>
    </xf>
    <xf numFmtId="181" fontId="37" fillId="0" borderId="42" xfId="56318" applyNumberFormat="1" applyFont="1" applyFill="1" applyBorder="1" applyAlignment="1">
      <alignment horizontal="center"/>
    </xf>
    <xf numFmtId="15" fontId="37" fillId="0" borderId="0" xfId="56320" applyNumberFormat="1" applyFont="1" applyFill="1" applyAlignment="1">
      <alignment horizontal="center"/>
    </xf>
    <xf numFmtId="167" fontId="37" fillId="0" borderId="41" xfId="56321" applyNumberFormat="1" applyFont="1" applyFill="1" applyBorder="1" applyAlignment="1">
      <alignment horizontal="center"/>
    </xf>
    <xf numFmtId="167" fontId="37" fillId="0" borderId="42" xfId="56321" applyNumberFormat="1" applyFont="1" applyFill="1" applyBorder="1" applyAlignment="1">
      <alignment horizontal="center"/>
    </xf>
    <xf numFmtId="167" fontId="37" fillId="0" borderId="0" xfId="56321" applyNumberFormat="1" applyFont="1" applyFill="1" applyBorder="1" applyAlignment="1">
      <alignment horizontal="center"/>
    </xf>
    <xf numFmtId="181" fontId="37" fillId="0" borderId="0" xfId="56321" applyNumberFormat="1" applyFont="1" applyFill="1" applyBorder="1" applyAlignment="1">
      <alignment horizontal="center"/>
    </xf>
    <xf numFmtId="181" fontId="37" fillId="0" borderId="42" xfId="56321" applyNumberFormat="1" applyFont="1" applyFill="1" applyBorder="1" applyAlignment="1">
      <alignment horizontal="center"/>
    </xf>
    <xf numFmtId="15" fontId="37" fillId="0" borderId="0" xfId="56323" applyNumberFormat="1" applyFont="1" applyFill="1" applyAlignment="1">
      <alignment horizontal="center"/>
    </xf>
    <xf numFmtId="167" fontId="37" fillId="0" borderId="41" xfId="56324" applyNumberFormat="1" applyFont="1" applyFill="1" applyBorder="1" applyAlignment="1">
      <alignment horizontal="center"/>
    </xf>
    <xf numFmtId="167" fontId="37" fillId="0" borderId="42" xfId="56324" applyNumberFormat="1" applyFont="1" applyFill="1" applyBorder="1" applyAlignment="1">
      <alignment horizontal="center"/>
    </xf>
    <xf numFmtId="167" fontId="37" fillId="0" borderId="0" xfId="56324" applyNumberFormat="1" applyFont="1" applyFill="1" applyBorder="1" applyAlignment="1">
      <alignment horizontal="center"/>
    </xf>
    <xf numFmtId="181" fontId="37" fillId="0" borderId="0" xfId="56324" applyNumberFormat="1" applyFont="1" applyFill="1" applyBorder="1" applyAlignment="1">
      <alignment horizontal="center"/>
    </xf>
    <xf numFmtId="181" fontId="37" fillId="0" borderId="42" xfId="56324" applyNumberFormat="1" applyFont="1" applyFill="1" applyBorder="1" applyAlignment="1">
      <alignment horizontal="center"/>
    </xf>
    <xf numFmtId="15" fontId="37" fillId="0" borderId="0" xfId="56326" applyNumberFormat="1" applyFont="1" applyFill="1" applyAlignment="1">
      <alignment horizontal="center"/>
    </xf>
    <xf numFmtId="167" fontId="37" fillId="0" borderId="41" xfId="56327" applyNumberFormat="1" applyFont="1" applyFill="1" applyBorder="1" applyAlignment="1">
      <alignment horizontal="center"/>
    </xf>
    <xf numFmtId="167" fontId="37" fillId="0" borderId="42" xfId="56327" applyNumberFormat="1" applyFont="1" applyFill="1" applyBorder="1" applyAlignment="1">
      <alignment horizontal="center"/>
    </xf>
    <xf numFmtId="167" fontId="37" fillId="0" borderId="0" xfId="56327" applyNumberFormat="1" applyFont="1" applyFill="1" applyBorder="1" applyAlignment="1">
      <alignment horizontal="center"/>
    </xf>
    <xf numFmtId="181" fontId="37" fillId="0" borderId="0" xfId="56327" applyNumberFormat="1" applyFont="1" applyFill="1" applyBorder="1" applyAlignment="1">
      <alignment horizontal="center"/>
    </xf>
    <xf numFmtId="181" fontId="37" fillId="0" borderId="42" xfId="56327" applyNumberFormat="1" applyFont="1" applyFill="1" applyBorder="1" applyAlignment="1">
      <alignment horizontal="center"/>
    </xf>
    <xf numFmtId="15" fontId="37" fillId="0" borderId="0" xfId="56334" applyNumberFormat="1" applyFont="1" applyFill="1" applyAlignment="1">
      <alignment horizontal="center"/>
    </xf>
    <xf numFmtId="167" fontId="37" fillId="0" borderId="41" xfId="56333" applyNumberFormat="1" applyFont="1" applyFill="1" applyBorder="1" applyAlignment="1">
      <alignment horizontal="center"/>
    </xf>
    <xf numFmtId="167" fontId="37" fillId="0" borderId="42" xfId="56333" applyNumberFormat="1" applyFont="1" applyFill="1" applyBorder="1" applyAlignment="1">
      <alignment horizontal="center"/>
    </xf>
    <xf numFmtId="167" fontId="37" fillId="0" borderId="0" xfId="56333" applyNumberFormat="1" applyFont="1" applyFill="1" applyBorder="1" applyAlignment="1">
      <alignment horizontal="center"/>
    </xf>
    <xf numFmtId="181" fontId="37" fillId="0" borderId="0" xfId="56333" applyNumberFormat="1" applyFont="1" applyFill="1" applyBorder="1" applyAlignment="1">
      <alignment horizontal="center"/>
    </xf>
    <xf numFmtId="181" fontId="37" fillId="0" borderId="42" xfId="56333" applyNumberFormat="1" applyFont="1" applyFill="1" applyBorder="1" applyAlignment="1">
      <alignment horizontal="center"/>
    </xf>
    <xf numFmtId="15" fontId="37" fillId="0" borderId="0" xfId="56335" applyNumberFormat="1" applyFont="1" applyFill="1" applyAlignment="1">
      <alignment horizontal="center"/>
    </xf>
    <xf numFmtId="167" fontId="37" fillId="0" borderId="41" xfId="56336" applyNumberFormat="1" applyFont="1" applyFill="1" applyBorder="1" applyAlignment="1">
      <alignment horizontal="center"/>
    </xf>
    <xf numFmtId="167" fontId="37" fillId="0" borderId="42" xfId="56336" applyNumberFormat="1" applyFont="1" applyFill="1" applyBorder="1" applyAlignment="1">
      <alignment horizontal="center"/>
    </xf>
    <xf numFmtId="167" fontId="37" fillId="0" borderId="0" xfId="56336" applyNumberFormat="1" applyFont="1" applyFill="1" applyBorder="1" applyAlignment="1">
      <alignment horizontal="center"/>
    </xf>
    <xf numFmtId="181" fontId="37" fillId="0" borderId="0" xfId="56336" applyNumberFormat="1" applyFont="1" applyFill="1" applyBorder="1" applyAlignment="1">
      <alignment horizontal="center"/>
    </xf>
    <xf numFmtId="181" fontId="37" fillId="0" borderId="42" xfId="56336" applyNumberFormat="1" applyFont="1" applyFill="1" applyBorder="1" applyAlignment="1">
      <alignment horizontal="center"/>
    </xf>
    <xf numFmtId="15" fontId="37" fillId="0" borderId="0" xfId="56338" applyNumberFormat="1" applyFont="1" applyFill="1" applyAlignment="1">
      <alignment horizontal="center"/>
    </xf>
    <xf numFmtId="167" fontId="37" fillId="0" borderId="41" xfId="56339" applyNumberFormat="1" applyFont="1" applyFill="1" applyBorder="1" applyAlignment="1">
      <alignment horizontal="center"/>
    </xf>
    <xf numFmtId="167" fontId="37" fillId="0" borderId="42" xfId="56339" applyNumberFormat="1" applyFont="1" applyFill="1" applyBorder="1" applyAlignment="1">
      <alignment horizontal="center"/>
    </xf>
    <xf numFmtId="167" fontId="37" fillId="0" borderId="0" xfId="56339" applyNumberFormat="1" applyFont="1" applyFill="1" applyBorder="1" applyAlignment="1">
      <alignment horizontal="center"/>
    </xf>
    <xf numFmtId="181" fontId="37" fillId="0" borderId="0" xfId="56339" applyNumberFormat="1" applyFont="1" applyFill="1" applyBorder="1" applyAlignment="1">
      <alignment horizontal="center"/>
    </xf>
    <xf numFmtId="181" fontId="37" fillId="0" borderId="42" xfId="56339" applyNumberFormat="1" applyFont="1" applyFill="1" applyBorder="1" applyAlignment="1">
      <alignment horizontal="center"/>
    </xf>
    <xf numFmtId="15" fontId="37" fillId="0" borderId="0" xfId="56341" applyNumberFormat="1" applyFont="1" applyFill="1" applyAlignment="1">
      <alignment horizontal="center"/>
    </xf>
    <xf numFmtId="167" fontId="37" fillId="0" borderId="41" xfId="56342" applyNumberFormat="1" applyFont="1" applyFill="1" applyBorder="1" applyAlignment="1">
      <alignment horizontal="center"/>
    </xf>
    <xf numFmtId="167" fontId="37" fillId="0" borderId="42" xfId="56342" applyNumberFormat="1" applyFont="1" applyFill="1" applyBorder="1" applyAlignment="1">
      <alignment horizontal="center"/>
    </xf>
    <xf numFmtId="167" fontId="37" fillId="0" borderId="0" xfId="56342" applyNumberFormat="1" applyFont="1" applyFill="1" applyBorder="1" applyAlignment="1">
      <alignment horizontal="center"/>
    </xf>
    <xf numFmtId="181" fontId="37" fillId="0" borderId="0" xfId="56342" applyNumberFormat="1" applyFont="1" applyFill="1" applyBorder="1" applyAlignment="1">
      <alignment horizontal="center"/>
    </xf>
    <xf numFmtId="181" fontId="37" fillId="0" borderId="42" xfId="56342" applyNumberFormat="1" applyFont="1" applyFill="1" applyBorder="1" applyAlignment="1">
      <alignment horizontal="center"/>
    </xf>
    <xf numFmtId="15" fontId="37" fillId="0" borderId="0" xfId="56344" applyNumberFormat="1" applyFont="1" applyFill="1" applyAlignment="1">
      <alignment horizontal="center"/>
    </xf>
    <xf numFmtId="167" fontId="37" fillId="0" borderId="41" xfId="56345" applyNumberFormat="1" applyFont="1" applyFill="1" applyBorder="1" applyAlignment="1">
      <alignment horizontal="center"/>
    </xf>
    <xf numFmtId="167" fontId="37" fillId="0" borderId="42" xfId="56345" applyNumberFormat="1" applyFont="1" applyFill="1" applyBorder="1" applyAlignment="1">
      <alignment horizontal="center"/>
    </xf>
    <xf numFmtId="167" fontId="37" fillId="0" borderId="0" xfId="56345" applyNumberFormat="1" applyFont="1" applyFill="1" applyBorder="1" applyAlignment="1">
      <alignment horizontal="center"/>
    </xf>
    <xf numFmtId="181" fontId="37" fillId="0" borderId="0" xfId="56345" applyNumberFormat="1" applyFont="1" applyFill="1" applyBorder="1" applyAlignment="1">
      <alignment horizontal="center"/>
    </xf>
    <xf numFmtId="181" fontId="37" fillId="0" borderId="42" xfId="56345" applyNumberFormat="1" applyFont="1" applyFill="1" applyBorder="1" applyAlignment="1">
      <alignment horizontal="center"/>
    </xf>
    <xf numFmtId="15" fontId="37" fillId="0" borderId="0" xfId="56347" applyNumberFormat="1" applyFont="1" applyFill="1" applyAlignment="1">
      <alignment horizontal="center"/>
    </xf>
    <xf numFmtId="167" fontId="37" fillId="0" borderId="41" xfId="56348" applyNumberFormat="1" applyFont="1" applyFill="1" applyBorder="1" applyAlignment="1">
      <alignment horizontal="center"/>
    </xf>
    <xf numFmtId="167" fontId="37" fillId="0" borderId="42" xfId="56348" applyNumberFormat="1" applyFont="1" applyFill="1" applyBorder="1" applyAlignment="1">
      <alignment horizontal="center"/>
    </xf>
    <xf numFmtId="167" fontId="37" fillId="0" borderId="0" xfId="56348" applyNumberFormat="1" applyFont="1" applyFill="1" applyBorder="1" applyAlignment="1">
      <alignment horizontal="center"/>
    </xf>
    <xf numFmtId="181" fontId="37" fillId="0" borderId="0" xfId="56348" applyNumberFormat="1" applyFont="1" applyFill="1" applyBorder="1" applyAlignment="1">
      <alignment horizontal="center"/>
    </xf>
    <xf numFmtId="181" fontId="37" fillId="0" borderId="42" xfId="56348" applyNumberFormat="1" applyFont="1" applyFill="1" applyBorder="1" applyAlignment="1">
      <alignment horizontal="center"/>
    </xf>
    <xf numFmtId="15" fontId="37" fillId="0" borderId="0" xfId="56350" applyNumberFormat="1" applyFont="1" applyFill="1" applyAlignment="1">
      <alignment horizontal="center"/>
    </xf>
    <xf numFmtId="167" fontId="37" fillId="0" borderId="41" xfId="56351" applyNumberFormat="1" applyFont="1" applyFill="1" applyBorder="1" applyAlignment="1">
      <alignment horizontal="center"/>
    </xf>
    <xf numFmtId="167" fontId="37" fillId="0" borderId="42" xfId="56351" applyNumberFormat="1" applyFont="1" applyFill="1" applyBorder="1" applyAlignment="1">
      <alignment horizontal="center"/>
    </xf>
    <xf numFmtId="167" fontId="37" fillId="0" borderId="0" xfId="56351" applyNumberFormat="1" applyFont="1" applyFill="1" applyBorder="1" applyAlignment="1">
      <alignment horizontal="center"/>
    </xf>
    <xf numFmtId="181" fontId="37" fillId="0" borderId="0" xfId="56351" applyNumberFormat="1" applyFont="1" applyFill="1" applyBorder="1" applyAlignment="1">
      <alignment horizontal="center"/>
    </xf>
    <xf numFmtId="181" fontId="37" fillId="0" borderId="42" xfId="56351" applyNumberFormat="1" applyFont="1" applyFill="1" applyBorder="1" applyAlignment="1">
      <alignment horizontal="center"/>
    </xf>
    <xf numFmtId="15" fontId="37" fillId="0" borderId="0" xfId="56353" applyNumberFormat="1" applyFont="1" applyFill="1" applyAlignment="1">
      <alignment horizontal="center"/>
    </xf>
    <xf numFmtId="167" fontId="37" fillId="0" borderId="41" xfId="56354" applyNumberFormat="1" applyFont="1" applyFill="1" applyBorder="1" applyAlignment="1">
      <alignment horizontal="center"/>
    </xf>
    <xf numFmtId="167" fontId="37" fillId="0" borderId="42" xfId="56354" applyNumberFormat="1" applyFont="1" applyFill="1" applyBorder="1" applyAlignment="1">
      <alignment horizontal="center"/>
    </xf>
    <xf numFmtId="167" fontId="37" fillId="0" borderId="0" xfId="56354" applyNumberFormat="1" applyFont="1" applyFill="1" applyBorder="1" applyAlignment="1">
      <alignment horizontal="center"/>
    </xf>
    <xf numFmtId="181" fontId="37" fillId="0" borderId="0" xfId="56354" applyNumberFormat="1" applyFont="1" applyFill="1" applyBorder="1" applyAlignment="1">
      <alignment horizontal="center"/>
    </xf>
    <xf numFmtId="181" fontId="37" fillId="0" borderId="42" xfId="56354" applyNumberFormat="1" applyFont="1" applyFill="1" applyBorder="1" applyAlignment="1">
      <alignment horizontal="center"/>
    </xf>
    <xf numFmtId="15" fontId="37" fillId="0" borderId="0" xfId="56356" applyNumberFormat="1" applyFont="1" applyFill="1" applyAlignment="1">
      <alignment horizontal="center"/>
    </xf>
    <xf numFmtId="167" fontId="37" fillId="0" borderId="41" xfId="56357" applyNumberFormat="1" applyFont="1" applyFill="1" applyBorder="1" applyAlignment="1">
      <alignment horizontal="center"/>
    </xf>
    <xf numFmtId="167" fontId="37" fillId="0" borderId="42" xfId="56357" applyNumberFormat="1" applyFont="1" applyFill="1" applyBorder="1" applyAlignment="1">
      <alignment horizontal="center"/>
    </xf>
    <xf numFmtId="167" fontId="37" fillId="0" borderId="0" xfId="56357" applyNumberFormat="1" applyFont="1" applyFill="1" applyBorder="1" applyAlignment="1">
      <alignment horizontal="center"/>
    </xf>
    <xf numFmtId="181" fontId="37" fillId="0" borderId="0" xfId="56357" applyNumberFormat="1" applyFont="1" applyFill="1" applyBorder="1" applyAlignment="1">
      <alignment horizontal="center"/>
    </xf>
    <xf numFmtId="181" fontId="37" fillId="0" borderId="42" xfId="56357" applyNumberFormat="1" applyFont="1" applyFill="1" applyBorder="1" applyAlignment="1">
      <alignment horizontal="center"/>
    </xf>
    <xf numFmtId="15" fontId="37" fillId="0" borderId="0" xfId="56359" applyNumberFormat="1" applyFont="1" applyFill="1" applyAlignment="1">
      <alignment horizontal="center"/>
    </xf>
    <xf numFmtId="167" fontId="37" fillId="0" borderId="41" xfId="56360" applyNumberFormat="1" applyFont="1" applyFill="1" applyBorder="1" applyAlignment="1">
      <alignment horizontal="center"/>
    </xf>
    <xf numFmtId="167" fontId="37" fillId="0" borderId="42" xfId="56360" applyNumberFormat="1" applyFont="1" applyFill="1" applyBorder="1" applyAlignment="1">
      <alignment horizontal="center"/>
    </xf>
    <xf numFmtId="167" fontId="37" fillId="0" borderId="0" xfId="56360" applyNumberFormat="1" applyFont="1" applyFill="1" applyBorder="1" applyAlignment="1">
      <alignment horizontal="center"/>
    </xf>
    <xf numFmtId="181" fontId="37" fillId="0" borderId="0" xfId="56360" applyNumberFormat="1" applyFont="1" applyFill="1" applyBorder="1" applyAlignment="1">
      <alignment horizontal="center"/>
    </xf>
    <xf numFmtId="181" fontId="37" fillId="0" borderId="42" xfId="56360" applyNumberFormat="1" applyFont="1" applyFill="1" applyBorder="1" applyAlignment="1">
      <alignment horizontal="center"/>
    </xf>
    <xf numFmtId="15" fontId="37" fillId="0" borderId="0" xfId="56362" applyNumberFormat="1" applyFont="1" applyFill="1" applyAlignment="1">
      <alignment horizontal="center"/>
    </xf>
    <xf numFmtId="167" fontId="37" fillId="0" borderId="41" xfId="56363" applyNumberFormat="1" applyFont="1" applyFill="1" applyBorder="1" applyAlignment="1">
      <alignment horizontal="center"/>
    </xf>
    <xf numFmtId="167" fontId="37" fillId="0" borderId="42" xfId="56363" applyNumberFormat="1" applyFont="1" applyFill="1" applyBorder="1" applyAlignment="1">
      <alignment horizontal="center"/>
    </xf>
    <xf numFmtId="167" fontId="37" fillId="0" borderId="0" xfId="56363" applyNumberFormat="1" applyFont="1" applyFill="1" applyBorder="1" applyAlignment="1">
      <alignment horizontal="center"/>
    </xf>
    <xf numFmtId="181" fontId="37" fillId="0" borderId="0" xfId="56363" applyNumberFormat="1" applyFont="1" applyFill="1" applyBorder="1" applyAlignment="1">
      <alignment horizontal="center"/>
    </xf>
    <xf numFmtId="181" fontId="37" fillId="0" borderId="42" xfId="56363" applyNumberFormat="1" applyFont="1" applyFill="1" applyBorder="1" applyAlignment="1">
      <alignment horizontal="center"/>
    </xf>
    <xf numFmtId="15" fontId="37" fillId="0" borderId="0" xfId="56365" applyNumberFormat="1" applyFont="1" applyFill="1" applyAlignment="1">
      <alignment horizontal="center"/>
    </xf>
    <xf numFmtId="167" fontId="37" fillId="0" borderId="41" xfId="56366" applyNumberFormat="1" applyFont="1" applyFill="1" applyBorder="1" applyAlignment="1">
      <alignment horizontal="center"/>
    </xf>
    <xf numFmtId="167" fontId="37" fillId="0" borderId="42" xfId="56366" applyNumberFormat="1" applyFont="1" applyFill="1" applyBorder="1" applyAlignment="1">
      <alignment horizontal="center"/>
    </xf>
    <xf numFmtId="167" fontId="37" fillId="0" borderId="0" xfId="56366" applyNumberFormat="1" applyFont="1" applyFill="1" applyBorder="1" applyAlignment="1">
      <alignment horizontal="center"/>
    </xf>
    <xf numFmtId="181" fontId="37" fillId="0" borderId="0" xfId="56366" applyNumberFormat="1" applyFont="1" applyFill="1" applyBorder="1" applyAlignment="1">
      <alignment horizontal="center"/>
    </xf>
    <xf numFmtId="181" fontId="37" fillId="0" borderId="42" xfId="56366" applyNumberFormat="1" applyFont="1" applyFill="1" applyBorder="1" applyAlignment="1">
      <alignment horizontal="center"/>
    </xf>
    <xf numFmtId="15" fontId="37" fillId="0" borderId="0" xfId="56368" applyNumberFormat="1" applyFont="1" applyFill="1" applyAlignment="1">
      <alignment horizontal="center"/>
    </xf>
    <xf numFmtId="167" fontId="37" fillId="0" borderId="41" xfId="56369" applyNumberFormat="1" applyFont="1" applyFill="1" applyBorder="1" applyAlignment="1">
      <alignment horizontal="center"/>
    </xf>
    <xf numFmtId="167" fontId="37" fillId="0" borderId="42" xfId="56369" applyNumberFormat="1" applyFont="1" applyFill="1" applyBorder="1" applyAlignment="1">
      <alignment horizontal="center"/>
    </xf>
    <xf numFmtId="167" fontId="37" fillId="0" borderId="0" xfId="56369" applyNumberFormat="1" applyFont="1" applyFill="1" applyBorder="1" applyAlignment="1">
      <alignment horizontal="center"/>
    </xf>
    <xf numFmtId="181" fontId="37" fillId="0" borderId="0" xfId="56369" applyNumberFormat="1" applyFont="1" applyFill="1" applyBorder="1" applyAlignment="1">
      <alignment horizontal="center"/>
    </xf>
    <xf numFmtId="181" fontId="37" fillId="0" borderId="42" xfId="56369" applyNumberFormat="1" applyFont="1" applyFill="1" applyBorder="1" applyAlignment="1">
      <alignment horizontal="center"/>
    </xf>
    <xf numFmtId="15" fontId="37" fillId="0" borderId="0" xfId="56371" applyNumberFormat="1" applyFont="1" applyFill="1" applyAlignment="1">
      <alignment horizontal="center"/>
    </xf>
    <xf numFmtId="167" fontId="37" fillId="0" borderId="41" xfId="56372" applyNumberFormat="1" applyFont="1" applyFill="1" applyBorder="1" applyAlignment="1">
      <alignment horizontal="center"/>
    </xf>
    <xf numFmtId="167" fontId="37" fillId="0" borderId="42" xfId="56372" applyNumberFormat="1" applyFont="1" applyFill="1" applyBorder="1" applyAlignment="1">
      <alignment horizontal="center"/>
    </xf>
    <xf numFmtId="167" fontId="37" fillId="0" borderId="0" xfId="56372" applyNumberFormat="1" applyFont="1" applyFill="1" applyBorder="1" applyAlignment="1">
      <alignment horizontal="center"/>
    </xf>
    <xf numFmtId="181" fontId="37" fillId="0" borderId="0" xfId="56372" applyNumberFormat="1" applyFont="1" applyFill="1" applyBorder="1" applyAlignment="1">
      <alignment horizontal="center"/>
    </xf>
    <xf numFmtId="181" fontId="37" fillId="0" borderId="42" xfId="56372" applyNumberFormat="1" applyFont="1" applyFill="1" applyBorder="1" applyAlignment="1">
      <alignment horizontal="center"/>
    </xf>
    <xf numFmtId="15" fontId="37" fillId="0" borderId="0" xfId="56374" applyNumberFormat="1" applyFont="1" applyFill="1" applyAlignment="1">
      <alignment horizontal="center"/>
    </xf>
    <xf numFmtId="167" fontId="37" fillId="0" borderId="41" xfId="56375" applyNumberFormat="1" applyFont="1" applyFill="1" applyBorder="1" applyAlignment="1">
      <alignment horizontal="center"/>
    </xf>
    <xf numFmtId="167" fontId="37" fillId="0" borderId="42" xfId="56375" applyNumberFormat="1" applyFont="1" applyFill="1" applyBorder="1" applyAlignment="1">
      <alignment horizontal="center"/>
    </xf>
    <xf numFmtId="167" fontId="37" fillId="0" borderId="0" xfId="56375" applyNumberFormat="1" applyFont="1" applyFill="1" applyBorder="1" applyAlignment="1">
      <alignment horizontal="center"/>
    </xf>
    <xf numFmtId="181" fontId="37" fillId="0" borderId="0" xfId="56375" applyNumberFormat="1" applyFont="1" applyFill="1" applyBorder="1" applyAlignment="1">
      <alignment horizontal="center"/>
    </xf>
    <xf numFmtId="181" fontId="37" fillId="0" borderId="42" xfId="56375" applyNumberFormat="1" applyFont="1" applyFill="1" applyBorder="1" applyAlignment="1">
      <alignment horizontal="center"/>
    </xf>
    <xf numFmtId="15" fontId="37" fillId="0" borderId="0" xfId="56377" applyNumberFormat="1" applyFont="1" applyFill="1" applyAlignment="1">
      <alignment horizontal="center"/>
    </xf>
    <xf numFmtId="167" fontId="37" fillId="0" borderId="41" xfId="56378" applyNumberFormat="1" applyFont="1" applyFill="1" applyBorder="1" applyAlignment="1">
      <alignment horizontal="center"/>
    </xf>
    <xf numFmtId="167" fontId="37" fillId="0" borderId="42" xfId="56378" applyNumberFormat="1" applyFont="1" applyFill="1" applyBorder="1" applyAlignment="1">
      <alignment horizontal="center"/>
    </xf>
    <xf numFmtId="167" fontId="37" fillId="0" borderId="0" xfId="56378" applyNumberFormat="1" applyFont="1" applyFill="1" applyBorder="1" applyAlignment="1">
      <alignment horizontal="center"/>
    </xf>
    <xf numFmtId="181" fontId="37" fillId="0" borderId="0" xfId="56378" applyNumberFormat="1" applyFont="1" applyFill="1" applyBorder="1" applyAlignment="1">
      <alignment horizontal="center"/>
    </xf>
    <xf numFmtId="181" fontId="37" fillId="0" borderId="42" xfId="56378" applyNumberFormat="1" applyFont="1" applyFill="1" applyBorder="1" applyAlignment="1">
      <alignment horizontal="center"/>
    </xf>
    <xf numFmtId="15" fontId="37" fillId="0" borderId="0" xfId="56380" applyNumberFormat="1" applyFont="1" applyFill="1" applyAlignment="1">
      <alignment horizontal="center"/>
    </xf>
    <xf numFmtId="167" fontId="37" fillId="0" borderId="41" xfId="56381" applyNumberFormat="1" applyFont="1" applyFill="1" applyBorder="1" applyAlignment="1">
      <alignment horizontal="center"/>
    </xf>
    <xf numFmtId="167" fontId="37" fillId="0" borderId="42" xfId="56381" applyNumberFormat="1" applyFont="1" applyFill="1" applyBorder="1" applyAlignment="1">
      <alignment horizontal="center"/>
    </xf>
    <xf numFmtId="167" fontId="37" fillId="0" borderId="0" xfId="56381" applyNumberFormat="1" applyFont="1" applyFill="1" applyBorder="1" applyAlignment="1">
      <alignment horizontal="center"/>
    </xf>
    <xf numFmtId="181" fontId="37" fillId="0" borderId="0" xfId="56381" applyNumberFormat="1" applyFont="1" applyFill="1" applyBorder="1" applyAlignment="1">
      <alignment horizontal="center"/>
    </xf>
    <xf numFmtId="181" fontId="37" fillId="0" borderId="42" xfId="56381" applyNumberFormat="1" applyFont="1" applyFill="1" applyBorder="1" applyAlignment="1">
      <alignment horizontal="center"/>
    </xf>
    <xf numFmtId="15" fontId="37" fillId="0" borderId="0" xfId="56383" applyNumberFormat="1" applyFont="1" applyFill="1" applyAlignment="1">
      <alignment horizontal="center"/>
    </xf>
    <xf numFmtId="167" fontId="37" fillId="0" borderId="41" xfId="56384" applyNumberFormat="1" applyFont="1" applyFill="1" applyBorder="1" applyAlignment="1">
      <alignment horizontal="center"/>
    </xf>
    <xf numFmtId="167" fontId="37" fillId="0" borderId="42" xfId="56384" applyNumberFormat="1" applyFont="1" applyFill="1" applyBorder="1" applyAlignment="1">
      <alignment horizontal="center"/>
    </xf>
    <xf numFmtId="167" fontId="37" fillId="0" borderId="0" xfId="56384" applyNumberFormat="1" applyFont="1" applyFill="1" applyBorder="1" applyAlignment="1">
      <alignment horizontal="center"/>
    </xf>
    <xf numFmtId="181" fontId="37" fillId="0" borderId="0" xfId="56384" applyNumberFormat="1" applyFont="1" applyFill="1" applyBorder="1" applyAlignment="1">
      <alignment horizontal="center"/>
    </xf>
    <xf numFmtId="181" fontId="37" fillId="0" borderId="42" xfId="56384" applyNumberFormat="1" applyFont="1" applyFill="1" applyBorder="1" applyAlignment="1">
      <alignment horizontal="center"/>
    </xf>
    <xf numFmtId="15" fontId="37" fillId="0" borderId="0" xfId="56386" applyNumberFormat="1" applyFont="1" applyFill="1" applyAlignment="1">
      <alignment horizontal="center"/>
    </xf>
    <xf numFmtId="167" fontId="37" fillId="0" borderId="41" xfId="56387" applyNumberFormat="1" applyFont="1" applyFill="1" applyBorder="1" applyAlignment="1">
      <alignment horizontal="center"/>
    </xf>
    <xf numFmtId="167" fontId="37" fillId="0" borderId="42" xfId="56387" applyNumberFormat="1" applyFont="1" applyFill="1" applyBorder="1" applyAlignment="1">
      <alignment horizontal="center"/>
    </xf>
    <xf numFmtId="167" fontId="37" fillId="0" borderId="0" xfId="56387" applyNumberFormat="1" applyFont="1" applyFill="1" applyBorder="1" applyAlignment="1">
      <alignment horizontal="center"/>
    </xf>
    <xf numFmtId="181" fontId="37" fillId="0" borderId="0" xfId="56387" applyNumberFormat="1" applyFont="1" applyFill="1" applyBorder="1" applyAlignment="1">
      <alignment horizontal="center"/>
    </xf>
    <xf numFmtId="181" fontId="37" fillId="0" borderId="42" xfId="56387" applyNumberFormat="1" applyFont="1" applyFill="1" applyBorder="1" applyAlignment="1">
      <alignment horizontal="center"/>
    </xf>
    <xf numFmtId="15" fontId="37" fillId="0" borderId="0" xfId="56389" applyNumberFormat="1" applyFont="1" applyFill="1" applyAlignment="1">
      <alignment horizontal="center"/>
    </xf>
    <xf numFmtId="167" fontId="37" fillId="0" borderId="41" xfId="56390" applyNumberFormat="1" applyFont="1" applyFill="1" applyBorder="1" applyAlignment="1">
      <alignment horizontal="center"/>
    </xf>
    <xf numFmtId="167" fontId="37" fillId="0" borderId="42" xfId="56390" applyNumberFormat="1" applyFont="1" applyFill="1" applyBorder="1" applyAlignment="1">
      <alignment horizontal="center"/>
    </xf>
    <xf numFmtId="167" fontId="37" fillId="0" borderId="0" xfId="56390" applyNumberFormat="1" applyFont="1" applyFill="1" applyBorder="1" applyAlignment="1">
      <alignment horizontal="center"/>
    </xf>
    <xf numFmtId="181" fontId="37" fillId="0" borderId="0" xfId="56390" applyNumberFormat="1" applyFont="1" applyFill="1" applyBorder="1" applyAlignment="1">
      <alignment horizontal="center"/>
    </xf>
    <xf numFmtId="181" fontId="37" fillId="0" borderId="42" xfId="56390" applyNumberFormat="1" applyFont="1" applyFill="1" applyBorder="1" applyAlignment="1">
      <alignment horizontal="center"/>
    </xf>
    <xf numFmtId="15" fontId="37" fillId="0" borderId="0" xfId="56392" applyNumberFormat="1" applyFont="1" applyFill="1" applyAlignment="1">
      <alignment horizontal="center"/>
    </xf>
    <xf numFmtId="167" fontId="37" fillId="0" borderId="41" xfId="56393" applyNumberFormat="1" applyFont="1" applyFill="1" applyBorder="1" applyAlignment="1">
      <alignment horizontal="center"/>
    </xf>
    <xf numFmtId="167" fontId="37" fillId="0" borderId="42" xfId="56393" applyNumberFormat="1" applyFont="1" applyFill="1" applyBorder="1" applyAlignment="1">
      <alignment horizontal="center"/>
    </xf>
    <xf numFmtId="167" fontId="37" fillId="0" borderId="0" xfId="56393" applyNumberFormat="1" applyFont="1" applyFill="1" applyBorder="1" applyAlignment="1">
      <alignment horizontal="center"/>
    </xf>
    <xf numFmtId="181" fontId="37" fillId="0" borderId="0" xfId="56393" applyNumberFormat="1" applyFont="1" applyFill="1" applyBorder="1" applyAlignment="1">
      <alignment horizontal="center"/>
    </xf>
    <xf numFmtId="181" fontId="37" fillId="0" borderId="42" xfId="56393" applyNumberFormat="1" applyFont="1" applyFill="1" applyBorder="1" applyAlignment="1">
      <alignment horizontal="center"/>
    </xf>
    <xf numFmtId="15" fontId="37" fillId="0" borderId="0" xfId="56395" applyNumberFormat="1" applyFont="1" applyFill="1" applyAlignment="1">
      <alignment horizontal="center"/>
    </xf>
    <xf numFmtId="167" fontId="37" fillId="0" borderId="41" xfId="56396" applyNumberFormat="1" applyFont="1" applyFill="1" applyBorder="1" applyAlignment="1">
      <alignment horizontal="center"/>
    </xf>
    <xf numFmtId="167" fontId="37" fillId="0" borderId="42" xfId="56396" applyNumberFormat="1" applyFont="1" applyFill="1" applyBorder="1" applyAlignment="1">
      <alignment horizontal="center"/>
    </xf>
    <xf numFmtId="167" fontId="37" fillId="0" borderId="0" xfId="56396" applyNumberFormat="1" applyFont="1" applyFill="1" applyBorder="1" applyAlignment="1">
      <alignment horizontal="center"/>
    </xf>
    <xf numFmtId="181" fontId="37" fillId="0" borderId="0" xfId="56396" applyNumberFormat="1" applyFont="1" applyFill="1" applyBorder="1" applyAlignment="1">
      <alignment horizontal="center"/>
    </xf>
    <xf numFmtId="181" fontId="37" fillId="0" borderId="42" xfId="56396" applyNumberFormat="1" applyFont="1" applyFill="1" applyBorder="1" applyAlignment="1">
      <alignment horizontal="center"/>
    </xf>
    <xf numFmtId="15" fontId="37" fillId="0" borderId="0" xfId="56398" applyNumberFormat="1" applyFont="1" applyFill="1" applyAlignment="1">
      <alignment horizontal="center"/>
    </xf>
    <xf numFmtId="167" fontId="37" fillId="0" borderId="41" xfId="56399" applyNumberFormat="1" applyFont="1" applyFill="1" applyBorder="1" applyAlignment="1">
      <alignment horizontal="center"/>
    </xf>
    <xf numFmtId="167" fontId="37" fillId="0" borderId="42" xfId="56399" applyNumberFormat="1" applyFont="1" applyFill="1" applyBorder="1" applyAlignment="1">
      <alignment horizontal="center"/>
    </xf>
    <xf numFmtId="167" fontId="37" fillId="0" borderId="0" xfId="56399" applyNumberFormat="1" applyFont="1" applyFill="1" applyBorder="1" applyAlignment="1">
      <alignment horizontal="center"/>
    </xf>
    <xf numFmtId="181" fontId="37" fillId="0" borderId="0" xfId="56399" applyNumberFormat="1" applyFont="1" applyFill="1" applyBorder="1" applyAlignment="1">
      <alignment horizontal="center"/>
    </xf>
    <xf numFmtId="181" fontId="37" fillId="0" borderId="42" xfId="56399" applyNumberFormat="1" applyFont="1" applyFill="1" applyBorder="1" applyAlignment="1">
      <alignment horizontal="center"/>
    </xf>
    <xf numFmtId="15" fontId="37" fillId="0" borderId="0" xfId="56401" applyNumberFormat="1" applyFont="1" applyFill="1" applyAlignment="1">
      <alignment horizontal="center"/>
    </xf>
    <xf numFmtId="167" fontId="37" fillId="0" borderId="41" xfId="56402" applyNumberFormat="1" applyFont="1" applyFill="1" applyBorder="1" applyAlignment="1">
      <alignment horizontal="center"/>
    </xf>
    <xf numFmtId="167" fontId="37" fillId="0" borderId="42" xfId="56402" applyNumberFormat="1" applyFont="1" applyFill="1" applyBorder="1" applyAlignment="1">
      <alignment horizontal="center"/>
    </xf>
    <xf numFmtId="167" fontId="37" fillId="0" borderId="0" xfId="56402" applyNumberFormat="1" applyFont="1" applyFill="1" applyBorder="1" applyAlignment="1">
      <alignment horizontal="center"/>
    </xf>
    <xf numFmtId="181" fontId="37" fillId="0" borderId="0" xfId="56402" applyNumberFormat="1" applyFont="1" applyFill="1" applyBorder="1" applyAlignment="1">
      <alignment horizontal="center"/>
    </xf>
    <xf numFmtId="181" fontId="37" fillId="0" borderId="42" xfId="56402" applyNumberFormat="1" applyFont="1" applyFill="1" applyBorder="1" applyAlignment="1">
      <alignment horizontal="center"/>
    </xf>
    <xf numFmtId="15" fontId="37" fillId="0" borderId="0" xfId="56404" applyNumberFormat="1" applyFont="1" applyFill="1" applyAlignment="1">
      <alignment horizontal="center"/>
    </xf>
    <xf numFmtId="167" fontId="37" fillId="0" borderId="41" xfId="56405" applyNumberFormat="1" applyFont="1" applyFill="1" applyBorder="1" applyAlignment="1">
      <alignment horizontal="center"/>
    </xf>
    <xf numFmtId="167" fontId="37" fillId="0" borderId="42" xfId="56405" applyNumberFormat="1" applyFont="1" applyFill="1" applyBorder="1" applyAlignment="1">
      <alignment horizontal="center"/>
    </xf>
    <xf numFmtId="167" fontId="37" fillId="0" borderId="0" xfId="56405" applyNumberFormat="1" applyFont="1" applyFill="1" applyBorder="1" applyAlignment="1">
      <alignment horizontal="center"/>
    </xf>
    <xf numFmtId="181" fontId="37" fillId="0" borderId="0" xfId="56405" applyNumberFormat="1" applyFont="1" applyFill="1" applyBorder="1" applyAlignment="1">
      <alignment horizontal="center"/>
    </xf>
    <xf numFmtId="181" fontId="37" fillId="0" borderId="42" xfId="56405" applyNumberFormat="1" applyFont="1" applyFill="1" applyBorder="1" applyAlignment="1">
      <alignment horizontal="center"/>
    </xf>
    <xf numFmtId="15" fontId="37" fillId="0" borderId="0" xfId="56407" applyNumberFormat="1" applyFont="1" applyFill="1" applyAlignment="1">
      <alignment horizontal="center"/>
    </xf>
    <xf numFmtId="167" fontId="37" fillId="0" borderId="41" xfId="56408" applyNumberFormat="1" applyFont="1" applyFill="1" applyBorder="1" applyAlignment="1">
      <alignment horizontal="center"/>
    </xf>
    <xf numFmtId="167" fontId="37" fillId="0" borderId="42" xfId="56408" applyNumberFormat="1" applyFont="1" applyFill="1" applyBorder="1" applyAlignment="1">
      <alignment horizontal="center"/>
    </xf>
    <xf numFmtId="167" fontId="37" fillId="0" borderId="0" xfId="56408" applyNumberFormat="1" applyFont="1" applyFill="1" applyBorder="1" applyAlignment="1">
      <alignment horizontal="center"/>
    </xf>
    <xf numFmtId="181" fontId="37" fillId="0" borderId="0" xfId="56408" applyNumberFormat="1" applyFont="1" applyFill="1" applyBorder="1" applyAlignment="1">
      <alignment horizontal="center"/>
    </xf>
    <xf numFmtId="181" fontId="37" fillId="0" borderId="42" xfId="56408" applyNumberFormat="1" applyFont="1" applyFill="1" applyBorder="1" applyAlignment="1">
      <alignment horizontal="center"/>
    </xf>
    <xf numFmtId="15" fontId="37" fillId="0" borderId="0" xfId="56410" applyNumberFormat="1" applyFont="1" applyFill="1" applyAlignment="1">
      <alignment horizontal="center"/>
    </xf>
    <xf numFmtId="167" fontId="37" fillId="0" borderId="41" xfId="56411" applyNumberFormat="1" applyFont="1" applyFill="1" applyBorder="1" applyAlignment="1">
      <alignment horizontal="center"/>
    </xf>
    <xf numFmtId="167" fontId="37" fillId="0" borderId="42" xfId="56411" applyNumberFormat="1" applyFont="1" applyFill="1" applyBorder="1" applyAlignment="1">
      <alignment horizontal="center"/>
    </xf>
    <xf numFmtId="167" fontId="37" fillId="0" borderId="0" xfId="56411" applyNumberFormat="1" applyFont="1" applyFill="1" applyBorder="1" applyAlignment="1">
      <alignment horizontal="center"/>
    </xf>
    <xf numFmtId="181" fontId="37" fillId="0" borderId="0" xfId="56411" applyNumberFormat="1" applyFont="1" applyFill="1" applyBorder="1" applyAlignment="1">
      <alignment horizontal="center"/>
    </xf>
    <xf numFmtId="181" fontId="37" fillId="0" borderId="42" xfId="56411" applyNumberFormat="1" applyFont="1" applyFill="1" applyBorder="1" applyAlignment="1">
      <alignment horizontal="center"/>
    </xf>
    <xf numFmtId="15" fontId="37" fillId="0" borderId="0" xfId="56413" applyNumberFormat="1" applyFont="1" applyFill="1" applyAlignment="1">
      <alignment horizontal="center"/>
    </xf>
    <xf numFmtId="167" fontId="37" fillId="0" borderId="41" xfId="56414" applyNumberFormat="1" applyFont="1" applyFill="1" applyBorder="1" applyAlignment="1">
      <alignment horizontal="center"/>
    </xf>
    <xf numFmtId="167" fontId="37" fillId="0" borderId="42" xfId="56414" applyNumberFormat="1" applyFont="1" applyFill="1" applyBorder="1" applyAlignment="1">
      <alignment horizontal="center"/>
    </xf>
    <xf numFmtId="167" fontId="37" fillId="0" borderId="0" xfId="56414" applyNumberFormat="1" applyFont="1" applyFill="1" applyBorder="1" applyAlignment="1">
      <alignment horizontal="center"/>
    </xf>
    <xf numFmtId="181" fontId="37" fillId="0" borderId="0" xfId="56414" applyNumberFormat="1" applyFont="1" applyFill="1" applyBorder="1" applyAlignment="1">
      <alignment horizontal="center"/>
    </xf>
    <xf numFmtId="181" fontId="37" fillId="0" borderId="42" xfId="56414" applyNumberFormat="1" applyFont="1" applyFill="1" applyBorder="1" applyAlignment="1">
      <alignment horizontal="center"/>
    </xf>
    <xf numFmtId="15" fontId="37" fillId="0" borderId="0" xfId="56416" applyNumberFormat="1" applyFont="1" applyFill="1" applyAlignment="1">
      <alignment horizontal="center"/>
    </xf>
    <xf numFmtId="167" fontId="37" fillId="0" borderId="41" xfId="56417" applyNumberFormat="1" applyFont="1" applyFill="1" applyBorder="1" applyAlignment="1">
      <alignment horizontal="center"/>
    </xf>
    <xf numFmtId="167" fontId="37" fillId="0" borderId="42" xfId="56417" applyNumberFormat="1" applyFont="1" applyFill="1" applyBorder="1" applyAlignment="1">
      <alignment horizontal="center"/>
    </xf>
    <xf numFmtId="167" fontId="37" fillId="0" borderId="0" xfId="56417" applyNumberFormat="1" applyFont="1" applyFill="1" applyBorder="1" applyAlignment="1">
      <alignment horizontal="center"/>
    </xf>
    <xf numFmtId="181" fontId="37" fillId="0" borderId="0" xfId="56417" applyNumberFormat="1" applyFont="1" applyFill="1" applyBorder="1" applyAlignment="1">
      <alignment horizontal="center"/>
    </xf>
    <xf numFmtId="181" fontId="37" fillId="0" borderId="42" xfId="56417" applyNumberFormat="1" applyFont="1" applyFill="1" applyBorder="1" applyAlignment="1">
      <alignment horizontal="center"/>
    </xf>
    <xf numFmtId="15" fontId="37" fillId="0" borderId="0" xfId="56424" applyNumberFormat="1" applyFont="1" applyFill="1" applyAlignment="1">
      <alignment horizontal="center"/>
    </xf>
    <xf numFmtId="167" fontId="37" fillId="0" borderId="41" xfId="56423" applyNumberFormat="1" applyFont="1" applyFill="1" applyBorder="1" applyAlignment="1">
      <alignment horizontal="center"/>
    </xf>
    <xf numFmtId="167" fontId="37" fillId="0" borderId="42" xfId="56423" applyNumberFormat="1" applyFont="1" applyFill="1" applyBorder="1" applyAlignment="1">
      <alignment horizontal="center"/>
    </xf>
    <xf numFmtId="167" fontId="37" fillId="0" borderId="0" xfId="56423" applyNumberFormat="1" applyFont="1" applyFill="1" applyBorder="1" applyAlignment="1">
      <alignment horizontal="center"/>
    </xf>
    <xf numFmtId="181" fontId="37" fillId="0" borderId="0" xfId="56423" applyNumberFormat="1" applyFont="1" applyFill="1" applyBorder="1" applyAlignment="1">
      <alignment horizontal="center"/>
    </xf>
    <xf numFmtId="181" fontId="37" fillId="0" borderId="42" xfId="56423" applyNumberFormat="1" applyFont="1" applyFill="1" applyBorder="1" applyAlignment="1">
      <alignment horizontal="center"/>
    </xf>
    <xf numFmtId="15" fontId="37" fillId="0" borderId="0" xfId="56425" applyNumberFormat="1" applyFont="1" applyFill="1" applyAlignment="1">
      <alignment horizontal="center"/>
    </xf>
    <xf numFmtId="167" fontId="37" fillId="0" borderId="41" xfId="56426" applyNumberFormat="1" applyFont="1" applyFill="1" applyBorder="1" applyAlignment="1">
      <alignment horizontal="center"/>
    </xf>
    <xf numFmtId="167" fontId="37" fillId="0" borderId="42" xfId="56426" applyNumberFormat="1" applyFont="1" applyFill="1" applyBorder="1" applyAlignment="1">
      <alignment horizontal="center"/>
    </xf>
    <xf numFmtId="167" fontId="37" fillId="0" borderId="0" xfId="56426" applyNumberFormat="1" applyFont="1" applyFill="1" applyBorder="1" applyAlignment="1">
      <alignment horizontal="center"/>
    </xf>
    <xf numFmtId="181" fontId="37" fillId="0" borderId="0" xfId="56426" applyNumberFormat="1" applyFont="1" applyFill="1" applyBorder="1" applyAlignment="1">
      <alignment horizontal="center"/>
    </xf>
    <xf numFmtId="181" fontId="37" fillId="0" borderId="42" xfId="56426" applyNumberFormat="1" applyFont="1" applyFill="1" applyBorder="1" applyAlignment="1">
      <alignment horizontal="center"/>
    </xf>
    <xf numFmtId="15" fontId="37" fillId="0" borderId="0" xfId="56428" applyNumberFormat="1" applyFont="1" applyFill="1" applyAlignment="1">
      <alignment horizontal="center"/>
    </xf>
    <xf numFmtId="167" fontId="37" fillId="0" borderId="41" xfId="56429" applyNumberFormat="1" applyFont="1" applyFill="1" applyBorder="1" applyAlignment="1">
      <alignment horizontal="center"/>
    </xf>
    <xf numFmtId="167" fontId="37" fillId="0" borderId="42" xfId="56429" applyNumberFormat="1" applyFont="1" applyFill="1" applyBorder="1" applyAlignment="1">
      <alignment horizontal="center"/>
    </xf>
    <xf numFmtId="167" fontId="37" fillId="0" borderId="0" xfId="56429" applyNumberFormat="1" applyFont="1" applyFill="1" applyBorder="1" applyAlignment="1">
      <alignment horizontal="center"/>
    </xf>
    <xf numFmtId="181" fontId="37" fillId="0" borderId="0" xfId="56429" applyNumberFormat="1" applyFont="1" applyFill="1" applyBorder="1" applyAlignment="1">
      <alignment horizontal="center"/>
    </xf>
    <xf numFmtId="181" fontId="37" fillId="0" borderId="42" xfId="56429" applyNumberFormat="1" applyFont="1" applyFill="1" applyBorder="1" applyAlignment="1">
      <alignment horizontal="center"/>
    </xf>
    <xf numFmtId="15" fontId="37" fillId="0" borderId="0" xfId="56431" applyNumberFormat="1" applyFont="1" applyFill="1" applyAlignment="1">
      <alignment horizontal="center"/>
    </xf>
    <xf numFmtId="167" fontId="37" fillId="0" borderId="41" xfId="56432" applyNumberFormat="1" applyFont="1" applyFill="1" applyBorder="1" applyAlignment="1">
      <alignment horizontal="center"/>
    </xf>
    <xf numFmtId="167" fontId="37" fillId="0" borderId="42" xfId="56432" applyNumberFormat="1" applyFont="1" applyFill="1" applyBorder="1" applyAlignment="1">
      <alignment horizontal="center"/>
    </xf>
    <xf numFmtId="167" fontId="37" fillId="0" borderId="0" xfId="56432" applyNumberFormat="1" applyFont="1" applyFill="1" applyBorder="1" applyAlignment="1">
      <alignment horizontal="center"/>
    </xf>
    <xf numFmtId="181" fontId="37" fillId="0" borderId="0" xfId="56432" applyNumberFormat="1" applyFont="1" applyFill="1" applyBorder="1" applyAlignment="1">
      <alignment horizontal="center"/>
    </xf>
    <xf numFmtId="181" fontId="37" fillId="0" borderId="42" xfId="56432" applyNumberFormat="1" applyFont="1" applyFill="1" applyBorder="1" applyAlignment="1">
      <alignment horizontal="center"/>
    </xf>
    <xf numFmtId="167" fontId="37" fillId="0" borderId="0" xfId="56434" applyNumberFormat="1" applyFont="1" applyFill="1"/>
    <xf numFmtId="174" fontId="37" fillId="0" borderId="0" xfId="56434" applyFont="1" applyFill="1"/>
    <xf numFmtId="181" fontId="37" fillId="0" borderId="0" xfId="56435" applyNumberFormat="1" applyFont="1" applyFill="1"/>
    <xf numFmtId="15" fontId="37" fillId="0" borderId="0" xfId="56434" applyNumberFormat="1" applyFont="1" applyFill="1" applyAlignment="1">
      <alignment horizontal="center"/>
    </xf>
    <xf numFmtId="167" fontId="37" fillId="0" borderId="41" xfId="56435" applyFont="1" applyFill="1" applyBorder="1" applyAlignment="1">
      <alignment horizontal="center"/>
    </xf>
    <xf numFmtId="167" fontId="37" fillId="0" borderId="0" xfId="56435" applyNumberFormat="1" applyFont="1" applyFill="1"/>
    <xf numFmtId="15" fontId="37" fillId="0" borderId="0" xfId="56437" applyNumberFormat="1" applyFont="1" applyFill="1" applyAlignment="1">
      <alignment horizontal="center"/>
    </xf>
    <xf numFmtId="167" fontId="37" fillId="0" borderId="41" xfId="56438" applyNumberFormat="1" applyFont="1" applyFill="1" applyBorder="1" applyAlignment="1">
      <alignment horizontal="center"/>
    </xf>
    <xf numFmtId="167" fontId="37" fillId="0" borderId="42" xfId="56438" applyNumberFormat="1" applyFont="1" applyFill="1" applyBorder="1" applyAlignment="1">
      <alignment horizontal="center"/>
    </xf>
    <xf numFmtId="167" fontId="37" fillId="0" borderId="0" xfId="56438" applyNumberFormat="1" applyFont="1" applyFill="1" applyBorder="1" applyAlignment="1">
      <alignment horizontal="center"/>
    </xf>
    <xf numFmtId="181" fontId="37" fillId="0" borderId="0" xfId="56438" applyNumberFormat="1" applyFont="1" applyFill="1" applyBorder="1" applyAlignment="1">
      <alignment horizontal="center"/>
    </xf>
    <xf numFmtId="181" fontId="37" fillId="0" borderId="42" xfId="56438" applyNumberFormat="1" applyFont="1" applyFill="1" applyBorder="1" applyAlignment="1">
      <alignment horizontal="center"/>
    </xf>
    <xf numFmtId="15" fontId="37" fillId="0" borderId="0" xfId="56440" applyNumberFormat="1" applyFont="1" applyFill="1" applyAlignment="1">
      <alignment horizontal="center"/>
    </xf>
    <xf numFmtId="167" fontId="37" fillId="0" borderId="41" xfId="56441" applyNumberFormat="1" applyFont="1" applyFill="1" applyBorder="1" applyAlignment="1">
      <alignment horizontal="center"/>
    </xf>
    <xf numFmtId="167" fontId="37" fillId="0" borderId="42" xfId="56441" applyNumberFormat="1" applyFont="1" applyFill="1" applyBorder="1" applyAlignment="1">
      <alignment horizontal="center"/>
    </xf>
    <xf numFmtId="167" fontId="37" fillId="0" borderId="0" xfId="56441" applyNumberFormat="1" applyFont="1" applyFill="1" applyBorder="1" applyAlignment="1">
      <alignment horizontal="center"/>
    </xf>
    <xf numFmtId="181" fontId="37" fillId="0" borderId="0" xfId="56441" applyNumberFormat="1" applyFont="1" applyFill="1" applyBorder="1" applyAlignment="1">
      <alignment horizontal="center"/>
    </xf>
    <xf numFmtId="181" fontId="37" fillId="0" borderId="42" xfId="56441" applyNumberFormat="1" applyFont="1" applyFill="1" applyBorder="1" applyAlignment="1">
      <alignment horizontal="center"/>
    </xf>
    <xf numFmtId="15" fontId="37" fillId="0" borderId="0" xfId="56443" applyNumberFormat="1" applyFont="1" applyFill="1" applyAlignment="1">
      <alignment horizontal="center"/>
    </xf>
    <xf numFmtId="167" fontId="37" fillId="0" borderId="41" xfId="56444" applyNumberFormat="1" applyFont="1" applyFill="1" applyBorder="1" applyAlignment="1">
      <alignment horizontal="center"/>
    </xf>
    <xf numFmtId="167" fontId="37" fillId="0" borderId="42" xfId="56444" applyNumberFormat="1" applyFont="1" applyFill="1" applyBorder="1" applyAlignment="1">
      <alignment horizontal="center"/>
    </xf>
    <xf numFmtId="167" fontId="37" fillId="0" borderId="0" xfId="56444" applyNumberFormat="1" applyFont="1" applyFill="1" applyBorder="1" applyAlignment="1">
      <alignment horizontal="center"/>
    </xf>
    <xf numFmtId="181" fontId="37" fillId="0" borderId="0" xfId="56444" applyNumberFormat="1" applyFont="1" applyFill="1" applyBorder="1" applyAlignment="1">
      <alignment horizontal="center"/>
    </xf>
    <xf numFmtId="181" fontId="37" fillId="0" borderId="42" xfId="56444" applyNumberFormat="1" applyFont="1" applyFill="1" applyBorder="1" applyAlignment="1">
      <alignment horizontal="center"/>
    </xf>
    <xf numFmtId="15" fontId="37" fillId="0" borderId="0" xfId="56446" applyNumberFormat="1" applyFont="1" applyFill="1" applyAlignment="1">
      <alignment horizontal="center"/>
    </xf>
    <xf numFmtId="167" fontId="37" fillId="0" borderId="41" xfId="56447" applyNumberFormat="1" applyFont="1" applyFill="1" applyBorder="1" applyAlignment="1">
      <alignment horizontal="center"/>
    </xf>
    <xf numFmtId="167" fontId="37" fillId="0" borderId="42" xfId="56447" applyNumberFormat="1" applyFont="1" applyFill="1" applyBorder="1" applyAlignment="1">
      <alignment horizontal="center"/>
    </xf>
    <xf numFmtId="167" fontId="37" fillId="0" borderId="0" xfId="56447" applyNumberFormat="1" applyFont="1" applyFill="1" applyBorder="1" applyAlignment="1">
      <alignment horizontal="center"/>
    </xf>
    <xf numFmtId="181" fontId="37" fillId="0" borderId="0" xfId="56447" applyNumberFormat="1" applyFont="1" applyFill="1" applyBorder="1" applyAlignment="1">
      <alignment horizontal="center"/>
    </xf>
    <xf numFmtId="181" fontId="37" fillId="0" borderId="42" xfId="56447" applyNumberFormat="1" applyFont="1" applyFill="1" applyBorder="1" applyAlignment="1">
      <alignment horizontal="center"/>
    </xf>
    <xf numFmtId="15" fontId="37" fillId="0" borderId="0" xfId="56449" applyNumberFormat="1" applyFont="1" applyFill="1" applyAlignment="1">
      <alignment horizontal="center"/>
    </xf>
    <xf numFmtId="167" fontId="37" fillId="0" borderId="41" xfId="56450" applyNumberFormat="1" applyFont="1" applyFill="1" applyBorder="1" applyAlignment="1">
      <alignment horizontal="center"/>
    </xf>
    <xf numFmtId="167" fontId="37" fillId="0" borderId="42" xfId="56450" applyNumberFormat="1" applyFont="1" applyFill="1" applyBorder="1" applyAlignment="1">
      <alignment horizontal="center"/>
    </xf>
    <xf numFmtId="167" fontId="37" fillId="0" borderId="0" xfId="56450" applyNumberFormat="1" applyFont="1" applyFill="1" applyBorder="1" applyAlignment="1">
      <alignment horizontal="center"/>
    </xf>
    <xf numFmtId="181" fontId="37" fillId="0" borderId="0" xfId="56450" applyNumberFormat="1" applyFont="1" applyFill="1" applyBorder="1" applyAlignment="1">
      <alignment horizontal="center"/>
    </xf>
    <xf numFmtId="181" fontId="37" fillId="0" borderId="42" xfId="56450" applyNumberFormat="1" applyFont="1" applyFill="1" applyBorder="1" applyAlignment="1">
      <alignment horizontal="center"/>
    </xf>
    <xf numFmtId="15" fontId="37" fillId="0" borderId="0" xfId="56452" applyNumberFormat="1" applyFont="1" applyFill="1" applyAlignment="1">
      <alignment horizontal="center"/>
    </xf>
    <xf numFmtId="167" fontId="37" fillId="0" borderId="41" xfId="56453" applyNumberFormat="1" applyFont="1" applyFill="1" applyBorder="1" applyAlignment="1">
      <alignment horizontal="center"/>
    </xf>
    <xf numFmtId="167" fontId="37" fillId="0" borderId="42" xfId="56453" applyNumberFormat="1" applyFont="1" applyFill="1" applyBorder="1" applyAlignment="1">
      <alignment horizontal="center"/>
    </xf>
    <xf numFmtId="167" fontId="37" fillId="0" borderId="0" xfId="56453" applyNumberFormat="1" applyFont="1" applyFill="1" applyBorder="1" applyAlignment="1">
      <alignment horizontal="center"/>
    </xf>
    <xf numFmtId="181" fontId="37" fillId="0" borderId="0" xfId="56453" applyNumberFormat="1" applyFont="1" applyFill="1" applyBorder="1" applyAlignment="1">
      <alignment horizontal="center"/>
    </xf>
    <xf numFmtId="181" fontId="37" fillId="0" borderId="42" xfId="56453" applyNumberFormat="1" applyFont="1" applyFill="1" applyBorder="1" applyAlignment="1">
      <alignment horizontal="center"/>
    </xf>
    <xf numFmtId="15" fontId="37" fillId="0" borderId="0" xfId="56455" applyNumberFormat="1" applyFont="1" applyFill="1" applyAlignment="1">
      <alignment horizontal="center"/>
    </xf>
    <xf numFmtId="167" fontId="37" fillId="0" borderId="41" xfId="56456" applyNumberFormat="1" applyFont="1" applyFill="1" applyBorder="1" applyAlignment="1">
      <alignment horizontal="center"/>
    </xf>
    <xf numFmtId="167" fontId="37" fillId="0" borderId="42" xfId="56456" applyNumberFormat="1" applyFont="1" applyFill="1" applyBorder="1" applyAlignment="1">
      <alignment horizontal="center"/>
    </xf>
    <xf numFmtId="167" fontId="37" fillId="0" borderId="0" xfId="56456" applyNumberFormat="1" applyFont="1" applyFill="1" applyBorder="1" applyAlignment="1">
      <alignment horizontal="center"/>
    </xf>
    <xf numFmtId="181" fontId="37" fillId="0" borderId="0" xfId="56456" applyNumberFormat="1" applyFont="1" applyFill="1" applyBorder="1" applyAlignment="1">
      <alignment horizontal="center"/>
    </xf>
    <xf numFmtId="181" fontId="37" fillId="0" borderId="42" xfId="56456" applyNumberFormat="1" applyFont="1" applyFill="1" applyBorder="1" applyAlignment="1">
      <alignment horizontal="center"/>
    </xf>
    <xf numFmtId="15" fontId="37" fillId="0" borderId="0" xfId="56458" applyNumberFormat="1" applyFont="1" applyFill="1" applyAlignment="1">
      <alignment horizontal="center"/>
    </xf>
    <xf numFmtId="167" fontId="37" fillId="0" borderId="41" xfId="56459" applyNumberFormat="1" applyFont="1" applyFill="1" applyBorder="1" applyAlignment="1">
      <alignment horizontal="center"/>
    </xf>
    <xf numFmtId="167" fontId="37" fillId="0" borderId="42" xfId="56459" applyNumberFormat="1" applyFont="1" applyFill="1" applyBorder="1" applyAlignment="1">
      <alignment horizontal="center"/>
    </xf>
    <xf numFmtId="167" fontId="37" fillId="0" borderId="0" xfId="56459" applyNumberFormat="1" applyFont="1" applyFill="1" applyBorder="1" applyAlignment="1">
      <alignment horizontal="center"/>
    </xf>
    <xf numFmtId="181" fontId="37" fillId="0" borderId="0" xfId="56459" applyNumberFormat="1" applyFont="1" applyFill="1" applyBorder="1" applyAlignment="1">
      <alignment horizontal="center"/>
    </xf>
    <xf numFmtId="181" fontId="37" fillId="0" borderId="42" xfId="56459" applyNumberFormat="1" applyFont="1" applyFill="1" applyBorder="1" applyAlignment="1">
      <alignment horizontal="center"/>
    </xf>
    <xf numFmtId="15" fontId="37" fillId="0" borderId="0" xfId="56461" applyNumberFormat="1" applyFont="1" applyFill="1" applyAlignment="1">
      <alignment horizontal="center"/>
    </xf>
    <xf numFmtId="167" fontId="37" fillId="0" borderId="41" xfId="56462" applyNumberFormat="1" applyFont="1" applyFill="1" applyBorder="1" applyAlignment="1">
      <alignment horizontal="center"/>
    </xf>
    <xf numFmtId="167" fontId="37" fillId="0" borderId="42" xfId="56462" applyNumberFormat="1" applyFont="1" applyFill="1" applyBorder="1" applyAlignment="1">
      <alignment horizontal="center"/>
    </xf>
    <xf numFmtId="167" fontId="37" fillId="0" borderId="0" xfId="56462" applyNumberFormat="1" applyFont="1" applyFill="1" applyBorder="1" applyAlignment="1">
      <alignment horizontal="center"/>
    </xf>
    <xf numFmtId="181" fontId="37" fillId="0" borderId="0" xfId="56462" applyNumberFormat="1" applyFont="1" applyFill="1" applyBorder="1" applyAlignment="1">
      <alignment horizontal="center"/>
    </xf>
    <xf numFmtId="181" fontId="37" fillId="0" borderId="42" xfId="56462" applyNumberFormat="1" applyFont="1" applyFill="1" applyBorder="1" applyAlignment="1">
      <alignment horizontal="center"/>
    </xf>
    <xf numFmtId="15" fontId="37" fillId="0" borderId="0" xfId="56464" applyNumberFormat="1" applyFont="1" applyFill="1" applyAlignment="1">
      <alignment horizontal="center"/>
    </xf>
    <xf numFmtId="167" fontId="37" fillId="0" borderId="41" xfId="56465" applyNumberFormat="1" applyFont="1" applyFill="1" applyBorder="1" applyAlignment="1">
      <alignment horizontal="center"/>
    </xf>
    <xf numFmtId="167" fontId="37" fillId="0" borderId="42" xfId="56465" applyNumberFormat="1" applyFont="1" applyFill="1" applyBorder="1" applyAlignment="1">
      <alignment horizontal="center"/>
    </xf>
    <xf numFmtId="167" fontId="37" fillId="0" borderId="0" xfId="56465" applyNumberFormat="1" applyFont="1" applyFill="1" applyBorder="1" applyAlignment="1">
      <alignment horizontal="center"/>
    </xf>
    <xf numFmtId="181" fontId="37" fillId="0" borderId="0" xfId="56465" applyNumberFormat="1" applyFont="1" applyFill="1" applyBorder="1" applyAlignment="1">
      <alignment horizontal="center"/>
    </xf>
    <xf numFmtId="181" fontId="37" fillId="0" borderId="42" xfId="56465" applyNumberFormat="1" applyFont="1" applyFill="1" applyBorder="1" applyAlignment="1">
      <alignment horizontal="center"/>
    </xf>
    <xf numFmtId="15" fontId="37" fillId="0" borderId="0" xfId="0" applyNumberFormat="1" applyFont="1" applyFill="1" applyAlignment="1">
      <alignment horizontal="center"/>
    </xf>
    <xf numFmtId="0" fontId="37" fillId="0" borderId="0" xfId="0" applyFont="1" applyFill="1"/>
    <xf numFmtId="15" fontId="37" fillId="0" borderId="0" xfId="56467" applyNumberFormat="1" applyFont="1" applyFill="1" applyAlignment="1">
      <alignment horizontal="center"/>
    </xf>
    <xf numFmtId="167" fontId="37" fillId="0" borderId="41" xfId="56468" applyNumberFormat="1" applyFont="1" applyFill="1" applyBorder="1" applyAlignment="1">
      <alignment horizontal="center"/>
    </xf>
    <xf numFmtId="167" fontId="37" fillId="0" borderId="42" xfId="56468" applyNumberFormat="1" applyFont="1" applyFill="1" applyBorder="1" applyAlignment="1">
      <alignment horizontal="center"/>
    </xf>
    <xf numFmtId="167" fontId="37" fillId="0" borderId="0" xfId="56468" applyNumberFormat="1" applyFont="1" applyFill="1" applyBorder="1" applyAlignment="1">
      <alignment horizontal="center"/>
    </xf>
    <xf numFmtId="181" fontId="37" fillId="0" borderId="0" xfId="56468" applyNumberFormat="1" applyFont="1" applyFill="1" applyBorder="1" applyAlignment="1">
      <alignment horizontal="center"/>
    </xf>
    <xf numFmtId="181" fontId="37" fillId="0" borderId="42" xfId="56468" applyNumberFormat="1" applyFont="1" applyFill="1" applyBorder="1" applyAlignment="1">
      <alignment horizontal="center"/>
    </xf>
    <xf numFmtId="15" fontId="37" fillId="0" borderId="0" xfId="56470" applyNumberFormat="1" applyFont="1" applyFill="1" applyAlignment="1">
      <alignment horizontal="center"/>
    </xf>
    <xf numFmtId="167" fontId="37" fillId="0" borderId="41" xfId="56471" applyNumberFormat="1" applyFont="1" applyFill="1" applyBorder="1" applyAlignment="1">
      <alignment horizontal="center"/>
    </xf>
    <xf numFmtId="167" fontId="37" fillId="0" borderId="42" xfId="56471" applyNumberFormat="1" applyFont="1" applyFill="1" applyBorder="1" applyAlignment="1">
      <alignment horizontal="center"/>
    </xf>
    <xf numFmtId="167" fontId="37" fillId="0" borderId="0" xfId="56471" applyNumberFormat="1" applyFont="1" applyFill="1" applyBorder="1" applyAlignment="1">
      <alignment horizontal="center"/>
    </xf>
    <xf numFmtId="181" fontId="37" fillId="0" borderId="0" xfId="56471" applyNumberFormat="1" applyFont="1" applyFill="1" applyBorder="1" applyAlignment="1">
      <alignment horizontal="center"/>
    </xf>
    <xf numFmtId="181" fontId="37" fillId="0" borderId="42" xfId="56471" applyNumberFormat="1" applyFont="1" applyFill="1" applyBorder="1" applyAlignment="1">
      <alignment horizontal="center"/>
    </xf>
    <xf numFmtId="15" fontId="37" fillId="0" borderId="0" xfId="56473" applyNumberFormat="1" applyFont="1" applyFill="1" applyAlignment="1">
      <alignment horizontal="center"/>
    </xf>
    <xf numFmtId="167" fontId="37" fillId="0" borderId="41" xfId="56474" applyNumberFormat="1" applyFont="1" applyFill="1" applyBorder="1" applyAlignment="1">
      <alignment horizontal="center"/>
    </xf>
    <xf numFmtId="167" fontId="37" fillId="0" borderId="42" xfId="56474" applyNumberFormat="1" applyFont="1" applyFill="1" applyBorder="1" applyAlignment="1">
      <alignment horizontal="center"/>
    </xf>
    <xf numFmtId="167" fontId="37" fillId="0" borderId="0" xfId="56474" applyNumberFormat="1" applyFont="1" applyFill="1" applyBorder="1" applyAlignment="1">
      <alignment horizontal="center"/>
    </xf>
    <xf numFmtId="181" fontId="37" fillId="0" borderId="0" xfId="56474" applyNumberFormat="1" applyFont="1" applyFill="1" applyBorder="1" applyAlignment="1">
      <alignment horizontal="center"/>
    </xf>
    <xf numFmtId="181" fontId="37" fillId="0" borderId="42" xfId="56474" applyNumberFormat="1" applyFont="1" applyFill="1" applyBorder="1" applyAlignment="1">
      <alignment horizontal="center"/>
    </xf>
    <xf numFmtId="15" fontId="37" fillId="0" borderId="0" xfId="56476" applyNumberFormat="1" applyFont="1" applyFill="1" applyAlignment="1">
      <alignment horizontal="center"/>
    </xf>
    <xf numFmtId="167" fontId="37" fillId="0" borderId="41" xfId="56477" applyNumberFormat="1" applyFont="1" applyFill="1" applyBorder="1" applyAlignment="1">
      <alignment horizontal="center"/>
    </xf>
    <xf numFmtId="167" fontId="37" fillId="0" borderId="42" xfId="56477" applyNumberFormat="1" applyFont="1" applyFill="1" applyBorder="1" applyAlignment="1">
      <alignment horizontal="center"/>
    </xf>
    <xf numFmtId="167" fontId="37" fillId="0" borderId="0" xfId="56477" applyNumberFormat="1" applyFont="1" applyFill="1" applyBorder="1" applyAlignment="1">
      <alignment horizontal="center"/>
    </xf>
    <xf numFmtId="181" fontId="37" fillId="0" borderId="0" xfId="56477" applyNumberFormat="1" applyFont="1" applyFill="1" applyBorder="1" applyAlignment="1">
      <alignment horizontal="center"/>
    </xf>
    <xf numFmtId="181" fontId="37" fillId="0" borderId="42" xfId="56477" applyNumberFormat="1" applyFont="1" applyFill="1" applyBorder="1" applyAlignment="1">
      <alignment horizontal="center"/>
    </xf>
    <xf numFmtId="15" fontId="37" fillId="0" borderId="0" xfId="56479" applyNumberFormat="1" applyFont="1" applyFill="1" applyAlignment="1">
      <alignment horizontal="center"/>
    </xf>
    <xf numFmtId="167" fontId="37" fillId="0" borderId="41" xfId="56480" applyNumberFormat="1" applyFont="1" applyFill="1" applyBorder="1" applyAlignment="1">
      <alignment horizontal="center"/>
    </xf>
    <xf numFmtId="167" fontId="37" fillId="0" borderId="42" xfId="56480" applyNumberFormat="1" applyFont="1" applyFill="1" applyBorder="1" applyAlignment="1">
      <alignment horizontal="center"/>
    </xf>
    <xf numFmtId="167" fontId="37" fillId="0" borderId="0" xfId="56480" applyNumberFormat="1" applyFont="1" applyFill="1" applyBorder="1" applyAlignment="1">
      <alignment horizontal="center"/>
    </xf>
    <xf numFmtId="181" fontId="37" fillId="0" borderId="0" xfId="56480" applyNumberFormat="1" applyFont="1" applyFill="1" applyBorder="1" applyAlignment="1">
      <alignment horizontal="center"/>
    </xf>
    <xf numFmtId="181" fontId="37" fillId="0" borderId="42" xfId="56480" applyNumberFormat="1" applyFont="1" applyFill="1" applyBorder="1" applyAlignment="1">
      <alignment horizontal="center"/>
    </xf>
    <xf numFmtId="15" fontId="37" fillId="0" borderId="0" xfId="56482" applyNumberFormat="1" applyFont="1" applyFill="1" applyAlignment="1">
      <alignment horizontal="center"/>
    </xf>
    <xf numFmtId="167" fontId="37" fillId="0" borderId="41" xfId="56483" applyNumberFormat="1" applyFont="1" applyFill="1" applyBorder="1" applyAlignment="1">
      <alignment horizontal="center"/>
    </xf>
    <xf numFmtId="167" fontId="37" fillId="0" borderId="42" xfId="56483" applyNumberFormat="1" applyFont="1" applyFill="1" applyBorder="1" applyAlignment="1">
      <alignment horizontal="center"/>
    </xf>
    <xf numFmtId="167" fontId="37" fillId="0" borderId="0" xfId="56483" applyNumberFormat="1" applyFont="1" applyFill="1" applyBorder="1" applyAlignment="1">
      <alignment horizontal="center"/>
    </xf>
    <xf numFmtId="181" fontId="37" fillId="0" borderId="0" xfId="56483" applyNumberFormat="1" applyFont="1" applyFill="1" applyBorder="1" applyAlignment="1">
      <alignment horizontal="center"/>
    </xf>
    <xf numFmtId="181" fontId="37" fillId="0" borderId="42" xfId="56483" applyNumberFormat="1" applyFont="1" applyFill="1" applyBorder="1" applyAlignment="1">
      <alignment horizontal="center"/>
    </xf>
    <xf numFmtId="167" fontId="37" fillId="0" borderId="0" xfId="56485" applyNumberFormat="1" applyFont="1" applyFill="1"/>
    <xf numFmtId="174" fontId="37" fillId="0" borderId="0" xfId="56485" applyFont="1" applyFill="1"/>
    <xf numFmtId="181" fontId="37" fillId="0" borderId="0" xfId="56486" applyNumberFormat="1" applyFont="1" applyFill="1"/>
    <xf numFmtId="15" fontId="37" fillId="0" borderId="0" xfId="56485" applyNumberFormat="1" applyFont="1" applyFill="1" applyAlignment="1">
      <alignment horizontal="center"/>
    </xf>
    <xf numFmtId="167" fontId="37" fillId="0" borderId="41" xfId="56486" applyFont="1" applyFill="1" applyBorder="1" applyAlignment="1">
      <alignment horizontal="center"/>
    </xf>
    <xf numFmtId="167" fontId="37" fillId="0" borderId="0" xfId="56486" applyNumberFormat="1" applyFont="1" applyFill="1"/>
    <xf numFmtId="38" fontId="47" fillId="0" borderId="0" xfId="0" applyNumberFormat="1" applyFont="1" applyAlignment="1">
      <alignment wrapText="1"/>
    </xf>
    <xf numFmtId="15" fontId="37" fillId="0" borderId="0" xfId="56488" applyNumberFormat="1" applyFont="1" applyFill="1" applyAlignment="1">
      <alignment horizontal="center"/>
    </xf>
    <xf numFmtId="167" fontId="37" fillId="0" borderId="41" xfId="56489" applyNumberFormat="1" applyFont="1" applyFill="1" applyBorder="1" applyAlignment="1">
      <alignment horizontal="center"/>
    </xf>
    <xf numFmtId="167" fontId="37" fillId="0" borderId="42" xfId="56489" applyNumberFormat="1" applyFont="1" applyFill="1" applyBorder="1" applyAlignment="1">
      <alignment horizontal="center"/>
    </xf>
    <xf numFmtId="167" fontId="37" fillId="0" borderId="0" xfId="56489" applyNumberFormat="1" applyFont="1" applyFill="1" applyBorder="1" applyAlignment="1">
      <alignment horizontal="center"/>
    </xf>
    <xf numFmtId="181" fontId="37" fillId="0" borderId="0" xfId="56489" applyNumberFormat="1" applyFont="1" applyFill="1" applyBorder="1" applyAlignment="1">
      <alignment horizontal="center"/>
    </xf>
    <xf numFmtId="181" fontId="37" fillId="0" borderId="42" xfId="56489" applyNumberFormat="1" applyFont="1" applyFill="1" applyBorder="1" applyAlignment="1">
      <alignment horizontal="center"/>
    </xf>
    <xf numFmtId="15" fontId="37" fillId="0" borderId="0" xfId="56491" applyNumberFormat="1" applyFont="1" applyFill="1" applyAlignment="1">
      <alignment horizontal="center"/>
    </xf>
    <xf numFmtId="167" fontId="37" fillId="0" borderId="41" xfId="56492" applyNumberFormat="1" applyFont="1" applyFill="1" applyBorder="1" applyAlignment="1">
      <alignment horizontal="center"/>
    </xf>
    <xf numFmtId="167" fontId="37" fillId="0" borderId="42" xfId="56492" applyNumberFormat="1" applyFont="1" applyFill="1" applyBorder="1" applyAlignment="1">
      <alignment horizontal="center"/>
    </xf>
    <xf numFmtId="167" fontId="37" fillId="0" borderId="0" xfId="56492" applyNumberFormat="1" applyFont="1" applyFill="1" applyBorder="1" applyAlignment="1">
      <alignment horizontal="center"/>
    </xf>
    <xf numFmtId="181" fontId="37" fillId="0" borderId="0" xfId="56492" applyNumberFormat="1" applyFont="1" applyFill="1" applyBorder="1" applyAlignment="1">
      <alignment horizontal="center"/>
    </xf>
    <xf numFmtId="181" fontId="37" fillId="0" borderId="42" xfId="56492" applyNumberFormat="1" applyFont="1" applyFill="1" applyBorder="1" applyAlignment="1">
      <alignment horizontal="center"/>
    </xf>
    <xf numFmtId="167" fontId="37" fillId="0" borderId="0" xfId="56494" applyNumberFormat="1" applyFont="1" applyFill="1"/>
    <xf numFmtId="174" fontId="37" fillId="0" borderId="0" xfId="56494" applyFont="1" applyFill="1"/>
    <xf numFmtId="181" fontId="37" fillId="0" borderId="0" xfId="56495" applyNumberFormat="1" applyFont="1" applyFill="1"/>
    <xf numFmtId="15" fontId="37" fillId="0" borderId="0" xfId="56494" applyNumberFormat="1" applyFont="1" applyFill="1" applyAlignment="1">
      <alignment horizontal="center"/>
    </xf>
    <xf numFmtId="167" fontId="37" fillId="0" borderId="41" xfId="56495" applyFont="1" applyFill="1" applyBorder="1" applyAlignment="1">
      <alignment horizontal="center"/>
    </xf>
    <xf numFmtId="167" fontId="37" fillId="0" borderId="0" xfId="56495" applyNumberFormat="1" applyFont="1" applyFill="1"/>
    <xf numFmtId="15" fontId="37" fillId="0" borderId="0" xfId="56497" applyNumberFormat="1" applyFont="1" applyFill="1" applyAlignment="1">
      <alignment horizontal="center"/>
    </xf>
    <xf numFmtId="167" fontId="37" fillId="0" borderId="41" xfId="56498" applyNumberFormat="1" applyFont="1" applyFill="1" applyBorder="1" applyAlignment="1">
      <alignment horizontal="center"/>
    </xf>
    <xf numFmtId="167" fontId="37" fillId="0" borderId="42" xfId="56498" applyNumberFormat="1" applyFont="1" applyFill="1" applyBorder="1" applyAlignment="1">
      <alignment horizontal="center"/>
    </xf>
    <xf numFmtId="167" fontId="37" fillId="0" borderId="0" xfId="56498" applyNumberFormat="1" applyFont="1" applyFill="1" applyBorder="1" applyAlignment="1">
      <alignment horizontal="center"/>
    </xf>
    <xf numFmtId="181" fontId="37" fillId="0" borderId="0" xfId="56498" applyNumberFormat="1" applyFont="1" applyFill="1" applyBorder="1" applyAlignment="1">
      <alignment horizontal="center"/>
    </xf>
    <xf numFmtId="181" fontId="37" fillId="0" borderId="42" xfId="56498" applyNumberFormat="1" applyFont="1" applyFill="1" applyBorder="1" applyAlignment="1">
      <alignment horizontal="center"/>
    </xf>
    <xf numFmtId="15" fontId="37" fillId="0" borderId="0" xfId="56500" applyNumberFormat="1" applyFont="1" applyFill="1" applyAlignment="1">
      <alignment horizontal="center"/>
    </xf>
    <xf numFmtId="167" fontId="37" fillId="0" borderId="41" xfId="56501" applyNumberFormat="1" applyFont="1" applyFill="1" applyBorder="1" applyAlignment="1">
      <alignment horizontal="center"/>
    </xf>
    <xf numFmtId="167" fontId="37" fillId="0" borderId="42" xfId="56501" applyNumberFormat="1" applyFont="1" applyFill="1" applyBorder="1" applyAlignment="1">
      <alignment horizontal="center"/>
    </xf>
    <xf numFmtId="167" fontId="37" fillId="0" borderId="0" xfId="56501" applyNumberFormat="1" applyFont="1" applyFill="1" applyBorder="1" applyAlignment="1">
      <alignment horizontal="center"/>
    </xf>
    <xf numFmtId="181" fontId="37" fillId="0" borderId="0" xfId="56501" applyNumberFormat="1" applyFont="1" applyFill="1" applyBorder="1" applyAlignment="1">
      <alignment horizontal="center"/>
    </xf>
    <xf numFmtId="181" fontId="37" fillId="0" borderId="42" xfId="56501" applyNumberFormat="1" applyFont="1" applyFill="1" applyBorder="1" applyAlignment="1">
      <alignment horizontal="center"/>
    </xf>
    <xf numFmtId="15" fontId="37" fillId="0" borderId="0" xfId="56503" applyNumberFormat="1" applyFont="1" applyFill="1" applyAlignment="1">
      <alignment horizontal="center"/>
    </xf>
    <xf numFmtId="167" fontId="37" fillId="0" borderId="41" xfId="56504" applyNumberFormat="1" applyFont="1" applyFill="1" applyBorder="1" applyAlignment="1">
      <alignment horizontal="center"/>
    </xf>
    <xf numFmtId="167" fontId="37" fillId="0" borderId="42" xfId="56504" applyNumberFormat="1" applyFont="1" applyFill="1" applyBorder="1" applyAlignment="1">
      <alignment horizontal="center"/>
    </xf>
    <xf numFmtId="167" fontId="37" fillId="0" borderId="0" xfId="56504" applyNumberFormat="1" applyFont="1" applyFill="1" applyBorder="1" applyAlignment="1">
      <alignment horizontal="center"/>
    </xf>
    <xf numFmtId="181" fontId="37" fillId="0" borderId="0" xfId="56504" applyNumberFormat="1" applyFont="1" applyFill="1" applyBorder="1" applyAlignment="1">
      <alignment horizontal="center"/>
    </xf>
    <xf numFmtId="181" fontId="37" fillId="0" borderId="42" xfId="56504" applyNumberFormat="1" applyFont="1" applyFill="1" applyBorder="1" applyAlignment="1">
      <alignment horizontal="center"/>
    </xf>
    <xf numFmtId="15" fontId="37" fillId="0" borderId="0" xfId="56506" applyNumberFormat="1" applyFont="1" applyFill="1" applyAlignment="1">
      <alignment horizontal="center"/>
    </xf>
    <xf numFmtId="167" fontId="37" fillId="0" borderId="41" xfId="56507" applyNumberFormat="1" applyFont="1" applyFill="1" applyBorder="1" applyAlignment="1">
      <alignment horizontal="center"/>
    </xf>
    <xf numFmtId="167" fontId="37" fillId="0" borderId="42" xfId="56507" applyNumberFormat="1" applyFont="1" applyFill="1" applyBorder="1" applyAlignment="1">
      <alignment horizontal="center"/>
    </xf>
    <xf numFmtId="167" fontId="37" fillId="0" borderId="0" xfId="56507" applyNumberFormat="1" applyFont="1" applyFill="1" applyBorder="1" applyAlignment="1">
      <alignment horizontal="center"/>
    </xf>
    <xf numFmtId="181" fontId="37" fillId="0" borderId="0" xfId="56507" applyNumberFormat="1" applyFont="1" applyFill="1" applyBorder="1" applyAlignment="1">
      <alignment horizontal="center"/>
    </xf>
    <xf numFmtId="181" fontId="37" fillId="0" borderId="42" xfId="56507" applyNumberFormat="1" applyFont="1" applyFill="1" applyBorder="1" applyAlignment="1">
      <alignment horizontal="center"/>
    </xf>
    <xf numFmtId="15" fontId="37" fillId="0" borderId="0" xfId="56509" applyNumberFormat="1" applyFont="1" applyFill="1" applyAlignment="1">
      <alignment horizontal="center"/>
    </xf>
    <xf numFmtId="167" fontId="37" fillId="0" borderId="41" xfId="56510" applyNumberFormat="1" applyFont="1" applyFill="1" applyBorder="1" applyAlignment="1">
      <alignment horizontal="center"/>
    </xf>
    <xf numFmtId="167" fontId="37" fillId="0" borderId="42" xfId="56510" applyNumberFormat="1" applyFont="1" applyFill="1" applyBorder="1" applyAlignment="1">
      <alignment horizontal="center"/>
    </xf>
    <xf numFmtId="167" fontId="37" fillId="0" borderId="0" xfId="56510" applyNumberFormat="1" applyFont="1" applyFill="1" applyBorder="1" applyAlignment="1">
      <alignment horizontal="center"/>
    </xf>
    <xf numFmtId="181" fontId="37" fillId="0" borderId="0" xfId="56510" applyNumberFormat="1" applyFont="1" applyFill="1" applyBorder="1" applyAlignment="1">
      <alignment horizontal="center"/>
    </xf>
    <xf numFmtId="181" fontId="37" fillId="0" borderId="42" xfId="56510" applyNumberFormat="1" applyFont="1" applyFill="1" applyBorder="1" applyAlignment="1">
      <alignment horizontal="center"/>
    </xf>
    <xf numFmtId="15" fontId="37" fillId="0" borderId="0" xfId="56512" applyNumberFormat="1" applyFont="1" applyFill="1" applyAlignment="1">
      <alignment horizontal="center"/>
    </xf>
    <xf numFmtId="167" fontId="37" fillId="0" borderId="41" xfId="56513" applyNumberFormat="1" applyFont="1" applyFill="1" applyBorder="1" applyAlignment="1">
      <alignment horizontal="center"/>
    </xf>
    <xf numFmtId="167" fontId="37" fillId="0" borderId="42" xfId="56513" applyNumberFormat="1" applyFont="1" applyFill="1" applyBorder="1" applyAlignment="1">
      <alignment horizontal="center"/>
    </xf>
    <xf numFmtId="167" fontId="37" fillId="0" borderId="0" xfId="56513" applyNumberFormat="1" applyFont="1" applyFill="1" applyBorder="1" applyAlignment="1">
      <alignment horizontal="center"/>
    </xf>
    <xf numFmtId="181" fontId="37" fillId="0" borderId="0" xfId="56513" applyNumberFormat="1" applyFont="1" applyFill="1" applyBorder="1" applyAlignment="1">
      <alignment horizontal="center"/>
    </xf>
    <xf numFmtId="181" fontId="37" fillId="0" borderId="42" xfId="56513" applyNumberFormat="1" applyFont="1" applyFill="1" applyBorder="1" applyAlignment="1">
      <alignment horizontal="center"/>
    </xf>
    <xf numFmtId="15" fontId="37" fillId="0" borderId="0" xfId="56526" applyNumberFormat="1" applyFont="1" applyFill="1" applyAlignment="1">
      <alignment horizontal="center"/>
    </xf>
    <xf numFmtId="167" fontId="37" fillId="0" borderId="41" xfId="56519" applyNumberFormat="1" applyFont="1" applyFill="1" applyBorder="1" applyAlignment="1">
      <alignment horizontal="center"/>
    </xf>
    <xf numFmtId="167" fontId="37" fillId="0" borderId="42" xfId="56519" applyNumberFormat="1" applyFont="1" applyFill="1" applyBorder="1" applyAlignment="1">
      <alignment horizontal="center"/>
    </xf>
    <xf numFmtId="167" fontId="37" fillId="0" borderId="0" xfId="56519" applyNumberFormat="1" applyFont="1" applyFill="1" applyBorder="1" applyAlignment="1">
      <alignment horizontal="center"/>
    </xf>
    <xf numFmtId="181" fontId="37" fillId="0" borderId="0" xfId="56519" applyNumberFormat="1" applyFont="1" applyFill="1" applyBorder="1" applyAlignment="1">
      <alignment horizontal="center"/>
    </xf>
    <xf numFmtId="181" fontId="37" fillId="0" borderId="42" xfId="56519" applyNumberFormat="1" applyFont="1" applyFill="1" applyBorder="1" applyAlignment="1">
      <alignment horizontal="center"/>
    </xf>
    <xf numFmtId="15" fontId="37" fillId="0" borderId="0" xfId="56527" applyNumberFormat="1" applyFont="1" applyFill="1" applyAlignment="1">
      <alignment horizontal="center"/>
    </xf>
    <xf numFmtId="167" fontId="37" fillId="0" borderId="41" xfId="56528" applyNumberFormat="1" applyFont="1" applyFill="1" applyBorder="1" applyAlignment="1">
      <alignment horizontal="center"/>
    </xf>
    <xf numFmtId="167" fontId="37" fillId="0" borderId="42" xfId="56528" applyNumberFormat="1" applyFont="1" applyFill="1" applyBorder="1" applyAlignment="1">
      <alignment horizontal="center"/>
    </xf>
    <xf numFmtId="167" fontId="37" fillId="0" borderId="0" xfId="56528" applyNumberFormat="1" applyFont="1" applyFill="1" applyBorder="1" applyAlignment="1">
      <alignment horizontal="center"/>
    </xf>
    <xf numFmtId="181" fontId="37" fillId="0" borderId="0" xfId="56528" applyNumberFormat="1" applyFont="1" applyFill="1" applyBorder="1" applyAlignment="1">
      <alignment horizontal="center"/>
    </xf>
    <xf numFmtId="181" fontId="37" fillId="0" borderId="42" xfId="56528" applyNumberFormat="1" applyFont="1" applyFill="1" applyBorder="1" applyAlignment="1">
      <alignment horizontal="center"/>
    </xf>
    <xf numFmtId="15" fontId="37" fillId="0" borderId="0" xfId="56530" applyNumberFormat="1" applyFont="1" applyFill="1" applyAlignment="1">
      <alignment horizontal="center"/>
    </xf>
    <xf numFmtId="167" fontId="37" fillId="0" borderId="41" xfId="56531" applyNumberFormat="1" applyFont="1" applyFill="1" applyBorder="1" applyAlignment="1">
      <alignment horizontal="center"/>
    </xf>
    <xf numFmtId="167" fontId="37" fillId="0" borderId="42" xfId="56531" applyNumberFormat="1" applyFont="1" applyFill="1" applyBorder="1" applyAlignment="1">
      <alignment horizontal="center"/>
    </xf>
    <xf numFmtId="167" fontId="37" fillId="0" borderId="0" xfId="56531" applyNumberFormat="1" applyFont="1" applyFill="1" applyBorder="1" applyAlignment="1">
      <alignment horizontal="center"/>
    </xf>
    <xf numFmtId="181" fontId="37" fillId="0" borderId="0" xfId="56531" applyNumberFormat="1" applyFont="1" applyFill="1" applyBorder="1" applyAlignment="1">
      <alignment horizontal="center"/>
    </xf>
    <xf numFmtId="181" fontId="37" fillId="0" borderId="42" xfId="56531" applyNumberFormat="1" applyFont="1" applyFill="1" applyBorder="1" applyAlignment="1">
      <alignment horizontal="center"/>
    </xf>
    <xf numFmtId="15" fontId="37" fillId="0" borderId="0" xfId="56533" applyNumberFormat="1" applyFont="1" applyFill="1" applyAlignment="1">
      <alignment horizontal="center"/>
    </xf>
    <xf numFmtId="167" fontId="37" fillId="0" borderId="41" xfId="56534" applyNumberFormat="1" applyFont="1" applyFill="1" applyBorder="1" applyAlignment="1">
      <alignment horizontal="center"/>
    </xf>
    <xf numFmtId="167" fontId="37" fillId="0" borderId="42" xfId="56534" applyNumberFormat="1" applyFont="1" applyFill="1" applyBorder="1" applyAlignment="1">
      <alignment horizontal="center"/>
    </xf>
    <xf numFmtId="167" fontId="37" fillId="0" borderId="0" xfId="56534" applyNumberFormat="1" applyFont="1" applyFill="1" applyBorder="1" applyAlignment="1">
      <alignment horizontal="center"/>
    </xf>
    <xf numFmtId="181" fontId="37" fillId="0" borderId="0" xfId="56534" applyNumberFormat="1" applyFont="1" applyFill="1" applyBorder="1" applyAlignment="1">
      <alignment horizontal="center"/>
    </xf>
    <xf numFmtId="181" fontId="37" fillId="0" borderId="42" xfId="56534" applyNumberFormat="1" applyFont="1" applyFill="1" applyBorder="1" applyAlignment="1">
      <alignment horizontal="center"/>
    </xf>
    <xf numFmtId="15" fontId="37" fillId="0" borderId="0" xfId="56536" applyNumberFormat="1" applyFont="1" applyFill="1" applyAlignment="1">
      <alignment horizontal="center"/>
    </xf>
    <xf numFmtId="167" fontId="37" fillId="0" borderId="41" xfId="56537" applyNumberFormat="1" applyFont="1" applyFill="1" applyBorder="1" applyAlignment="1">
      <alignment horizontal="center"/>
    </xf>
    <xf numFmtId="167" fontId="37" fillId="0" borderId="42" xfId="56537" applyNumberFormat="1" applyFont="1" applyFill="1" applyBorder="1" applyAlignment="1">
      <alignment horizontal="center"/>
    </xf>
    <xf numFmtId="167" fontId="37" fillId="0" borderId="0" xfId="56537" applyNumberFormat="1" applyFont="1" applyFill="1" applyBorder="1" applyAlignment="1">
      <alignment horizontal="center"/>
    </xf>
    <xf numFmtId="181" fontId="37" fillId="0" borderId="0" xfId="56537" applyNumberFormat="1" applyFont="1" applyFill="1" applyBorder="1" applyAlignment="1">
      <alignment horizontal="center"/>
    </xf>
    <xf numFmtId="181" fontId="37" fillId="0" borderId="42" xfId="56537" applyNumberFormat="1" applyFont="1" applyFill="1" applyBorder="1" applyAlignment="1">
      <alignment horizontal="center"/>
    </xf>
    <xf numFmtId="38" fontId="48" fillId="0" borderId="0" xfId="0" applyNumberFormat="1" applyFont="1" applyFill="1"/>
    <xf numFmtId="169" fontId="48" fillId="0" borderId="0" xfId="1" applyNumberFormat="1" applyFont="1" applyFill="1" applyAlignment="1">
      <alignment wrapText="1"/>
    </xf>
    <xf numFmtId="15" fontId="37" fillId="0" borderId="0" xfId="56539" applyNumberFormat="1" applyFont="1" applyFill="1" applyAlignment="1">
      <alignment horizontal="center"/>
    </xf>
    <xf numFmtId="167" fontId="37" fillId="0" borderId="41" xfId="56540" applyNumberFormat="1" applyFont="1" applyFill="1" applyBorder="1" applyAlignment="1">
      <alignment horizontal="center"/>
    </xf>
    <xf numFmtId="167" fontId="37" fillId="0" borderId="42" xfId="56540" applyNumberFormat="1" applyFont="1" applyFill="1" applyBorder="1" applyAlignment="1">
      <alignment horizontal="center"/>
    </xf>
    <xf numFmtId="167" fontId="37" fillId="0" borderId="0" xfId="56540" applyNumberFormat="1" applyFont="1" applyFill="1" applyBorder="1" applyAlignment="1">
      <alignment horizontal="center"/>
    </xf>
    <xf numFmtId="181" fontId="37" fillId="0" borderId="0" xfId="56540" applyNumberFormat="1" applyFont="1" applyFill="1" applyBorder="1" applyAlignment="1">
      <alignment horizontal="center"/>
    </xf>
    <xf numFmtId="181" fontId="37" fillId="0" borderId="42" xfId="56540" applyNumberFormat="1" applyFont="1" applyFill="1" applyBorder="1" applyAlignment="1">
      <alignment horizontal="center"/>
    </xf>
    <xf numFmtId="15" fontId="37" fillId="0" borderId="0" xfId="56542" applyNumberFormat="1" applyFont="1" applyFill="1" applyAlignment="1">
      <alignment horizontal="center"/>
    </xf>
    <xf numFmtId="167" fontId="37" fillId="0" borderId="41" xfId="56543" applyNumberFormat="1" applyFont="1" applyFill="1" applyBorder="1" applyAlignment="1">
      <alignment horizontal="center"/>
    </xf>
    <xf numFmtId="167" fontId="37" fillId="0" borderId="42" xfId="56543" applyNumberFormat="1" applyFont="1" applyFill="1" applyBorder="1" applyAlignment="1">
      <alignment horizontal="center"/>
    </xf>
    <xf numFmtId="167" fontId="37" fillId="0" borderId="0" xfId="56543" applyNumberFormat="1" applyFont="1" applyFill="1" applyBorder="1" applyAlignment="1">
      <alignment horizontal="center"/>
    </xf>
    <xf numFmtId="181" fontId="37" fillId="0" borderId="0" xfId="56543" applyNumberFormat="1" applyFont="1" applyFill="1" applyBorder="1" applyAlignment="1">
      <alignment horizontal="center"/>
    </xf>
    <xf numFmtId="181" fontId="37" fillId="0" borderId="42" xfId="56543" applyNumberFormat="1" applyFont="1" applyFill="1" applyBorder="1" applyAlignment="1">
      <alignment horizontal="center"/>
    </xf>
    <xf numFmtId="15" fontId="37" fillId="0" borderId="0" xfId="56545" applyNumberFormat="1" applyFont="1" applyFill="1" applyAlignment="1">
      <alignment horizontal="center"/>
    </xf>
    <xf numFmtId="167" fontId="37" fillId="0" borderId="41" xfId="56546" applyNumberFormat="1" applyFont="1" applyFill="1" applyBorder="1" applyAlignment="1">
      <alignment horizontal="center"/>
    </xf>
    <xf numFmtId="167" fontId="37" fillId="0" borderId="42" xfId="56546" applyNumberFormat="1" applyFont="1" applyFill="1" applyBorder="1" applyAlignment="1">
      <alignment horizontal="center"/>
    </xf>
    <xf numFmtId="167" fontId="37" fillId="0" borderId="0" xfId="56546" applyNumberFormat="1" applyFont="1" applyFill="1" applyBorder="1" applyAlignment="1">
      <alignment horizontal="center"/>
    </xf>
    <xf numFmtId="181" fontId="37" fillId="0" borderId="0" xfId="56546" applyNumberFormat="1" applyFont="1" applyFill="1" applyBorder="1" applyAlignment="1">
      <alignment horizontal="center"/>
    </xf>
    <xf numFmtId="181" fontId="37" fillId="0" borderId="42" xfId="56546" applyNumberFormat="1" applyFont="1" applyFill="1" applyBorder="1" applyAlignment="1">
      <alignment horizontal="center"/>
    </xf>
    <xf numFmtId="15" fontId="37" fillId="0" borderId="0" xfId="56548" applyNumberFormat="1" applyFont="1" applyFill="1" applyAlignment="1">
      <alignment horizontal="center"/>
    </xf>
    <xf numFmtId="167" fontId="37" fillId="0" borderId="41" xfId="56549" applyNumberFormat="1" applyFont="1" applyFill="1" applyBorder="1" applyAlignment="1">
      <alignment horizontal="center"/>
    </xf>
    <xf numFmtId="167" fontId="37" fillId="0" borderId="42" xfId="56549" applyNumberFormat="1" applyFont="1" applyFill="1" applyBorder="1" applyAlignment="1">
      <alignment horizontal="center"/>
    </xf>
    <xf numFmtId="167" fontId="37" fillId="0" borderId="0" xfId="56549" applyNumberFormat="1" applyFont="1" applyFill="1" applyBorder="1" applyAlignment="1">
      <alignment horizontal="center"/>
    </xf>
    <xf numFmtId="181" fontId="37" fillId="0" borderId="0" xfId="56549" applyNumberFormat="1" applyFont="1" applyFill="1" applyBorder="1" applyAlignment="1">
      <alignment horizontal="center"/>
    </xf>
    <xf numFmtId="181" fontId="37" fillId="0" borderId="42" xfId="56549" applyNumberFormat="1" applyFont="1" applyFill="1" applyBorder="1" applyAlignment="1">
      <alignment horizontal="center"/>
    </xf>
    <xf numFmtId="167" fontId="37" fillId="0" borderId="0" xfId="56551" applyNumberFormat="1" applyFont="1" applyFill="1"/>
    <xf numFmtId="174" fontId="37" fillId="0" borderId="0" xfId="56551" applyFont="1" applyFill="1"/>
    <xf numFmtId="181" fontId="37" fillId="0" borderId="0" xfId="56552" applyNumberFormat="1" applyFont="1" applyFill="1"/>
    <xf numFmtId="15" fontId="37" fillId="0" borderId="0" xfId="56551" applyNumberFormat="1" applyFont="1" applyFill="1" applyAlignment="1">
      <alignment horizontal="center"/>
    </xf>
    <xf numFmtId="167" fontId="37" fillId="0" borderId="41" xfId="56552" applyFont="1" applyFill="1" applyBorder="1" applyAlignment="1">
      <alignment horizontal="center"/>
    </xf>
    <xf numFmtId="167" fontId="37" fillId="0" borderId="0" xfId="56552" applyNumberFormat="1" applyFont="1" applyFill="1"/>
    <xf numFmtId="15" fontId="37" fillId="0" borderId="0" xfId="56554" applyNumberFormat="1" applyFont="1" applyFill="1" applyAlignment="1">
      <alignment horizontal="center"/>
    </xf>
    <xf numFmtId="167" fontId="37" fillId="0" borderId="41" xfId="56555" applyNumberFormat="1" applyFont="1" applyFill="1" applyBorder="1" applyAlignment="1">
      <alignment horizontal="center"/>
    </xf>
    <xf numFmtId="167" fontId="37" fillId="0" borderId="42" xfId="56555" applyNumberFormat="1" applyFont="1" applyFill="1" applyBorder="1" applyAlignment="1">
      <alignment horizontal="center"/>
    </xf>
    <xf numFmtId="167" fontId="37" fillId="0" borderId="0" xfId="56555" applyNumberFormat="1" applyFont="1" applyFill="1" applyBorder="1" applyAlignment="1">
      <alignment horizontal="center"/>
    </xf>
    <xf numFmtId="181" fontId="37" fillId="0" borderId="0" xfId="56555" applyNumberFormat="1" applyFont="1" applyFill="1" applyBorder="1" applyAlignment="1">
      <alignment horizontal="center"/>
    </xf>
    <xf numFmtId="181" fontId="37" fillId="0" borderId="42" xfId="56555" applyNumberFormat="1" applyFont="1" applyFill="1" applyBorder="1" applyAlignment="1">
      <alignment horizontal="center"/>
    </xf>
    <xf numFmtId="15" fontId="37" fillId="0" borderId="0" xfId="56557" applyNumberFormat="1" applyFont="1" applyFill="1" applyAlignment="1">
      <alignment horizontal="center"/>
    </xf>
    <xf numFmtId="167" fontId="37" fillId="0" borderId="41" xfId="56558" applyNumberFormat="1" applyFont="1" applyFill="1" applyBorder="1" applyAlignment="1">
      <alignment horizontal="center"/>
    </xf>
    <xf numFmtId="167" fontId="37" fillId="0" borderId="42" xfId="56558" applyNumberFormat="1" applyFont="1" applyFill="1" applyBorder="1" applyAlignment="1">
      <alignment horizontal="center"/>
    </xf>
    <xf numFmtId="167" fontId="37" fillId="0" borderId="0" xfId="56558" applyNumberFormat="1" applyFont="1" applyFill="1" applyBorder="1" applyAlignment="1">
      <alignment horizontal="center"/>
    </xf>
    <xf numFmtId="181" fontId="37" fillId="0" borderId="0" xfId="56558" applyNumberFormat="1" applyFont="1" applyFill="1" applyBorder="1" applyAlignment="1">
      <alignment horizontal="center"/>
    </xf>
    <xf numFmtId="181" fontId="37" fillId="0" borderId="42" xfId="56558" applyNumberFormat="1" applyFont="1" applyFill="1" applyBorder="1" applyAlignment="1">
      <alignment horizontal="center"/>
    </xf>
    <xf numFmtId="15" fontId="37" fillId="0" borderId="0" xfId="56560" applyNumberFormat="1" applyFont="1" applyFill="1" applyAlignment="1">
      <alignment horizontal="center"/>
    </xf>
    <xf numFmtId="167" fontId="37" fillId="0" borderId="41" xfId="56561" applyNumberFormat="1" applyFont="1" applyFill="1" applyBorder="1" applyAlignment="1">
      <alignment horizontal="center"/>
    </xf>
    <xf numFmtId="167" fontId="37" fillId="0" borderId="42" xfId="56561" applyNumberFormat="1" applyFont="1" applyFill="1" applyBorder="1" applyAlignment="1">
      <alignment horizontal="center"/>
    </xf>
    <xf numFmtId="167" fontId="37" fillId="0" borderId="0" xfId="56561" applyNumberFormat="1" applyFont="1" applyFill="1" applyBorder="1" applyAlignment="1">
      <alignment horizontal="center"/>
    </xf>
    <xf numFmtId="181" fontId="37" fillId="0" borderId="0" xfId="56561" applyNumberFormat="1" applyFont="1" applyFill="1" applyBorder="1" applyAlignment="1">
      <alignment horizontal="center"/>
    </xf>
    <xf numFmtId="181" fontId="37" fillId="0" borderId="42" xfId="56561" applyNumberFormat="1" applyFont="1" applyFill="1" applyBorder="1" applyAlignment="1">
      <alignment horizontal="center"/>
    </xf>
    <xf numFmtId="15" fontId="37" fillId="0" borderId="0" xfId="56563" applyNumberFormat="1" applyFont="1" applyFill="1" applyAlignment="1">
      <alignment horizontal="center"/>
    </xf>
    <xf numFmtId="167" fontId="37" fillId="0" borderId="41" xfId="56564" applyNumberFormat="1" applyFont="1" applyFill="1" applyBorder="1" applyAlignment="1">
      <alignment horizontal="center"/>
    </xf>
    <xf numFmtId="167" fontId="37" fillId="0" borderId="42" xfId="56564" applyNumberFormat="1" applyFont="1" applyFill="1" applyBorder="1" applyAlignment="1">
      <alignment horizontal="center"/>
    </xf>
    <xf numFmtId="167" fontId="37" fillId="0" borderId="0" xfId="56564" applyNumberFormat="1" applyFont="1" applyFill="1" applyBorder="1" applyAlignment="1">
      <alignment horizontal="center"/>
    </xf>
    <xf numFmtId="181" fontId="37" fillId="0" borderId="0" xfId="56564" applyNumberFormat="1" applyFont="1" applyFill="1" applyBorder="1" applyAlignment="1">
      <alignment horizontal="center"/>
    </xf>
    <xf numFmtId="181" fontId="37" fillId="0" borderId="42" xfId="56564" applyNumberFormat="1" applyFont="1" applyFill="1" applyBorder="1" applyAlignment="1">
      <alignment horizontal="center"/>
    </xf>
    <xf numFmtId="15" fontId="37" fillId="0" borderId="0" xfId="56566" applyNumberFormat="1" applyFont="1" applyFill="1" applyAlignment="1">
      <alignment horizontal="center"/>
    </xf>
    <xf numFmtId="167" fontId="37" fillId="0" borderId="41" xfId="56567" applyNumberFormat="1" applyFont="1" applyFill="1" applyBorder="1" applyAlignment="1">
      <alignment horizontal="center"/>
    </xf>
    <xf numFmtId="167" fontId="37" fillId="0" borderId="42" xfId="56567" applyNumberFormat="1" applyFont="1" applyFill="1" applyBorder="1" applyAlignment="1">
      <alignment horizontal="center"/>
    </xf>
    <xf numFmtId="167" fontId="37" fillId="0" borderId="0" xfId="56567" applyNumberFormat="1" applyFont="1" applyFill="1" applyBorder="1" applyAlignment="1">
      <alignment horizontal="center"/>
    </xf>
    <xf numFmtId="181" fontId="37" fillId="0" borderId="0" xfId="56567" applyNumberFormat="1" applyFont="1" applyFill="1" applyBorder="1" applyAlignment="1">
      <alignment horizontal="center"/>
    </xf>
    <xf numFmtId="181" fontId="37" fillId="0" borderId="42" xfId="56567" applyNumberFormat="1" applyFont="1" applyFill="1" applyBorder="1" applyAlignment="1">
      <alignment horizontal="center"/>
    </xf>
    <xf numFmtId="15" fontId="37" fillId="0" borderId="0" xfId="56569" applyNumberFormat="1" applyFont="1" applyFill="1" applyAlignment="1">
      <alignment horizontal="center"/>
    </xf>
    <xf numFmtId="167" fontId="37" fillId="0" borderId="41" xfId="56570" applyNumberFormat="1" applyFont="1" applyFill="1" applyBorder="1" applyAlignment="1">
      <alignment horizontal="center"/>
    </xf>
    <xf numFmtId="167" fontId="37" fillId="0" borderId="42" xfId="56570" applyNumberFormat="1" applyFont="1" applyFill="1" applyBorder="1" applyAlignment="1">
      <alignment horizontal="center"/>
    </xf>
    <xf numFmtId="167" fontId="37" fillId="0" borderId="0" xfId="56570" applyNumberFormat="1" applyFont="1" applyFill="1" applyBorder="1" applyAlignment="1">
      <alignment horizontal="center"/>
    </xf>
    <xf numFmtId="181" fontId="37" fillId="0" borderId="0" xfId="56570" applyNumberFormat="1" applyFont="1" applyFill="1" applyBorder="1" applyAlignment="1">
      <alignment horizontal="center"/>
    </xf>
    <xf numFmtId="181" fontId="37" fillId="0" borderId="42" xfId="56570" applyNumberFormat="1" applyFont="1" applyFill="1" applyBorder="1" applyAlignment="1">
      <alignment horizontal="center"/>
    </xf>
    <xf numFmtId="15" fontId="37" fillId="0" borderId="0" xfId="56572" applyNumberFormat="1" applyFont="1" applyFill="1" applyAlignment="1">
      <alignment horizontal="center"/>
    </xf>
    <xf numFmtId="167" fontId="37" fillId="0" borderId="41" xfId="56573" applyNumberFormat="1" applyFont="1" applyFill="1" applyBorder="1" applyAlignment="1">
      <alignment horizontal="center"/>
    </xf>
    <xf numFmtId="167" fontId="37" fillId="0" borderId="42" xfId="56573" applyNumberFormat="1" applyFont="1" applyFill="1" applyBorder="1" applyAlignment="1">
      <alignment horizontal="center"/>
    </xf>
    <xf numFmtId="167" fontId="37" fillId="0" borderId="0" xfId="56573" applyNumberFormat="1" applyFont="1" applyFill="1" applyBorder="1" applyAlignment="1">
      <alignment horizontal="center"/>
    </xf>
    <xf numFmtId="181" fontId="37" fillId="0" borderId="0" xfId="56573" applyNumberFormat="1" applyFont="1" applyFill="1" applyBorder="1" applyAlignment="1">
      <alignment horizontal="center"/>
    </xf>
    <xf numFmtId="181" fontId="37" fillId="0" borderId="42" xfId="56573" applyNumberFormat="1" applyFont="1" applyFill="1" applyBorder="1" applyAlignment="1">
      <alignment horizontal="center"/>
    </xf>
    <xf numFmtId="15" fontId="37" fillId="0" borderId="0" xfId="56575" applyNumberFormat="1" applyFont="1" applyFill="1" applyAlignment="1">
      <alignment horizontal="center"/>
    </xf>
    <xf numFmtId="167" fontId="37" fillId="0" borderId="41" xfId="56576" applyNumberFormat="1" applyFont="1" applyFill="1" applyBorder="1" applyAlignment="1">
      <alignment horizontal="center"/>
    </xf>
    <xf numFmtId="167" fontId="37" fillId="0" borderId="42" xfId="56576" applyNumberFormat="1" applyFont="1" applyFill="1" applyBorder="1" applyAlignment="1">
      <alignment horizontal="center"/>
    </xf>
    <xf numFmtId="167" fontId="37" fillId="0" borderId="0" xfId="56576" applyNumberFormat="1" applyFont="1" applyFill="1" applyBorder="1" applyAlignment="1">
      <alignment horizontal="center"/>
    </xf>
    <xf numFmtId="181" fontId="37" fillId="0" borderId="0" xfId="56576" applyNumberFormat="1" applyFont="1" applyFill="1" applyBorder="1" applyAlignment="1">
      <alignment horizontal="center"/>
    </xf>
    <xf numFmtId="181" fontId="37" fillId="0" borderId="42" xfId="56576" applyNumberFormat="1" applyFont="1" applyFill="1" applyBorder="1" applyAlignment="1">
      <alignment horizontal="center"/>
    </xf>
    <xf numFmtId="15" fontId="37" fillId="0" borderId="0" xfId="56578" applyNumberFormat="1" applyFont="1" applyFill="1" applyAlignment="1">
      <alignment horizontal="center"/>
    </xf>
    <xf numFmtId="167" fontId="37" fillId="0" borderId="41" xfId="56579" applyNumberFormat="1" applyFont="1" applyFill="1" applyBorder="1" applyAlignment="1">
      <alignment horizontal="center"/>
    </xf>
    <xf numFmtId="167" fontId="37" fillId="0" borderId="42" xfId="56579" applyNumberFormat="1" applyFont="1" applyFill="1" applyBorder="1" applyAlignment="1">
      <alignment horizontal="center"/>
    </xf>
    <xf numFmtId="167" fontId="37" fillId="0" borderId="0" xfId="56579" applyNumberFormat="1" applyFont="1" applyFill="1" applyBorder="1" applyAlignment="1">
      <alignment horizontal="center"/>
    </xf>
    <xf numFmtId="181" fontId="37" fillId="0" borderId="0" xfId="56579" applyNumberFormat="1" applyFont="1" applyFill="1" applyBorder="1" applyAlignment="1">
      <alignment horizontal="center"/>
    </xf>
    <xf numFmtId="181" fontId="37" fillId="0" borderId="42" xfId="56579" applyNumberFormat="1" applyFont="1" applyFill="1" applyBorder="1" applyAlignment="1">
      <alignment horizontal="center"/>
    </xf>
    <xf numFmtId="15" fontId="37" fillId="0" borderId="0" xfId="56581" applyNumberFormat="1" applyFont="1" applyFill="1" applyAlignment="1">
      <alignment horizontal="center"/>
    </xf>
    <xf numFmtId="167" fontId="37" fillId="0" borderId="41" xfId="56582" applyNumberFormat="1" applyFont="1" applyFill="1" applyBorder="1" applyAlignment="1">
      <alignment horizontal="center"/>
    </xf>
    <xf numFmtId="167" fontId="37" fillId="0" borderId="42" xfId="56582" applyNumberFormat="1" applyFont="1" applyFill="1" applyBorder="1" applyAlignment="1">
      <alignment horizontal="center"/>
    </xf>
    <xf numFmtId="167" fontId="37" fillId="0" borderId="0" xfId="56582" applyNumberFormat="1" applyFont="1" applyFill="1" applyBorder="1" applyAlignment="1">
      <alignment horizontal="center"/>
    </xf>
    <xf numFmtId="181" fontId="37" fillId="0" borderId="0" xfId="56582" applyNumberFormat="1" applyFont="1" applyFill="1" applyBorder="1" applyAlignment="1">
      <alignment horizontal="center"/>
    </xf>
    <xf numFmtId="181" fontId="37" fillId="0" borderId="42" xfId="56582" applyNumberFormat="1" applyFont="1" applyFill="1" applyBorder="1" applyAlignment="1">
      <alignment horizontal="center"/>
    </xf>
    <xf numFmtId="15" fontId="37" fillId="0" borderId="0" xfId="56584" applyNumberFormat="1" applyFont="1" applyFill="1" applyAlignment="1">
      <alignment horizontal="center"/>
    </xf>
    <xf numFmtId="167" fontId="37" fillId="0" borderId="41" xfId="56585" applyNumberFormat="1" applyFont="1" applyFill="1" applyBorder="1" applyAlignment="1">
      <alignment horizontal="center"/>
    </xf>
    <xf numFmtId="167" fontId="37" fillId="0" borderId="42" xfId="56585" applyNumberFormat="1" applyFont="1" applyFill="1" applyBorder="1" applyAlignment="1">
      <alignment horizontal="center"/>
    </xf>
    <xf numFmtId="167" fontId="37" fillId="0" borderId="0" xfId="56585" applyNumberFormat="1" applyFont="1" applyFill="1" applyBorder="1" applyAlignment="1">
      <alignment horizontal="center"/>
    </xf>
    <xf numFmtId="181" fontId="37" fillId="0" borderId="0" xfId="56585" applyNumberFormat="1" applyFont="1" applyFill="1" applyBorder="1" applyAlignment="1">
      <alignment horizontal="center"/>
    </xf>
    <xf numFmtId="181" fontId="37" fillId="0" borderId="42" xfId="56585" applyNumberFormat="1" applyFont="1" applyFill="1" applyBorder="1" applyAlignment="1">
      <alignment horizontal="center"/>
    </xf>
    <xf numFmtId="174" fontId="60" fillId="0" borderId="0" xfId="0" applyNumberFormat="1" applyFont="1" applyFill="1" applyBorder="1" applyAlignment="1" applyProtection="1"/>
    <xf numFmtId="15" fontId="60" fillId="0" borderId="0" xfId="0" applyNumberFormat="1" applyFont="1" applyFill="1" applyBorder="1" applyAlignment="1" applyProtection="1">
      <alignment horizontal="center"/>
    </xf>
    <xf numFmtId="167" fontId="60" fillId="0" borderId="43" xfId="0" applyNumberFormat="1" applyFont="1" applyFill="1" applyBorder="1" applyAlignment="1" applyProtection="1">
      <alignment horizontal="center"/>
    </xf>
    <xf numFmtId="181" fontId="60" fillId="0" borderId="44" xfId="0" applyNumberFormat="1" applyFont="1" applyFill="1" applyBorder="1" applyAlignment="1" applyProtection="1">
      <alignment horizontal="center"/>
    </xf>
    <xf numFmtId="181" fontId="60" fillId="0" borderId="0" xfId="0" applyNumberFormat="1" applyFont="1" applyFill="1" applyBorder="1" applyAlignment="1" applyProtection="1">
      <alignment horizontal="center"/>
    </xf>
    <xf numFmtId="167" fontId="60" fillId="0" borderId="44" xfId="0" applyNumberFormat="1" applyFont="1" applyFill="1" applyBorder="1" applyAlignment="1" applyProtection="1">
      <alignment horizontal="center"/>
    </xf>
    <xf numFmtId="167" fontId="60" fillId="0" borderId="0" xfId="0" applyNumberFormat="1" applyFont="1" applyFill="1" applyBorder="1" applyAlignment="1" applyProtection="1">
      <alignment horizontal="center"/>
    </xf>
    <xf numFmtId="167" fontId="60" fillId="0" borderId="45" xfId="0" applyNumberFormat="1" applyFont="1" applyFill="1" applyBorder="1" applyAlignment="1" applyProtection="1">
      <alignment horizontal="center"/>
    </xf>
    <xf numFmtId="181" fontId="60" fillId="0" borderId="46" xfId="0" applyNumberFormat="1" applyFont="1" applyFill="1" applyBorder="1" applyAlignment="1" applyProtection="1">
      <alignment horizontal="center"/>
    </xf>
    <xf numFmtId="167" fontId="60" fillId="0" borderId="46" xfId="0" applyNumberFormat="1" applyFont="1" applyFill="1" applyBorder="1" applyAlignment="1" applyProtection="1">
      <alignment horizontal="center"/>
    </xf>
    <xf numFmtId="15" fontId="37" fillId="0" borderId="0" xfId="56587" applyNumberFormat="1" applyFont="1" applyFill="1" applyAlignment="1">
      <alignment horizontal="center"/>
    </xf>
    <xf numFmtId="167" fontId="37" fillId="0" borderId="45" xfId="56588" applyNumberFormat="1" applyFont="1" applyFill="1" applyBorder="1" applyAlignment="1">
      <alignment horizontal="center"/>
    </xf>
    <xf numFmtId="167" fontId="37" fillId="0" borderId="46" xfId="56588" applyNumberFormat="1" applyFont="1" applyFill="1" applyBorder="1" applyAlignment="1">
      <alignment horizontal="center"/>
    </xf>
    <xf numFmtId="167" fontId="37" fillId="0" borderId="0" xfId="56588" applyNumberFormat="1" applyFont="1" applyFill="1" applyBorder="1" applyAlignment="1">
      <alignment horizontal="center"/>
    </xf>
    <xf numFmtId="181" fontId="37" fillId="0" borderId="0" xfId="56588" applyNumberFormat="1" applyFont="1" applyFill="1" applyBorder="1" applyAlignment="1">
      <alignment horizontal="center"/>
    </xf>
    <xf numFmtId="181" fontId="37" fillId="0" borderId="46" xfId="56588" applyNumberFormat="1" applyFont="1" applyFill="1" applyBorder="1" applyAlignment="1">
      <alignment horizontal="center"/>
    </xf>
    <xf numFmtId="167" fontId="60" fillId="0" borderId="47" xfId="0" applyNumberFormat="1" applyFont="1" applyFill="1" applyBorder="1" applyAlignment="1" applyProtection="1">
      <alignment horizontal="center"/>
    </xf>
    <xf numFmtId="181" fontId="60" fillId="0" borderId="48" xfId="0" applyNumberFormat="1" applyFont="1" applyFill="1" applyBorder="1" applyAlignment="1" applyProtection="1">
      <alignment horizontal="center"/>
    </xf>
    <xf numFmtId="167" fontId="60" fillId="0" borderId="48" xfId="0" applyNumberFormat="1" applyFont="1" applyFill="1" applyBorder="1" applyAlignment="1" applyProtection="1">
      <alignment horizontal="center"/>
    </xf>
    <xf numFmtId="167" fontId="60" fillId="0" borderId="49" xfId="0" applyNumberFormat="1" applyFont="1" applyFill="1" applyBorder="1" applyAlignment="1" applyProtection="1">
      <alignment horizontal="center"/>
    </xf>
    <xf numFmtId="181" fontId="60" fillId="0" borderId="50" xfId="0" applyNumberFormat="1" applyFont="1" applyFill="1" applyBorder="1" applyAlignment="1" applyProtection="1">
      <alignment horizontal="center"/>
    </xf>
    <xf numFmtId="167" fontId="60" fillId="0" borderId="50" xfId="0" applyNumberFormat="1" applyFont="1" applyFill="1" applyBorder="1" applyAlignment="1" applyProtection="1">
      <alignment horizontal="center"/>
    </xf>
    <xf numFmtId="167" fontId="60" fillId="0" borderId="51" xfId="0" applyNumberFormat="1" applyFont="1" applyFill="1" applyBorder="1" applyAlignment="1" applyProtection="1">
      <alignment horizontal="center"/>
    </xf>
    <xf numFmtId="181" fontId="60" fillId="0" borderId="52" xfId="0" applyNumberFormat="1" applyFont="1" applyFill="1" applyBorder="1" applyAlignment="1" applyProtection="1">
      <alignment horizontal="center"/>
    </xf>
    <xf numFmtId="167" fontId="60" fillId="0" borderId="52" xfId="0" applyNumberFormat="1" applyFont="1" applyFill="1" applyBorder="1" applyAlignment="1" applyProtection="1">
      <alignment horizontal="center"/>
    </xf>
    <xf numFmtId="167" fontId="60" fillId="0" borderId="53" xfId="0" applyNumberFormat="1" applyFont="1" applyFill="1" applyBorder="1" applyAlignment="1" applyProtection="1">
      <alignment horizontal="center"/>
    </xf>
    <xf numFmtId="181" fontId="60" fillId="0" borderId="54" xfId="0" applyNumberFormat="1" applyFont="1" applyFill="1" applyBorder="1" applyAlignment="1" applyProtection="1">
      <alignment horizontal="center"/>
    </xf>
    <xf numFmtId="167" fontId="60" fillId="0" borderId="54" xfId="0" applyNumberFormat="1" applyFont="1" applyFill="1" applyBorder="1" applyAlignment="1" applyProtection="1">
      <alignment horizontal="center"/>
    </xf>
    <xf numFmtId="167" fontId="60" fillId="0" borderId="55" xfId="0" applyNumberFormat="1" applyFont="1" applyFill="1" applyBorder="1" applyAlignment="1" applyProtection="1">
      <alignment horizontal="center"/>
    </xf>
    <xf numFmtId="181" fontId="60" fillId="0" borderId="56" xfId="0" applyNumberFormat="1" applyFont="1" applyFill="1" applyBorder="1" applyAlignment="1" applyProtection="1">
      <alignment horizontal="center"/>
    </xf>
    <xf numFmtId="167" fontId="60" fillId="0" borderId="56" xfId="0" applyNumberFormat="1" applyFont="1" applyFill="1" applyBorder="1" applyAlignment="1" applyProtection="1">
      <alignment horizontal="center"/>
    </xf>
    <xf numFmtId="15" fontId="37" fillId="0" borderId="0" xfId="56590" applyNumberFormat="1" applyFont="1" applyFill="1" applyAlignment="1">
      <alignment horizontal="center"/>
    </xf>
    <xf numFmtId="167" fontId="37" fillId="0" borderId="55" xfId="56591" applyNumberFormat="1" applyFont="1" applyFill="1" applyBorder="1" applyAlignment="1">
      <alignment horizontal="center"/>
    </xf>
    <xf numFmtId="167" fontId="37" fillId="0" borderId="56" xfId="56591" applyNumberFormat="1" applyFont="1" applyFill="1" applyBorder="1" applyAlignment="1">
      <alignment horizontal="center"/>
    </xf>
    <xf numFmtId="167" fontId="37" fillId="0" borderId="0" xfId="56591" applyNumberFormat="1" applyFont="1" applyFill="1" applyBorder="1" applyAlignment="1">
      <alignment horizontal="center"/>
    </xf>
    <xf numFmtId="181" fontId="37" fillId="0" borderId="0" xfId="56591" applyNumberFormat="1" applyFont="1" applyFill="1" applyBorder="1" applyAlignment="1">
      <alignment horizontal="center"/>
    </xf>
    <xf numFmtId="181" fontId="37" fillId="0" borderId="56" xfId="56591" applyNumberFormat="1" applyFont="1" applyFill="1" applyBorder="1" applyAlignment="1">
      <alignment horizontal="center"/>
    </xf>
    <xf numFmtId="167" fontId="60" fillId="0" borderId="57" xfId="0" applyNumberFormat="1" applyFont="1" applyFill="1" applyBorder="1" applyAlignment="1" applyProtection="1">
      <alignment horizontal="center"/>
    </xf>
    <xf numFmtId="181" fontId="60" fillId="0" borderId="58" xfId="0" applyNumberFormat="1" applyFont="1" applyFill="1" applyBorder="1" applyAlignment="1" applyProtection="1">
      <alignment horizontal="center"/>
    </xf>
    <xf numFmtId="167" fontId="60" fillId="0" borderId="58" xfId="0" applyNumberFormat="1" applyFont="1" applyFill="1" applyBorder="1" applyAlignment="1" applyProtection="1">
      <alignment horizontal="center"/>
    </xf>
    <xf numFmtId="15" fontId="37" fillId="0" borderId="0" xfId="56593" applyNumberFormat="1" applyFont="1" applyFill="1" applyAlignment="1">
      <alignment horizontal="center"/>
    </xf>
    <xf numFmtId="167" fontId="37" fillId="0" borderId="57" xfId="56594" applyNumberFormat="1" applyFont="1" applyFill="1" applyBorder="1" applyAlignment="1">
      <alignment horizontal="center"/>
    </xf>
    <xf numFmtId="167" fontId="37" fillId="0" borderId="58" xfId="56594" applyNumberFormat="1" applyFont="1" applyFill="1" applyBorder="1" applyAlignment="1">
      <alignment horizontal="center"/>
    </xf>
    <xf numFmtId="167" fontId="37" fillId="0" borderId="0" xfId="56594" applyNumberFormat="1" applyFont="1" applyFill="1" applyBorder="1" applyAlignment="1">
      <alignment horizontal="center"/>
    </xf>
    <xf numFmtId="181" fontId="37" fillId="0" borderId="0" xfId="56594" applyNumberFormat="1" applyFont="1" applyFill="1" applyBorder="1" applyAlignment="1">
      <alignment horizontal="center"/>
    </xf>
    <xf numFmtId="181" fontId="37" fillId="0" borderId="58" xfId="56594" applyNumberFormat="1" applyFont="1" applyFill="1" applyBorder="1" applyAlignment="1">
      <alignment horizontal="center"/>
    </xf>
    <xf numFmtId="167" fontId="60" fillId="0" borderId="59" xfId="0" applyNumberFormat="1" applyFont="1" applyFill="1" applyBorder="1" applyAlignment="1" applyProtection="1">
      <alignment horizontal="center"/>
    </xf>
    <xf numFmtId="181" fontId="60" fillId="0" borderId="60" xfId="0" applyNumberFormat="1" applyFont="1" applyFill="1" applyBorder="1" applyAlignment="1" applyProtection="1">
      <alignment horizontal="center"/>
    </xf>
    <xf numFmtId="167" fontId="60" fillId="0" borderId="60" xfId="0" applyNumberFormat="1" applyFont="1" applyFill="1" applyBorder="1" applyAlignment="1" applyProtection="1">
      <alignment horizontal="center"/>
    </xf>
    <xf numFmtId="167" fontId="60" fillId="0" borderId="61" xfId="0" applyNumberFormat="1" applyFont="1" applyFill="1" applyBorder="1" applyAlignment="1" applyProtection="1">
      <alignment horizontal="center"/>
    </xf>
    <xf numFmtId="181" fontId="60" fillId="0" borderId="62" xfId="0" applyNumberFormat="1" applyFont="1" applyFill="1" applyBorder="1" applyAlignment="1" applyProtection="1">
      <alignment horizontal="center"/>
    </xf>
    <xf numFmtId="167" fontId="60" fillId="0" borderId="62" xfId="0" applyNumberFormat="1" applyFont="1" applyFill="1" applyBorder="1" applyAlignment="1" applyProtection="1">
      <alignment horizontal="center"/>
    </xf>
    <xf numFmtId="167" fontId="60" fillId="0" borderId="63" xfId="0" applyNumberFormat="1" applyFont="1" applyFill="1" applyBorder="1" applyAlignment="1" applyProtection="1">
      <alignment horizontal="center"/>
    </xf>
    <xf numFmtId="181" fontId="60" fillId="0" borderId="64" xfId="0" applyNumberFormat="1" applyFont="1" applyFill="1" applyBorder="1" applyAlignment="1" applyProtection="1">
      <alignment horizontal="center"/>
    </xf>
    <xf numFmtId="167" fontId="60" fillId="0" borderId="64" xfId="0" applyNumberFormat="1" applyFont="1" applyFill="1" applyBorder="1" applyAlignment="1" applyProtection="1">
      <alignment horizontal="center"/>
    </xf>
    <xf numFmtId="167" fontId="60" fillId="0" borderId="65" xfId="0" applyNumberFormat="1" applyFont="1" applyFill="1" applyBorder="1" applyAlignment="1" applyProtection="1">
      <alignment horizontal="center"/>
    </xf>
    <xf numFmtId="181" fontId="60" fillId="0" borderId="66" xfId="0" applyNumberFormat="1" applyFont="1" applyFill="1" applyBorder="1" applyAlignment="1" applyProtection="1">
      <alignment horizontal="center"/>
    </xf>
    <xf numFmtId="167" fontId="60" fillId="0" borderId="66" xfId="0" applyNumberFormat="1" applyFont="1" applyFill="1" applyBorder="1" applyAlignment="1" applyProtection="1">
      <alignment horizontal="center"/>
    </xf>
    <xf numFmtId="167" fontId="60" fillId="0" borderId="67" xfId="0" applyNumberFormat="1" applyFont="1" applyFill="1" applyBorder="1" applyAlignment="1" applyProtection="1">
      <alignment horizontal="center"/>
    </xf>
    <xf numFmtId="181" fontId="60" fillId="0" borderId="68" xfId="0" applyNumberFormat="1" applyFont="1" applyFill="1" applyBorder="1" applyAlignment="1" applyProtection="1">
      <alignment horizontal="center"/>
    </xf>
    <xf numFmtId="167" fontId="60" fillId="0" borderId="68" xfId="0" applyNumberFormat="1" applyFont="1" applyFill="1" applyBorder="1" applyAlignment="1" applyProtection="1">
      <alignment horizontal="center"/>
    </xf>
    <xf numFmtId="167" fontId="60" fillId="0" borderId="69" xfId="0" applyNumberFormat="1" applyFont="1" applyFill="1" applyBorder="1" applyAlignment="1" applyProtection="1">
      <alignment horizontal="center"/>
    </xf>
    <xf numFmtId="181" fontId="60" fillId="0" borderId="70" xfId="0" applyNumberFormat="1" applyFont="1" applyFill="1" applyBorder="1" applyAlignment="1" applyProtection="1">
      <alignment horizontal="center"/>
    </xf>
    <xf numFmtId="167" fontId="60" fillId="0" borderId="70" xfId="0" applyNumberFormat="1" applyFont="1" applyFill="1" applyBorder="1" applyAlignment="1" applyProtection="1">
      <alignment horizontal="center"/>
    </xf>
    <xf numFmtId="167" fontId="60" fillId="0" borderId="71" xfId="0" applyNumberFormat="1" applyFont="1" applyFill="1" applyBorder="1" applyAlignment="1" applyProtection="1">
      <alignment horizontal="center"/>
    </xf>
    <xf numFmtId="181" fontId="60" fillId="0" borderId="72" xfId="0" applyNumberFormat="1" applyFont="1" applyFill="1" applyBorder="1" applyAlignment="1" applyProtection="1">
      <alignment horizontal="center"/>
    </xf>
    <xf numFmtId="167" fontId="60" fillId="0" borderId="72" xfId="0" applyNumberFormat="1" applyFont="1" applyFill="1" applyBorder="1" applyAlignment="1" applyProtection="1">
      <alignment horizontal="center"/>
    </xf>
    <xf numFmtId="15" fontId="37" fillId="0" borderId="0" xfId="56596" applyNumberFormat="1" applyFont="1" applyFill="1" applyAlignment="1">
      <alignment horizontal="center"/>
    </xf>
    <xf numFmtId="167" fontId="37" fillId="0" borderId="71" xfId="56597" applyNumberFormat="1" applyFont="1" applyFill="1" applyBorder="1" applyAlignment="1">
      <alignment horizontal="center"/>
    </xf>
    <xf numFmtId="167" fontId="37" fillId="0" borderId="72" xfId="56597" applyNumberFormat="1" applyFont="1" applyFill="1" applyBorder="1" applyAlignment="1">
      <alignment horizontal="center"/>
    </xf>
    <xf numFmtId="167" fontId="37" fillId="0" borderId="0" xfId="56597" applyNumberFormat="1" applyFont="1" applyFill="1" applyBorder="1" applyAlignment="1">
      <alignment horizontal="center"/>
    </xf>
    <xf numFmtId="181" fontId="37" fillId="0" borderId="0" xfId="56597" applyNumberFormat="1" applyFont="1" applyFill="1" applyBorder="1" applyAlignment="1">
      <alignment horizontal="center"/>
    </xf>
    <xf numFmtId="181" fontId="37" fillId="0" borderId="72" xfId="56597" applyNumberFormat="1" applyFont="1" applyFill="1" applyBorder="1" applyAlignment="1">
      <alignment horizontal="center"/>
    </xf>
    <xf numFmtId="167" fontId="60" fillId="0" borderId="73" xfId="0" applyNumberFormat="1" applyFont="1" applyFill="1" applyBorder="1" applyAlignment="1" applyProtection="1">
      <alignment horizontal="center"/>
    </xf>
    <xf numFmtId="181" fontId="60" fillId="0" borderId="74" xfId="0" applyNumberFormat="1" applyFont="1" applyFill="1" applyBorder="1" applyAlignment="1" applyProtection="1">
      <alignment horizontal="center"/>
    </xf>
    <xf numFmtId="167" fontId="60" fillId="0" borderId="74" xfId="0" applyNumberFormat="1" applyFont="1" applyFill="1" applyBorder="1" applyAlignment="1" applyProtection="1">
      <alignment horizontal="center"/>
    </xf>
    <xf numFmtId="167" fontId="60" fillId="0" borderId="75" xfId="0" applyNumberFormat="1" applyFont="1" applyFill="1" applyBorder="1" applyAlignment="1" applyProtection="1">
      <alignment horizontal="center"/>
    </xf>
    <xf numFmtId="181" fontId="60" fillId="0" borderId="76" xfId="0" applyNumberFormat="1" applyFont="1" applyFill="1" applyBorder="1" applyAlignment="1" applyProtection="1">
      <alignment horizontal="center"/>
    </xf>
    <xf numFmtId="167" fontId="60" fillId="0" borderId="76" xfId="0" applyNumberFormat="1" applyFont="1" applyFill="1" applyBorder="1" applyAlignment="1" applyProtection="1">
      <alignment horizontal="center"/>
    </xf>
    <xf numFmtId="181" fontId="37" fillId="0" borderId="76" xfId="56291" applyNumberFormat="1" applyFont="1" applyFill="1" applyBorder="1" applyAlignment="1">
      <alignment horizontal="center"/>
    </xf>
    <xf numFmtId="167" fontId="37" fillId="0" borderId="75" xfId="56291" applyNumberFormat="1" applyFont="1" applyFill="1" applyBorder="1" applyAlignment="1">
      <alignment horizontal="center"/>
    </xf>
    <xf numFmtId="167" fontId="37" fillId="0" borderId="76" xfId="56291" applyNumberFormat="1" applyFont="1" applyFill="1" applyBorder="1" applyAlignment="1">
      <alignment horizontal="center"/>
    </xf>
    <xf numFmtId="15" fontId="37" fillId="0" borderId="0" xfId="56599" applyNumberFormat="1" applyFont="1" applyFill="1" applyAlignment="1">
      <alignment horizontal="center"/>
    </xf>
    <xf numFmtId="167" fontId="37" fillId="0" borderId="75" xfId="56600" applyNumberFormat="1" applyFont="1" applyFill="1" applyBorder="1" applyAlignment="1">
      <alignment horizontal="center"/>
    </xf>
    <xf numFmtId="167" fontId="37" fillId="0" borderId="76" xfId="56600" applyNumberFormat="1" applyFont="1" applyFill="1" applyBorder="1" applyAlignment="1">
      <alignment horizontal="center"/>
    </xf>
    <xf numFmtId="167" fontId="37" fillId="0" borderId="0" xfId="56600" applyNumberFormat="1" applyFont="1" applyFill="1" applyBorder="1" applyAlignment="1">
      <alignment horizontal="center"/>
    </xf>
    <xf numFmtId="181" fontId="37" fillId="0" borderId="0" xfId="56600" applyNumberFormat="1" applyFont="1" applyFill="1" applyBorder="1" applyAlignment="1">
      <alignment horizontal="center"/>
    </xf>
    <xf numFmtId="181" fontId="37" fillId="0" borderId="76" xfId="56600" applyNumberFormat="1" applyFont="1" applyFill="1" applyBorder="1" applyAlignment="1">
      <alignment horizontal="center"/>
    </xf>
    <xf numFmtId="15" fontId="37" fillId="0" borderId="0" xfId="56602" applyNumberFormat="1" applyFont="1" applyFill="1" applyAlignment="1">
      <alignment horizontal="center"/>
    </xf>
    <xf numFmtId="167" fontId="37" fillId="0" borderId="75" xfId="56603" applyNumberFormat="1" applyFont="1" applyFill="1" applyBorder="1" applyAlignment="1">
      <alignment horizontal="center"/>
    </xf>
    <xf numFmtId="167" fontId="37" fillId="0" borderId="76" xfId="56603" applyNumberFormat="1" applyFont="1" applyFill="1" applyBorder="1" applyAlignment="1">
      <alignment horizontal="center"/>
    </xf>
    <xf numFmtId="167" fontId="37" fillId="0" borderId="0" xfId="56603" applyNumberFormat="1" applyFont="1" applyFill="1" applyBorder="1" applyAlignment="1">
      <alignment horizontal="center"/>
    </xf>
    <xf numFmtId="181" fontId="37" fillId="0" borderId="0" xfId="56603" applyNumberFormat="1" applyFont="1" applyFill="1" applyBorder="1" applyAlignment="1">
      <alignment horizontal="center"/>
    </xf>
    <xf numFmtId="181" fontId="37" fillId="0" borderId="76" xfId="56603" applyNumberFormat="1" applyFont="1" applyFill="1" applyBorder="1" applyAlignment="1">
      <alignment horizontal="center"/>
    </xf>
    <xf numFmtId="15" fontId="37" fillId="0" borderId="0" xfId="56605" applyNumberFormat="1" applyFont="1" applyFill="1" applyAlignment="1">
      <alignment horizontal="center"/>
    </xf>
    <xf numFmtId="167" fontId="37" fillId="0" borderId="75" xfId="56606" applyNumberFormat="1" applyFont="1" applyFill="1" applyBorder="1" applyAlignment="1">
      <alignment horizontal="center"/>
    </xf>
    <xf numFmtId="167" fontId="37" fillId="0" borderId="76" xfId="56606" applyNumberFormat="1" applyFont="1" applyFill="1" applyBorder="1" applyAlignment="1">
      <alignment horizontal="center"/>
    </xf>
    <xf numFmtId="167" fontId="37" fillId="0" borderId="0" xfId="56606" applyNumberFormat="1" applyFont="1" applyFill="1" applyBorder="1" applyAlignment="1">
      <alignment horizontal="center"/>
    </xf>
    <xf numFmtId="181" fontId="37" fillId="0" borderId="0" xfId="56606" applyNumberFormat="1" applyFont="1" applyFill="1" applyBorder="1" applyAlignment="1">
      <alignment horizontal="center"/>
    </xf>
    <xf numFmtId="181" fontId="37" fillId="0" borderId="76" xfId="56606" applyNumberFormat="1" applyFont="1" applyFill="1" applyBorder="1" applyAlignment="1">
      <alignment horizontal="center"/>
    </xf>
    <xf numFmtId="15" fontId="37" fillId="0" borderId="0" xfId="56608" applyNumberFormat="1" applyFont="1" applyFill="1" applyAlignment="1">
      <alignment horizontal="center"/>
    </xf>
    <xf numFmtId="167" fontId="37" fillId="0" borderId="75" xfId="56609" applyNumberFormat="1" applyFont="1" applyFill="1" applyBorder="1" applyAlignment="1">
      <alignment horizontal="center"/>
    </xf>
    <xf numFmtId="167" fontId="37" fillId="0" borderId="76" xfId="56609" applyNumberFormat="1" applyFont="1" applyFill="1" applyBorder="1" applyAlignment="1">
      <alignment horizontal="center"/>
    </xf>
    <xf numFmtId="167" fontId="37" fillId="0" borderId="0" xfId="56609" applyNumberFormat="1" applyFont="1" applyFill="1" applyBorder="1" applyAlignment="1">
      <alignment horizontal="center"/>
    </xf>
    <xf numFmtId="181" fontId="37" fillId="0" borderId="0" xfId="56609" applyNumberFormat="1" applyFont="1" applyFill="1" applyBorder="1" applyAlignment="1">
      <alignment horizontal="center"/>
    </xf>
    <xf numFmtId="181" fontId="37" fillId="0" borderId="76" xfId="56609" applyNumberFormat="1" applyFont="1" applyFill="1" applyBorder="1" applyAlignment="1">
      <alignment horizontal="center"/>
    </xf>
    <xf numFmtId="167" fontId="37" fillId="0" borderId="0" xfId="56611" applyNumberFormat="1" applyFont="1" applyFill="1"/>
    <xf numFmtId="181" fontId="37" fillId="0" borderId="0" xfId="56612" applyNumberFormat="1" applyFont="1" applyFill="1"/>
    <xf numFmtId="15" fontId="37" fillId="0" borderId="0" xfId="56611" applyNumberFormat="1" applyFont="1" applyFill="1" applyAlignment="1">
      <alignment horizontal="center"/>
    </xf>
    <xf numFmtId="167" fontId="37" fillId="0" borderId="75" xfId="56612" applyFont="1" applyFill="1" applyBorder="1" applyAlignment="1">
      <alignment horizontal="center"/>
    </xf>
    <xf numFmtId="167" fontId="37" fillId="0" borderId="0" xfId="56612" applyFont="1" applyFill="1"/>
    <xf numFmtId="167" fontId="47" fillId="38" borderId="0" xfId="1" applyFont="1" applyFill="1"/>
    <xf numFmtId="167" fontId="47" fillId="0" borderId="0" xfId="1" applyFont="1" applyFill="1"/>
    <xf numFmtId="15" fontId="37" fillId="0" borderId="0" xfId="56614" applyNumberFormat="1" applyFont="1" applyFill="1" applyAlignment="1">
      <alignment horizontal="center"/>
    </xf>
    <xf numFmtId="167" fontId="37" fillId="0" borderId="75" xfId="56615" applyNumberFormat="1" applyFont="1" applyFill="1" applyBorder="1" applyAlignment="1">
      <alignment horizontal="center"/>
    </xf>
    <xf numFmtId="167" fontId="37" fillId="0" borderId="76" xfId="56615" applyNumberFormat="1" applyFont="1" applyFill="1" applyBorder="1" applyAlignment="1">
      <alignment horizontal="center"/>
    </xf>
    <xf numFmtId="167" fontId="37" fillId="0" borderId="0" xfId="56615" applyNumberFormat="1" applyFont="1" applyFill="1" applyBorder="1" applyAlignment="1">
      <alignment horizontal="center"/>
    </xf>
    <xf numFmtId="181" fontId="37" fillId="0" borderId="0" xfId="56615" applyNumberFormat="1" applyFont="1" applyFill="1" applyBorder="1" applyAlignment="1">
      <alignment horizontal="center"/>
    </xf>
    <xf numFmtId="181" fontId="37" fillId="0" borderId="76" xfId="56615" applyNumberFormat="1" applyFont="1" applyFill="1" applyBorder="1" applyAlignment="1">
      <alignment horizontal="center"/>
    </xf>
    <xf numFmtId="15" fontId="37" fillId="0" borderId="0" xfId="56617" applyNumberFormat="1" applyFont="1" applyFill="1" applyAlignment="1">
      <alignment horizontal="center"/>
    </xf>
    <xf numFmtId="167" fontId="37" fillId="0" borderId="75" xfId="56618" applyNumberFormat="1" applyFont="1" applyFill="1" applyBorder="1" applyAlignment="1">
      <alignment horizontal="center"/>
    </xf>
    <xf numFmtId="167" fontId="37" fillId="0" borderId="76" xfId="56618" applyNumberFormat="1" applyFont="1" applyFill="1" applyBorder="1" applyAlignment="1">
      <alignment horizontal="center"/>
    </xf>
    <xf numFmtId="167" fontId="37" fillId="0" borderId="0" xfId="56618" applyNumberFormat="1" applyFont="1" applyFill="1" applyBorder="1" applyAlignment="1">
      <alignment horizontal="center"/>
    </xf>
    <xf numFmtId="181" fontId="37" fillId="0" borderId="0" xfId="56618" applyNumberFormat="1" applyFont="1" applyFill="1" applyBorder="1" applyAlignment="1">
      <alignment horizontal="center"/>
    </xf>
    <xf numFmtId="181" fontId="37" fillId="0" borderId="76" xfId="56618" applyNumberFormat="1" applyFont="1" applyFill="1" applyBorder="1" applyAlignment="1">
      <alignment horizontal="center"/>
    </xf>
    <xf numFmtId="15" fontId="37" fillId="0" borderId="0" xfId="56620" applyNumberFormat="1" applyFont="1" applyFill="1" applyAlignment="1">
      <alignment horizontal="center"/>
    </xf>
    <xf numFmtId="167" fontId="37" fillId="0" borderId="75" xfId="56621" applyNumberFormat="1" applyFont="1" applyFill="1" applyBorder="1" applyAlignment="1">
      <alignment horizontal="center"/>
    </xf>
    <xf numFmtId="167" fontId="37" fillId="0" borderId="76" xfId="56621" applyNumberFormat="1" applyFont="1" applyFill="1" applyBorder="1" applyAlignment="1">
      <alignment horizontal="center"/>
    </xf>
    <xf numFmtId="167" fontId="37" fillId="0" borderId="0" xfId="56621" applyNumberFormat="1" applyFont="1" applyFill="1" applyBorder="1" applyAlignment="1">
      <alignment horizontal="center"/>
    </xf>
    <xf numFmtId="181" fontId="37" fillId="0" borderId="0" xfId="56621" applyNumberFormat="1" applyFont="1" applyFill="1" applyBorder="1" applyAlignment="1">
      <alignment horizontal="center"/>
    </xf>
    <xf numFmtId="181" fontId="37" fillId="0" borderId="76" xfId="56621" applyNumberFormat="1" applyFont="1" applyFill="1" applyBorder="1" applyAlignment="1">
      <alignment horizontal="center"/>
    </xf>
    <xf numFmtId="15" fontId="37" fillId="0" borderId="0" xfId="56626" applyNumberFormat="1" applyFont="1" applyFill="1" applyAlignment="1">
      <alignment horizontal="center"/>
    </xf>
    <xf numFmtId="167" fontId="37" fillId="0" borderId="75" xfId="56627" applyNumberFormat="1" applyFont="1" applyFill="1" applyBorder="1" applyAlignment="1">
      <alignment horizontal="center"/>
    </xf>
    <xf numFmtId="167" fontId="37" fillId="0" borderId="76" xfId="56627" applyNumberFormat="1" applyFont="1" applyFill="1" applyBorder="1" applyAlignment="1">
      <alignment horizontal="center"/>
    </xf>
    <xf numFmtId="167" fontId="37" fillId="0" borderId="0" xfId="56627" applyNumberFormat="1" applyFont="1" applyFill="1" applyBorder="1" applyAlignment="1">
      <alignment horizontal="center"/>
    </xf>
    <xf numFmtId="181" fontId="37" fillId="0" borderId="0" xfId="56627" applyNumberFormat="1" applyFont="1" applyFill="1" applyBorder="1" applyAlignment="1">
      <alignment horizontal="center"/>
    </xf>
    <xf numFmtId="181" fontId="37" fillId="0" borderId="76" xfId="56627" applyNumberFormat="1" applyFont="1" applyFill="1" applyBorder="1" applyAlignment="1">
      <alignment horizontal="center"/>
    </xf>
    <xf numFmtId="15" fontId="37" fillId="0" borderId="0" xfId="56634" applyNumberFormat="1" applyFont="1" applyFill="1" applyAlignment="1">
      <alignment horizontal="center"/>
    </xf>
    <xf numFmtId="167" fontId="37" fillId="0" borderId="75" xfId="56633" applyNumberFormat="1" applyFont="1" applyFill="1" applyBorder="1" applyAlignment="1">
      <alignment horizontal="center"/>
    </xf>
    <xf numFmtId="167" fontId="37" fillId="0" borderId="76" xfId="56633" applyNumberFormat="1" applyFont="1" applyFill="1" applyBorder="1" applyAlignment="1">
      <alignment horizontal="center"/>
    </xf>
    <xf numFmtId="167" fontId="37" fillId="0" borderId="0" xfId="56633" applyNumberFormat="1" applyFont="1" applyFill="1" applyBorder="1" applyAlignment="1">
      <alignment horizontal="center"/>
    </xf>
    <xf numFmtId="181" fontId="37" fillId="0" borderId="0" xfId="56633" applyNumberFormat="1" applyFont="1" applyFill="1" applyBorder="1" applyAlignment="1">
      <alignment horizontal="center"/>
    </xf>
    <xf numFmtId="181" fontId="37" fillId="0" borderId="76" xfId="56633" applyNumberFormat="1" applyFont="1" applyFill="1" applyBorder="1" applyAlignment="1">
      <alignment horizontal="center"/>
    </xf>
    <xf numFmtId="15" fontId="37" fillId="0" borderId="0" xfId="56635" applyNumberFormat="1" applyFont="1" applyFill="1" applyAlignment="1">
      <alignment horizontal="center"/>
    </xf>
    <xf numFmtId="167" fontId="37" fillId="0" borderId="75" xfId="56636" applyNumberFormat="1" applyFont="1" applyFill="1" applyBorder="1" applyAlignment="1">
      <alignment horizontal="center"/>
    </xf>
    <xf numFmtId="167" fontId="37" fillId="0" borderId="76" xfId="56636" applyNumberFormat="1" applyFont="1" applyFill="1" applyBorder="1" applyAlignment="1">
      <alignment horizontal="center"/>
    </xf>
    <xf numFmtId="167" fontId="37" fillId="0" borderId="0" xfId="56636" applyNumberFormat="1" applyFont="1" applyFill="1" applyBorder="1" applyAlignment="1">
      <alignment horizontal="center"/>
    </xf>
    <xf numFmtId="181" fontId="37" fillId="0" borderId="0" xfId="56636" applyNumberFormat="1" applyFont="1" applyFill="1" applyBorder="1" applyAlignment="1">
      <alignment horizontal="center"/>
    </xf>
    <xf numFmtId="181" fontId="37" fillId="0" borderId="76" xfId="56636" applyNumberFormat="1" applyFont="1" applyFill="1" applyBorder="1" applyAlignment="1">
      <alignment horizontal="center"/>
    </xf>
    <xf numFmtId="15" fontId="37" fillId="0" borderId="0" xfId="56638" applyNumberFormat="1" applyFont="1" applyFill="1" applyAlignment="1">
      <alignment horizontal="center"/>
    </xf>
    <xf numFmtId="167" fontId="37" fillId="0" borderId="75" xfId="56639" applyNumberFormat="1" applyFont="1" applyFill="1" applyBorder="1" applyAlignment="1">
      <alignment horizontal="center"/>
    </xf>
    <xf numFmtId="167" fontId="37" fillId="0" borderId="76" xfId="56639" applyNumberFormat="1" applyFont="1" applyFill="1" applyBorder="1" applyAlignment="1">
      <alignment horizontal="center"/>
    </xf>
    <xf numFmtId="167" fontId="37" fillId="0" borderId="0" xfId="56639" applyNumberFormat="1" applyFont="1" applyFill="1" applyBorder="1" applyAlignment="1">
      <alignment horizontal="center"/>
    </xf>
    <xf numFmtId="181" fontId="37" fillId="0" borderId="0" xfId="56639" applyNumberFormat="1" applyFont="1" applyFill="1" applyBorder="1" applyAlignment="1">
      <alignment horizontal="center"/>
    </xf>
    <xf numFmtId="181" fontId="37" fillId="0" borderId="76" xfId="56639" applyNumberFormat="1" applyFont="1" applyFill="1" applyBorder="1" applyAlignment="1">
      <alignment horizontal="center"/>
    </xf>
    <xf numFmtId="15" fontId="14" fillId="0" borderId="0" xfId="56638" applyNumberFormat="1" applyFont="1" applyFill="1" applyAlignment="1">
      <alignment horizontal="center"/>
    </xf>
    <xf numFmtId="181" fontId="14" fillId="0" borderId="76" xfId="56639" applyNumberFormat="1" applyFont="1" applyFill="1" applyBorder="1" applyAlignment="1">
      <alignment horizontal="center"/>
    </xf>
    <xf numFmtId="181" fontId="14" fillId="0" borderId="0" xfId="56639" applyNumberFormat="1" applyFont="1" applyFill="1" applyBorder="1" applyAlignment="1">
      <alignment horizontal="center"/>
    </xf>
    <xf numFmtId="167" fontId="14" fillId="0" borderId="75" xfId="56639" applyNumberFormat="1" applyFont="1" applyFill="1" applyBorder="1" applyAlignment="1">
      <alignment horizontal="center"/>
    </xf>
    <xf numFmtId="167" fontId="14" fillId="0" borderId="76" xfId="56639" applyNumberFormat="1" applyFont="1" applyFill="1" applyBorder="1" applyAlignment="1">
      <alignment horizontal="center"/>
    </xf>
    <xf numFmtId="167" fontId="14" fillId="0" borderId="0" xfId="56639" applyNumberFormat="1" applyFont="1" applyFill="1" applyBorder="1" applyAlignment="1">
      <alignment horizontal="center"/>
    </xf>
    <xf numFmtId="173" fontId="61" fillId="0" borderId="0" xfId="0" applyNumberFormat="1" applyFont="1" applyFill="1"/>
    <xf numFmtId="169" fontId="62" fillId="0" borderId="0" xfId="1" applyNumberFormat="1" applyFont="1"/>
    <xf numFmtId="169" fontId="62" fillId="41" borderId="0" xfId="1" applyNumberFormat="1" applyFont="1" applyFill="1" applyAlignment="1">
      <alignment horizontal="center" vertical="center"/>
    </xf>
    <xf numFmtId="0" fontId="61" fillId="0" borderId="0" xfId="0" applyFont="1"/>
    <xf numFmtId="169" fontId="61" fillId="0" borderId="0" xfId="1" applyNumberFormat="1" applyFont="1"/>
    <xf numFmtId="0" fontId="61" fillId="40" borderId="0" xfId="0" applyFont="1" applyFill="1"/>
    <xf numFmtId="169" fontId="62" fillId="41" borderId="0" xfId="1" applyNumberFormat="1" applyFont="1" applyFill="1"/>
    <xf numFmtId="169" fontId="61" fillId="0" borderId="0" xfId="0" applyNumberFormat="1" applyFont="1"/>
    <xf numFmtId="0" fontId="14" fillId="0" borderId="0" xfId="0" applyFont="1"/>
    <xf numFmtId="3" fontId="62" fillId="0" borderId="0" xfId="0" applyNumberFormat="1" applyFont="1" applyFill="1" applyBorder="1" applyAlignment="1">
      <alignment horizontal="center" vertical="center" wrapText="1"/>
    </xf>
    <xf numFmtId="3" fontId="62" fillId="41" borderId="0" xfId="0" applyNumberFormat="1" applyFont="1" applyFill="1" applyBorder="1" applyAlignment="1">
      <alignment horizontal="center" vertical="center" wrapText="1"/>
    </xf>
    <xf numFmtId="169" fontId="61" fillId="0" borderId="0" xfId="0" applyNumberFormat="1" applyFont="1" applyFill="1" applyBorder="1" applyAlignment="1">
      <alignment horizontal="center" wrapText="1"/>
    </xf>
    <xf numFmtId="0" fontId="14" fillId="40" borderId="0" xfId="0" applyFont="1" applyFill="1"/>
    <xf numFmtId="169" fontId="62" fillId="0" borderId="0" xfId="1" applyNumberFormat="1" applyFont="1" applyFill="1"/>
    <xf numFmtId="169" fontId="61" fillId="0" borderId="0" xfId="0" applyNumberFormat="1" applyFont="1" applyFill="1" applyBorder="1" applyAlignment="1">
      <alignment horizontal="center" vertical="center" wrapText="1"/>
    </xf>
    <xf numFmtId="3" fontId="30" fillId="41" borderId="0" xfId="0" applyNumberFormat="1" applyFont="1" applyFill="1" applyBorder="1" applyAlignment="1">
      <alignment horizontal="center" vertical="center" wrapText="1"/>
    </xf>
    <xf numFmtId="15" fontId="37" fillId="0" borderId="0" xfId="56641" applyNumberFormat="1" applyFont="1" applyFill="1" applyAlignment="1">
      <alignment horizontal="center"/>
    </xf>
    <xf numFmtId="167" fontId="37" fillId="0" borderId="75" xfId="56642" applyNumberFormat="1" applyFont="1" applyFill="1" applyBorder="1" applyAlignment="1">
      <alignment horizontal="center"/>
    </xf>
    <xf numFmtId="167" fontId="37" fillId="0" borderId="76" xfId="56642" applyNumberFormat="1" applyFont="1" applyFill="1" applyBorder="1" applyAlignment="1">
      <alignment horizontal="center"/>
    </xf>
    <xf numFmtId="167" fontId="37" fillId="0" borderId="0" xfId="56642" applyNumberFormat="1" applyFont="1" applyFill="1" applyBorder="1" applyAlignment="1">
      <alignment horizontal="center"/>
    </xf>
    <xf numFmtId="181" fontId="37" fillId="0" borderId="0" xfId="56642" applyNumberFormat="1" applyFont="1" applyFill="1" applyBorder="1" applyAlignment="1">
      <alignment horizontal="center"/>
    </xf>
    <xf numFmtId="181" fontId="37" fillId="0" borderId="76" xfId="56642" applyNumberFormat="1" applyFont="1" applyFill="1" applyBorder="1" applyAlignment="1">
      <alignment horizontal="center"/>
    </xf>
    <xf numFmtId="15" fontId="37" fillId="0" borderId="0" xfId="56644" applyNumberFormat="1" applyFont="1" applyFill="1" applyAlignment="1">
      <alignment horizontal="center"/>
    </xf>
    <xf numFmtId="167" fontId="37" fillId="0" borderId="75" xfId="56645" applyNumberFormat="1" applyFont="1" applyFill="1" applyBorder="1" applyAlignment="1">
      <alignment horizontal="center"/>
    </xf>
    <xf numFmtId="167" fontId="37" fillId="0" borderId="76" xfId="56645" applyNumberFormat="1" applyFont="1" applyFill="1" applyBorder="1" applyAlignment="1">
      <alignment horizontal="center"/>
    </xf>
    <xf numFmtId="167" fontId="37" fillId="0" borderId="0" xfId="56645" applyNumberFormat="1" applyFont="1" applyFill="1" applyBorder="1" applyAlignment="1">
      <alignment horizontal="center"/>
    </xf>
    <xf numFmtId="181" fontId="37" fillId="0" borderId="0" xfId="56645" applyNumberFormat="1" applyFont="1" applyFill="1" applyBorder="1" applyAlignment="1">
      <alignment horizontal="center"/>
    </xf>
    <xf numFmtId="181" fontId="37" fillId="0" borderId="76" xfId="56645" applyNumberFormat="1" applyFont="1" applyFill="1" applyBorder="1" applyAlignment="1">
      <alignment horizontal="center"/>
    </xf>
    <xf numFmtId="15" fontId="37" fillId="0" borderId="0" xfId="56647" applyNumberFormat="1" applyFont="1" applyFill="1" applyAlignment="1">
      <alignment horizontal="center"/>
    </xf>
    <xf numFmtId="167" fontId="37" fillId="0" borderId="75" xfId="56648" applyNumberFormat="1" applyFont="1" applyFill="1" applyBorder="1" applyAlignment="1">
      <alignment horizontal="center"/>
    </xf>
    <xf numFmtId="167" fontId="37" fillId="0" borderId="76" xfId="56648" applyNumberFormat="1" applyFont="1" applyFill="1" applyBorder="1" applyAlignment="1">
      <alignment horizontal="center"/>
    </xf>
    <xf numFmtId="167" fontId="37" fillId="0" borderId="0" xfId="56648" applyNumberFormat="1" applyFont="1" applyFill="1" applyBorder="1" applyAlignment="1">
      <alignment horizontal="center"/>
    </xf>
    <xf numFmtId="181" fontId="37" fillId="0" borderId="0" xfId="56648" applyNumberFormat="1" applyFont="1" applyFill="1" applyBorder="1" applyAlignment="1">
      <alignment horizontal="center"/>
    </xf>
    <xf numFmtId="181" fontId="37" fillId="0" borderId="76" xfId="56648" applyNumberFormat="1" applyFont="1" applyFill="1" applyBorder="1" applyAlignment="1">
      <alignment horizontal="center"/>
    </xf>
    <xf numFmtId="15" fontId="37" fillId="0" borderId="0" xfId="56650" applyNumberFormat="1" applyFont="1" applyFill="1" applyAlignment="1">
      <alignment horizontal="center"/>
    </xf>
    <xf numFmtId="167" fontId="37" fillId="0" borderId="75" xfId="56651" applyNumberFormat="1" applyFont="1" applyFill="1" applyBorder="1" applyAlignment="1">
      <alignment horizontal="center"/>
    </xf>
    <xf numFmtId="167" fontId="37" fillId="0" borderId="76" xfId="56651" applyNumberFormat="1" applyFont="1" applyFill="1" applyBorder="1" applyAlignment="1">
      <alignment horizontal="center"/>
    </xf>
    <xf numFmtId="167" fontId="37" fillId="0" borderId="0" xfId="56651" applyNumberFormat="1" applyFont="1" applyFill="1" applyBorder="1" applyAlignment="1">
      <alignment horizontal="center"/>
    </xf>
    <xf numFmtId="181" fontId="37" fillId="0" borderId="0" xfId="56651" applyNumberFormat="1" applyFont="1" applyFill="1" applyBorder="1" applyAlignment="1">
      <alignment horizontal="center"/>
    </xf>
    <xf numFmtId="181" fontId="37" fillId="0" borderId="76" xfId="56651" applyNumberFormat="1" applyFont="1" applyFill="1" applyBorder="1" applyAlignment="1">
      <alignment horizontal="center"/>
    </xf>
    <xf numFmtId="15" fontId="37" fillId="0" borderId="0" xfId="56653" applyNumberFormat="1" applyFont="1" applyFill="1" applyAlignment="1">
      <alignment horizontal="center"/>
    </xf>
    <xf numFmtId="167" fontId="37" fillId="0" borderId="75" xfId="56654" applyNumberFormat="1" applyFont="1" applyFill="1" applyBorder="1" applyAlignment="1">
      <alignment horizontal="center"/>
    </xf>
    <xf numFmtId="167" fontId="37" fillId="0" borderId="76" xfId="56654" applyNumberFormat="1" applyFont="1" applyFill="1" applyBorder="1" applyAlignment="1">
      <alignment horizontal="center"/>
    </xf>
    <xf numFmtId="167" fontId="37" fillId="0" borderId="0" xfId="56654" applyNumberFormat="1" applyFont="1" applyFill="1" applyBorder="1" applyAlignment="1">
      <alignment horizontal="center"/>
    </xf>
    <xf numFmtId="181" fontId="37" fillId="0" borderId="0" xfId="56654" applyNumberFormat="1" applyFont="1" applyFill="1" applyBorder="1" applyAlignment="1">
      <alignment horizontal="center"/>
    </xf>
    <xf numFmtId="181" fontId="37" fillId="0" borderId="76" xfId="56654" applyNumberFormat="1" applyFont="1" applyFill="1" applyBorder="1" applyAlignment="1">
      <alignment horizontal="center"/>
    </xf>
    <xf numFmtId="15" fontId="37" fillId="0" borderId="0" xfId="56656" applyNumberFormat="1" applyFont="1" applyFill="1" applyAlignment="1">
      <alignment horizontal="center"/>
    </xf>
    <xf numFmtId="167" fontId="37" fillId="0" borderId="75" xfId="56657" applyNumberFormat="1" applyFont="1" applyFill="1" applyBorder="1" applyAlignment="1">
      <alignment horizontal="center"/>
    </xf>
    <xf numFmtId="167" fontId="37" fillId="0" borderId="76" xfId="56657" applyNumberFormat="1" applyFont="1" applyFill="1" applyBorder="1" applyAlignment="1">
      <alignment horizontal="center"/>
    </xf>
    <xf numFmtId="167" fontId="37" fillId="0" borderId="0" xfId="56657" applyNumberFormat="1" applyFont="1" applyFill="1" applyBorder="1" applyAlignment="1">
      <alignment horizontal="center"/>
    </xf>
    <xf numFmtId="181" fontId="37" fillId="0" borderId="0" xfId="56657" applyNumberFormat="1" applyFont="1" applyFill="1" applyBorder="1" applyAlignment="1">
      <alignment horizontal="center"/>
    </xf>
    <xf numFmtId="181" fontId="37" fillId="0" borderId="76" xfId="56657" applyNumberFormat="1" applyFont="1" applyFill="1" applyBorder="1" applyAlignment="1">
      <alignment horizontal="center"/>
    </xf>
    <xf numFmtId="15" fontId="37" fillId="0" borderId="0" xfId="56659" applyNumberFormat="1" applyFont="1" applyFill="1" applyAlignment="1">
      <alignment horizontal="center"/>
    </xf>
    <xf numFmtId="167" fontId="37" fillId="0" borderId="75" xfId="56660" applyNumberFormat="1" applyFont="1" applyFill="1" applyBorder="1" applyAlignment="1">
      <alignment horizontal="center"/>
    </xf>
    <xf numFmtId="167" fontId="37" fillId="0" borderId="76" xfId="56660" applyNumberFormat="1" applyFont="1" applyFill="1" applyBorder="1" applyAlignment="1">
      <alignment horizontal="center"/>
    </xf>
    <xf numFmtId="167" fontId="37" fillId="0" borderId="0" xfId="56660" applyNumberFormat="1" applyFont="1" applyFill="1" applyBorder="1" applyAlignment="1">
      <alignment horizontal="center"/>
    </xf>
    <xf numFmtId="181" fontId="37" fillId="0" borderId="0" xfId="56660" applyNumberFormat="1" applyFont="1" applyFill="1" applyBorder="1" applyAlignment="1">
      <alignment horizontal="center"/>
    </xf>
    <xf numFmtId="181" fontId="37" fillId="0" borderId="76" xfId="56660" applyNumberFormat="1" applyFont="1" applyFill="1" applyBorder="1" applyAlignment="1">
      <alignment horizontal="center"/>
    </xf>
    <xf numFmtId="167" fontId="37" fillId="0" borderId="0" xfId="56662" applyNumberFormat="1" applyFont="1" applyFill="1"/>
    <xf numFmtId="174" fontId="37" fillId="0" borderId="0" xfId="56662" applyFont="1" applyFill="1"/>
    <xf numFmtId="181" fontId="37" fillId="0" borderId="0" xfId="56663" applyNumberFormat="1" applyFont="1" applyFill="1"/>
    <xf numFmtId="15" fontId="37" fillId="0" borderId="0" xfId="56662" applyNumberFormat="1" applyFont="1" applyFill="1" applyAlignment="1">
      <alignment horizontal="center"/>
    </xf>
    <xf numFmtId="167" fontId="37" fillId="0" borderId="75" xfId="56663" applyFont="1" applyFill="1" applyBorder="1" applyAlignment="1">
      <alignment horizontal="center"/>
    </xf>
    <xf numFmtId="167" fontId="37" fillId="0" borderId="0" xfId="56663" applyNumberFormat="1" applyFont="1" applyFill="1"/>
    <xf numFmtId="15" fontId="37" fillId="0" borderId="0" xfId="56665" applyNumberFormat="1" applyFont="1" applyFill="1" applyAlignment="1">
      <alignment horizontal="center"/>
    </xf>
    <xf numFmtId="167" fontId="37" fillId="0" borderId="75" xfId="56666" applyNumberFormat="1" applyFont="1" applyFill="1" applyBorder="1" applyAlignment="1">
      <alignment horizontal="center"/>
    </xf>
    <xf numFmtId="167" fontId="37" fillId="0" borderId="76" xfId="56666" applyNumberFormat="1" applyFont="1" applyFill="1" applyBorder="1" applyAlignment="1">
      <alignment horizontal="center"/>
    </xf>
    <xf numFmtId="167" fontId="37" fillId="0" borderId="0" xfId="56666" applyNumberFormat="1" applyFont="1" applyFill="1" applyBorder="1" applyAlignment="1">
      <alignment horizontal="center"/>
    </xf>
    <xf numFmtId="181" fontId="37" fillId="0" borderId="0" xfId="56666" applyNumberFormat="1" applyFont="1" applyFill="1" applyBorder="1" applyAlignment="1">
      <alignment horizontal="center"/>
    </xf>
    <xf numFmtId="181" fontId="37" fillId="0" borderId="76" xfId="56666" applyNumberFormat="1" applyFont="1" applyFill="1" applyBorder="1" applyAlignment="1">
      <alignment horizontal="center"/>
    </xf>
    <xf numFmtId="15" fontId="37" fillId="0" borderId="0" xfId="56668" applyNumberFormat="1" applyFont="1" applyFill="1" applyAlignment="1">
      <alignment horizontal="center"/>
    </xf>
    <xf numFmtId="167" fontId="37" fillId="0" borderId="75" xfId="56669" applyNumberFormat="1" applyFont="1" applyFill="1" applyBorder="1" applyAlignment="1">
      <alignment horizontal="center"/>
    </xf>
    <xf numFmtId="167" fontId="37" fillId="0" borderId="76" xfId="56669" applyNumberFormat="1" applyFont="1" applyFill="1" applyBorder="1" applyAlignment="1">
      <alignment horizontal="center"/>
    </xf>
    <xf numFmtId="167" fontId="37" fillId="0" borderId="0" xfId="56669" applyNumberFormat="1" applyFont="1" applyFill="1" applyBorder="1" applyAlignment="1">
      <alignment horizontal="center"/>
    </xf>
    <xf numFmtId="181" fontId="37" fillId="0" borderId="0" xfId="56669" applyNumberFormat="1" applyFont="1" applyFill="1" applyBorder="1" applyAlignment="1">
      <alignment horizontal="center"/>
    </xf>
    <xf numFmtId="181" fontId="37" fillId="0" borderId="76" xfId="56669" applyNumberFormat="1" applyFont="1" applyFill="1" applyBorder="1" applyAlignment="1">
      <alignment horizontal="center"/>
    </xf>
    <xf numFmtId="15" fontId="37" fillId="0" borderId="0" xfId="56671" applyNumberFormat="1" applyFont="1" applyFill="1" applyAlignment="1">
      <alignment horizontal="center"/>
    </xf>
    <xf numFmtId="167" fontId="37" fillId="0" borderId="75" xfId="56672" applyNumberFormat="1" applyFont="1" applyFill="1" applyBorder="1" applyAlignment="1">
      <alignment horizontal="center"/>
    </xf>
    <xf numFmtId="167" fontId="37" fillId="0" borderId="76" xfId="56672" applyNumberFormat="1" applyFont="1" applyFill="1" applyBorder="1" applyAlignment="1">
      <alignment horizontal="center"/>
    </xf>
    <xf numFmtId="167" fontId="37" fillId="0" borderId="0" xfId="56672" applyNumberFormat="1" applyFont="1" applyFill="1" applyBorder="1" applyAlignment="1">
      <alignment horizontal="center"/>
    </xf>
    <xf numFmtId="181" fontId="37" fillId="0" borderId="0" xfId="56672" applyNumberFormat="1" applyFont="1" applyFill="1" applyBorder="1" applyAlignment="1">
      <alignment horizontal="center"/>
    </xf>
    <xf numFmtId="181" fontId="37" fillId="0" borderId="76" xfId="56672" applyNumberFormat="1" applyFont="1" applyFill="1" applyBorder="1" applyAlignment="1">
      <alignment horizontal="center"/>
    </xf>
    <xf numFmtId="0" fontId="1" fillId="0" borderId="0" xfId="0" applyFont="1"/>
    <xf numFmtId="15" fontId="37" fillId="0" borderId="0" xfId="56685" applyNumberFormat="1" applyFont="1" applyFill="1" applyAlignment="1">
      <alignment horizontal="center"/>
    </xf>
    <xf numFmtId="167" fontId="37" fillId="0" borderId="75" xfId="56682" applyNumberFormat="1" applyFont="1" applyFill="1" applyBorder="1" applyAlignment="1">
      <alignment horizontal="center"/>
    </xf>
    <xf numFmtId="167" fontId="37" fillId="0" borderId="76" xfId="56682" applyNumberFormat="1" applyFont="1" applyFill="1" applyBorder="1" applyAlignment="1">
      <alignment horizontal="center"/>
    </xf>
    <xf numFmtId="167" fontId="37" fillId="0" borderId="0" xfId="56682" applyNumberFormat="1" applyFont="1" applyFill="1" applyBorder="1" applyAlignment="1">
      <alignment horizontal="center"/>
    </xf>
    <xf numFmtId="181" fontId="37" fillId="0" borderId="0" xfId="56682" applyNumberFormat="1" applyFont="1" applyFill="1" applyBorder="1" applyAlignment="1">
      <alignment horizontal="center"/>
    </xf>
    <xf numFmtId="181" fontId="37" fillId="0" borderId="76" xfId="56682" applyNumberFormat="1" applyFont="1" applyFill="1" applyBorder="1" applyAlignment="1">
      <alignment horizontal="center"/>
    </xf>
    <xf numFmtId="15" fontId="37" fillId="0" borderId="0" xfId="56686" applyNumberFormat="1" applyFont="1" applyFill="1" applyAlignment="1">
      <alignment horizontal="center"/>
    </xf>
    <xf numFmtId="167" fontId="37" fillId="0" borderId="75" xfId="56687" applyNumberFormat="1" applyFont="1" applyFill="1" applyBorder="1" applyAlignment="1">
      <alignment horizontal="center"/>
    </xf>
    <xf numFmtId="167" fontId="37" fillId="0" borderId="76" xfId="56687" applyNumberFormat="1" applyFont="1" applyFill="1" applyBorder="1" applyAlignment="1">
      <alignment horizontal="center"/>
    </xf>
    <xf numFmtId="167" fontId="37" fillId="0" borderId="0" xfId="56687" applyNumberFormat="1" applyFont="1" applyFill="1" applyBorder="1" applyAlignment="1">
      <alignment horizontal="center"/>
    </xf>
    <xf numFmtId="181" fontId="37" fillId="0" borderId="0" xfId="56687" applyNumberFormat="1" applyFont="1" applyFill="1" applyBorder="1" applyAlignment="1">
      <alignment horizontal="center"/>
    </xf>
    <xf numFmtId="181" fontId="37" fillId="0" borderId="76" xfId="56687" applyNumberFormat="1" applyFont="1" applyFill="1" applyBorder="1" applyAlignment="1">
      <alignment horizontal="center"/>
    </xf>
    <xf numFmtId="15" fontId="37" fillId="0" borderId="0" xfId="56689" applyNumberFormat="1" applyFont="1" applyFill="1" applyAlignment="1">
      <alignment horizontal="center"/>
    </xf>
    <xf numFmtId="167" fontId="37" fillId="0" borderId="75" xfId="56690" applyNumberFormat="1" applyFont="1" applyFill="1" applyBorder="1" applyAlignment="1">
      <alignment horizontal="center"/>
    </xf>
    <xf numFmtId="167" fontId="37" fillId="0" borderId="76" xfId="56690" applyNumberFormat="1" applyFont="1" applyFill="1" applyBorder="1" applyAlignment="1">
      <alignment horizontal="center"/>
    </xf>
    <xf numFmtId="167" fontId="37" fillId="0" borderId="0" xfId="56690" applyNumberFormat="1" applyFont="1" applyFill="1" applyBorder="1" applyAlignment="1">
      <alignment horizontal="center"/>
    </xf>
    <xf numFmtId="181" fontId="37" fillId="0" borderId="0" xfId="56690" applyNumberFormat="1" applyFont="1" applyFill="1" applyBorder="1" applyAlignment="1">
      <alignment horizontal="center"/>
    </xf>
    <xf numFmtId="181" fontId="37" fillId="0" borderId="76" xfId="56690" applyNumberFormat="1" applyFont="1" applyFill="1" applyBorder="1" applyAlignment="1">
      <alignment horizontal="center"/>
    </xf>
    <xf numFmtId="15" fontId="37" fillId="0" borderId="0" xfId="56692" applyNumberFormat="1" applyFont="1" applyFill="1" applyAlignment="1">
      <alignment horizontal="center"/>
    </xf>
    <xf numFmtId="167" fontId="37" fillId="0" borderId="75" xfId="56693" applyNumberFormat="1" applyFont="1" applyFill="1" applyBorder="1" applyAlignment="1">
      <alignment horizontal="center"/>
    </xf>
    <xf numFmtId="167" fontId="37" fillId="0" borderId="76" xfId="56693" applyNumberFormat="1" applyFont="1" applyFill="1" applyBorder="1" applyAlignment="1">
      <alignment horizontal="center"/>
    </xf>
    <xf numFmtId="167" fontId="37" fillId="0" borderId="0" xfId="56693" applyNumberFormat="1" applyFont="1" applyFill="1" applyBorder="1" applyAlignment="1">
      <alignment horizontal="center"/>
    </xf>
    <xf numFmtId="181" fontId="37" fillId="0" borderId="0" xfId="56693" applyNumberFormat="1" applyFont="1" applyFill="1" applyBorder="1" applyAlignment="1">
      <alignment horizontal="center"/>
    </xf>
    <xf numFmtId="181" fontId="37" fillId="0" borderId="76" xfId="56693" applyNumberFormat="1" applyFont="1" applyFill="1" applyBorder="1" applyAlignment="1">
      <alignment horizontal="center"/>
    </xf>
    <xf numFmtId="15" fontId="37" fillId="0" borderId="0" xfId="56695" applyNumberFormat="1" applyFont="1" applyFill="1" applyAlignment="1">
      <alignment horizontal="center"/>
    </xf>
    <xf numFmtId="167" fontId="37" fillId="0" borderId="75" xfId="56696" applyNumberFormat="1" applyFont="1" applyFill="1" applyBorder="1" applyAlignment="1">
      <alignment horizontal="center"/>
    </xf>
    <xf numFmtId="167" fontId="37" fillId="0" borderId="76" xfId="56696" applyNumberFormat="1" applyFont="1" applyFill="1" applyBorder="1" applyAlignment="1">
      <alignment horizontal="center"/>
    </xf>
    <xf numFmtId="167" fontId="37" fillId="0" borderId="0" xfId="56696" applyNumberFormat="1" applyFont="1" applyFill="1" applyBorder="1" applyAlignment="1">
      <alignment horizontal="center"/>
    </xf>
    <xf numFmtId="181" fontId="37" fillId="0" borderId="0" xfId="56696" applyNumberFormat="1" applyFont="1" applyFill="1" applyBorder="1" applyAlignment="1">
      <alignment horizontal="center"/>
    </xf>
    <xf numFmtId="181" fontId="37" fillId="0" borderId="76" xfId="56696" applyNumberFormat="1" applyFont="1" applyFill="1" applyBorder="1" applyAlignment="1">
      <alignment horizontal="center"/>
    </xf>
    <xf numFmtId="15" fontId="37" fillId="0" borderId="0" xfId="56713" applyNumberFormat="1" applyFont="1" applyFill="1" applyAlignment="1">
      <alignment horizontal="center"/>
    </xf>
    <xf numFmtId="167" fontId="37" fillId="0" borderId="75" xfId="56714" applyNumberFormat="1" applyFont="1" applyFill="1" applyBorder="1" applyAlignment="1">
      <alignment horizontal="center"/>
    </xf>
    <xf numFmtId="167" fontId="37" fillId="0" borderId="76" xfId="56714" applyNumberFormat="1" applyFont="1" applyFill="1" applyBorder="1" applyAlignment="1">
      <alignment horizontal="center"/>
    </xf>
    <xf numFmtId="167" fontId="37" fillId="0" borderId="0" xfId="56714" applyNumberFormat="1" applyFont="1" applyFill="1" applyBorder="1" applyAlignment="1">
      <alignment horizontal="center"/>
    </xf>
    <xf numFmtId="181" fontId="37" fillId="0" borderId="0" xfId="56714" applyNumberFormat="1" applyFont="1" applyFill="1" applyBorder="1" applyAlignment="1">
      <alignment horizontal="center"/>
    </xf>
    <xf numFmtId="181" fontId="37" fillId="0" borderId="76" xfId="56714" applyNumberFormat="1" applyFont="1" applyFill="1" applyBorder="1" applyAlignment="1">
      <alignment horizontal="center"/>
    </xf>
    <xf numFmtId="167" fontId="37" fillId="0" borderId="0" xfId="56717" applyNumberFormat="1" applyFont="1" applyFill="1" applyBorder="1" applyAlignment="1">
      <alignment horizontal="center"/>
    </xf>
    <xf numFmtId="167" fontId="37" fillId="0" borderId="76" xfId="56717" applyNumberFormat="1" applyFont="1" applyFill="1" applyBorder="1" applyAlignment="1">
      <alignment horizontal="center"/>
    </xf>
    <xf numFmtId="167" fontId="37" fillId="0" borderId="75" xfId="56717" applyNumberFormat="1" applyFont="1" applyFill="1" applyBorder="1" applyAlignment="1">
      <alignment horizontal="center"/>
    </xf>
    <xf numFmtId="181" fontId="37" fillId="0" borderId="0" xfId="56717" applyNumberFormat="1" applyFont="1" applyFill="1" applyBorder="1" applyAlignment="1">
      <alignment horizontal="center"/>
    </xf>
    <xf numFmtId="181" fontId="37" fillId="0" borderId="76" xfId="56717" applyNumberFormat="1" applyFont="1" applyFill="1" applyBorder="1" applyAlignment="1">
      <alignment horizontal="center"/>
    </xf>
    <xf numFmtId="15" fontId="37" fillId="0" borderId="0" xfId="56716" applyNumberFormat="1" applyFont="1" applyFill="1" applyAlignment="1">
      <alignment horizontal="center"/>
    </xf>
    <xf numFmtId="167" fontId="37" fillId="0" borderId="0" xfId="56720" applyNumberFormat="1" applyFont="1" applyFill="1" applyBorder="1" applyAlignment="1">
      <alignment horizontal="center"/>
    </xf>
    <xf numFmtId="167" fontId="37" fillId="0" borderId="76" xfId="56720" applyNumberFormat="1" applyFont="1" applyFill="1" applyBorder="1" applyAlignment="1">
      <alignment horizontal="center"/>
    </xf>
    <xf numFmtId="167" fontId="37" fillId="0" borderId="75" xfId="56720" applyNumberFormat="1" applyFont="1" applyFill="1" applyBorder="1" applyAlignment="1">
      <alignment horizontal="center"/>
    </xf>
    <xf numFmtId="181" fontId="37" fillId="0" borderId="0" xfId="56720" applyNumberFormat="1" applyFont="1" applyFill="1" applyBorder="1" applyAlignment="1">
      <alignment horizontal="center"/>
    </xf>
    <xf numFmtId="181" fontId="37" fillId="0" borderId="76" xfId="56720" applyNumberFormat="1" applyFont="1" applyFill="1" applyBorder="1" applyAlignment="1">
      <alignment horizontal="center"/>
    </xf>
    <xf numFmtId="15" fontId="37" fillId="0" borderId="0" xfId="56719" applyNumberFormat="1" applyFont="1" applyFill="1" applyAlignment="1">
      <alignment horizontal="center"/>
    </xf>
    <xf numFmtId="167" fontId="37" fillId="0" borderId="0" xfId="56729" applyNumberFormat="1" applyFont="1" applyFill="1" applyBorder="1" applyAlignment="1">
      <alignment horizontal="center"/>
    </xf>
    <xf numFmtId="167" fontId="37" fillId="0" borderId="76" xfId="56729" applyNumberFormat="1" applyFont="1" applyFill="1" applyBorder="1" applyAlignment="1">
      <alignment horizontal="center"/>
    </xf>
    <xf numFmtId="167" fontId="37" fillId="0" borderId="75" xfId="56729" applyNumberFormat="1" applyFont="1" applyFill="1" applyBorder="1" applyAlignment="1">
      <alignment horizontal="center"/>
    </xf>
    <xf numFmtId="181" fontId="37" fillId="0" borderId="0" xfId="56729" applyNumberFormat="1" applyFont="1" applyFill="1" applyBorder="1" applyAlignment="1">
      <alignment horizontal="center"/>
    </xf>
    <xf numFmtId="181" fontId="37" fillId="0" borderId="76" xfId="56729" applyNumberFormat="1" applyFont="1" applyFill="1" applyBorder="1" applyAlignment="1">
      <alignment horizontal="center"/>
    </xf>
    <xf numFmtId="15" fontId="37" fillId="0" borderId="0" xfId="56728" applyNumberFormat="1" applyFont="1" applyFill="1" applyAlignment="1">
      <alignment horizontal="center"/>
    </xf>
    <xf numFmtId="167" fontId="37" fillId="0" borderId="0" xfId="56732" applyNumberFormat="1" applyFont="1" applyFill="1" applyBorder="1" applyAlignment="1">
      <alignment horizontal="center"/>
    </xf>
    <xf numFmtId="167" fontId="37" fillId="0" borderId="76" xfId="56732" applyNumberFormat="1" applyFont="1" applyFill="1" applyBorder="1" applyAlignment="1">
      <alignment horizontal="center"/>
    </xf>
    <xf numFmtId="167" fontId="37" fillId="0" borderId="75" xfId="56732" applyNumberFormat="1" applyFont="1" applyFill="1" applyBorder="1" applyAlignment="1">
      <alignment horizontal="center"/>
    </xf>
    <xf numFmtId="181" fontId="37" fillId="0" borderId="0" xfId="56732" applyNumberFormat="1" applyFont="1" applyFill="1" applyBorder="1" applyAlignment="1">
      <alignment horizontal="center"/>
    </xf>
    <xf numFmtId="181" fontId="37" fillId="0" borderId="76" xfId="56732" applyNumberFormat="1" applyFont="1" applyFill="1" applyBorder="1" applyAlignment="1">
      <alignment horizontal="center"/>
    </xf>
    <xf numFmtId="15" fontId="37" fillId="0" borderId="0" xfId="56731" applyNumberFormat="1" applyFont="1" applyFill="1" applyAlignment="1">
      <alignment horizontal="center"/>
    </xf>
    <xf numFmtId="167" fontId="37" fillId="0" borderId="0" xfId="56735" applyNumberFormat="1" applyFont="1" applyFill="1" applyBorder="1" applyAlignment="1">
      <alignment horizontal="center"/>
    </xf>
    <xf numFmtId="167" fontId="37" fillId="0" borderId="76" xfId="56735" applyNumberFormat="1" applyFont="1" applyFill="1" applyBorder="1" applyAlignment="1">
      <alignment horizontal="center"/>
    </xf>
    <xf numFmtId="167" fontId="37" fillId="0" borderId="75" xfId="56735" applyNumberFormat="1" applyFont="1" applyFill="1" applyBorder="1" applyAlignment="1">
      <alignment horizontal="center"/>
    </xf>
    <xf numFmtId="181" fontId="37" fillId="0" borderId="0" xfId="56735" applyNumberFormat="1" applyFont="1" applyFill="1" applyBorder="1" applyAlignment="1">
      <alignment horizontal="center"/>
    </xf>
    <xf numFmtId="181" fontId="37" fillId="0" borderId="76" xfId="56735" applyNumberFormat="1" applyFont="1" applyFill="1" applyBorder="1" applyAlignment="1">
      <alignment horizontal="center"/>
    </xf>
    <xf numFmtId="15" fontId="37" fillId="0" borderId="0" xfId="56734" applyNumberFormat="1" applyFont="1" applyFill="1" applyAlignment="1">
      <alignment horizontal="center"/>
    </xf>
    <xf numFmtId="167" fontId="37" fillId="0" borderId="0" xfId="56738" applyNumberFormat="1" applyFont="1" applyFill="1" applyBorder="1" applyAlignment="1">
      <alignment horizontal="center"/>
    </xf>
    <xf numFmtId="167" fontId="37" fillId="0" borderId="76" xfId="56738" applyNumberFormat="1" applyFont="1" applyFill="1" applyBorder="1" applyAlignment="1">
      <alignment horizontal="center"/>
    </xf>
    <xf numFmtId="167" fontId="37" fillId="0" borderId="75" xfId="56738" applyNumberFormat="1" applyFont="1" applyFill="1" applyBorder="1" applyAlignment="1">
      <alignment horizontal="center"/>
    </xf>
    <xf numFmtId="181" fontId="37" fillId="0" borderId="0" xfId="56738" applyNumberFormat="1" applyFont="1" applyFill="1" applyBorder="1" applyAlignment="1">
      <alignment horizontal="center"/>
    </xf>
    <xf numFmtId="181" fontId="37" fillId="0" borderId="76" xfId="56738" applyNumberFormat="1" applyFont="1" applyFill="1" applyBorder="1" applyAlignment="1">
      <alignment horizontal="center"/>
    </xf>
    <xf numFmtId="15" fontId="37" fillId="0" borderId="0" xfId="56737" applyNumberFormat="1" applyFont="1" applyFill="1" applyAlignment="1">
      <alignment horizontal="center"/>
    </xf>
    <xf numFmtId="0" fontId="16" fillId="0" borderId="0" xfId="0" applyFont="1" applyAlignment="1">
      <alignment vertical="center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 vertical="center"/>
    </xf>
    <xf numFmtId="0" fontId="32" fillId="0" borderId="0" xfId="0" applyFont="1" applyAlignment="1">
      <alignment horizontal="center"/>
    </xf>
    <xf numFmtId="15" fontId="32" fillId="0" borderId="0" xfId="0" applyNumberFormat="1" applyFont="1" applyAlignment="1">
      <alignment horizontal="center"/>
    </xf>
    <xf numFmtId="169" fontId="32" fillId="0" borderId="0" xfId="0" applyNumberFormat="1" applyFont="1" applyAlignment="1">
      <alignment horizontal="center"/>
    </xf>
    <xf numFmtId="0" fontId="61" fillId="0" borderId="0" xfId="0" applyFont="1" applyAlignment="1">
      <alignment horizontal="center"/>
    </xf>
    <xf numFmtId="189" fontId="0" fillId="0" borderId="0" xfId="0" applyNumberFormat="1" applyAlignment="1">
      <alignment vertical="center"/>
    </xf>
    <xf numFmtId="169" fontId="0" fillId="0" borderId="0" xfId="1" applyNumberFormat="1" applyFont="1" applyAlignment="1">
      <alignment vertical="center"/>
    </xf>
    <xf numFmtId="10" fontId="0" fillId="0" borderId="0" xfId="55961" applyNumberFormat="1" applyFont="1" applyAlignment="1">
      <alignment vertical="center"/>
    </xf>
    <xf numFmtId="169" fontId="0" fillId="0" borderId="0" xfId="0" applyNumberFormat="1" applyAlignment="1">
      <alignment vertical="center"/>
    </xf>
    <xf numFmtId="169" fontId="0" fillId="38" borderId="0" xfId="0" applyNumberFormat="1" applyFill="1" applyAlignment="1">
      <alignment vertical="center"/>
    </xf>
    <xf numFmtId="10" fontId="0" fillId="38" borderId="0" xfId="55961" applyNumberFormat="1" applyFont="1" applyFill="1" applyAlignment="1">
      <alignment vertical="center"/>
    </xf>
    <xf numFmtId="167" fontId="37" fillId="0" borderId="0" xfId="56741" applyNumberFormat="1" applyFont="1" applyFill="1" applyBorder="1" applyAlignment="1">
      <alignment horizontal="center"/>
    </xf>
    <xf numFmtId="167" fontId="37" fillId="0" borderId="76" xfId="56741" applyNumberFormat="1" applyFont="1" applyFill="1" applyBorder="1" applyAlignment="1">
      <alignment horizontal="center"/>
    </xf>
    <xf numFmtId="167" fontId="37" fillId="0" borderId="75" xfId="56741" applyNumberFormat="1" applyFont="1" applyFill="1" applyBorder="1" applyAlignment="1">
      <alignment horizontal="center"/>
    </xf>
    <xf numFmtId="181" fontId="37" fillId="0" borderId="0" xfId="56741" applyNumberFormat="1" applyFont="1" applyFill="1" applyBorder="1" applyAlignment="1">
      <alignment horizontal="center"/>
    </xf>
    <xf numFmtId="181" fontId="37" fillId="0" borderId="76" xfId="56741" applyNumberFormat="1" applyFont="1" applyFill="1" applyBorder="1" applyAlignment="1">
      <alignment horizontal="center"/>
    </xf>
    <xf numFmtId="15" fontId="37" fillId="0" borderId="0" xfId="56740" applyNumberFormat="1" applyFont="1" applyFill="1" applyAlignment="1">
      <alignment horizontal="center"/>
    </xf>
    <xf numFmtId="167" fontId="37" fillId="0" borderId="0" xfId="56747" applyNumberFormat="1" applyFont="1" applyFill="1" applyBorder="1" applyAlignment="1">
      <alignment horizontal="center"/>
    </xf>
    <xf numFmtId="167" fontId="37" fillId="0" borderId="76" xfId="56747" applyNumberFormat="1" applyFont="1" applyFill="1" applyBorder="1" applyAlignment="1">
      <alignment horizontal="center"/>
    </xf>
    <xf numFmtId="167" fontId="37" fillId="0" borderId="75" xfId="56747" applyNumberFormat="1" applyFont="1" applyFill="1" applyBorder="1" applyAlignment="1">
      <alignment horizontal="center"/>
    </xf>
    <xf numFmtId="181" fontId="37" fillId="0" borderId="0" xfId="56747" applyNumberFormat="1" applyFont="1" applyFill="1" applyBorder="1" applyAlignment="1">
      <alignment horizontal="center"/>
    </xf>
    <xf numFmtId="181" fontId="37" fillId="0" borderId="76" xfId="56747" applyNumberFormat="1" applyFont="1" applyFill="1" applyBorder="1" applyAlignment="1">
      <alignment horizontal="center"/>
    </xf>
    <xf numFmtId="15" fontId="37" fillId="0" borderId="0" xfId="56746" applyNumberFormat="1" applyFont="1" applyFill="1" applyAlignment="1">
      <alignment horizontal="center"/>
    </xf>
    <xf numFmtId="167" fontId="37" fillId="0" borderId="0" xfId="56750" applyNumberFormat="1" applyFont="1" applyFill="1" applyBorder="1" applyAlignment="1">
      <alignment horizontal="center"/>
    </xf>
    <xf numFmtId="167" fontId="37" fillId="0" borderId="76" xfId="56750" applyNumberFormat="1" applyFont="1" applyFill="1" applyBorder="1" applyAlignment="1">
      <alignment horizontal="center"/>
    </xf>
    <xf numFmtId="167" fontId="37" fillId="0" borderId="75" xfId="56750" applyNumberFormat="1" applyFont="1" applyFill="1" applyBorder="1" applyAlignment="1">
      <alignment horizontal="center"/>
    </xf>
    <xf numFmtId="181" fontId="37" fillId="0" borderId="0" xfId="56750" applyNumberFormat="1" applyFont="1" applyFill="1" applyBorder="1" applyAlignment="1">
      <alignment horizontal="center"/>
    </xf>
    <xf numFmtId="181" fontId="37" fillId="0" borderId="76" xfId="56750" applyNumberFormat="1" applyFont="1" applyFill="1" applyBorder="1" applyAlignment="1">
      <alignment horizontal="center"/>
    </xf>
    <xf numFmtId="15" fontId="37" fillId="0" borderId="0" xfId="56749" applyNumberFormat="1" applyFont="1" applyFill="1" applyAlignment="1">
      <alignment horizontal="center"/>
    </xf>
    <xf numFmtId="167" fontId="37" fillId="0" borderId="0" xfId="56753" applyNumberFormat="1" applyFont="1" applyFill="1" applyBorder="1" applyAlignment="1">
      <alignment horizontal="center"/>
    </xf>
    <xf numFmtId="167" fontId="37" fillId="0" borderId="76" xfId="56753" applyNumberFormat="1" applyFont="1" applyFill="1" applyBorder="1" applyAlignment="1">
      <alignment horizontal="center"/>
    </xf>
    <xf numFmtId="167" fontId="37" fillId="0" borderId="75" xfId="56753" applyNumberFormat="1" applyFont="1" applyFill="1" applyBorder="1" applyAlignment="1">
      <alignment horizontal="center"/>
    </xf>
    <xf numFmtId="181" fontId="37" fillId="0" borderId="0" xfId="56753" applyNumberFormat="1" applyFont="1" applyFill="1" applyBorder="1" applyAlignment="1">
      <alignment horizontal="center"/>
    </xf>
    <xf numFmtId="181" fontId="37" fillId="0" borderId="76" xfId="56753" applyNumberFormat="1" applyFont="1" applyFill="1" applyBorder="1" applyAlignment="1">
      <alignment horizontal="center"/>
    </xf>
    <xf numFmtId="15" fontId="37" fillId="0" borderId="0" xfId="56752" applyNumberFormat="1" applyFont="1" applyFill="1" applyAlignment="1">
      <alignment horizontal="center"/>
    </xf>
    <xf numFmtId="167" fontId="37" fillId="0" borderId="0" xfId="56756" applyNumberFormat="1" applyFont="1" applyFill="1" applyBorder="1" applyAlignment="1">
      <alignment horizontal="center"/>
    </xf>
    <xf numFmtId="167" fontId="37" fillId="0" borderId="76" xfId="56756" applyNumberFormat="1" applyFont="1" applyFill="1" applyBorder="1" applyAlignment="1">
      <alignment horizontal="center"/>
    </xf>
    <xf numFmtId="167" fontId="37" fillId="0" borderId="75" xfId="56756" applyNumberFormat="1" applyFont="1" applyFill="1" applyBorder="1" applyAlignment="1">
      <alignment horizontal="center"/>
    </xf>
    <xf numFmtId="181" fontId="37" fillId="0" borderId="0" xfId="56756" applyNumberFormat="1" applyFont="1" applyFill="1" applyBorder="1" applyAlignment="1">
      <alignment horizontal="center"/>
    </xf>
    <xf numFmtId="181" fontId="37" fillId="0" borderId="76" xfId="56756" applyNumberFormat="1" applyFont="1" applyFill="1" applyBorder="1" applyAlignment="1">
      <alignment horizontal="center"/>
    </xf>
    <xf numFmtId="15" fontId="37" fillId="0" borderId="0" xfId="56755" applyNumberFormat="1" applyFont="1" applyFill="1" applyAlignment="1">
      <alignment horizontal="center"/>
    </xf>
    <xf numFmtId="167" fontId="37" fillId="0" borderId="0" xfId="56762" applyNumberFormat="1" applyFont="1" applyFill="1" applyBorder="1" applyAlignment="1">
      <alignment horizontal="center"/>
    </xf>
    <xf numFmtId="167" fontId="37" fillId="0" borderId="76" xfId="56762" applyNumberFormat="1" applyFont="1" applyFill="1" applyBorder="1" applyAlignment="1">
      <alignment horizontal="center"/>
    </xf>
    <xf numFmtId="167" fontId="37" fillId="0" borderId="75" xfId="56762" applyNumberFormat="1" applyFont="1" applyFill="1" applyBorder="1" applyAlignment="1">
      <alignment horizontal="center"/>
    </xf>
    <xf numFmtId="181" fontId="37" fillId="0" borderId="0" xfId="56762" applyNumberFormat="1" applyFont="1" applyFill="1" applyBorder="1" applyAlignment="1">
      <alignment horizontal="center"/>
    </xf>
    <xf numFmtId="181" fontId="37" fillId="0" borderId="76" xfId="56762" applyNumberFormat="1" applyFont="1" applyFill="1" applyBorder="1" applyAlignment="1">
      <alignment horizontal="center"/>
    </xf>
    <xf numFmtId="15" fontId="37" fillId="0" borderId="0" xfId="56761" applyNumberFormat="1" applyFont="1" applyFill="1" applyAlignment="1">
      <alignment horizontal="center"/>
    </xf>
    <xf numFmtId="15" fontId="14" fillId="0" borderId="0" xfId="56761" applyNumberFormat="1" applyFont="1" applyFill="1" applyAlignment="1">
      <alignment horizontal="center"/>
    </xf>
    <xf numFmtId="181" fontId="14" fillId="0" borderId="76" xfId="56762" applyNumberFormat="1" applyFont="1" applyFill="1" applyBorder="1" applyAlignment="1">
      <alignment horizontal="center"/>
    </xf>
    <xf numFmtId="181" fontId="14" fillId="0" borderId="0" xfId="56762" applyNumberFormat="1" applyFont="1" applyFill="1" applyBorder="1" applyAlignment="1">
      <alignment horizontal="center"/>
    </xf>
    <xf numFmtId="167" fontId="14" fillId="0" borderId="75" xfId="56762" applyNumberFormat="1" applyFont="1" applyFill="1" applyBorder="1" applyAlignment="1">
      <alignment horizontal="center"/>
    </xf>
    <xf numFmtId="167" fontId="14" fillId="0" borderId="76" xfId="56762" applyNumberFormat="1" applyFont="1" applyFill="1" applyBorder="1" applyAlignment="1">
      <alignment horizontal="center"/>
    </xf>
    <xf numFmtId="167" fontId="14" fillId="0" borderId="0" xfId="56762" applyNumberFormat="1" applyFont="1" applyFill="1" applyBorder="1" applyAlignment="1">
      <alignment horizontal="center"/>
    </xf>
    <xf numFmtId="167" fontId="37" fillId="0" borderId="0" xfId="56765" applyNumberFormat="1" applyFont="1" applyFill="1" applyBorder="1" applyAlignment="1">
      <alignment horizontal="center"/>
    </xf>
    <xf numFmtId="167" fontId="37" fillId="0" borderId="76" xfId="56765" applyNumberFormat="1" applyFont="1" applyFill="1" applyBorder="1" applyAlignment="1">
      <alignment horizontal="center"/>
    </xf>
    <xf numFmtId="167" fontId="37" fillId="0" borderId="75" xfId="56765" applyNumberFormat="1" applyFont="1" applyFill="1" applyBorder="1" applyAlignment="1">
      <alignment horizontal="center"/>
    </xf>
    <xf numFmtId="181" fontId="37" fillId="0" borderId="0" xfId="56765" applyNumberFormat="1" applyFont="1" applyFill="1" applyBorder="1" applyAlignment="1">
      <alignment horizontal="center"/>
    </xf>
    <xf numFmtId="181" fontId="37" fillId="0" borderId="76" xfId="56765" applyNumberFormat="1" applyFont="1" applyFill="1" applyBorder="1" applyAlignment="1">
      <alignment horizontal="center"/>
    </xf>
    <xf numFmtId="15" fontId="37" fillId="0" borderId="0" xfId="56764" applyNumberFormat="1" applyFont="1" applyFill="1" applyAlignment="1">
      <alignment horizontal="center"/>
    </xf>
    <xf numFmtId="167" fontId="37" fillId="0" borderId="0" xfId="56768" applyNumberFormat="1" applyFont="1" applyFill="1" applyBorder="1" applyAlignment="1">
      <alignment horizontal="center"/>
    </xf>
    <xf numFmtId="167" fontId="37" fillId="0" borderId="76" xfId="56768" applyNumberFormat="1" applyFont="1" applyFill="1" applyBorder="1" applyAlignment="1">
      <alignment horizontal="center"/>
    </xf>
    <xf numFmtId="167" fontId="37" fillId="0" borderId="75" xfId="56768" applyNumberFormat="1" applyFont="1" applyFill="1" applyBorder="1" applyAlignment="1">
      <alignment horizontal="center"/>
    </xf>
    <xf numFmtId="181" fontId="37" fillId="0" borderId="0" xfId="56768" applyNumberFormat="1" applyFont="1" applyFill="1" applyBorder="1" applyAlignment="1">
      <alignment horizontal="center"/>
    </xf>
    <xf numFmtId="181" fontId="37" fillId="0" borderId="76" xfId="56768" applyNumberFormat="1" applyFont="1" applyFill="1" applyBorder="1" applyAlignment="1">
      <alignment horizontal="center"/>
    </xf>
    <xf numFmtId="15" fontId="37" fillId="0" borderId="0" xfId="56767" applyNumberFormat="1" applyFont="1" applyFill="1" applyAlignment="1">
      <alignment horizontal="center"/>
    </xf>
    <xf numFmtId="167" fontId="37" fillId="0" borderId="0" xfId="56771" applyNumberFormat="1" applyFont="1" applyFill="1" applyBorder="1" applyAlignment="1">
      <alignment horizontal="center"/>
    </xf>
    <xf numFmtId="167" fontId="37" fillId="0" borderId="76" xfId="56771" applyNumberFormat="1" applyFont="1" applyFill="1" applyBorder="1" applyAlignment="1">
      <alignment horizontal="center"/>
    </xf>
    <xf numFmtId="167" fontId="37" fillId="0" borderId="75" xfId="56771" applyNumberFormat="1" applyFont="1" applyFill="1" applyBorder="1" applyAlignment="1">
      <alignment horizontal="center"/>
    </xf>
    <xf numFmtId="181" fontId="37" fillId="0" borderId="0" xfId="56771" applyNumberFormat="1" applyFont="1" applyFill="1" applyBorder="1" applyAlignment="1">
      <alignment horizontal="center"/>
    </xf>
    <xf numFmtId="181" fontId="37" fillId="0" borderId="76" xfId="56771" applyNumberFormat="1" applyFont="1" applyFill="1" applyBorder="1" applyAlignment="1">
      <alignment horizontal="center"/>
    </xf>
    <xf numFmtId="15" fontId="37" fillId="0" borderId="0" xfId="56770" applyNumberFormat="1" applyFont="1" applyFill="1" applyAlignment="1">
      <alignment horizontal="center"/>
    </xf>
    <xf numFmtId="167" fontId="37" fillId="0" borderId="0" xfId="56774" applyNumberFormat="1" applyFont="1" applyFill="1" applyBorder="1" applyAlignment="1">
      <alignment horizontal="center"/>
    </xf>
    <xf numFmtId="167" fontId="37" fillId="0" borderId="76" xfId="56774" applyNumberFormat="1" applyFont="1" applyFill="1" applyBorder="1" applyAlignment="1">
      <alignment horizontal="center"/>
    </xf>
    <xf numFmtId="167" fontId="37" fillId="0" borderId="75" xfId="56774" applyNumberFormat="1" applyFont="1" applyFill="1" applyBorder="1" applyAlignment="1">
      <alignment horizontal="center"/>
    </xf>
    <xf numFmtId="181" fontId="37" fillId="0" borderId="0" xfId="56774" applyNumberFormat="1" applyFont="1" applyFill="1" applyBorder="1" applyAlignment="1">
      <alignment horizontal="center"/>
    </xf>
    <xf numFmtId="181" fontId="37" fillId="0" borderId="76" xfId="56774" applyNumberFormat="1" applyFont="1" applyFill="1" applyBorder="1" applyAlignment="1">
      <alignment horizontal="center"/>
    </xf>
    <xf numFmtId="15" fontId="37" fillId="0" borderId="0" xfId="56773" applyNumberFormat="1" applyFont="1" applyFill="1" applyAlignment="1">
      <alignment horizontal="center"/>
    </xf>
    <xf numFmtId="0" fontId="50" fillId="0" borderId="0" xfId="0" applyFont="1" applyAlignment="1">
      <alignment horizontal="center"/>
    </xf>
    <xf numFmtId="167" fontId="37" fillId="0" borderId="0" xfId="56777" applyNumberFormat="1" applyFont="1" applyFill="1" applyBorder="1" applyAlignment="1">
      <alignment horizontal="center"/>
    </xf>
    <xf numFmtId="167" fontId="37" fillId="0" borderId="76" xfId="56777" applyNumberFormat="1" applyFont="1" applyFill="1" applyBorder="1" applyAlignment="1">
      <alignment horizontal="center"/>
    </xf>
    <xf numFmtId="167" fontId="37" fillId="0" borderId="75" xfId="56777" applyNumberFormat="1" applyFont="1" applyFill="1" applyBorder="1" applyAlignment="1">
      <alignment horizontal="center"/>
    </xf>
    <xf numFmtId="181" fontId="37" fillId="0" borderId="0" xfId="56777" applyNumberFormat="1" applyFont="1" applyFill="1" applyBorder="1" applyAlignment="1">
      <alignment horizontal="center"/>
    </xf>
    <xf numFmtId="181" fontId="37" fillId="0" borderId="76" xfId="56777" applyNumberFormat="1" applyFont="1" applyFill="1" applyBorder="1" applyAlignment="1">
      <alignment horizontal="center"/>
    </xf>
    <xf numFmtId="15" fontId="37" fillId="0" borderId="0" xfId="56776" applyNumberFormat="1" applyFont="1" applyFill="1" applyAlignment="1">
      <alignment horizontal="center"/>
    </xf>
    <xf numFmtId="167" fontId="37" fillId="0" borderId="0" xfId="56786" applyNumberFormat="1" applyFont="1" applyFill="1" applyBorder="1" applyAlignment="1">
      <alignment horizontal="center"/>
    </xf>
    <xf numFmtId="167" fontId="37" fillId="0" borderId="76" xfId="56786" applyNumberFormat="1" applyFont="1" applyFill="1" applyBorder="1" applyAlignment="1">
      <alignment horizontal="center"/>
    </xf>
    <xf numFmtId="167" fontId="37" fillId="0" borderId="75" xfId="56786" applyNumberFormat="1" applyFont="1" applyFill="1" applyBorder="1" applyAlignment="1">
      <alignment horizontal="center"/>
    </xf>
    <xf numFmtId="181" fontId="37" fillId="0" borderId="0" xfId="56786" applyNumberFormat="1" applyFont="1" applyFill="1" applyBorder="1" applyAlignment="1">
      <alignment horizontal="center"/>
    </xf>
    <xf numFmtId="181" fontId="37" fillId="0" borderId="76" xfId="56786" applyNumberFormat="1" applyFont="1" applyFill="1" applyBorder="1" applyAlignment="1">
      <alignment horizontal="center"/>
    </xf>
    <xf numFmtId="15" fontId="37" fillId="0" borderId="0" xfId="56785" applyNumberFormat="1" applyFont="1" applyFill="1" applyAlignment="1">
      <alignment horizontal="center"/>
    </xf>
    <xf numFmtId="167" fontId="37" fillId="0" borderId="0" xfId="56789" applyNumberFormat="1" applyFont="1" applyFill="1" applyBorder="1" applyAlignment="1">
      <alignment horizontal="center"/>
    </xf>
    <xf numFmtId="167" fontId="37" fillId="0" borderId="76" xfId="56789" applyNumberFormat="1" applyFont="1" applyFill="1" applyBorder="1" applyAlignment="1">
      <alignment horizontal="center"/>
    </xf>
    <xf numFmtId="167" fontId="37" fillId="0" borderId="75" xfId="56789" applyNumberFormat="1" applyFont="1" applyFill="1" applyBorder="1" applyAlignment="1">
      <alignment horizontal="center"/>
    </xf>
    <xf numFmtId="181" fontId="37" fillId="0" borderId="0" xfId="56789" applyNumberFormat="1" applyFont="1" applyFill="1" applyBorder="1" applyAlignment="1">
      <alignment horizontal="center"/>
    </xf>
    <xf numFmtId="181" fontId="37" fillId="0" borderId="76" xfId="56789" applyNumberFormat="1" applyFont="1" applyFill="1" applyBorder="1" applyAlignment="1">
      <alignment horizontal="center"/>
    </xf>
    <xf numFmtId="15" fontId="37" fillId="0" borderId="0" xfId="56788" applyNumberFormat="1" applyFont="1" applyFill="1" applyAlignment="1">
      <alignment horizontal="center"/>
    </xf>
    <xf numFmtId="167" fontId="60" fillId="0" borderId="77" xfId="0" applyNumberFormat="1" applyFont="1" applyFill="1" applyBorder="1" applyAlignment="1" applyProtection="1">
      <alignment horizontal="center"/>
    </xf>
    <xf numFmtId="181" fontId="60" fillId="0" borderId="78" xfId="0" applyNumberFormat="1" applyFont="1" applyFill="1" applyBorder="1" applyAlignment="1" applyProtection="1">
      <alignment horizontal="center"/>
    </xf>
    <xf numFmtId="167" fontId="60" fillId="0" borderId="78" xfId="0" applyNumberFormat="1" applyFont="1" applyFill="1" applyBorder="1" applyAlignment="1" applyProtection="1">
      <alignment horizontal="center"/>
    </xf>
    <xf numFmtId="181" fontId="37" fillId="0" borderId="78" xfId="56291" applyNumberFormat="1" applyFont="1" applyFill="1" applyBorder="1" applyAlignment="1">
      <alignment horizontal="center"/>
    </xf>
    <xf numFmtId="167" fontId="37" fillId="0" borderId="77" xfId="56291" applyNumberFormat="1" applyFont="1" applyFill="1" applyBorder="1" applyAlignment="1">
      <alignment horizontal="center"/>
    </xf>
    <xf numFmtId="167" fontId="37" fillId="0" borderId="78" xfId="56291" applyNumberFormat="1" applyFont="1" applyFill="1" applyBorder="1" applyAlignment="1">
      <alignment horizontal="center"/>
    </xf>
    <xf numFmtId="0" fontId="0" fillId="0" borderId="0" xfId="0" applyFont="1"/>
    <xf numFmtId="167" fontId="37" fillId="0" borderId="0" xfId="56792" applyNumberFormat="1" applyFont="1" applyFill="1" applyBorder="1" applyAlignment="1">
      <alignment horizontal="center"/>
    </xf>
    <xf numFmtId="167" fontId="37" fillId="0" borderId="78" xfId="56792" applyNumberFormat="1" applyFont="1" applyFill="1" applyBorder="1" applyAlignment="1">
      <alignment horizontal="center"/>
    </xf>
    <xf numFmtId="167" fontId="37" fillId="0" borderId="77" xfId="56792" applyNumberFormat="1" applyFont="1" applyFill="1" applyBorder="1" applyAlignment="1">
      <alignment horizontal="center"/>
    </xf>
    <xf numFmtId="181" fontId="37" fillId="0" borderId="0" xfId="56792" applyNumberFormat="1" applyFont="1" applyFill="1" applyBorder="1" applyAlignment="1">
      <alignment horizontal="center"/>
    </xf>
    <xf numFmtId="181" fontId="37" fillId="0" borderId="78" xfId="56792" applyNumberFormat="1" applyFont="1" applyFill="1" applyBorder="1" applyAlignment="1">
      <alignment horizontal="center"/>
    </xf>
    <xf numFmtId="15" fontId="37" fillId="0" borderId="0" xfId="56791" applyNumberFormat="1" applyFont="1" applyFill="1" applyAlignment="1">
      <alignment horizontal="center"/>
    </xf>
    <xf numFmtId="167" fontId="37" fillId="0" borderId="0" xfId="56795" applyNumberFormat="1" applyFont="1" applyFill="1" applyBorder="1" applyAlignment="1">
      <alignment horizontal="center"/>
    </xf>
    <xf numFmtId="167" fontId="37" fillId="0" borderId="78" xfId="56795" applyNumberFormat="1" applyFont="1" applyFill="1" applyBorder="1" applyAlignment="1">
      <alignment horizontal="center"/>
    </xf>
    <xf numFmtId="167" fontId="37" fillId="0" borderId="77" xfId="56795" applyNumberFormat="1" applyFont="1" applyFill="1" applyBorder="1" applyAlignment="1">
      <alignment horizontal="center"/>
    </xf>
    <xf numFmtId="181" fontId="37" fillId="0" borderId="0" xfId="56795" applyNumberFormat="1" applyFont="1" applyFill="1" applyBorder="1" applyAlignment="1">
      <alignment horizontal="center"/>
    </xf>
    <xf numFmtId="181" fontId="37" fillId="0" borderId="78" xfId="56795" applyNumberFormat="1" applyFont="1" applyFill="1" applyBorder="1" applyAlignment="1">
      <alignment horizontal="center"/>
    </xf>
    <xf numFmtId="15" fontId="37" fillId="0" borderId="0" xfId="56794" applyNumberFormat="1" applyFont="1" applyFill="1" applyAlignment="1">
      <alignment horizontal="center"/>
    </xf>
    <xf numFmtId="15" fontId="14" fillId="0" borderId="0" xfId="56791" applyNumberFormat="1" applyFont="1" applyFill="1" applyAlignment="1">
      <alignment horizontal="center"/>
    </xf>
    <xf numFmtId="181" fontId="14" fillId="0" borderId="78" xfId="56792" applyNumberFormat="1" applyFont="1" applyFill="1" applyBorder="1" applyAlignment="1">
      <alignment horizontal="center"/>
    </xf>
    <xf numFmtId="181" fontId="14" fillId="0" borderId="0" xfId="56792" applyNumberFormat="1" applyFont="1" applyFill="1" applyBorder="1" applyAlignment="1">
      <alignment horizontal="center"/>
    </xf>
    <xf numFmtId="167" fontId="14" fillId="0" borderId="77" xfId="56792" applyNumberFormat="1" applyFont="1" applyFill="1" applyBorder="1" applyAlignment="1">
      <alignment horizontal="center"/>
    </xf>
    <xf numFmtId="167" fontId="14" fillId="0" borderId="78" xfId="56792" applyNumberFormat="1" applyFont="1" applyFill="1" applyBorder="1" applyAlignment="1">
      <alignment horizontal="center"/>
    </xf>
    <xf numFmtId="167" fontId="14" fillId="0" borderId="0" xfId="56792" applyNumberFormat="1" applyFont="1" applyFill="1" applyBorder="1" applyAlignment="1">
      <alignment horizontal="center"/>
    </xf>
    <xf numFmtId="167" fontId="37" fillId="0" borderId="0" xfId="56798" applyNumberFormat="1" applyFont="1" applyFill="1" applyBorder="1" applyAlignment="1">
      <alignment horizontal="center"/>
    </xf>
    <xf numFmtId="167" fontId="37" fillId="0" borderId="78" xfId="56798" applyNumberFormat="1" applyFont="1" applyFill="1" applyBorder="1" applyAlignment="1">
      <alignment horizontal="center"/>
    </xf>
    <xf numFmtId="167" fontId="37" fillId="0" borderId="77" xfId="56798" applyNumberFormat="1" applyFont="1" applyFill="1" applyBorder="1" applyAlignment="1">
      <alignment horizontal="center"/>
    </xf>
    <xf numFmtId="181" fontId="37" fillId="0" borderId="0" xfId="56798" applyNumberFormat="1" applyFont="1" applyFill="1" applyBorder="1" applyAlignment="1">
      <alignment horizontal="center"/>
    </xf>
    <xf numFmtId="181" fontId="37" fillId="0" borderId="78" xfId="56798" applyNumberFormat="1" applyFont="1" applyFill="1" applyBorder="1" applyAlignment="1">
      <alignment horizontal="center"/>
    </xf>
    <xf numFmtId="15" fontId="37" fillId="0" borderId="0" xfId="56797" applyNumberFormat="1" applyFont="1" applyFill="1" applyAlignment="1">
      <alignment horizontal="center"/>
    </xf>
    <xf numFmtId="167" fontId="37" fillId="0" borderId="0" xfId="56804" applyNumberFormat="1" applyFont="1" applyFill="1" applyBorder="1" applyAlignment="1">
      <alignment horizontal="center"/>
    </xf>
    <xf numFmtId="167" fontId="37" fillId="0" borderId="78" xfId="56804" applyNumberFormat="1" applyFont="1" applyFill="1" applyBorder="1" applyAlignment="1">
      <alignment horizontal="center"/>
    </xf>
    <xf numFmtId="167" fontId="37" fillId="0" borderId="77" xfId="56804" applyNumberFormat="1" applyFont="1" applyFill="1" applyBorder="1" applyAlignment="1">
      <alignment horizontal="center"/>
    </xf>
    <xf numFmtId="181" fontId="37" fillId="0" borderId="0" xfId="56804" applyNumberFormat="1" applyFont="1" applyFill="1" applyBorder="1" applyAlignment="1">
      <alignment horizontal="center"/>
    </xf>
    <xf numFmtId="181" fontId="37" fillId="0" borderId="78" xfId="56804" applyNumberFormat="1" applyFont="1" applyFill="1" applyBorder="1" applyAlignment="1">
      <alignment horizontal="center"/>
    </xf>
    <xf numFmtId="15" fontId="37" fillId="0" borderId="0" xfId="56803" applyNumberFormat="1" applyFont="1" applyFill="1" applyAlignment="1">
      <alignment horizontal="center"/>
    </xf>
    <xf numFmtId="167" fontId="37" fillId="0" borderId="0" xfId="56807" applyNumberFormat="1" applyFont="1" applyFill="1" applyBorder="1" applyAlignment="1">
      <alignment horizontal="center"/>
    </xf>
    <xf numFmtId="167" fontId="37" fillId="0" borderId="78" xfId="56807" applyNumberFormat="1" applyFont="1" applyFill="1" applyBorder="1" applyAlignment="1">
      <alignment horizontal="center"/>
    </xf>
    <xf numFmtId="167" fontId="37" fillId="0" borderId="77" xfId="56807" applyNumberFormat="1" applyFont="1" applyFill="1" applyBorder="1" applyAlignment="1">
      <alignment horizontal="center"/>
    </xf>
    <xf numFmtId="181" fontId="37" fillId="0" borderId="0" xfId="56807" applyNumberFormat="1" applyFont="1" applyFill="1" applyBorder="1" applyAlignment="1">
      <alignment horizontal="center"/>
    </xf>
    <xf numFmtId="181" fontId="37" fillId="0" borderId="78" xfId="56807" applyNumberFormat="1" applyFont="1" applyFill="1" applyBorder="1" applyAlignment="1">
      <alignment horizontal="center"/>
    </xf>
    <xf numFmtId="15" fontId="37" fillId="0" borderId="0" xfId="56806" applyNumberFormat="1" applyFont="1" applyFill="1" applyAlignment="1">
      <alignment horizontal="center"/>
    </xf>
    <xf numFmtId="167" fontId="37" fillId="0" borderId="0" xfId="56810" applyNumberFormat="1" applyFont="1" applyFill="1" applyBorder="1" applyAlignment="1">
      <alignment horizontal="center"/>
    </xf>
    <xf numFmtId="167" fontId="37" fillId="0" borderId="78" xfId="56810" applyNumberFormat="1" applyFont="1" applyFill="1" applyBorder="1" applyAlignment="1">
      <alignment horizontal="center"/>
    </xf>
    <xf numFmtId="167" fontId="37" fillId="0" borderId="77" xfId="56810" applyNumberFormat="1" applyFont="1" applyFill="1" applyBorder="1" applyAlignment="1">
      <alignment horizontal="center"/>
    </xf>
    <xf numFmtId="181" fontId="37" fillId="0" borderId="0" xfId="56810" applyNumberFormat="1" applyFont="1" applyFill="1" applyBorder="1" applyAlignment="1">
      <alignment horizontal="center"/>
    </xf>
    <xf numFmtId="181" fontId="37" fillId="0" borderId="78" xfId="56810" applyNumberFormat="1" applyFont="1" applyFill="1" applyBorder="1" applyAlignment="1">
      <alignment horizontal="center"/>
    </xf>
    <xf numFmtId="15" fontId="37" fillId="0" borderId="0" xfId="56809" applyNumberFormat="1" applyFont="1" applyFill="1" applyAlignment="1">
      <alignment horizontal="center"/>
    </xf>
    <xf numFmtId="167" fontId="37" fillId="0" borderId="0" xfId="56813" applyNumberFormat="1" applyFont="1" applyFill="1" applyBorder="1" applyAlignment="1">
      <alignment horizontal="center"/>
    </xf>
    <xf numFmtId="167" fontId="37" fillId="0" borderId="78" xfId="56813" applyNumberFormat="1" applyFont="1" applyFill="1" applyBorder="1" applyAlignment="1">
      <alignment horizontal="center"/>
    </xf>
    <xf numFmtId="167" fontId="37" fillId="0" borderId="77" xfId="56813" applyNumberFormat="1" applyFont="1" applyFill="1" applyBorder="1" applyAlignment="1">
      <alignment horizontal="center"/>
    </xf>
    <xf numFmtId="181" fontId="37" fillId="0" borderId="0" xfId="56813" applyNumberFormat="1" applyFont="1" applyFill="1" applyBorder="1" applyAlignment="1">
      <alignment horizontal="center"/>
    </xf>
    <xf numFmtId="181" fontId="37" fillId="0" borderId="78" xfId="56813" applyNumberFormat="1" applyFont="1" applyFill="1" applyBorder="1" applyAlignment="1">
      <alignment horizontal="center"/>
    </xf>
    <xf numFmtId="15" fontId="37" fillId="0" borderId="0" xfId="56812" applyNumberFormat="1" applyFont="1" applyFill="1" applyAlignment="1">
      <alignment horizontal="center"/>
    </xf>
    <xf numFmtId="167" fontId="37" fillId="0" borderId="0" xfId="56816" applyNumberFormat="1" applyFont="1" applyFill="1" applyBorder="1" applyAlignment="1">
      <alignment horizontal="center"/>
    </xf>
    <xf numFmtId="167" fontId="37" fillId="0" borderId="78" xfId="56816" applyNumberFormat="1" applyFont="1" applyFill="1" applyBorder="1" applyAlignment="1">
      <alignment horizontal="center"/>
    </xf>
    <xf numFmtId="167" fontId="37" fillId="0" borderId="77" xfId="56816" applyNumberFormat="1" applyFont="1" applyFill="1" applyBorder="1" applyAlignment="1">
      <alignment horizontal="center"/>
    </xf>
    <xf numFmtId="181" fontId="37" fillId="0" borderId="0" xfId="56816" applyNumberFormat="1" applyFont="1" applyFill="1" applyBorder="1" applyAlignment="1">
      <alignment horizontal="center"/>
    </xf>
    <xf numFmtId="181" fontId="37" fillId="0" borderId="78" xfId="56816" applyNumberFormat="1" applyFont="1" applyFill="1" applyBorder="1" applyAlignment="1">
      <alignment horizontal="center"/>
    </xf>
    <xf numFmtId="15" fontId="37" fillId="0" borderId="0" xfId="56815" applyNumberFormat="1" applyFont="1" applyFill="1" applyAlignment="1">
      <alignment horizontal="center"/>
    </xf>
    <xf numFmtId="167" fontId="37" fillId="0" borderId="0" xfId="56819" applyNumberFormat="1" applyFont="1" applyFill="1" applyBorder="1" applyAlignment="1">
      <alignment horizontal="center"/>
    </xf>
    <xf numFmtId="167" fontId="37" fillId="0" borderId="78" xfId="56819" applyNumberFormat="1" applyFont="1" applyFill="1" applyBorder="1" applyAlignment="1">
      <alignment horizontal="center"/>
    </xf>
    <xf numFmtId="167" fontId="37" fillId="0" borderId="77" xfId="56819" applyNumberFormat="1" applyFont="1" applyFill="1" applyBorder="1" applyAlignment="1">
      <alignment horizontal="center"/>
    </xf>
    <xf numFmtId="181" fontId="37" fillId="0" borderId="0" xfId="56819" applyNumberFormat="1" applyFont="1" applyFill="1" applyBorder="1" applyAlignment="1">
      <alignment horizontal="center"/>
    </xf>
    <xf numFmtId="181" fontId="37" fillId="0" borderId="78" xfId="56819" applyNumberFormat="1" applyFont="1" applyFill="1" applyBorder="1" applyAlignment="1">
      <alignment horizontal="center"/>
    </xf>
    <xf numFmtId="15" fontId="37" fillId="0" borderId="0" xfId="56818" applyNumberFormat="1" applyFont="1" applyFill="1" applyAlignment="1">
      <alignment horizontal="center"/>
    </xf>
    <xf numFmtId="169" fontId="33" fillId="41" borderId="0" xfId="1" applyNumberFormat="1" applyFont="1" applyFill="1" applyAlignment="1">
      <alignment vertical="center"/>
    </xf>
    <xf numFmtId="167" fontId="37" fillId="0" borderId="0" xfId="56828" applyNumberFormat="1" applyFont="1" applyFill="1" applyBorder="1" applyAlignment="1">
      <alignment horizontal="center"/>
    </xf>
    <xf numFmtId="167" fontId="37" fillId="0" borderId="78" xfId="56828" applyNumberFormat="1" applyFont="1" applyFill="1" applyBorder="1" applyAlignment="1">
      <alignment horizontal="center"/>
    </xf>
    <xf numFmtId="167" fontId="37" fillId="0" borderId="77" xfId="56828" applyNumberFormat="1" applyFont="1" applyFill="1" applyBorder="1" applyAlignment="1">
      <alignment horizontal="center"/>
    </xf>
    <xf numFmtId="181" fontId="37" fillId="0" borderId="0" xfId="56828" applyNumberFormat="1" applyFont="1" applyFill="1" applyBorder="1" applyAlignment="1">
      <alignment horizontal="center"/>
    </xf>
    <xf numFmtId="181" fontId="37" fillId="0" borderId="78" xfId="56828" applyNumberFormat="1" applyFont="1" applyFill="1" applyBorder="1" applyAlignment="1">
      <alignment horizontal="center"/>
    </xf>
    <xf numFmtId="15" fontId="37" fillId="0" borderId="0" xfId="56827" applyNumberFormat="1" applyFont="1" applyFill="1" applyAlignment="1">
      <alignment horizontal="center"/>
    </xf>
    <xf numFmtId="167" fontId="37" fillId="0" borderId="0" xfId="56831" applyNumberFormat="1" applyFont="1" applyFill="1" applyBorder="1" applyAlignment="1">
      <alignment horizontal="center"/>
    </xf>
    <xf numFmtId="167" fontId="37" fillId="0" borderId="78" xfId="56831" applyNumberFormat="1" applyFont="1" applyFill="1" applyBorder="1" applyAlignment="1">
      <alignment horizontal="center"/>
    </xf>
    <xf numFmtId="167" fontId="37" fillId="0" borderId="77" xfId="56831" applyNumberFormat="1" applyFont="1" applyFill="1" applyBorder="1" applyAlignment="1">
      <alignment horizontal="center"/>
    </xf>
    <xf numFmtId="181" fontId="37" fillId="0" borderId="0" xfId="56831" applyNumberFormat="1" applyFont="1" applyFill="1" applyBorder="1" applyAlignment="1">
      <alignment horizontal="center"/>
    </xf>
    <xf numFmtId="181" fontId="37" fillId="0" borderId="78" xfId="56831" applyNumberFormat="1" applyFont="1" applyFill="1" applyBorder="1" applyAlignment="1">
      <alignment horizontal="center"/>
    </xf>
    <xf numFmtId="15" fontId="37" fillId="0" borderId="0" xfId="56830" applyNumberFormat="1" applyFont="1" applyFill="1" applyAlignment="1">
      <alignment horizontal="center"/>
    </xf>
    <xf numFmtId="167" fontId="37" fillId="0" borderId="0" xfId="56837" applyNumberFormat="1" applyFont="1" applyFill="1" applyBorder="1" applyAlignment="1">
      <alignment horizontal="center"/>
    </xf>
    <xf numFmtId="167" fontId="37" fillId="0" borderId="78" xfId="56837" applyNumberFormat="1" applyFont="1" applyFill="1" applyBorder="1" applyAlignment="1">
      <alignment horizontal="center"/>
    </xf>
    <xf numFmtId="167" fontId="37" fillId="0" borderId="77" xfId="56837" applyNumberFormat="1" applyFont="1" applyFill="1" applyBorder="1" applyAlignment="1">
      <alignment horizontal="center"/>
    </xf>
    <xf numFmtId="181" fontId="37" fillId="0" borderId="0" xfId="56837" applyNumberFormat="1" applyFont="1" applyFill="1" applyBorder="1" applyAlignment="1">
      <alignment horizontal="center"/>
    </xf>
    <xf numFmtId="181" fontId="37" fillId="0" borderId="78" xfId="56837" applyNumberFormat="1" applyFont="1" applyFill="1" applyBorder="1" applyAlignment="1">
      <alignment horizontal="center"/>
    </xf>
    <xf numFmtId="15" fontId="37" fillId="0" borderId="0" xfId="56836" applyNumberFormat="1" applyFont="1" applyFill="1" applyAlignment="1">
      <alignment horizontal="center"/>
    </xf>
    <xf numFmtId="167" fontId="37" fillId="0" borderId="0" xfId="56840" applyNumberFormat="1" applyFont="1" applyFill="1" applyBorder="1" applyAlignment="1">
      <alignment horizontal="center"/>
    </xf>
    <xf numFmtId="167" fontId="37" fillId="0" borderId="78" xfId="56840" applyNumberFormat="1" applyFont="1" applyFill="1" applyBorder="1" applyAlignment="1">
      <alignment horizontal="center"/>
    </xf>
    <xf numFmtId="167" fontId="37" fillId="0" borderId="77" xfId="56840" applyNumberFormat="1" applyFont="1" applyFill="1" applyBorder="1" applyAlignment="1">
      <alignment horizontal="center"/>
    </xf>
    <xf numFmtId="181" fontId="37" fillId="0" borderId="0" xfId="56840" applyNumberFormat="1" applyFont="1" applyFill="1" applyBorder="1" applyAlignment="1">
      <alignment horizontal="center"/>
    </xf>
    <xf numFmtId="181" fontId="37" fillId="0" borderId="78" xfId="56840" applyNumberFormat="1" applyFont="1" applyFill="1" applyBorder="1" applyAlignment="1">
      <alignment horizontal="center"/>
    </xf>
    <xf numFmtId="15" fontId="37" fillId="0" borderId="0" xfId="56839" applyNumberFormat="1" applyFont="1" applyFill="1" applyAlignment="1">
      <alignment horizontal="center"/>
    </xf>
    <xf numFmtId="167" fontId="37" fillId="0" borderId="0" xfId="56843" applyNumberFormat="1" applyFont="1" applyFill="1" applyBorder="1" applyAlignment="1">
      <alignment horizontal="center"/>
    </xf>
    <xf numFmtId="167" fontId="37" fillId="0" borderId="78" xfId="56843" applyNumberFormat="1" applyFont="1" applyFill="1" applyBorder="1" applyAlignment="1">
      <alignment horizontal="center"/>
    </xf>
    <xf numFmtId="167" fontId="37" fillId="0" borderId="77" xfId="56843" applyNumberFormat="1" applyFont="1" applyFill="1" applyBorder="1" applyAlignment="1">
      <alignment horizontal="center"/>
    </xf>
    <xf numFmtId="181" fontId="37" fillId="0" borderId="0" xfId="56843" applyNumberFormat="1" applyFont="1" applyFill="1" applyBorder="1" applyAlignment="1">
      <alignment horizontal="center"/>
    </xf>
    <xf numFmtId="181" fontId="37" fillId="0" borderId="78" xfId="56843" applyNumberFormat="1" applyFont="1" applyFill="1" applyBorder="1" applyAlignment="1">
      <alignment horizontal="center"/>
    </xf>
    <xf numFmtId="15" fontId="37" fillId="0" borderId="0" xfId="56842" applyNumberFormat="1" applyFont="1" applyFill="1" applyAlignment="1">
      <alignment horizontal="center"/>
    </xf>
    <xf numFmtId="167" fontId="37" fillId="0" borderId="0" xfId="56846" applyNumberFormat="1" applyFont="1" applyFill="1" applyBorder="1" applyAlignment="1">
      <alignment horizontal="center"/>
    </xf>
    <xf numFmtId="167" fontId="37" fillId="0" borderId="78" xfId="56846" applyNumberFormat="1" applyFont="1" applyFill="1" applyBorder="1" applyAlignment="1">
      <alignment horizontal="center"/>
    </xf>
    <xf numFmtId="167" fontId="37" fillId="0" borderId="77" xfId="56846" applyNumberFormat="1" applyFont="1" applyFill="1" applyBorder="1" applyAlignment="1">
      <alignment horizontal="center"/>
    </xf>
    <xf numFmtId="181" fontId="37" fillId="0" borderId="0" xfId="56846" applyNumberFormat="1" applyFont="1" applyFill="1" applyBorder="1" applyAlignment="1">
      <alignment horizontal="center"/>
    </xf>
    <xf numFmtId="181" fontId="37" fillId="0" borderId="78" xfId="56846" applyNumberFormat="1" applyFont="1" applyFill="1" applyBorder="1" applyAlignment="1">
      <alignment horizontal="center"/>
    </xf>
    <xf numFmtId="15" fontId="37" fillId="0" borderId="0" xfId="56845" applyNumberFormat="1" applyFont="1" applyFill="1" applyAlignment="1">
      <alignment horizontal="center"/>
    </xf>
    <xf numFmtId="167" fontId="37" fillId="0" borderId="0" xfId="56849" applyNumberFormat="1" applyFont="1" applyFill="1" applyBorder="1" applyAlignment="1">
      <alignment horizontal="center"/>
    </xf>
    <xf numFmtId="167" fontId="37" fillId="0" borderId="78" xfId="56849" applyNumberFormat="1" applyFont="1" applyFill="1" applyBorder="1" applyAlignment="1">
      <alignment horizontal="center"/>
    </xf>
    <xf numFmtId="167" fontId="37" fillId="0" borderId="77" xfId="56849" applyNumberFormat="1" applyFont="1" applyFill="1" applyBorder="1" applyAlignment="1">
      <alignment horizontal="center"/>
    </xf>
    <xf numFmtId="181" fontId="37" fillId="0" borderId="0" xfId="56849" applyNumberFormat="1" applyFont="1" applyFill="1" applyBorder="1" applyAlignment="1">
      <alignment horizontal="center"/>
    </xf>
    <xf numFmtId="181" fontId="37" fillId="0" borderId="78" xfId="56849" applyNumberFormat="1" applyFont="1" applyFill="1" applyBorder="1" applyAlignment="1">
      <alignment horizontal="center"/>
    </xf>
    <xf numFmtId="15" fontId="37" fillId="0" borderId="0" xfId="56848" applyNumberFormat="1" applyFont="1" applyFill="1" applyAlignment="1">
      <alignment horizontal="center"/>
    </xf>
    <xf numFmtId="167" fontId="37" fillId="0" borderId="0" xfId="56852" applyNumberFormat="1" applyFont="1" applyFill="1" applyBorder="1" applyAlignment="1">
      <alignment horizontal="center"/>
    </xf>
    <xf numFmtId="167" fontId="37" fillId="0" borderId="78" xfId="56852" applyNumberFormat="1" applyFont="1" applyFill="1" applyBorder="1" applyAlignment="1">
      <alignment horizontal="center"/>
    </xf>
    <xf numFmtId="167" fontId="37" fillId="0" borderId="77" xfId="56852" applyNumberFormat="1" applyFont="1" applyFill="1" applyBorder="1" applyAlignment="1">
      <alignment horizontal="center"/>
    </xf>
    <xf numFmtId="181" fontId="37" fillId="0" borderId="0" xfId="56852" applyNumberFormat="1" applyFont="1" applyFill="1" applyBorder="1" applyAlignment="1">
      <alignment horizontal="center"/>
    </xf>
    <xf numFmtId="181" fontId="37" fillId="0" borderId="78" xfId="56852" applyNumberFormat="1" applyFont="1" applyFill="1" applyBorder="1" applyAlignment="1">
      <alignment horizontal="center"/>
    </xf>
    <xf numFmtId="15" fontId="37" fillId="0" borderId="0" xfId="56851" applyNumberFormat="1" applyFont="1" applyFill="1" applyAlignment="1">
      <alignment horizontal="center"/>
    </xf>
    <xf numFmtId="167" fontId="37" fillId="0" borderId="0" xfId="56855" applyNumberFormat="1" applyFont="1" applyFill="1" applyBorder="1" applyAlignment="1">
      <alignment horizontal="center"/>
    </xf>
    <xf numFmtId="167" fontId="37" fillId="0" borderId="78" xfId="56855" applyNumberFormat="1" applyFont="1" applyFill="1" applyBorder="1" applyAlignment="1">
      <alignment horizontal="center"/>
    </xf>
    <xf numFmtId="167" fontId="37" fillId="0" borderId="77" xfId="56855" applyNumberFormat="1" applyFont="1" applyFill="1" applyBorder="1" applyAlignment="1">
      <alignment horizontal="center"/>
    </xf>
    <xf numFmtId="181" fontId="37" fillId="0" borderId="0" xfId="56855" applyNumberFormat="1" applyFont="1" applyFill="1" applyBorder="1" applyAlignment="1">
      <alignment horizontal="center"/>
    </xf>
    <xf numFmtId="181" fontId="37" fillId="0" borderId="78" xfId="56855" applyNumberFormat="1" applyFont="1" applyFill="1" applyBorder="1" applyAlignment="1">
      <alignment horizontal="center"/>
    </xf>
    <xf numFmtId="15" fontId="37" fillId="0" borderId="0" xfId="56854" applyNumberFormat="1" applyFont="1" applyFill="1" applyAlignment="1">
      <alignment horizontal="center"/>
    </xf>
    <xf numFmtId="167" fontId="37" fillId="0" borderId="0" xfId="56858" applyNumberFormat="1" applyFont="1" applyFill="1" applyBorder="1" applyAlignment="1">
      <alignment horizontal="center"/>
    </xf>
    <xf numFmtId="167" fontId="37" fillId="0" borderId="78" xfId="56858" applyNumberFormat="1" applyFont="1" applyFill="1" applyBorder="1" applyAlignment="1">
      <alignment horizontal="center"/>
    </xf>
    <xf numFmtId="167" fontId="37" fillId="0" borderId="77" xfId="56858" applyNumberFormat="1" applyFont="1" applyFill="1" applyBorder="1" applyAlignment="1">
      <alignment horizontal="center"/>
    </xf>
    <xf numFmtId="181" fontId="37" fillId="0" borderId="0" xfId="56858" applyNumberFormat="1" applyFont="1" applyFill="1" applyBorder="1" applyAlignment="1">
      <alignment horizontal="center"/>
    </xf>
    <xf numFmtId="181" fontId="37" fillId="0" borderId="78" xfId="56858" applyNumberFormat="1" applyFont="1" applyFill="1" applyBorder="1" applyAlignment="1">
      <alignment horizontal="center"/>
    </xf>
    <xf numFmtId="15" fontId="37" fillId="0" borderId="0" xfId="56857" applyNumberFormat="1" applyFont="1" applyFill="1" applyAlignment="1">
      <alignment horizontal="center"/>
    </xf>
    <xf numFmtId="167" fontId="37" fillId="0" borderId="0" xfId="56864" applyNumberFormat="1" applyFont="1" applyFill="1" applyBorder="1" applyAlignment="1">
      <alignment horizontal="center"/>
    </xf>
    <xf numFmtId="167" fontId="37" fillId="0" borderId="78" xfId="56864" applyNumberFormat="1" applyFont="1" applyFill="1" applyBorder="1" applyAlignment="1">
      <alignment horizontal="center"/>
    </xf>
    <xf numFmtId="167" fontId="37" fillId="0" borderId="77" xfId="56864" applyNumberFormat="1" applyFont="1" applyFill="1" applyBorder="1" applyAlignment="1">
      <alignment horizontal="center"/>
    </xf>
    <xf numFmtId="181" fontId="37" fillId="0" borderId="0" xfId="56864" applyNumberFormat="1" applyFont="1" applyFill="1" applyBorder="1" applyAlignment="1">
      <alignment horizontal="center"/>
    </xf>
    <xf numFmtId="181" fontId="37" fillId="0" borderId="78" xfId="56864" applyNumberFormat="1" applyFont="1" applyFill="1" applyBorder="1" applyAlignment="1">
      <alignment horizontal="center"/>
    </xf>
    <xf numFmtId="15" fontId="37" fillId="0" borderId="0" xfId="56863" applyNumberFormat="1" applyFont="1" applyFill="1" applyAlignment="1">
      <alignment horizontal="center"/>
    </xf>
    <xf numFmtId="167" fontId="37" fillId="0" borderId="0" xfId="56867" applyNumberFormat="1" applyFont="1" applyFill="1" applyBorder="1" applyAlignment="1">
      <alignment horizontal="center"/>
    </xf>
    <xf numFmtId="167" fontId="37" fillId="0" borderId="78" xfId="56867" applyNumberFormat="1" applyFont="1" applyFill="1" applyBorder="1" applyAlignment="1">
      <alignment horizontal="center"/>
    </xf>
    <xf numFmtId="167" fontId="37" fillId="0" borderId="77" xfId="56867" applyNumberFormat="1" applyFont="1" applyFill="1" applyBorder="1" applyAlignment="1">
      <alignment horizontal="center"/>
    </xf>
    <xf numFmtId="181" fontId="37" fillId="0" borderId="0" xfId="56867" applyNumberFormat="1" applyFont="1" applyFill="1" applyBorder="1" applyAlignment="1">
      <alignment horizontal="center"/>
    </xf>
    <xf numFmtId="181" fontId="37" fillId="0" borderId="78" xfId="56867" applyNumberFormat="1" applyFont="1" applyFill="1" applyBorder="1" applyAlignment="1">
      <alignment horizontal="center"/>
    </xf>
    <xf numFmtId="15" fontId="37" fillId="0" borderId="0" xfId="56866" applyNumberFormat="1" applyFont="1" applyFill="1" applyAlignment="1">
      <alignment horizontal="center"/>
    </xf>
    <xf numFmtId="190" fontId="37" fillId="0" borderId="0" xfId="56819" applyNumberFormat="1" applyFont="1" applyFill="1" applyBorder="1" applyAlignment="1">
      <alignment horizontal="center"/>
    </xf>
    <xf numFmtId="167" fontId="37" fillId="0" borderId="0" xfId="56870" applyNumberFormat="1" applyFont="1" applyFill="1" applyBorder="1" applyAlignment="1">
      <alignment horizontal="center"/>
    </xf>
    <xf numFmtId="167" fontId="37" fillId="0" borderId="78" xfId="56870" applyNumberFormat="1" applyFont="1" applyFill="1" applyBorder="1" applyAlignment="1">
      <alignment horizontal="center"/>
    </xf>
    <xf numFmtId="167" fontId="37" fillId="0" borderId="77" xfId="56870" applyNumberFormat="1" applyFont="1" applyFill="1" applyBorder="1" applyAlignment="1">
      <alignment horizontal="center"/>
    </xf>
    <xf numFmtId="181" fontId="37" fillId="0" borderId="0" xfId="56870" applyNumberFormat="1" applyFont="1" applyFill="1" applyBorder="1" applyAlignment="1">
      <alignment horizontal="center"/>
    </xf>
    <xf numFmtId="181" fontId="37" fillId="0" borderId="78" xfId="56870" applyNumberFormat="1" applyFont="1" applyFill="1" applyBorder="1" applyAlignment="1">
      <alignment horizontal="center"/>
    </xf>
    <xf numFmtId="15" fontId="37" fillId="0" borderId="0" xfId="56869" applyNumberFormat="1" applyFont="1" applyFill="1" applyAlignment="1">
      <alignment horizontal="center"/>
    </xf>
    <xf numFmtId="167" fontId="37" fillId="0" borderId="0" xfId="56879" applyNumberFormat="1" applyFont="1" applyFill="1" applyBorder="1" applyAlignment="1">
      <alignment horizontal="center"/>
    </xf>
    <xf numFmtId="167" fontId="37" fillId="0" borderId="78" xfId="56879" applyNumberFormat="1" applyFont="1" applyFill="1" applyBorder="1" applyAlignment="1">
      <alignment horizontal="center"/>
    </xf>
    <xf numFmtId="167" fontId="37" fillId="0" borderId="77" xfId="56879" applyNumberFormat="1" applyFont="1" applyFill="1" applyBorder="1" applyAlignment="1">
      <alignment horizontal="center"/>
    </xf>
    <xf numFmtId="181" fontId="37" fillId="0" borderId="0" xfId="56879" applyNumberFormat="1" applyFont="1" applyFill="1" applyBorder="1" applyAlignment="1">
      <alignment horizontal="center"/>
    </xf>
    <xf numFmtId="181" fontId="37" fillId="0" borderId="78" xfId="56879" applyNumberFormat="1" applyFont="1" applyFill="1" applyBorder="1" applyAlignment="1">
      <alignment horizontal="center"/>
    </xf>
    <xf numFmtId="15" fontId="37" fillId="0" borderId="0" xfId="56878" applyNumberFormat="1" applyFont="1" applyFill="1" applyAlignment="1">
      <alignment horizontal="center"/>
    </xf>
    <xf numFmtId="167" fontId="37" fillId="0" borderId="0" xfId="56882" applyNumberFormat="1" applyFont="1" applyFill="1" applyBorder="1" applyAlignment="1">
      <alignment horizontal="center"/>
    </xf>
    <xf numFmtId="167" fontId="37" fillId="0" borderId="78" xfId="56882" applyNumberFormat="1" applyFont="1" applyFill="1" applyBorder="1" applyAlignment="1">
      <alignment horizontal="center"/>
    </xf>
    <xf numFmtId="167" fontId="37" fillId="0" borderId="77" xfId="56882" applyNumberFormat="1" applyFont="1" applyFill="1" applyBorder="1" applyAlignment="1">
      <alignment horizontal="center"/>
    </xf>
    <xf numFmtId="181" fontId="37" fillId="0" borderId="0" xfId="56882" applyNumberFormat="1" applyFont="1" applyFill="1" applyBorder="1" applyAlignment="1">
      <alignment horizontal="center"/>
    </xf>
    <xf numFmtId="181" fontId="37" fillId="0" borderId="78" xfId="56882" applyNumberFormat="1" applyFont="1" applyFill="1" applyBorder="1" applyAlignment="1">
      <alignment horizontal="center"/>
    </xf>
    <xf numFmtId="15" fontId="37" fillId="0" borderId="0" xfId="56881" applyNumberFormat="1" applyFont="1" applyFill="1" applyAlignment="1">
      <alignment horizontal="center"/>
    </xf>
    <xf numFmtId="167" fontId="37" fillId="0" borderId="0" xfId="56885" applyNumberFormat="1" applyFont="1" applyFill="1" applyBorder="1" applyAlignment="1">
      <alignment horizontal="center"/>
    </xf>
    <xf numFmtId="167" fontId="37" fillId="0" borderId="78" xfId="56885" applyNumberFormat="1" applyFont="1" applyFill="1" applyBorder="1" applyAlignment="1">
      <alignment horizontal="center"/>
    </xf>
    <xf numFmtId="167" fontId="37" fillId="0" borderId="77" xfId="56885" applyNumberFormat="1" applyFont="1" applyFill="1" applyBorder="1" applyAlignment="1">
      <alignment horizontal="center"/>
    </xf>
    <xf numFmtId="181" fontId="37" fillId="0" borderId="0" xfId="56885" applyNumberFormat="1" applyFont="1" applyFill="1" applyBorder="1" applyAlignment="1">
      <alignment horizontal="center"/>
    </xf>
    <xf numFmtId="181" fontId="37" fillId="0" borderId="78" xfId="56885" applyNumberFormat="1" applyFont="1" applyFill="1" applyBorder="1" applyAlignment="1">
      <alignment horizontal="center"/>
    </xf>
    <xf numFmtId="15" fontId="37" fillId="0" borderId="0" xfId="56884" applyNumberFormat="1" applyFont="1" applyFill="1" applyAlignment="1">
      <alignment horizontal="center"/>
    </xf>
    <xf numFmtId="167" fontId="37" fillId="0" borderId="0" xfId="56888" applyNumberFormat="1" applyFont="1" applyFill="1" applyBorder="1" applyAlignment="1">
      <alignment horizontal="center"/>
    </xf>
    <xf numFmtId="167" fontId="37" fillId="0" borderId="78" xfId="56888" applyNumberFormat="1" applyFont="1" applyFill="1" applyBorder="1" applyAlignment="1">
      <alignment horizontal="center"/>
    </xf>
    <xf numFmtId="167" fontId="37" fillId="0" borderId="77" xfId="56888" applyNumberFormat="1" applyFont="1" applyFill="1" applyBorder="1" applyAlignment="1">
      <alignment horizontal="center"/>
    </xf>
    <xf numFmtId="181" fontId="37" fillId="0" borderId="0" xfId="56888" applyNumberFormat="1" applyFont="1" applyFill="1" applyBorder="1" applyAlignment="1">
      <alignment horizontal="center"/>
    </xf>
    <xf numFmtId="181" fontId="37" fillId="0" borderId="78" xfId="56888" applyNumberFormat="1" applyFont="1" applyFill="1" applyBorder="1" applyAlignment="1">
      <alignment horizontal="center"/>
    </xf>
    <xf numFmtId="15" fontId="37" fillId="0" borderId="0" xfId="56887" applyNumberFormat="1" applyFont="1" applyFill="1" applyAlignment="1">
      <alignment horizontal="center"/>
    </xf>
    <xf numFmtId="167" fontId="37" fillId="0" borderId="0" xfId="56891" applyNumberFormat="1" applyFont="1" applyFill="1" applyBorder="1" applyAlignment="1">
      <alignment horizontal="center"/>
    </xf>
    <xf numFmtId="167" fontId="37" fillId="0" borderId="78" xfId="56891" applyNumberFormat="1" applyFont="1" applyFill="1" applyBorder="1" applyAlignment="1">
      <alignment horizontal="center"/>
    </xf>
    <xf numFmtId="167" fontId="37" fillId="0" borderId="77" xfId="56891" applyNumberFormat="1" applyFont="1" applyFill="1" applyBorder="1" applyAlignment="1">
      <alignment horizontal="center"/>
    </xf>
    <xf numFmtId="181" fontId="37" fillId="0" borderId="0" xfId="56891" applyNumberFormat="1" applyFont="1" applyFill="1" applyBorder="1" applyAlignment="1">
      <alignment horizontal="center"/>
    </xf>
    <xf numFmtId="181" fontId="37" fillId="0" borderId="78" xfId="56891" applyNumberFormat="1" applyFont="1" applyFill="1" applyBorder="1" applyAlignment="1">
      <alignment horizontal="center"/>
    </xf>
    <xf numFmtId="15" fontId="37" fillId="0" borderId="0" xfId="56890" applyNumberFormat="1" applyFont="1" applyFill="1" applyAlignment="1">
      <alignment horizontal="center"/>
    </xf>
    <xf numFmtId="167" fontId="37" fillId="0" borderId="0" xfId="56894" applyNumberFormat="1" applyFont="1" applyFill="1" applyBorder="1" applyAlignment="1">
      <alignment horizontal="center"/>
    </xf>
    <xf numFmtId="167" fontId="37" fillId="0" borderId="78" xfId="56894" applyNumberFormat="1" applyFont="1" applyFill="1" applyBorder="1" applyAlignment="1">
      <alignment horizontal="center"/>
    </xf>
    <xf numFmtId="167" fontId="37" fillId="0" borderId="77" xfId="56894" applyNumberFormat="1" applyFont="1" applyFill="1" applyBorder="1" applyAlignment="1">
      <alignment horizontal="center"/>
    </xf>
    <xf numFmtId="181" fontId="37" fillId="0" borderId="0" xfId="56894" applyNumberFormat="1" applyFont="1" applyFill="1" applyBorder="1" applyAlignment="1">
      <alignment horizontal="center"/>
    </xf>
    <xf numFmtId="181" fontId="37" fillId="0" borderId="78" xfId="56894" applyNumberFormat="1" applyFont="1" applyFill="1" applyBorder="1" applyAlignment="1">
      <alignment horizontal="center"/>
    </xf>
    <xf numFmtId="15" fontId="37" fillId="0" borderId="0" xfId="56893" applyNumberFormat="1" applyFont="1" applyFill="1" applyAlignment="1">
      <alignment horizontal="center"/>
    </xf>
    <xf numFmtId="167" fontId="37" fillId="0" borderId="0" xfId="56897" applyNumberFormat="1" applyFont="1" applyFill="1" applyBorder="1" applyAlignment="1">
      <alignment horizontal="center"/>
    </xf>
    <xf numFmtId="167" fontId="37" fillId="0" borderId="78" xfId="56897" applyNumberFormat="1" applyFont="1" applyFill="1" applyBorder="1" applyAlignment="1">
      <alignment horizontal="center"/>
    </xf>
    <xf numFmtId="167" fontId="37" fillId="0" borderId="77" xfId="56897" applyNumberFormat="1" applyFont="1" applyFill="1" applyBorder="1" applyAlignment="1">
      <alignment horizontal="center"/>
    </xf>
    <xf numFmtId="181" fontId="37" fillId="0" borderId="0" xfId="56897" applyNumberFormat="1" applyFont="1" applyFill="1" applyBorder="1" applyAlignment="1">
      <alignment horizontal="center"/>
    </xf>
    <xf numFmtId="181" fontId="37" fillId="0" borderId="78" xfId="56897" applyNumberFormat="1" applyFont="1" applyFill="1" applyBorder="1" applyAlignment="1">
      <alignment horizontal="center"/>
    </xf>
    <xf numFmtId="15" fontId="37" fillId="0" borderId="0" xfId="56896" applyNumberFormat="1" applyFont="1" applyFill="1" applyAlignment="1">
      <alignment horizontal="center"/>
    </xf>
    <xf numFmtId="167" fontId="37" fillId="0" borderId="0" xfId="56900" applyNumberFormat="1" applyFont="1" applyFill="1" applyBorder="1" applyAlignment="1">
      <alignment horizontal="center"/>
    </xf>
    <xf numFmtId="167" fontId="37" fillId="0" borderId="78" xfId="56900" applyNumberFormat="1" applyFont="1" applyFill="1" applyBorder="1" applyAlignment="1">
      <alignment horizontal="center"/>
    </xf>
    <xf numFmtId="167" fontId="37" fillId="0" borderId="77" xfId="56900" applyNumberFormat="1" applyFont="1" applyFill="1" applyBorder="1" applyAlignment="1">
      <alignment horizontal="center"/>
    </xf>
    <xf numFmtId="181" fontId="37" fillId="0" borderId="0" xfId="56900" applyNumberFormat="1" applyFont="1" applyFill="1" applyBorder="1" applyAlignment="1">
      <alignment horizontal="center"/>
    </xf>
    <xf numFmtId="181" fontId="37" fillId="0" borderId="78" xfId="56900" applyNumberFormat="1" applyFont="1" applyFill="1" applyBorder="1" applyAlignment="1">
      <alignment horizontal="center"/>
    </xf>
    <xf numFmtId="15" fontId="37" fillId="0" borderId="0" xfId="56899" applyNumberFormat="1" applyFont="1" applyFill="1" applyAlignment="1">
      <alignment horizontal="center"/>
    </xf>
    <xf numFmtId="167" fontId="37" fillId="0" borderId="0" xfId="56903" applyNumberFormat="1" applyFont="1" applyFill="1" applyBorder="1" applyAlignment="1">
      <alignment horizontal="center"/>
    </xf>
    <xf numFmtId="167" fontId="37" fillId="0" borderId="78" xfId="56903" applyNumberFormat="1" applyFont="1" applyFill="1" applyBorder="1" applyAlignment="1">
      <alignment horizontal="center"/>
    </xf>
    <xf numFmtId="167" fontId="37" fillId="0" borderId="77" xfId="56903" applyNumberFormat="1" applyFont="1" applyFill="1" applyBorder="1" applyAlignment="1">
      <alignment horizontal="center"/>
    </xf>
    <xf numFmtId="181" fontId="37" fillId="0" borderId="0" xfId="56903" applyNumberFormat="1" applyFont="1" applyFill="1" applyBorder="1" applyAlignment="1">
      <alignment horizontal="center"/>
    </xf>
    <xf numFmtId="181" fontId="37" fillId="0" borderId="78" xfId="56903" applyNumberFormat="1" applyFont="1" applyFill="1" applyBorder="1" applyAlignment="1">
      <alignment horizontal="center"/>
    </xf>
    <xf numFmtId="15" fontId="37" fillId="0" borderId="0" xfId="56902" applyNumberFormat="1" applyFont="1" applyFill="1" applyAlignment="1">
      <alignment horizontal="center"/>
    </xf>
    <xf numFmtId="167" fontId="37" fillId="0" borderId="0" xfId="56906" applyNumberFormat="1" applyFont="1" applyFill="1" applyBorder="1" applyAlignment="1">
      <alignment horizontal="center"/>
    </xf>
    <xf numFmtId="167" fontId="37" fillId="0" borderId="78" xfId="56906" applyNumberFormat="1" applyFont="1" applyFill="1" applyBorder="1" applyAlignment="1">
      <alignment horizontal="center"/>
    </xf>
    <xf numFmtId="167" fontId="37" fillId="0" borderId="77" xfId="56906" applyNumberFormat="1" applyFont="1" applyFill="1" applyBorder="1" applyAlignment="1">
      <alignment horizontal="center"/>
    </xf>
    <xf numFmtId="181" fontId="37" fillId="0" borderId="0" xfId="56906" applyNumberFormat="1" applyFont="1" applyFill="1" applyBorder="1" applyAlignment="1">
      <alignment horizontal="center"/>
    </xf>
    <xf numFmtId="181" fontId="37" fillId="0" borderId="78" xfId="56906" applyNumberFormat="1" applyFont="1" applyFill="1" applyBorder="1" applyAlignment="1">
      <alignment horizontal="center"/>
    </xf>
    <xf numFmtId="15" fontId="37" fillId="0" borderId="0" xfId="56905" applyNumberFormat="1" applyFont="1" applyFill="1" applyAlignment="1">
      <alignment horizontal="center"/>
    </xf>
    <xf numFmtId="167" fontId="37" fillId="0" borderId="0" xfId="56909" applyNumberFormat="1" applyFont="1" applyFill="1" applyBorder="1" applyAlignment="1">
      <alignment horizontal="center"/>
    </xf>
    <xf numFmtId="167" fontId="37" fillId="0" borderId="78" xfId="56909" applyNumberFormat="1" applyFont="1" applyFill="1" applyBorder="1" applyAlignment="1">
      <alignment horizontal="center"/>
    </xf>
    <xf numFmtId="167" fontId="37" fillId="0" borderId="77" xfId="56909" applyNumberFormat="1" applyFont="1" applyFill="1" applyBorder="1" applyAlignment="1">
      <alignment horizontal="center"/>
    </xf>
    <xf numFmtId="181" fontId="37" fillId="0" borderId="0" xfId="56909" applyNumberFormat="1" applyFont="1" applyFill="1" applyBorder="1" applyAlignment="1">
      <alignment horizontal="center"/>
    </xf>
    <xf numFmtId="181" fontId="37" fillId="0" borderId="78" xfId="56909" applyNumberFormat="1" applyFont="1" applyFill="1" applyBorder="1" applyAlignment="1">
      <alignment horizontal="center"/>
    </xf>
    <xf numFmtId="15" fontId="37" fillId="0" borderId="0" xfId="56908" applyNumberFormat="1" applyFont="1" applyFill="1" applyAlignment="1">
      <alignment horizontal="center"/>
    </xf>
    <xf numFmtId="167" fontId="37" fillId="0" borderId="0" xfId="56912" applyNumberFormat="1" applyFont="1" applyFill="1" applyBorder="1" applyAlignment="1">
      <alignment horizontal="center"/>
    </xf>
    <xf numFmtId="167" fontId="37" fillId="0" borderId="78" xfId="56912" applyNumberFormat="1" applyFont="1" applyFill="1" applyBorder="1" applyAlignment="1">
      <alignment horizontal="center"/>
    </xf>
    <xf numFmtId="167" fontId="37" fillId="0" borderId="77" xfId="56912" applyNumberFormat="1" applyFont="1" applyFill="1" applyBorder="1" applyAlignment="1">
      <alignment horizontal="center"/>
    </xf>
    <xf numFmtId="181" fontId="37" fillId="0" borderId="0" xfId="56912" applyNumberFormat="1" applyFont="1" applyFill="1" applyBorder="1" applyAlignment="1">
      <alignment horizontal="center"/>
    </xf>
    <xf numFmtId="181" fontId="37" fillId="0" borderId="78" xfId="56912" applyNumberFormat="1" applyFont="1" applyFill="1" applyBorder="1" applyAlignment="1">
      <alignment horizontal="center"/>
    </xf>
    <xf numFmtId="15" fontId="37" fillId="0" borderId="0" xfId="56911" applyNumberFormat="1" applyFont="1" applyFill="1" applyAlignment="1">
      <alignment horizontal="center"/>
    </xf>
    <xf numFmtId="167" fontId="37" fillId="0" borderId="0" xfId="56915" applyNumberFormat="1" applyFont="1" applyFill="1" applyBorder="1" applyAlignment="1">
      <alignment horizontal="center"/>
    </xf>
    <xf numFmtId="167" fontId="37" fillId="0" borderId="78" xfId="56915" applyNumberFormat="1" applyFont="1" applyFill="1" applyBorder="1" applyAlignment="1">
      <alignment horizontal="center"/>
    </xf>
    <xf numFmtId="167" fontId="37" fillId="0" borderId="77" xfId="56915" applyNumberFormat="1" applyFont="1" applyFill="1" applyBorder="1" applyAlignment="1">
      <alignment horizontal="center"/>
    </xf>
    <xf numFmtId="181" fontId="37" fillId="0" borderId="0" xfId="56915" applyNumberFormat="1" applyFont="1" applyFill="1" applyBorder="1" applyAlignment="1">
      <alignment horizontal="center"/>
    </xf>
    <xf numFmtId="181" fontId="37" fillId="0" borderId="78" xfId="56915" applyNumberFormat="1" applyFont="1" applyFill="1" applyBorder="1" applyAlignment="1">
      <alignment horizontal="center"/>
    </xf>
    <xf numFmtId="15" fontId="37" fillId="0" borderId="0" xfId="56914" applyNumberFormat="1" applyFont="1" applyFill="1" applyAlignment="1">
      <alignment horizontal="center"/>
    </xf>
    <xf numFmtId="167" fontId="37" fillId="0" borderId="0" xfId="56921" applyNumberFormat="1" applyFont="1" applyFill="1" applyBorder="1" applyAlignment="1">
      <alignment horizontal="center"/>
    </xf>
    <xf numFmtId="167" fontId="37" fillId="0" borderId="78" xfId="56921" applyNumberFormat="1" applyFont="1" applyFill="1" applyBorder="1" applyAlignment="1">
      <alignment horizontal="center"/>
    </xf>
    <xf numFmtId="167" fontId="37" fillId="0" borderId="77" xfId="56921" applyNumberFormat="1" applyFont="1" applyFill="1" applyBorder="1" applyAlignment="1">
      <alignment horizontal="center"/>
    </xf>
    <xf numFmtId="181" fontId="37" fillId="0" borderId="0" xfId="56921" applyNumberFormat="1" applyFont="1" applyFill="1" applyBorder="1" applyAlignment="1">
      <alignment horizontal="center"/>
    </xf>
    <xf numFmtId="181" fontId="37" fillId="0" borderId="78" xfId="56921" applyNumberFormat="1" applyFont="1" applyFill="1" applyBorder="1" applyAlignment="1">
      <alignment horizontal="center"/>
    </xf>
    <xf numFmtId="15" fontId="37" fillId="0" borderId="0" xfId="56920" applyNumberFormat="1" applyFont="1" applyFill="1" applyAlignment="1">
      <alignment horizontal="center"/>
    </xf>
    <xf numFmtId="167" fontId="37" fillId="0" borderId="0" xfId="56924" applyNumberFormat="1" applyFont="1" applyFill="1" applyBorder="1" applyAlignment="1">
      <alignment horizontal="center"/>
    </xf>
    <xf numFmtId="167" fontId="37" fillId="0" borderId="78" xfId="56924" applyNumberFormat="1" applyFont="1" applyFill="1" applyBorder="1" applyAlignment="1">
      <alignment horizontal="center"/>
    </xf>
    <xf numFmtId="167" fontId="37" fillId="0" borderId="77" xfId="56924" applyNumberFormat="1" applyFont="1" applyFill="1" applyBorder="1" applyAlignment="1">
      <alignment horizontal="center"/>
    </xf>
    <xf numFmtId="181" fontId="37" fillId="0" borderId="0" xfId="56924" applyNumberFormat="1" applyFont="1" applyFill="1" applyBorder="1" applyAlignment="1">
      <alignment horizontal="center"/>
    </xf>
    <xf numFmtId="181" fontId="37" fillId="0" borderId="78" xfId="56924" applyNumberFormat="1" applyFont="1" applyFill="1" applyBorder="1" applyAlignment="1">
      <alignment horizontal="center"/>
    </xf>
    <xf numFmtId="15" fontId="37" fillId="0" borderId="0" xfId="56923" applyNumberFormat="1" applyFont="1" applyFill="1" applyAlignment="1">
      <alignment horizontal="center"/>
    </xf>
    <xf numFmtId="167" fontId="37" fillId="0" borderId="0" xfId="56927" applyNumberFormat="1" applyFont="1" applyFill="1" applyBorder="1" applyAlignment="1">
      <alignment horizontal="center"/>
    </xf>
    <xf numFmtId="167" fontId="37" fillId="0" borderId="78" xfId="56927" applyNumberFormat="1" applyFont="1" applyFill="1" applyBorder="1" applyAlignment="1">
      <alignment horizontal="center"/>
    </xf>
    <xf numFmtId="167" fontId="37" fillId="0" borderId="77" xfId="56927" applyNumberFormat="1" applyFont="1" applyFill="1" applyBorder="1" applyAlignment="1">
      <alignment horizontal="center"/>
    </xf>
    <xf numFmtId="181" fontId="37" fillId="0" borderId="0" xfId="56927" applyNumberFormat="1" applyFont="1" applyFill="1" applyBorder="1" applyAlignment="1">
      <alignment horizontal="center"/>
    </xf>
    <xf numFmtId="181" fontId="37" fillId="0" borderId="78" xfId="56927" applyNumberFormat="1" applyFont="1" applyFill="1" applyBorder="1" applyAlignment="1">
      <alignment horizontal="center"/>
    </xf>
    <xf numFmtId="15" fontId="37" fillId="0" borderId="0" xfId="56926" applyNumberFormat="1" applyFont="1" applyFill="1" applyAlignment="1">
      <alignment horizontal="center"/>
    </xf>
    <xf numFmtId="167" fontId="37" fillId="0" borderId="0" xfId="56930" applyNumberFormat="1" applyFont="1" applyFill="1" applyBorder="1" applyAlignment="1">
      <alignment horizontal="center"/>
    </xf>
    <xf numFmtId="167" fontId="37" fillId="0" borderId="78" xfId="56930" applyNumberFormat="1" applyFont="1" applyFill="1" applyBorder="1" applyAlignment="1">
      <alignment horizontal="center"/>
    </xf>
    <xf numFmtId="167" fontId="37" fillId="0" borderId="77" xfId="56930" applyNumberFormat="1" applyFont="1" applyFill="1" applyBorder="1" applyAlignment="1">
      <alignment horizontal="center"/>
    </xf>
    <xf numFmtId="181" fontId="37" fillId="0" borderId="0" xfId="56930" applyNumberFormat="1" applyFont="1" applyFill="1" applyBorder="1" applyAlignment="1">
      <alignment horizontal="center"/>
    </xf>
    <xf numFmtId="181" fontId="37" fillId="0" borderId="78" xfId="56930" applyNumberFormat="1" applyFont="1" applyFill="1" applyBorder="1" applyAlignment="1">
      <alignment horizontal="center"/>
    </xf>
    <xf numFmtId="15" fontId="37" fillId="0" borderId="0" xfId="56929" applyNumberFormat="1" applyFont="1" applyFill="1" applyAlignment="1">
      <alignment horizontal="center"/>
    </xf>
    <xf numFmtId="167" fontId="37" fillId="0" borderId="0" xfId="56933" applyNumberFormat="1" applyFont="1" applyFill="1" applyBorder="1" applyAlignment="1">
      <alignment horizontal="center"/>
    </xf>
    <xf numFmtId="167" fontId="37" fillId="0" borderId="78" xfId="56933" applyNumberFormat="1" applyFont="1" applyFill="1" applyBorder="1" applyAlignment="1">
      <alignment horizontal="center"/>
    </xf>
    <xf numFmtId="167" fontId="37" fillId="0" borderId="77" xfId="56933" applyNumberFormat="1" applyFont="1" applyFill="1" applyBorder="1" applyAlignment="1">
      <alignment horizontal="center"/>
    </xf>
    <xf numFmtId="181" fontId="37" fillId="0" borderId="0" xfId="56933" applyNumberFormat="1" applyFont="1" applyFill="1" applyBorder="1" applyAlignment="1">
      <alignment horizontal="center"/>
    </xf>
    <xf numFmtId="181" fontId="37" fillId="0" borderId="78" xfId="56933" applyNumberFormat="1" applyFont="1" applyFill="1" applyBorder="1" applyAlignment="1">
      <alignment horizontal="center"/>
    </xf>
    <xf numFmtId="15" fontId="37" fillId="0" borderId="0" xfId="56932" applyNumberFormat="1" applyFont="1" applyFill="1" applyAlignment="1">
      <alignment horizontal="center"/>
    </xf>
    <xf numFmtId="167" fontId="37" fillId="0" borderId="0" xfId="56936" applyNumberFormat="1" applyFont="1" applyFill="1" applyBorder="1" applyAlignment="1">
      <alignment horizontal="center"/>
    </xf>
    <xf numFmtId="167" fontId="37" fillId="0" borderId="78" xfId="56936" applyNumberFormat="1" applyFont="1" applyFill="1" applyBorder="1" applyAlignment="1">
      <alignment horizontal="center"/>
    </xf>
    <xf numFmtId="167" fontId="37" fillId="0" borderId="77" xfId="56936" applyNumberFormat="1" applyFont="1" applyFill="1" applyBorder="1" applyAlignment="1">
      <alignment horizontal="center"/>
    </xf>
    <xf numFmtId="181" fontId="37" fillId="0" borderId="0" xfId="56936" applyNumberFormat="1" applyFont="1" applyFill="1" applyBorder="1" applyAlignment="1">
      <alignment horizontal="center"/>
    </xf>
    <xf numFmtId="181" fontId="37" fillId="0" borderId="78" xfId="56936" applyNumberFormat="1" applyFont="1" applyFill="1" applyBorder="1" applyAlignment="1">
      <alignment horizontal="center"/>
    </xf>
    <xf numFmtId="15" fontId="37" fillId="0" borderId="0" xfId="56935" applyNumberFormat="1" applyFont="1" applyFill="1" applyAlignment="1">
      <alignment horizontal="center"/>
    </xf>
    <xf numFmtId="167" fontId="37" fillId="0" borderId="0" xfId="56939" applyNumberFormat="1" applyFont="1" applyFill="1" applyBorder="1" applyAlignment="1">
      <alignment horizontal="center"/>
    </xf>
    <xf numFmtId="167" fontId="37" fillId="0" borderId="78" xfId="56939" applyNumberFormat="1" applyFont="1" applyFill="1" applyBorder="1" applyAlignment="1">
      <alignment horizontal="center"/>
    </xf>
    <xf numFmtId="167" fontId="37" fillId="0" borderId="77" xfId="56939" applyNumberFormat="1" applyFont="1" applyFill="1" applyBorder="1" applyAlignment="1">
      <alignment horizontal="center"/>
    </xf>
    <xf numFmtId="181" fontId="37" fillId="0" borderId="0" xfId="56939" applyNumberFormat="1" applyFont="1" applyFill="1" applyBorder="1" applyAlignment="1">
      <alignment horizontal="center"/>
    </xf>
    <xf numFmtId="181" fontId="37" fillId="0" borderId="78" xfId="56939" applyNumberFormat="1" applyFont="1" applyFill="1" applyBorder="1" applyAlignment="1">
      <alignment horizontal="center"/>
    </xf>
    <xf numFmtId="15" fontId="37" fillId="0" borderId="0" xfId="56938" applyNumberFormat="1" applyFont="1" applyFill="1" applyAlignment="1">
      <alignment horizontal="center"/>
    </xf>
    <xf numFmtId="167" fontId="37" fillId="0" borderId="0" xfId="56942" applyNumberFormat="1" applyFont="1" applyFill="1" applyBorder="1" applyAlignment="1">
      <alignment horizontal="center"/>
    </xf>
    <xf numFmtId="167" fontId="37" fillId="0" borderId="78" xfId="56942" applyNumberFormat="1" applyFont="1" applyFill="1" applyBorder="1" applyAlignment="1">
      <alignment horizontal="center"/>
    </xf>
    <xf numFmtId="167" fontId="37" fillId="0" borderId="77" xfId="56942" applyNumberFormat="1" applyFont="1" applyFill="1" applyBorder="1" applyAlignment="1">
      <alignment horizontal="center"/>
    </xf>
    <xf numFmtId="181" fontId="37" fillId="0" borderId="0" xfId="56942" applyNumberFormat="1" applyFont="1" applyFill="1" applyBorder="1" applyAlignment="1">
      <alignment horizontal="center"/>
    </xf>
    <xf numFmtId="181" fontId="37" fillId="0" borderId="78" xfId="56942" applyNumberFormat="1" applyFont="1" applyFill="1" applyBorder="1" applyAlignment="1">
      <alignment horizontal="center"/>
    </xf>
    <xf numFmtId="15" fontId="37" fillId="0" borderId="0" xfId="56941" applyNumberFormat="1" applyFont="1" applyFill="1" applyAlignment="1">
      <alignment horizontal="center"/>
    </xf>
    <xf numFmtId="167" fontId="37" fillId="0" borderId="0" xfId="56945" applyNumberFormat="1" applyFont="1" applyFill="1" applyBorder="1" applyAlignment="1">
      <alignment horizontal="center"/>
    </xf>
    <xf numFmtId="167" fontId="37" fillId="0" borderId="78" xfId="56945" applyNumberFormat="1" applyFont="1" applyFill="1" applyBorder="1" applyAlignment="1">
      <alignment horizontal="center"/>
    </xf>
    <xf numFmtId="167" fontId="37" fillId="0" borderId="77" xfId="56945" applyNumberFormat="1" applyFont="1" applyFill="1" applyBorder="1" applyAlignment="1">
      <alignment horizontal="center"/>
    </xf>
    <xf numFmtId="181" fontId="37" fillId="0" borderId="0" xfId="56945" applyNumberFormat="1" applyFont="1" applyFill="1" applyBorder="1" applyAlignment="1">
      <alignment horizontal="center"/>
    </xf>
    <xf numFmtId="181" fontId="37" fillId="0" borderId="78" xfId="56945" applyNumberFormat="1" applyFont="1" applyFill="1" applyBorder="1" applyAlignment="1">
      <alignment horizontal="center"/>
    </xf>
    <xf numFmtId="15" fontId="37" fillId="0" borderId="0" xfId="56944" applyNumberFormat="1" applyFont="1" applyFill="1" applyAlignment="1">
      <alignment horizontal="center"/>
    </xf>
    <xf numFmtId="167" fontId="37" fillId="0" borderId="0" xfId="56948" applyNumberFormat="1" applyFont="1" applyFill="1" applyBorder="1" applyAlignment="1">
      <alignment horizontal="center"/>
    </xf>
    <xf numFmtId="167" fontId="37" fillId="0" borderId="78" xfId="56948" applyNumberFormat="1" applyFont="1" applyFill="1" applyBorder="1" applyAlignment="1">
      <alignment horizontal="center"/>
    </xf>
    <xf numFmtId="167" fontId="37" fillId="0" borderId="77" xfId="56948" applyNumberFormat="1" applyFont="1" applyFill="1" applyBorder="1" applyAlignment="1">
      <alignment horizontal="center"/>
    </xf>
    <xf numFmtId="181" fontId="37" fillId="0" borderId="0" xfId="56948" applyNumberFormat="1" applyFont="1" applyFill="1" applyBorder="1" applyAlignment="1">
      <alignment horizontal="center"/>
    </xf>
    <xf numFmtId="181" fontId="37" fillId="0" borderId="78" xfId="56948" applyNumberFormat="1" applyFont="1" applyFill="1" applyBorder="1" applyAlignment="1">
      <alignment horizontal="center"/>
    </xf>
    <xf numFmtId="15" fontId="37" fillId="0" borderId="0" xfId="56947" applyNumberFormat="1" applyFont="1" applyFill="1" applyAlignment="1">
      <alignment horizontal="center"/>
    </xf>
    <xf numFmtId="167" fontId="37" fillId="0" borderId="0" xfId="56951" applyNumberFormat="1" applyFont="1" applyFill="1" applyBorder="1" applyAlignment="1">
      <alignment horizontal="center"/>
    </xf>
    <xf numFmtId="167" fontId="37" fillId="0" borderId="78" xfId="56951" applyNumberFormat="1" applyFont="1" applyFill="1" applyBorder="1" applyAlignment="1">
      <alignment horizontal="center"/>
    </xf>
    <xf numFmtId="167" fontId="37" fillId="0" borderId="77" xfId="56951" applyNumberFormat="1" applyFont="1" applyFill="1" applyBorder="1" applyAlignment="1">
      <alignment horizontal="center"/>
    </xf>
    <xf numFmtId="181" fontId="37" fillId="0" borderId="0" xfId="56951" applyNumberFormat="1" applyFont="1" applyFill="1" applyBorder="1" applyAlignment="1">
      <alignment horizontal="center"/>
    </xf>
    <xf numFmtId="181" fontId="37" fillId="0" borderId="78" xfId="56951" applyNumberFormat="1" applyFont="1" applyFill="1" applyBorder="1" applyAlignment="1">
      <alignment horizontal="center"/>
    </xf>
    <xf numFmtId="15" fontId="37" fillId="0" borderId="0" xfId="56950" applyNumberFormat="1" applyFont="1" applyFill="1" applyAlignment="1">
      <alignment horizontal="center"/>
    </xf>
    <xf numFmtId="167" fontId="37" fillId="0" borderId="0" xfId="56957" applyNumberFormat="1" applyFont="1" applyFill="1" applyBorder="1" applyAlignment="1">
      <alignment horizontal="center"/>
    </xf>
    <xf numFmtId="167" fontId="37" fillId="0" borderId="78" xfId="56957" applyNumberFormat="1" applyFont="1" applyFill="1" applyBorder="1" applyAlignment="1">
      <alignment horizontal="center"/>
    </xf>
    <xf numFmtId="167" fontId="37" fillId="0" borderId="77" xfId="56957" applyNumberFormat="1" applyFont="1" applyFill="1" applyBorder="1" applyAlignment="1">
      <alignment horizontal="center"/>
    </xf>
    <xf numFmtId="181" fontId="37" fillId="0" borderId="0" xfId="56957" applyNumberFormat="1" applyFont="1" applyFill="1" applyBorder="1" applyAlignment="1">
      <alignment horizontal="center"/>
    </xf>
    <xf numFmtId="181" fontId="37" fillId="0" borderId="78" xfId="56957" applyNumberFormat="1" applyFont="1" applyFill="1" applyBorder="1" applyAlignment="1">
      <alignment horizontal="center"/>
    </xf>
    <xf numFmtId="15" fontId="37" fillId="0" borderId="0" xfId="56956" applyNumberFormat="1" applyFont="1" applyFill="1" applyAlignment="1">
      <alignment horizontal="center"/>
    </xf>
    <xf numFmtId="15" fontId="14" fillId="0" borderId="0" xfId="56944" applyNumberFormat="1" applyFont="1" applyFill="1" applyAlignment="1">
      <alignment horizontal="center"/>
    </xf>
    <xf numFmtId="181" fontId="14" fillId="0" borderId="78" xfId="56945" applyNumberFormat="1" applyFont="1" applyFill="1" applyBorder="1" applyAlignment="1">
      <alignment horizontal="center"/>
    </xf>
    <xf numFmtId="181" fontId="14" fillId="0" borderId="0" xfId="56945" applyNumberFormat="1" applyFont="1" applyFill="1" applyBorder="1" applyAlignment="1">
      <alignment horizontal="center"/>
    </xf>
    <xf numFmtId="167" fontId="14" fillId="0" borderId="77" xfId="56945" applyNumberFormat="1" applyFont="1" applyFill="1" applyBorder="1" applyAlignment="1">
      <alignment horizontal="center"/>
    </xf>
    <xf numFmtId="167" fontId="14" fillId="0" borderId="78" xfId="56945" applyNumberFormat="1" applyFont="1" applyFill="1" applyBorder="1" applyAlignment="1">
      <alignment horizontal="center"/>
    </xf>
    <xf numFmtId="167" fontId="14" fillId="0" borderId="0" xfId="56945" applyNumberFormat="1" applyFont="1" applyFill="1" applyBorder="1" applyAlignment="1">
      <alignment horizontal="center"/>
    </xf>
    <xf numFmtId="167" fontId="37" fillId="0" borderId="0" xfId="56960" applyNumberFormat="1" applyFont="1" applyFill="1" applyBorder="1" applyAlignment="1">
      <alignment horizontal="center"/>
    </xf>
    <xf numFmtId="167" fontId="37" fillId="0" borderId="78" xfId="56960" applyNumberFormat="1" applyFont="1" applyFill="1" applyBorder="1" applyAlignment="1">
      <alignment horizontal="center"/>
    </xf>
    <xf numFmtId="167" fontId="37" fillId="0" borderId="77" xfId="56960" applyNumberFormat="1" applyFont="1" applyFill="1" applyBorder="1" applyAlignment="1">
      <alignment horizontal="center"/>
    </xf>
    <xf numFmtId="181" fontId="37" fillId="0" borderId="0" xfId="56960" applyNumberFormat="1" applyFont="1" applyFill="1" applyBorder="1" applyAlignment="1">
      <alignment horizontal="center"/>
    </xf>
    <xf numFmtId="181" fontId="37" fillId="0" borderId="78" xfId="56960" applyNumberFormat="1" applyFont="1" applyFill="1" applyBorder="1" applyAlignment="1">
      <alignment horizontal="center"/>
    </xf>
    <xf numFmtId="15" fontId="37" fillId="0" borderId="0" xfId="56959" applyNumberFormat="1" applyFont="1" applyFill="1" applyAlignment="1">
      <alignment horizontal="center"/>
    </xf>
    <xf numFmtId="167" fontId="37" fillId="0" borderId="0" xfId="56963" applyNumberFormat="1" applyFont="1" applyFill="1" applyBorder="1" applyAlignment="1">
      <alignment horizontal="center"/>
    </xf>
    <xf numFmtId="167" fontId="37" fillId="0" borderId="78" xfId="56963" applyNumberFormat="1" applyFont="1" applyFill="1" applyBorder="1" applyAlignment="1">
      <alignment horizontal="center"/>
    </xf>
    <xf numFmtId="167" fontId="37" fillId="0" borderId="77" xfId="56963" applyNumberFormat="1" applyFont="1" applyFill="1" applyBorder="1" applyAlignment="1">
      <alignment horizontal="center"/>
    </xf>
    <xf numFmtId="181" fontId="37" fillId="0" borderId="0" xfId="56963" applyNumberFormat="1" applyFont="1" applyFill="1" applyBorder="1" applyAlignment="1">
      <alignment horizontal="center"/>
    </xf>
    <xf numFmtId="181" fontId="37" fillId="0" borderId="78" xfId="56963" applyNumberFormat="1" applyFont="1" applyFill="1" applyBorder="1" applyAlignment="1">
      <alignment horizontal="center"/>
    </xf>
    <xf numFmtId="15" fontId="37" fillId="0" borderId="0" xfId="56962" applyNumberFormat="1" applyFont="1" applyFill="1" applyAlignment="1">
      <alignment horizontal="center"/>
    </xf>
    <xf numFmtId="167" fontId="37" fillId="0" borderId="0" xfId="56966" applyNumberFormat="1" applyFont="1" applyFill="1" applyBorder="1" applyAlignment="1">
      <alignment horizontal="center"/>
    </xf>
    <xf numFmtId="167" fontId="37" fillId="0" borderId="78" xfId="56966" applyNumberFormat="1" applyFont="1" applyFill="1" applyBorder="1" applyAlignment="1">
      <alignment horizontal="center"/>
    </xf>
    <xf numFmtId="167" fontId="37" fillId="0" borderId="77" xfId="56966" applyNumberFormat="1" applyFont="1" applyFill="1" applyBorder="1" applyAlignment="1">
      <alignment horizontal="center"/>
    </xf>
    <xf numFmtId="181" fontId="37" fillId="0" borderId="0" xfId="56966" applyNumberFormat="1" applyFont="1" applyFill="1" applyBorder="1" applyAlignment="1">
      <alignment horizontal="center"/>
    </xf>
    <xf numFmtId="181" fontId="37" fillId="0" borderId="78" xfId="56966" applyNumberFormat="1" applyFont="1" applyFill="1" applyBorder="1" applyAlignment="1">
      <alignment horizontal="center"/>
    </xf>
    <xf numFmtId="15" fontId="37" fillId="0" borderId="0" xfId="56965" applyNumberFormat="1" applyFont="1" applyFill="1" applyAlignment="1">
      <alignment horizontal="center"/>
    </xf>
    <xf numFmtId="167" fontId="37" fillId="0" borderId="0" xfId="56969" applyNumberFormat="1" applyFont="1" applyFill="1" applyBorder="1" applyAlignment="1">
      <alignment horizontal="center"/>
    </xf>
    <xf numFmtId="167" fontId="37" fillId="0" borderId="78" xfId="56969" applyNumberFormat="1" applyFont="1" applyFill="1" applyBorder="1" applyAlignment="1">
      <alignment horizontal="center"/>
    </xf>
    <xf numFmtId="167" fontId="37" fillId="0" borderId="77" xfId="56969" applyNumberFormat="1" applyFont="1" applyFill="1" applyBorder="1" applyAlignment="1">
      <alignment horizontal="center"/>
    </xf>
    <xf numFmtId="181" fontId="37" fillId="0" borderId="0" xfId="56969" applyNumberFormat="1" applyFont="1" applyFill="1" applyBorder="1" applyAlignment="1">
      <alignment horizontal="center"/>
    </xf>
    <xf numFmtId="181" fontId="37" fillId="0" borderId="78" xfId="56969" applyNumberFormat="1" applyFont="1" applyFill="1" applyBorder="1" applyAlignment="1">
      <alignment horizontal="center"/>
    </xf>
    <xf numFmtId="15" fontId="37" fillId="0" borderId="0" xfId="56968" applyNumberFormat="1" applyFont="1" applyFill="1" applyAlignment="1">
      <alignment horizontal="center"/>
    </xf>
    <xf numFmtId="167" fontId="37" fillId="0" borderId="0" xfId="56972" applyNumberFormat="1" applyFont="1" applyFill="1" applyBorder="1" applyAlignment="1">
      <alignment horizontal="center"/>
    </xf>
    <xf numFmtId="167" fontId="37" fillId="0" borderId="78" xfId="56972" applyNumberFormat="1" applyFont="1" applyFill="1" applyBorder="1" applyAlignment="1">
      <alignment horizontal="center"/>
    </xf>
    <xf numFmtId="167" fontId="37" fillId="0" borderId="77" xfId="56972" applyNumberFormat="1" applyFont="1" applyFill="1" applyBorder="1" applyAlignment="1">
      <alignment horizontal="center"/>
    </xf>
    <xf numFmtId="181" fontId="37" fillId="0" borderId="0" xfId="56972" applyNumberFormat="1" applyFont="1" applyFill="1" applyBorder="1" applyAlignment="1">
      <alignment horizontal="center"/>
    </xf>
    <xf numFmtId="181" fontId="37" fillId="0" borderId="78" xfId="56972" applyNumberFormat="1" applyFont="1" applyFill="1" applyBorder="1" applyAlignment="1">
      <alignment horizontal="center"/>
    </xf>
    <xf numFmtId="15" fontId="37" fillId="0" borderId="0" xfId="56971" applyNumberFormat="1" applyFont="1" applyFill="1" applyAlignment="1">
      <alignment horizontal="center"/>
    </xf>
    <xf numFmtId="167" fontId="37" fillId="0" borderId="0" xfId="56975" applyNumberFormat="1" applyFont="1" applyFill="1" applyBorder="1" applyAlignment="1">
      <alignment horizontal="center"/>
    </xf>
    <xf numFmtId="167" fontId="37" fillId="0" borderId="78" xfId="56975" applyNumberFormat="1" applyFont="1" applyFill="1" applyBorder="1" applyAlignment="1">
      <alignment horizontal="center"/>
    </xf>
    <xf numFmtId="167" fontId="37" fillId="0" borderId="77" xfId="56975" applyNumberFormat="1" applyFont="1" applyFill="1" applyBorder="1" applyAlignment="1">
      <alignment horizontal="center"/>
    </xf>
    <xf numFmtId="181" fontId="37" fillId="0" borderId="0" xfId="56975" applyNumberFormat="1" applyFont="1" applyFill="1" applyBorder="1" applyAlignment="1">
      <alignment horizontal="center"/>
    </xf>
    <xf numFmtId="181" fontId="37" fillId="0" borderId="78" xfId="56975" applyNumberFormat="1" applyFont="1" applyFill="1" applyBorder="1" applyAlignment="1">
      <alignment horizontal="center"/>
    </xf>
    <xf numFmtId="15" fontId="37" fillId="0" borderId="0" xfId="56974" applyNumberFormat="1" applyFont="1" applyFill="1" applyAlignment="1">
      <alignment horizontal="center"/>
    </xf>
    <xf numFmtId="167" fontId="37" fillId="0" borderId="0" xfId="56978" applyNumberFormat="1" applyFont="1" applyFill="1" applyBorder="1" applyAlignment="1">
      <alignment horizontal="center"/>
    </xf>
    <xf numFmtId="167" fontId="37" fillId="0" borderId="78" xfId="56978" applyNumberFormat="1" applyFont="1" applyFill="1" applyBorder="1" applyAlignment="1">
      <alignment horizontal="center"/>
    </xf>
    <xf numFmtId="167" fontId="37" fillId="0" borderId="77" xfId="56978" applyNumberFormat="1" applyFont="1" applyFill="1" applyBorder="1" applyAlignment="1">
      <alignment horizontal="center"/>
    </xf>
    <xf numFmtId="181" fontId="37" fillId="0" borderId="0" xfId="56978" applyNumberFormat="1" applyFont="1" applyFill="1" applyBorder="1" applyAlignment="1">
      <alignment horizontal="center"/>
    </xf>
    <xf numFmtId="181" fontId="37" fillId="0" borderId="78" xfId="56978" applyNumberFormat="1" applyFont="1" applyFill="1" applyBorder="1" applyAlignment="1">
      <alignment horizontal="center"/>
    </xf>
    <xf numFmtId="15" fontId="37" fillId="0" borderId="0" xfId="56977" applyNumberFormat="1" applyFont="1" applyFill="1" applyAlignment="1">
      <alignment horizontal="center"/>
    </xf>
    <xf numFmtId="167" fontId="37" fillId="0" borderId="0" xfId="56981" applyNumberFormat="1" applyFont="1" applyFill="1" applyBorder="1" applyAlignment="1">
      <alignment horizontal="center"/>
    </xf>
    <xf numFmtId="167" fontId="37" fillId="0" borderId="78" xfId="56981" applyNumberFormat="1" applyFont="1" applyFill="1" applyBorder="1" applyAlignment="1">
      <alignment horizontal="center"/>
    </xf>
    <xf numFmtId="167" fontId="37" fillId="0" borderId="77" xfId="56981" applyNumberFormat="1" applyFont="1" applyFill="1" applyBorder="1" applyAlignment="1">
      <alignment horizontal="center"/>
    </xf>
    <xf numFmtId="181" fontId="37" fillId="0" borderId="0" xfId="56981" applyNumberFormat="1" applyFont="1" applyFill="1" applyBorder="1" applyAlignment="1">
      <alignment horizontal="center"/>
    </xf>
    <xf numFmtId="181" fontId="37" fillId="0" borderId="78" xfId="56981" applyNumberFormat="1" applyFont="1" applyFill="1" applyBorder="1" applyAlignment="1">
      <alignment horizontal="center"/>
    </xf>
    <xf numFmtId="15" fontId="37" fillId="0" borderId="0" xfId="56980" applyNumberFormat="1" applyFont="1" applyFill="1" applyAlignment="1">
      <alignment horizontal="center"/>
    </xf>
    <xf numFmtId="167" fontId="37" fillId="0" borderId="0" xfId="56984" applyNumberFormat="1" applyFont="1" applyFill="1" applyBorder="1" applyAlignment="1">
      <alignment horizontal="center"/>
    </xf>
    <xf numFmtId="167" fontId="37" fillId="0" borderId="78" xfId="56984" applyNumberFormat="1" applyFont="1" applyFill="1" applyBorder="1" applyAlignment="1">
      <alignment horizontal="center"/>
    </xf>
    <xf numFmtId="167" fontId="37" fillId="0" borderId="77" xfId="56984" applyNumberFormat="1" applyFont="1" applyFill="1" applyBorder="1" applyAlignment="1">
      <alignment horizontal="center"/>
    </xf>
    <xf numFmtId="181" fontId="37" fillId="0" borderId="0" xfId="56984" applyNumberFormat="1" applyFont="1" applyFill="1" applyBorder="1" applyAlignment="1">
      <alignment horizontal="center"/>
    </xf>
    <xf numFmtId="181" fontId="37" fillId="0" borderId="78" xfId="56984" applyNumberFormat="1" applyFont="1" applyFill="1" applyBorder="1" applyAlignment="1">
      <alignment horizontal="center"/>
    </xf>
    <xf numFmtId="15" fontId="37" fillId="0" borderId="0" xfId="56983" applyNumberFormat="1" applyFont="1" applyFill="1" applyAlignment="1">
      <alignment horizontal="center"/>
    </xf>
    <xf numFmtId="167" fontId="37" fillId="0" borderId="0" xfId="56987" applyNumberFormat="1" applyFont="1" applyFill="1" applyBorder="1" applyAlignment="1">
      <alignment horizontal="center"/>
    </xf>
    <xf numFmtId="167" fontId="37" fillId="0" borderId="78" xfId="56987" applyNumberFormat="1" applyFont="1" applyFill="1" applyBorder="1" applyAlignment="1">
      <alignment horizontal="center"/>
    </xf>
    <xf numFmtId="167" fontId="37" fillId="0" borderId="77" xfId="56987" applyNumberFormat="1" applyFont="1" applyFill="1" applyBorder="1" applyAlignment="1">
      <alignment horizontal="center"/>
    </xf>
    <xf numFmtId="181" fontId="37" fillId="0" borderId="0" xfId="56987" applyNumberFormat="1" applyFont="1" applyFill="1" applyBorder="1" applyAlignment="1">
      <alignment horizontal="center"/>
    </xf>
    <xf numFmtId="181" fontId="37" fillId="0" borderId="78" xfId="56987" applyNumberFormat="1" applyFont="1" applyFill="1" applyBorder="1" applyAlignment="1">
      <alignment horizontal="center"/>
    </xf>
    <xf numFmtId="15" fontId="37" fillId="0" borderId="0" xfId="56986" applyNumberFormat="1" applyFont="1" applyFill="1" applyAlignment="1">
      <alignment horizontal="center"/>
    </xf>
    <xf numFmtId="167" fontId="37" fillId="0" borderId="0" xfId="56990" applyNumberFormat="1" applyFont="1" applyFill="1" applyBorder="1" applyAlignment="1">
      <alignment horizontal="center"/>
    </xf>
    <xf numFmtId="167" fontId="37" fillId="0" borderId="78" xfId="56990" applyNumberFormat="1" applyFont="1" applyFill="1" applyBorder="1" applyAlignment="1">
      <alignment horizontal="center"/>
    </xf>
    <xf numFmtId="167" fontId="37" fillId="0" borderId="77" xfId="56990" applyNumberFormat="1" applyFont="1" applyFill="1" applyBorder="1" applyAlignment="1">
      <alignment horizontal="center"/>
    </xf>
    <xf numFmtId="181" fontId="37" fillId="0" borderId="0" xfId="56990" applyNumberFormat="1" applyFont="1" applyFill="1" applyBorder="1" applyAlignment="1">
      <alignment horizontal="center"/>
    </xf>
    <xf numFmtId="181" fontId="37" fillId="0" borderId="78" xfId="56990" applyNumberFormat="1" applyFont="1" applyFill="1" applyBorder="1" applyAlignment="1">
      <alignment horizontal="center"/>
    </xf>
    <xf numFmtId="15" fontId="37" fillId="0" borderId="0" xfId="56989" applyNumberFormat="1" applyFont="1" applyFill="1" applyAlignment="1">
      <alignment horizontal="center"/>
    </xf>
    <xf numFmtId="167" fontId="37" fillId="0" borderId="0" xfId="56993" applyNumberFormat="1" applyFont="1" applyFill="1" applyBorder="1" applyAlignment="1">
      <alignment horizontal="center"/>
    </xf>
    <xf numFmtId="167" fontId="37" fillId="0" borderId="78" xfId="56993" applyNumberFormat="1" applyFont="1" applyFill="1" applyBorder="1" applyAlignment="1">
      <alignment horizontal="center"/>
    </xf>
    <xf numFmtId="167" fontId="37" fillId="0" borderId="77" xfId="56993" applyNumberFormat="1" applyFont="1" applyFill="1" applyBorder="1" applyAlignment="1">
      <alignment horizontal="center"/>
    </xf>
    <xf numFmtId="181" fontId="37" fillId="0" borderId="0" xfId="56993" applyNumberFormat="1" applyFont="1" applyFill="1" applyBorder="1" applyAlignment="1">
      <alignment horizontal="center"/>
    </xf>
    <xf numFmtId="181" fontId="37" fillId="0" borderId="78" xfId="56993" applyNumberFormat="1" applyFont="1" applyFill="1" applyBorder="1" applyAlignment="1">
      <alignment horizontal="center"/>
    </xf>
    <xf numFmtId="15" fontId="37" fillId="0" borderId="0" xfId="56992" applyNumberFormat="1" applyFont="1" applyFill="1" applyAlignment="1">
      <alignment horizontal="center"/>
    </xf>
    <xf numFmtId="167" fontId="37" fillId="0" borderId="0" xfId="56996" applyNumberFormat="1" applyFont="1" applyFill="1" applyBorder="1" applyAlignment="1">
      <alignment horizontal="center"/>
    </xf>
    <xf numFmtId="167" fontId="37" fillId="0" borderId="78" xfId="56996" applyNumberFormat="1" applyFont="1" applyFill="1" applyBorder="1" applyAlignment="1">
      <alignment horizontal="center"/>
    </xf>
    <xf numFmtId="167" fontId="37" fillId="0" borderId="77" xfId="56996" applyNumberFormat="1" applyFont="1" applyFill="1" applyBorder="1" applyAlignment="1">
      <alignment horizontal="center"/>
    </xf>
    <xf numFmtId="181" fontId="37" fillId="0" borderId="0" xfId="56996" applyNumberFormat="1" applyFont="1" applyFill="1" applyBorder="1" applyAlignment="1">
      <alignment horizontal="center"/>
    </xf>
    <xf numFmtId="181" fontId="37" fillId="0" borderId="78" xfId="56996" applyNumberFormat="1" applyFont="1" applyFill="1" applyBorder="1" applyAlignment="1">
      <alignment horizontal="center"/>
    </xf>
    <xf numFmtId="15" fontId="37" fillId="0" borderId="0" xfId="56995" applyNumberFormat="1" applyFont="1" applyFill="1" applyAlignment="1">
      <alignment horizontal="center"/>
    </xf>
    <xf numFmtId="167" fontId="37" fillId="0" borderId="0" xfId="56999" applyNumberFormat="1" applyFont="1" applyFill="1" applyBorder="1" applyAlignment="1">
      <alignment horizontal="center"/>
    </xf>
    <xf numFmtId="167" fontId="37" fillId="0" borderId="78" xfId="56999" applyNumberFormat="1" applyFont="1" applyFill="1" applyBorder="1" applyAlignment="1">
      <alignment horizontal="center"/>
    </xf>
    <xf numFmtId="167" fontId="37" fillId="0" borderId="77" xfId="56999" applyNumberFormat="1" applyFont="1" applyFill="1" applyBorder="1" applyAlignment="1">
      <alignment horizontal="center"/>
    </xf>
    <xf numFmtId="181" fontId="37" fillId="0" borderId="0" xfId="56999" applyNumberFormat="1" applyFont="1" applyFill="1" applyBorder="1" applyAlignment="1">
      <alignment horizontal="center"/>
    </xf>
    <xf numFmtId="181" fontId="37" fillId="0" borderId="78" xfId="56999" applyNumberFormat="1" applyFont="1" applyFill="1" applyBorder="1" applyAlignment="1">
      <alignment horizontal="center"/>
    </xf>
    <xf numFmtId="15" fontId="37" fillId="0" borderId="0" xfId="56998" applyNumberFormat="1" applyFont="1" applyFill="1" applyAlignment="1">
      <alignment horizontal="center"/>
    </xf>
    <xf numFmtId="169" fontId="30" fillId="41" borderId="0" xfId="1" applyNumberFormat="1" applyFont="1" applyFill="1"/>
    <xf numFmtId="167" fontId="37" fillId="0" borderId="78" xfId="57026" applyNumberFormat="1" applyFont="1" applyFill="1" applyBorder="1" applyAlignment="1">
      <alignment horizontal="center"/>
    </xf>
    <xf numFmtId="167" fontId="37" fillId="0" borderId="77" xfId="57026" applyNumberFormat="1" applyFont="1" applyFill="1" applyBorder="1" applyAlignment="1">
      <alignment horizontal="center"/>
    </xf>
    <xf numFmtId="167" fontId="37" fillId="0" borderId="0" xfId="57026" applyNumberFormat="1" applyFont="1" applyFill="1" applyBorder="1" applyAlignment="1">
      <alignment horizontal="center"/>
    </xf>
    <xf numFmtId="181" fontId="37" fillId="0" borderId="0" xfId="57026" applyNumberFormat="1" applyFont="1" applyFill="1" applyBorder="1" applyAlignment="1">
      <alignment horizontal="center"/>
    </xf>
    <xf numFmtId="181" fontId="37" fillId="0" borderId="78" xfId="57026" applyNumberFormat="1" applyFont="1" applyFill="1" applyBorder="1" applyAlignment="1">
      <alignment horizontal="center"/>
    </xf>
    <xf numFmtId="15" fontId="37" fillId="0" borderId="0" xfId="57025" applyNumberFormat="1" applyFont="1" applyFill="1" applyAlignment="1">
      <alignment horizontal="center"/>
    </xf>
    <xf numFmtId="167" fontId="37" fillId="0" borderId="78" xfId="57029" applyNumberFormat="1" applyFont="1" applyFill="1" applyBorder="1" applyAlignment="1">
      <alignment horizontal="center"/>
    </xf>
    <xf numFmtId="167" fontId="37" fillId="0" borderId="77" xfId="57029" applyNumberFormat="1" applyFont="1" applyFill="1" applyBorder="1" applyAlignment="1">
      <alignment horizontal="center"/>
    </xf>
    <xf numFmtId="167" fontId="37" fillId="0" borderId="0" xfId="57029" applyNumberFormat="1" applyFont="1" applyFill="1" applyBorder="1" applyAlignment="1">
      <alignment horizontal="center"/>
    </xf>
    <xf numFmtId="181" fontId="37" fillId="0" borderId="0" xfId="57029" applyNumberFormat="1" applyFont="1" applyFill="1" applyBorder="1" applyAlignment="1">
      <alignment horizontal="center"/>
    </xf>
    <xf numFmtId="181" fontId="37" fillId="0" borderId="78" xfId="57029" applyNumberFormat="1" applyFont="1" applyFill="1" applyBorder="1" applyAlignment="1">
      <alignment horizontal="center"/>
    </xf>
    <xf numFmtId="15" fontId="37" fillId="0" borderId="0" xfId="57028" applyNumberFormat="1" applyFont="1" applyFill="1" applyAlignment="1">
      <alignment horizontal="center"/>
    </xf>
    <xf numFmtId="167" fontId="37" fillId="0" borderId="78" xfId="57032" applyNumberFormat="1" applyFont="1" applyFill="1" applyBorder="1" applyAlignment="1">
      <alignment horizontal="center"/>
    </xf>
    <xf numFmtId="167" fontId="37" fillId="0" borderId="77" xfId="57032" applyNumberFormat="1" applyFont="1" applyFill="1" applyBorder="1" applyAlignment="1">
      <alignment horizontal="center"/>
    </xf>
    <xf numFmtId="167" fontId="37" fillId="0" borderId="0" xfId="57032" applyNumberFormat="1" applyFont="1" applyFill="1" applyBorder="1" applyAlignment="1">
      <alignment horizontal="center"/>
    </xf>
    <xf numFmtId="181" fontId="37" fillId="0" borderId="0" xfId="57032" applyNumberFormat="1" applyFont="1" applyFill="1" applyBorder="1" applyAlignment="1">
      <alignment horizontal="center"/>
    </xf>
    <xf numFmtId="181" fontId="37" fillId="0" borderId="78" xfId="57032" applyNumberFormat="1" applyFont="1" applyFill="1" applyBorder="1" applyAlignment="1">
      <alignment horizontal="center"/>
    </xf>
    <xf numFmtId="15" fontId="37" fillId="0" borderId="0" xfId="57031" applyNumberFormat="1" applyFont="1" applyFill="1" applyAlignment="1">
      <alignment horizontal="center"/>
    </xf>
    <xf numFmtId="167" fontId="37" fillId="0" borderId="78" xfId="57038" applyNumberFormat="1" applyFont="1" applyFill="1" applyBorder="1" applyAlignment="1">
      <alignment horizontal="center"/>
    </xf>
    <xf numFmtId="167" fontId="37" fillId="0" borderId="77" xfId="57038" applyNumberFormat="1" applyFont="1" applyFill="1" applyBorder="1" applyAlignment="1">
      <alignment horizontal="center"/>
    </xf>
    <xf numFmtId="167" fontId="37" fillId="0" borderId="0" xfId="57038" applyNumberFormat="1" applyFont="1" applyFill="1" applyBorder="1" applyAlignment="1">
      <alignment horizontal="center"/>
    </xf>
    <xf numFmtId="181" fontId="37" fillId="0" borderId="0" xfId="57038" applyNumberFormat="1" applyFont="1" applyFill="1" applyBorder="1" applyAlignment="1">
      <alignment horizontal="center"/>
    </xf>
    <xf numFmtId="181" fontId="37" fillId="0" borderId="78" xfId="57038" applyNumberFormat="1" applyFont="1" applyFill="1" applyBorder="1" applyAlignment="1">
      <alignment horizontal="center"/>
    </xf>
    <xf numFmtId="15" fontId="37" fillId="0" borderId="0" xfId="57037" applyNumberFormat="1" applyFont="1" applyFill="1" applyAlignment="1">
      <alignment horizontal="center"/>
    </xf>
    <xf numFmtId="167" fontId="37" fillId="0" borderId="78" xfId="57041" applyNumberFormat="1" applyFont="1" applyFill="1" applyBorder="1" applyAlignment="1">
      <alignment horizontal="center"/>
    </xf>
    <xf numFmtId="167" fontId="37" fillId="0" borderId="77" xfId="57041" applyNumberFormat="1" applyFont="1" applyFill="1" applyBorder="1" applyAlignment="1">
      <alignment horizontal="center"/>
    </xf>
    <xf numFmtId="167" fontId="37" fillId="0" borderId="0" xfId="57041" applyNumberFormat="1" applyFont="1" applyFill="1" applyBorder="1" applyAlignment="1">
      <alignment horizontal="center"/>
    </xf>
    <xf numFmtId="181" fontId="37" fillId="0" borderId="0" xfId="57041" applyNumberFormat="1" applyFont="1" applyFill="1" applyBorder="1" applyAlignment="1">
      <alignment horizontal="center"/>
    </xf>
    <xf numFmtId="181" fontId="37" fillId="0" borderId="78" xfId="57041" applyNumberFormat="1" applyFont="1" applyFill="1" applyBorder="1" applyAlignment="1">
      <alignment horizontal="center"/>
    </xf>
    <xf numFmtId="15" fontId="37" fillId="0" borderId="0" xfId="57040" applyNumberFormat="1" applyFont="1" applyFill="1" applyAlignment="1">
      <alignment horizontal="center"/>
    </xf>
    <xf numFmtId="167" fontId="37" fillId="0" borderId="78" xfId="57044" applyNumberFormat="1" applyFont="1" applyFill="1" applyBorder="1" applyAlignment="1">
      <alignment horizontal="center"/>
    </xf>
    <xf numFmtId="167" fontId="37" fillId="0" borderId="77" xfId="57044" applyNumberFormat="1" applyFont="1" applyFill="1" applyBorder="1" applyAlignment="1">
      <alignment horizontal="center"/>
    </xf>
    <xf numFmtId="167" fontId="37" fillId="0" borderId="0" xfId="57044" applyNumberFormat="1" applyFont="1" applyFill="1" applyBorder="1" applyAlignment="1">
      <alignment horizontal="center"/>
    </xf>
    <xf numFmtId="181" fontId="37" fillId="0" borderId="0" xfId="57044" applyNumberFormat="1" applyFont="1" applyFill="1" applyBorder="1" applyAlignment="1">
      <alignment horizontal="center"/>
    </xf>
    <xf numFmtId="181" fontId="37" fillId="0" borderId="78" xfId="57044" applyNumberFormat="1" applyFont="1" applyFill="1" applyBorder="1" applyAlignment="1">
      <alignment horizontal="center"/>
    </xf>
    <xf numFmtId="15" fontId="37" fillId="0" borderId="0" xfId="57043" applyNumberFormat="1" applyFont="1" applyFill="1" applyAlignment="1">
      <alignment horizontal="center"/>
    </xf>
    <xf numFmtId="167" fontId="37" fillId="0" borderId="78" xfId="57047" applyNumberFormat="1" applyFont="1" applyFill="1" applyBorder="1" applyAlignment="1">
      <alignment horizontal="center"/>
    </xf>
    <xf numFmtId="167" fontId="37" fillId="0" borderId="77" xfId="57047" applyNumberFormat="1" applyFont="1" applyFill="1" applyBorder="1" applyAlignment="1">
      <alignment horizontal="center"/>
    </xf>
    <xf numFmtId="167" fontId="37" fillId="0" borderId="0" xfId="57047" applyNumberFormat="1" applyFont="1" applyFill="1" applyBorder="1" applyAlignment="1">
      <alignment horizontal="center"/>
    </xf>
    <xf numFmtId="181" fontId="37" fillId="0" borderId="0" xfId="57047" applyNumberFormat="1" applyFont="1" applyFill="1" applyBorder="1" applyAlignment="1">
      <alignment horizontal="center"/>
    </xf>
    <xf numFmtId="181" fontId="37" fillId="0" borderId="78" xfId="57047" applyNumberFormat="1" applyFont="1" applyFill="1" applyBorder="1" applyAlignment="1">
      <alignment horizontal="center"/>
    </xf>
    <xf numFmtId="15" fontId="37" fillId="0" borderId="0" xfId="57046" applyNumberFormat="1" applyFont="1" applyFill="1" applyAlignment="1">
      <alignment horizontal="center"/>
    </xf>
    <xf numFmtId="167" fontId="37" fillId="0" borderId="78" xfId="57050" applyNumberFormat="1" applyFont="1" applyFill="1" applyBorder="1" applyAlignment="1">
      <alignment horizontal="center"/>
    </xf>
    <xf numFmtId="167" fontId="37" fillId="0" borderId="77" xfId="57050" applyNumberFormat="1" applyFont="1" applyFill="1" applyBorder="1" applyAlignment="1">
      <alignment horizontal="center"/>
    </xf>
    <xf numFmtId="167" fontId="37" fillId="0" borderId="0" xfId="57050" applyNumberFormat="1" applyFont="1" applyFill="1" applyBorder="1" applyAlignment="1">
      <alignment horizontal="center"/>
    </xf>
    <xf numFmtId="181" fontId="37" fillId="0" borderId="0" xfId="57050" applyNumberFormat="1" applyFont="1" applyFill="1" applyBorder="1" applyAlignment="1">
      <alignment horizontal="center"/>
    </xf>
    <xf numFmtId="181" fontId="37" fillId="0" borderId="78" xfId="57050" applyNumberFormat="1" applyFont="1" applyFill="1" applyBorder="1" applyAlignment="1">
      <alignment horizontal="center"/>
    </xf>
    <xf numFmtId="15" fontId="37" fillId="0" borderId="0" xfId="57049" applyNumberFormat="1" applyFont="1" applyFill="1" applyAlignment="1">
      <alignment horizontal="center"/>
    </xf>
    <xf numFmtId="167" fontId="37" fillId="0" borderId="78" xfId="57053" applyNumberFormat="1" applyFont="1" applyFill="1" applyBorder="1" applyAlignment="1">
      <alignment horizontal="center"/>
    </xf>
    <xf numFmtId="167" fontId="37" fillId="0" borderId="77" xfId="57053" applyNumberFormat="1" applyFont="1" applyFill="1" applyBorder="1" applyAlignment="1">
      <alignment horizontal="center"/>
    </xf>
    <xf numFmtId="167" fontId="37" fillId="0" borderId="0" xfId="57053" applyNumberFormat="1" applyFont="1" applyFill="1" applyBorder="1" applyAlignment="1">
      <alignment horizontal="center"/>
    </xf>
    <xf numFmtId="181" fontId="37" fillId="0" borderId="0" xfId="57053" applyNumberFormat="1" applyFont="1" applyFill="1" applyBorder="1" applyAlignment="1">
      <alignment horizontal="center"/>
    </xf>
    <xf numFmtId="181" fontId="37" fillId="0" borderId="78" xfId="57053" applyNumberFormat="1" applyFont="1" applyFill="1" applyBorder="1" applyAlignment="1">
      <alignment horizontal="center"/>
    </xf>
    <xf numFmtId="15" fontId="37" fillId="0" borderId="0" xfId="57052" applyNumberFormat="1" applyFont="1" applyFill="1" applyAlignment="1">
      <alignment horizontal="center"/>
    </xf>
    <xf numFmtId="167" fontId="37" fillId="0" borderId="78" xfId="57056" applyNumberFormat="1" applyFont="1" applyFill="1" applyBorder="1" applyAlignment="1">
      <alignment horizontal="center"/>
    </xf>
    <xf numFmtId="167" fontId="37" fillId="0" borderId="77" xfId="57056" applyNumberFormat="1" applyFont="1" applyFill="1" applyBorder="1" applyAlignment="1">
      <alignment horizontal="center"/>
    </xf>
    <xf numFmtId="167" fontId="37" fillId="0" borderId="0" xfId="57056" applyNumberFormat="1" applyFont="1" applyFill="1" applyBorder="1" applyAlignment="1">
      <alignment horizontal="center"/>
    </xf>
    <xf numFmtId="181" fontId="37" fillId="0" borderId="0" xfId="57056" applyNumberFormat="1" applyFont="1" applyFill="1" applyBorder="1" applyAlignment="1">
      <alignment horizontal="center"/>
    </xf>
    <xf numFmtId="181" fontId="37" fillId="0" borderId="78" xfId="57056" applyNumberFormat="1" applyFont="1" applyFill="1" applyBorder="1" applyAlignment="1">
      <alignment horizontal="center"/>
    </xf>
    <xf numFmtId="15" fontId="37" fillId="0" borderId="0" xfId="57055" applyNumberFormat="1" applyFont="1" applyFill="1" applyAlignment="1">
      <alignment horizontal="center"/>
    </xf>
    <xf numFmtId="167" fontId="37" fillId="0" borderId="78" xfId="57059" applyNumberFormat="1" applyFont="1" applyFill="1" applyBorder="1" applyAlignment="1">
      <alignment horizontal="center"/>
    </xf>
    <xf numFmtId="167" fontId="37" fillId="0" borderId="77" xfId="57059" applyNumberFormat="1" applyFont="1" applyFill="1" applyBorder="1" applyAlignment="1">
      <alignment horizontal="center"/>
    </xf>
    <xf numFmtId="167" fontId="37" fillId="0" borderId="0" xfId="57059" applyNumberFormat="1" applyFont="1" applyFill="1" applyBorder="1" applyAlignment="1">
      <alignment horizontal="center"/>
    </xf>
    <xf numFmtId="181" fontId="37" fillId="0" borderId="0" xfId="57059" applyNumberFormat="1" applyFont="1" applyFill="1" applyBorder="1" applyAlignment="1">
      <alignment horizontal="center"/>
    </xf>
    <xf numFmtId="181" fontId="37" fillId="0" borderId="78" xfId="57059" applyNumberFormat="1" applyFont="1" applyFill="1" applyBorder="1" applyAlignment="1">
      <alignment horizontal="center"/>
    </xf>
    <xf numFmtId="15" fontId="37" fillId="0" borderId="0" xfId="57058" applyNumberFormat="1" applyFont="1" applyFill="1" applyAlignment="1">
      <alignment horizontal="center"/>
    </xf>
    <xf numFmtId="167" fontId="37" fillId="0" borderId="78" xfId="57062" applyNumberFormat="1" applyFont="1" applyFill="1" applyBorder="1" applyAlignment="1">
      <alignment horizontal="center"/>
    </xf>
    <xf numFmtId="167" fontId="37" fillId="0" borderId="77" xfId="57062" applyNumberFormat="1" applyFont="1" applyFill="1" applyBorder="1" applyAlignment="1">
      <alignment horizontal="center"/>
    </xf>
    <xf numFmtId="167" fontId="37" fillId="0" borderId="0" xfId="57062" applyNumberFormat="1" applyFont="1" applyFill="1" applyBorder="1" applyAlignment="1">
      <alignment horizontal="center"/>
    </xf>
    <xf numFmtId="181" fontId="37" fillId="0" borderId="0" xfId="57062" applyNumberFormat="1" applyFont="1" applyFill="1" applyBorder="1" applyAlignment="1">
      <alignment horizontal="center"/>
    </xf>
    <xf numFmtId="181" fontId="37" fillId="0" borderId="78" xfId="57062" applyNumberFormat="1" applyFont="1" applyFill="1" applyBorder="1" applyAlignment="1">
      <alignment horizontal="center"/>
    </xf>
    <xf numFmtId="15" fontId="37" fillId="0" borderId="0" xfId="57061" applyNumberFormat="1" applyFont="1" applyFill="1" applyAlignment="1">
      <alignment horizontal="center"/>
    </xf>
    <xf numFmtId="167" fontId="37" fillId="0" borderId="78" xfId="57065" applyNumberFormat="1" applyFont="1" applyFill="1" applyBorder="1" applyAlignment="1">
      <alignment horizontal="center"/>
    </xf>
    <xf numFmtId="167" fontId="37" fillId="0" borderId="77" xfId="57065" applyNumberFormat="1" applyFont="1" applyFill="1" applyBorder="1" applyAlignment="1">
      <alignment horizontal="center"/>
    </xf>
    <xf numFmtId="167" fontId="37" fillId="0" borderId="0" xfId="57065" applyNumberFormat="1" applyFont="1" applyFill="1" applyBorder="1" applyAlignment="1">
      <alignment horizontal="center"/>
    </xf>
    <xf numFmtId="181" fontId="37" fillId="0" borderId="0" xfId="57065" applyNumberFormat="1" applyFont="1" applyFill="1" applyBorder="1" applyAlignment="1">
      <alignment horizontal="center"/>
    </xf>
    <xf numFmtId="181" fontId="37" fillId="0" borderId="78" xfId="57065" applyNumberFormat="1" applyFont="1" applyFill="1" applyBorder="1" applyAlignment="1">
      <alignment horizontal="center"/>
    </xf>
    <xf numFmtId="15" fontId="37" fillId="0" borderId="0" xfId="57064" applyNumberFormat="1" applyFont="1" applyFill="1" applyAlignment="1">
      <alignment horizontal="center"/>
    </xf>
    <xf numFmtId="167" fontId="37" fillId="0" borderId="78" xfId="57068" applyNumberFormat="1" applyFont="1" applyFill="1" applyBorder="1" applyAlignment="1">
      <alignment horizontal="center"/>
    </xf>
    <xf numFmtId="167" fontId="37" fillId="0" borderId="77" xfId="57068" applyNumberFormat="1" applyFont="1" applyFill="1" applyBorder="1" applyAlignment="1">
      <alignment horizontal="center"/>
    </xf>
    <xf numFmtId="167" fontId="37" fillId="0" borderId="0" xfId="57068" applyNumberFormat="1" applyFont="1" applyFill="1" applyBorder="1" applyAlignment="1">
      <alignment horizontal="center"/>
    </xf>
    <xf numFmtId="181" fontId="37" fillId="0" borderId="0" xfId="57068" applyNumberFormat="1" applyFont="1" applyFill="1" applyBorder="1" applyAlignment="1">
      <alignment horizontal="center"/>
    </xf>
    <xf numFmtId="181" fontId="37" fillId="0" borderId="78" xfId="57068" applyNumberFormat="1" applyFont="1" applyFill="1" applyBorder="1" applyAlignment="1">
      <alignment horizontal="center"/>
    </xf>
    <xf numFmtId="15" fontId="37" fillId="0" borderId="0" xfId="57067" applyNumberFormat="1" applyFont="1" applyFill="1" applyAlignment="1">
      <alignment horizontal="center"/>
    </xf>
    <xf numFmtId="15" fontId="37" fillId="0" borderId="0" xfId="57076" applyNumberFormat="1" applyFont="1" applyFill="1" applyAlignment="1">
      <alignment horizontal="center"/>
    </xf>
    <xf numFmtId="181" fontId="37" fillId="0" borderId="78" xfId="57077" applyNumberFormat="1" applyFont="1" applyFill="1" applyBorder="1" applyAlignment="1">
      <alignment horizontal="center"/>
    </xf>
    <xf numFmtId="181" fontId="37" fillId="0" borderId="0" xfId="57077" applyNumberFormat="1" applyFont="1" applyFill="1" applyBorder="1" applyAlignment="1">
      <alignment horizontal="center"/>
    </xf>
    <xf numFmtId="167" fontId="37" fillId="0" borderId="0" xfId="57077" applyNumberFormat="1" applyFont="1" applyFill="1" applyBorder="1" applyAlignment="1">
      <alignment horizontal="center"/>
    </xf>
    <xf numFmtId="167" fontId="37" fillId="0" borderId="77" xfId="57077" applyNumberFormat="1" applyFont="1" applyFill="1" applyBorder="1" applyAlignment="1">
      <alignment horizontal="center"/>
    </xf>
    <xf numFmtId="167" fontId="37" fillId="0" borderId="78" xfId="57077" applyNumberFormat="1" applyFont="1" applyFill="1" applyBorder="1" applyAlignment="1">
      <alignment horizontal="center"/>
    </xf>
    <xf numFmtId="15" fontId="37" fillId="0" borderId="0" xfId="57079" applyNumberFormat="1" applyFont="1" applyFill="1" applyAlignment="1">
      <alignment horizontal="center"/>
    </xf>
    <xf numFmtId="181" fontId="37" fillId="0" borderId="78" xfId="57080" applyNumberFormat="1" applyFont="1" applyFill="1" applyBorder="1" applyAlignment="1">
      <alignment horizontal="center"/>
    </xf>
    <xf numFmtId="181" fontId="37" fillId="0" borderId="0" xfId="57080" applyNumberFormat="1" applyFont="1" applyFill="1" applyBorder="1" applyAlignment="1">
      <alignment horizontal="center"/>
    </xf>
    <xf numFmtId="167" fontId="37" fillId="0" borderId="0" xfId="57080" applyNumberFormat="1" applyFont="1" applyFill="1" applyBorder="1" applyAlignment="1">
      <alignment horizontal="center"/>
    </xf>
    <xf numFmtId="167" fontId="37" fillId="0" borderId="77" xfId="57080" applyNumberFormat="1" applyFont="1" applyFill="1" applyBorder="1" applyAlignment="1">
      <alignment horizontal="center"/>
    </xf>
    <xf numFmtId="167" fontId="37" fillId="0" borderId="78" xfId="57080" applyNumberFormat="1" applyFont="1" applyFill="1" applyBorder="1" applyAlignment="1">
      <alignment horizontal="center"/>
    </xf>
    <xf numFmtId="167" fontId="37" fillId="0" borderId="78" xfId="57083" applyNumberFormat="1" applyFont="1" applyFill="1" applyBorder="1" applyAlignment="1">
      <alignment horizontal="center"/>
    </xf>
    <xf numFmtId="167" fontId="37" fillId="0" borderId="77" xfId="57083" applyNumberFormat="1" applyFont="1" applyFill="1" applyBorder="1" applyAlignment="1">
      <alignment horizontal="center"/>
    </xf>
    <xf numFmtId="167" fontId="37" fillId="0" borderId="0" xfId="57083" applyNumberFormat="1" applyFont="1" applyFill="1" applyBorder="1" applyAlignment="1">
      <alignment horizontal="center"/>
    </xf>
    <xf numFmtId="181" fontId="37" fillId="0" borderId="0" xfId="57083" applyNumberFormat="1" applyFont="1" applyFill="1" applyBorder="1" applyAlignment="1">
      <alignment horizontal="center"/>
    </xf>
    <xf numFmtId="181" fontId="37" fillId="0" borderId="78" xfId="57083" applyNumberFormat="1" applyFont="1" applyFill="1" applyBorder="1" applyAlignment="1">
      <alignment horizontal="center"/>
    </xf>
    <xf numFmtId="15" fontId="37" fillId="0" borderId="0" xfId="57082" applyNumberFormat="1" applyFont="1" applyFill="1" applyAlignment="1">
      <alignment horizontal="center"/>
    </xf>
    <xf numFmtId="167" fontId="37" fillId="0" borderId="78" xfId="57086" applyNumberFormat="1" applyFont="1" applyFill="1" applyBorder="1" applyAlignment="1">
      <alignment horizontal="center"/>
    </xf>
    <xf numFmtId="167" fontId="37" fillId="0" borderId="77" xfId="57086" applyNumberFormat="1" applyFont="1" applyFill="1" applyBorder="1" applyAlignment="1">
      <alignment horizontal="center"/>
    </xf>
    <xf numFmtId="167" fontId="37" fillId="0" borderId="0" xfId="57086" applyNumberFormat="1" applyFont="1" applyFill="1" applyBorder="1" applyAlignment="1">
      <alignment horizontal="center"/>
    </xf>
    <xf numFmtId="181" fontId="37" fillId="0" borderId="0" xfId="57086" applyNumberFormat="1" applyFont="1" applyFill="1" applyBorder="1" applyAlignment="1">
      <alignment horizontal="center"/>
    </xf>
    <xf numFmtId="181" fontId="37" fillId="0" borderId="78" xfId="57086" applyNumberFormat="1" applyFont="1" applyFill="1" applyBorder="1" applyAlignment="1">
      <alignment horizontal="center"/>
    </xf>
    <xf numFmtId="15" fontId="37" fillId="0" borderId="0" xfId="57085" applyNumberFormat="1" applyFont="1" applyFill="1" applyAlignment="1">
      <alignment horizontal="center"/>
    </xf>
    <xf numFmtId="167" fontId="37" fillId="0" borderId="78" xfId="57089" applyNumberFormat="1" applyFont="1" applyFill="1" applyBorder="1" applyAlignment="1">
      <alignment horizontal="center"/>
    </xf>
    <xf numFmtId="167" fontId="37" fillId="0" borderId="77" xfId="57089" applyNumberFormat="1" applyFont="1" applyFill="1" applyBorder="1" applyAlignment="1">
      <alignment horizontal="center"/>
    </xf>
    <xf numFmtId="167" fontId="37" fillId="0" borderId="0" xfId="57089" applyNumberFormat="1" applyFont="1" applyFill="1" applyBorder="1" applyAlignment="1">
      <alignment horizontal="center"/>
    </xf>
    <xf numFmtId="181" fontId="37" fillId="0" borderId="0" xfId="57089" applyNumberFormat="1" applyFont="1" applyFill="1" applyBorder="1" applyAlignment="1">
      <alignment horizontal="center"/>
    </xf>
    <xf numFmtId="181" fontId="37" fillId="0" borderId="78" xfId="57089" applyNumberFormat="1" applyFont="1" applyFill="1" applyBorder="1" applyAlignment="1">
      <alignment horizontal="center"/>
    </xf>
    <xf numFmtId="15" fontId="37" fillId="0" borderId="0" xfId="57088" applyNumberFormat="1" applyFont="1" applyFill="1" applyAlignment="1">
      <alignment horizontal="center"/>
    </xf>
    <xf numFmtId="167" fontId="37" fillId="0" borderId="78" xfId="57092" applyNumberFormat="1" applyFont="1" applyFill="1" applyBorder="1" applyAlignment="1">
      <alignment horizontal="center"/>
    </xf>
    <xf numFmtId="167" fontId="37" fillId="0" borderId="77" xfId="57092" applyNumberFormat="1" applyFont="1" applyFill="1" applyBorder="1" applyAlignment="1">
      <alignment horizontal="center"/>
    </xf>
    <xf numFmtId="167" fontId="37" fillId="0" borderId="0" xfId="57092" applyNumberFormat="1" applyFont="1" applyFill="1" applyBorder="1" applyAlignment="1">
      <alignment horizontal="center"/>
    </xf>
    <xf numFmtId="181" fontId="37" fillId="0" borderId="0" xfId="57092" applyNumberFormat="1" applyFont="1" applyFill="1" applyBorder="1" applyAlignment="1">
      <alignment horizontal="center"/>
    </xf>
    <xf numFmtId="181" fontId="37" fillId="0" borderId="78" xfId="57092" applyNumberFormat="1" applyFont="1" applyFill="1" applyBorder="1" applyAlignment="1">
      <alignment horizontal="center"/>
    </xf>
    <xf numFmtId="15" fontId="37" fillId="0" borderId="0" xfId="57091" applyNumberFormat="1" applyFont="1" applyFill="1" applyAlignment="1">
      <alignment horizontal="center"/>
    </xf>
    <xf numFmtId="167" fontId="37" fillId="0" borderId="78" xfId="57095" applyNumberFormat="1" applyFont="1" applyFill="1" applyBorder="1" applyAlignment="1">
      <alignment horizontal="center"/>
    </xf>
    <xf numFmtId="167" fontId="37" fillId="0" borderId="77" xfId="57095" applyNumberFormat="1" applyFont="1" applyFill="1" applyBorder="1" applyAlignment="1">
      <alignment horizontal="center"/>
    </xf>
    <xf numFmtId="167" fontId="37" fillId="0" borderId="0" xfId="57095" applyNumberFormat="1" applyFont="1" applyFill="1" applyBorder="1" applyAlignment="1">
      <alignment horizontal="center"/>
    </xf>
    <xf numFmtId="181" fontId="37" fillId="0" borderId="0" xfId="57095" applyNumberFormat="1" applyFont="1" applyFill="1" applyBorder="1" applyAlignment="1">
      <alignment horizontal="center"/>
    </xf>
    <xf numFmtId="181" fontId="37" fillId="0" borderId="78" xfId="57095" applyNumberFormat="1" applyFont="1" applyFill="1" applyBorder="1" applyAlignment="1">
      <alignment horizontal="center"/>
    </xf>
    <xf numFmtId="15" fontId="37" fillId="0" borderId="0" xfId="57094" applyNumberFormat="1" applyFont="1" applyFill="1" applyAlignment="1">
      <alignment horizontal="center"/>
    </xf>
    <xf numFmtId="167" fontId="37" fillId="0" borderId="78" xfId="57098" applyNumberFormat="1" applyFont="1" applyFill="1" applyBorder="1" applyAlignment="1">
      <alignment horizontal="center"/>
    </xf>
    <xf numFmtId="167" fontId="37" fillId="0" borderId="77" xfId="57098" applyNumberFormat="1" applyFont="1" applyFill="1" applyBorder="1" applyAlignment="1">
      <alignment horizontal="center"/>
    </xf>
    <xf numFmtId="167" fontId="37" fillId="0" borderId="0" xfId="57098" applyNumberFormat="1" applyFont="1" applyFill="1" applyBorder="1" applyAlignment="1">
      <alignment horizontal="center"/>
    </xf>
    <xf numFmtId="181" fontId="37" fillId="0" borderId="0" xfId="57098" applyNumberFormat="1" applyFont="1" applyFill="1" applyBorder="1" applyAlignment="1">
      <alignment horizontal="center"/>
    </xf>
    <xf numFmtId="181" fontId="37" fillId="0" borderId="78" xfId="57098" applyNumberFormat="1" applyFont="1" applyFill="1" applyBorder="1" applyAlignment="1">
      <alignment horizontal="center"/>
    </xf>
    <xf numFmtId="15" fontId="37" fillId="0" borderId="0" xfId="57097" applyNumberFormat="1" applyFont="1" applyFill="1" applyAlignment="1">
      <alignment horizontal="center"/>
    </xf>
    <xf numFmtId="167" fontId="37" fillId="0" borderId="78" xfId="57101" applyNumberFormat="1" applyFont="1" applyFill="1" applyBorder="1" applyAlignment="1">
      <alignment horizontal="center"/>
    </xf>
    <xf numFmtId="167" fontId="37" fillId="0" borderId="77" xfId="57101" applyNumberFormat="1" applyFont="1" applyFill="1" applyBorder="1" applyAlignment="1">
      <alignment horizontal="center"/>
    </xf>
    <xf numFmtId="167" fontId="37" fillId="0" borderId="0" xfId="57101" applyNumberFormat="1" applyFont="1" applyFill="1" applyBorder="1" applyAlignment="1">
      <alignment horizontal="center"/>
    </xf>
    <xf numFmtId="181" fontId="37" fillId="0" borderId="0" xfId="57101" applyNumberFormat="1" applyFont="1" applyFill="1" applyBorder="1" applyAlignment="1">
      <alignment horizontal="center"/>
    </xf>
    <xf numFmtId="181" fontId="37" fillId="0" borderId="78" xfId="57101" applyNumberFormat="1" applyFont="1" applyFill="1" applyBorder="1" applyAlignment="1">
      <alignment horizontal="center"/>
    </xf>
    <xf numFmtId="15" fontId="37" fillId="0" borderId="0" xfId="57100" applyNumberFormat="1" applyFont="1" applyFill="1" applyAlignment="1">
      <alignment horizontal="center"/>
    </xf>
    <xf numFmtId="167" fontId="37" fillId="0" borderId="78" xfId="57104" applyNumberFormat="1" applyFont="1" applyFill="1" applyBorder="1" applyAlignment="1">
      <alignment horizontal="center"/>
    </xf>
    <xf numFmtId="167" fontId="37" fillId="0" borderId="77" xfId="57104" applyNumberFormat="1" applyFont="1" applyFill="1" applyBorder="1" applyAlignment="1">
      <alignment horizontal="center"/>
    </xf>
    <xf numFmtId="167" fontId="37" fillId="0" borderId="0" xfId="57104" applyNumberFormat="1" applyFont="1" applyFill="1" applyBorder="1" applyAlignment="1">
      <alignment horizontal="center"/>
    </xf>
    <xf numFmtId="181" fontId="37" fillId="0" borderId="0" xfId="57104" applyNumberFormat="1" applyFont="1" applyFill="1" applyBorder="1" applyAlignment="1">
      <alignment horizontal="center"/>
    </xf>
    <xf numFmtId="181" fontId="37" fillId="0" borderId="78" xfId="57104" applyNumberFormat="1" applyFont="1" applyFill="1" applyBorder="1" applyAlignment="1">
      <alignment horizontal="center"/>
    </xf>
    <xf numFmtId="15" fontId="37" fillId="0" borderId="0" xfId="57103" applyNumberFormat="1" applyFont="1" applyFill="1" applyAlignment="1">
      <alignment horizontal="center"/>
    </xf>
    <xf numFmtId="167" fontId="37" fillId="0" borderId="78" xfId="57107" applyNumberFormat="1" applyFont="1" applyFill="1" applyBorder="1" applyAlignment="1">
      <alignment horizontal="center"/>
    </xf>
    <xf numFmtId="167" fontId="37" fillId="0" borderId="77" xfId="57107" applyNumberFormat="1" applyFont="1" applyFill="1" applyBorder="1" applyAlignment="1">
      <alignment horizontal="center"/>
    </xf>
    <xf numFmtId="167" fontId="37" fillId="0" borderId="0" xfId="57107" applyNumberFormat="1" applyFont="1" applyFill="1" applyBorder="1" applyAlignment="1">
      <alignment horizontal="center"/>
    </xf>
    <xf numFmtId="181" fontId="37" fillId="0" borderId="0" xfId="57107" applyNumberFormat="1" applyFont="1" applyFill="1" applyBorder="1" applyAlignment="1">
      <alignment horizontal="center"/>
    </xf>
    <xf numFmtId="181" fontId="37" fillId="0" borderId="78" xfId="57107" applyNumberFormat="1" applyFont="1" applyFill="1" applyBorder="1" applyAlignment="1">
      <alignment horizontal="center"/>
    </xf>
    <xf numFmtId="15" fontId="37" fillId="0" borderId="0" xfId="57106" applyNumberFormat="1" applyFont="1" applyFill="1" applyAlignment="1">
      <alignment horizontal="center"/>
    </xf>
    <xf numFmtId="167" fontId="37" fillId="0" borderId="78" xfId="57110" applyNumberFormat="1" applyFont="1" applyFill="1" applyBorder="1" applyAlignment="1">
      <alignment horizontal="center"/>
    </xf>
    <xf numFmtId="167" fontId="37" fillId="0" borderId="77" xfId="57110" applyNumberFormat="1" applyFont="1" applyFill="1" applyBorder="1" applyAlignment="1">
      <alignment horizontal="center"/>
    </xf>
    <xf numFmtId="167" fontId="37" fillId="0" borderId="0" xfId="57110" applyNumberFormat="1" applyFont="1" applyFill="1" applyBorder="1" applyAlignment="1">
      <alignment horizontal="center"/>
    </xf>
    <xf numFmtId="181" fontId="37" fillId="0" borderId="0" xfId="57110" applyNumberFormat="1" applyFont="1" applyFill="1" applyBorder="1" applyAlignment="1">
      <alignment horizontal="center"/>
    </xf>
    <xf numFmtId="181" fontId="37" fillId="0" borderId="78" xfId="57110" applyNumberFormat="1" applyFont="1" applyFill="1" applyBorder="1" applyAlignment="1">
      <alignment horizontal="center"/>
    </xf>
    <xf numFmtId="15" fontId="37" fillId="0" borderId="0" xfId="57109" applyNumberFormat="1" applyFont="1" applyFill="1" applyAlignment="1">
      <alignment horizontal="center"/>
    </xf>
    <xf numFmtId="167" fontId="37" fillId="0" borderId="78" xfId="57113" applyNumberFormat="1" applyFont="1" applyFill="1" applyBorder="1" applyAlignment="1">
      <alignment horizontal="center"/>
    </xf>
    <xf numFmtId="167" fontId="37" fillId="0" borderId="77" xfId="57113" applyNumberFormat="1" applyFont="1" applyFill="1" applyBorder="1" applyAlignment="1">
      <alignment horizontal="center"/>
    </xf>
    <xf numFmtId="167" fontId="37" fillId="0" borderId="0" xfId="57113" applyNumberFormat="1" applyFont="1" applyFill="1" applyBorder="1" applyAlignment="1">
      <alignment horizontal="center"/>
    </xf>
    <xf numFmtId="181" fontId="37" fillId="0" borderId="0" xfId="57113" applyNumberFormat="1" applyFont="1" applyFill="1" applyBorder="1" applyAlignment="1">
      <alignment horizontal="center"/>
    </xf>
    <xf numFmtId="181" fontId="37" fillId="0" borderId="78" xfId="57113" applyNumberFormat="1" applyFont="1" applyFill="1" applyBorder="1" applyAlignment="1">
      <alignment horizontal="center"/>
    </xf>
    <xf numFmtId="15" fontId="37" fillId="0" borderId="0" xfId="57112" applyNumberFormat="1" applyFont="1" applyFill="1" applyAlignment="1">
      <alignment horizontal="center"/>
    </xf>
    <xf numFmtId="167" fontId="37" fillId="0" borderId="78" xfId="57116" applyNumberFormat="1" applyFont="1" applyFill="1" applyBorder="1" applyAlignment="1">
      <alignment horizontal="center"/>
    </xf>
    <xf numFmtId="167" fontId="37" fillId="0" borderId="77" xfId="57116" applyNumberFormat="1" applyFont="1" applyFill="1" applyBorder="1" applyAlignment="1">
      <alignment horizontal="center"/>
    </xf>
    <xf numFmtId="167" fontId="37" fillId="0" borderId="0" xfId="57116" applyNumberFormat="1" applyFont="1" applyFill="1" applyBorder="1" applyAlignment="1">
      <alignment horizontal="center"/>
    </xf>
    <xf numFmtId="181" fontId="37" fillId="0" borderId="0" xfId="57116" applyNumberFormat="1" applyFont="1" applyFill="1" applyBorder="1" applyAlignment="1">
      <alignment horizontal="center"/>
    </xf>
    <xf numFmtId="181" fontId="37" fillId="0" borderId="78" xfId="57116" applyNumberFormat="1" applyFont="1" applyFill="1" applyBorder="1" applyAlignment="1">
      <alignment horizontal="center"/>
    </xf>
    <xf numFmtId="15" fontId="37" fillId="0" borderId="0" xfId="57115" applyNumberFormat="1" applyFont="1" applyFill="1" applyAlignment="1">
      <alignment horizontal="center"/>
    </xf>
    <xf numFmtId="167" fontId="37" fillId="0" borderId="78" xfId="57119" applyNumberFormat="1" applyFont="1" applyFill="1" applyBorder="1" applyAlignment="1">
      <alignment horizontal="center"/>
    </xf>
    <xf numFmtId="167" fontId="37" fillId="0" borderId="77" xfId="57119" applyNumberFormat="1" applyFont="1" applyFill="1" applyBorder="1" applyAlignment="1">
      <alignment horizontal="center"/>
    </xf>
    <xf numFmtId="167" fontId="37" fillId="0" borderId="0" xfId="57119" applyNumberFormat="1" applyFont="1" applyFill="1" applyBorder="1" applyAlignment="1">
      <alignment horizontal="center"/>
    </xf>
    <xf numFmtId="181" fontId="37" fillId="0" borderId="0" xfId="57119" applyNumberFormat="1" applyFont="1" applyFill="1" applyBorder="1" applyAlignment="1">
      <alignment horizontal="center"/>
    </xf>
    <xf numFmtId="181" fontId="37" fillId="0" borderId="78" xfId="57119" applyNumberFormat="1" applyFont="1" applyFill="1" applyBorder="1" applyAlignment="1">
      <alignment horizontal="center"/>
    </xf>
    <xf numFmtId="15" fontId="37" fillId="0" borderId="0" xfId="57118" applyNumberFormat="1" applyFont="1" applyFill="1" applyAlignment="1">
      <alignment horizontal="center"/>
    </xf>
    <xf numFmtId="167" fontId="37" fillId="0" borderId="78" xfId="57122" applyNumberFormat="1" applyFont="1" applyFill="1" applyBorder="1" applyAlignment="1">
      <alignment horizontal="center"/>
    </xf>
    <xf numFmtId="167" fontId="37" fillId="0" borderId="77" xfId="57122" applyNumberFormat="1" applyFont="1" applyFill="1" applyBorder="1" applyAlignment="1">
      <alignment horizontal="center"/>
    </xf>
    <xf numFmtId="167" fontId="37" fillId="0" borderId="0" xfId="57122" applyNumberFormat="1" applyFont="1" applyFill="1" applyBorder="1" applyAlignment="1">
      <alignment horizontal="center"/>
    </xf>
    <xf numFmtId="181" fontId="37" fillId="0" borderId="0" xfId="57122" applyNumberFormat="1" applyFont="1" applyFill="1" applyBorder="1" applyAlignment="1">
      <alignment horizontal="center"/>
    </xf>
    <xf numFmtId="181" fontId="37" fillId="0" borderId="78" xfId="57122" applyNumberFormat="1" applyFont="1" applyFill="1" applyBorder="1" applyAlignment="1">
      <alignment horizontal="center"/>
    </xf>
    <xf numFmtId="15" fontId="37" fillId="0" borderId="0" xfId="57121" applyNumberFormat="1" applyFont="1" applyFill="1" applyAlignment="1">
      <alignment horizontal="center"/>
    </xf>
    <xf numFmtId="167" fontId="37" fillId="0" borderId="78" xfId="57125" applyNumberFormat="1" applyFont="1" applyFill="1" applyBorder="1" applyAlignment="1">
      <alignment horizontal="center"/>
    </xf>
    <xf numFmtId="167" fontId="37" fillId="0" borderId="77" xfId="57125" applyNumberFormat="1" applyFont="1" applyFill="1" applyBorder="1" applyAlignment="1">
      <alignment horizontal="center"/>
    </xf>
    <xf numFmtId="167" fontId="37" fillId="0" borderId="0" xfId="57125" applyNumberFormat="1" applyFont="1" applyFill="1" applyBorder="1" applyAlignment="1">
      <alignment horizontal="center"/>
    </xf>
    <xf numFmtId="181" fontId="37" fillId="0" borderId="0" xfId="57125" applyNumberFormat="1" applyFont="1" applyFill="1" applyBorder="1" applyAlignment="1">
      <alignment horizontal="center"/>
    </xf>
    <xf numFmtId="181" fontId="37" fillId="0" borderId="78" xfId="57125" applyNumberFormat="1" applyFont="1" applyFill="1" applyBorder="1" applyAlignment="1">
      <alignment horizontal="center"/>
    </xf>
    <xf numFmtId="15" fontId="37" fillId="0" borderId="0" xfId="57124" applyNumberFormat="1" applyFont="1" applyFill="1" applyAlignment="1">
      <alignment horizontal="center"/>
    </xf>
    <xf numFmtId="167" fontId="37" fillId="0" borderId="78" xfId="57131" applyNumberFormat="1" applyFont="1" applyFill="1" applyBorder="1" applyAlignment="1">
      <alignment horizontal="center"/>
    </xf>
    <xf numFmtId="167" fontId="37" fillId="0" borderId="77" xfId="57131" applyNumberFormat="1" applyFont="1" applyFill="1" applyBorder="1" applyAlignment="1">
      <alignment horizontal="center"/>
    </xf>
    <xf numFmtId="167" fontId="37" fillId="0" borderId="0" xfId="57131" applyNumberFormat="1" applyFont="1" applyFill="1" applyBorder="1" applyAlignment="1">
      <alignment horizontal="center"/>
    </xf>
    <xf numFmtId="181" fontId="37" fillId="0" borderId="0" xfId="57131" applyNumberFormat="1" applyFont="1" applyFill="1" applyBorder="1" applyAlignment="1">
      <alignment horizontal="center"/>
    </xf>
    <xf numFmtId="181" fontId="37" fillId="0" borderId="78" xfId="57131" applyNumberFormat="1" applyFont="1" applyFill="1" applyBorder="1" applyAlignment="1">
      <alignment horizontal="center"/>
    </xf>
    <xf numFmtId="15" fontId="37" fillId="0" borderId="0" xfId="57130" applyNumberFormat="1" applyFont="1" applyFill="1" applyAlignment="1">
      <alignment horizontal="center"/>
    </xf>
    <xf numFmtId="167" fontId="60" fillId="0" borderId="78" xfId="57134" applyNumberFormat="1" applyFont="1" applyFill="1" applyBorder="1" applyAlignment="1">
      <alignment horizontal="center"/>
    </xf>
    <xf numFmtId="167" fontId="60" fillId="0" borderId="77" xfId="57134" applyNumberFormat="1" applyFont="1" applyFill="1" applyBorder="1" applyAlignment="1">
      <alignment horizontal="center"/>
    </xf>
    <xf numFmtId="167" fontId="60" fillId="0" borderId="0" xfId="57134" applyNumberFormat="1" applyFont="1" applyFill="1" applyBorder="1" applyAlignment="1">
      <alignment horizontal="center"/>
    </xf>
    <xf numFmtId="181" fontId="60" fillId="0" borderId="0" xfId="57134" applyNumberFormat="1" applyFont="1" applyFill="1" applyBorder="1" applyAlignment="1">
      <alignment horizontal="center"/>
    </xf>
    <xf numFmtId="181" fontId="60" fillId="0" borderId="78" xfId="57134" applyNumberFormat="1" applyFont="1" applyFill="1" applyBorder="1" applyAlignment="1">
      <alignment horizontal="center"/>
    </xf>
    <xf numFmtId="15" fontId="60" fillId="0" borderId="0" xfId="57133" applyNumberFormat="1" applyFont="1" applyFill="1" applyBorder="1" applyAlignment="1">
      <alignment horizontal="center"/>
    </xf>
    <xf numFmtId="167" fontId="37" fillId="0" borderId="78" xfId="57137" applyFont="1" applyFill="1" applyBorder="1" applyAlignment="1">
      <alignment horizontal="center"/>
    </xf>
    <xf numFmtId="167" fontId="37" fillId="0" borderId="77" xfId="57137" applyFont="1" applyFill="1" applyBorder="1" applyAlignment="1">
      <alignment horizontal="center"/>
    </xf>
    <xf numFmtId="181" fontId="37" fillId="0" borderId="0" xfId="57137" applyNumberFormat="1" applyFont="1" applyFill="1" applyBorder="1" applyAlignment="1">
      <alignment horizontal="center"/>
    </xf>
    <xf numFmtId="181" fontId="37" fillId="0" borderId="78" xfId="57137" applyNumberFormat="1" applyFont="1" applyFill="1" applyBorder="1" applyAlignment="1">
      <alignment horizontal="center"/>
    </xf>
    <xf numFmtId="15" fontId="37" fillId="0" borderId="0" xfId="57136" applyNumberFormat="1" applyFont="1" applyFill="1" applyAlignment="1">
      <alignment horizontal="center"/>
    </xf>
    <xf numFmtId="167" fontId="37" fillId="0" borderId="0" xfId="57137" applyFont="1" applyFill="1" applyBorder="1" applyAlignment="1">
      <alignment horizontal="center"/>
    </xf>
    <xf numFmtId="173" fontId="51" fillId="0" borderId="0" xfId="0" applyNumberFormat="1" applyFont="1"/>
    <xf numFmtId="38" fontId="50" fillId="0" borderId="0" xfId="0" applyNumberFormat="1" applyFont="1"/>
    <xf numFmtId="167" fontId="50" fillId="38" borderId="0" xfId="1" applyNumberFormat="1" applyFont="1" applyFill="1"/>
    <xf numFmtId="167" fontId="50" fillId="0" borderId="0" xfId="1" applyNumberFormat="1" applyFont="1" applyFill="1"/>
    <xf numFmtId="38" fontId="50" fillId="0" borderId="0" xfId="0" applyNumberFormat="1" applyFont="1" applyFill="1"/>
    <xf numFmtId="0" fontId="50" fillId="0" borderId="0" xfId="0" applyFont="1" applyFill="1"/>
    <xf numFmtId="167" fontId="37" fillId="0" borderId="78" xfId="57140" applyNumberFormat="1" applyFont="1" applyFill="1" applyBorder="1" applyAlignment="1">
      <alignment horizontal="center"/>
    </xf>
    <xf numFmtId="167" fontId="37" fillId="0" borderId="77" xfId="57140" applyNumberFormat="1" applyFont="1" applyFill="1" applyBorder="1" applyAlignment="1">
      <alignment horizontal="center"/>
    </xf>
    <xf numFmtId="167" fontId="37" fillId="0" borderId="0" xfId="57140" applyNumberFormat="1" applyFont="1" applyFill="1" applyBorder="1" applyAlignment="1">
      <alignment horizontal="center"/>
    </xf>
    <xf numFmtId="181" fontId="37" fillId="0" borderId="0" xfId="57140" applyNumberFormat="1" applyFont="1" applyFill="1" applyBorder="1" applyAlignment="1">
      <alignment horizontal="center"/>
    </xf>
    <xf numFmtId="181" fontId="37" fillId="0" borderId="78" xfId="57140" applyNumberFormat="1" applyFont="1" applyFill="1" applyBorder="1" applyAlignment="1">
      <alignment horizontal="center"/>
    </xf>
    <xf numFmtId="15" fontId="37" fillId="0" borderId="0" xfId="57139" applyNumberFormat="1" applyFont="1" applyFill="1" applyAlignment="1">
      <alignment horizontal="center"/>
    </xf>
    <xf numFmtId="167" fontId="37" fillId="0" borderId="78" xfId="57143" applyNumberFormat="1" applyFont="1" applyFill="1" applyBorder="1" applyAlignment="1">
      <alignment horizontal="center"/>
    </xf>
    <xf numFmtId="167" fontId="37" fillId="0" borderId="77" xfId="57143" applyNumberFormat="1" applyFont="1" applyFill="1" applyBorder="1" applyAlignment="1">
      <alignment horizontal="center"/>
    </xf>
    <xf numFmtId="167" fontId="37" fillId="0" borderId="0" xfId="57143" applyNumberFormat="1" applyFont="1" applyFill="1" applyBorder="1" applyAlignment="1">
      <alignment horizontal="center"/>
    </xf>
    <xf numFmtId="181" fontId="37" fillId="0" borderId="0" xfId="57143" applyNumberFormat="1" applyFont="1" applyFill="1" applyBorder="1" applyAlignment="1">
      <alignment horizontal="center"/>
    </xf>
    <xf numFmtId="181" fontId="37" fillId="0" borderId="78" xfId="57143" applyNumberFormat="1" applyFont="1" applyFill="1" applyBorder="1" applyAlignment="1">
      <alignment horizontal="center"/>
    </xf>
    <xf numFmtId="15" fontId="37" fillId="0" borderId="0" xfId="57142" applyNumberFormat="1" applyFont="1" applyFill="1" applyAlignment="1">
      <alignment horizontal="center"/>
    </xf>
    <xf numFmtId="167" fontId="37" fillId="0" borderId="78" xfId="57152" applyNumberFormat="1" applyFont="1" applyFill="1" applyBorder="1" applyAlignment="1">
      <alignment horizontal="center"/>
    </xf>
    <xf numFmtId="167" fontId="37" fillId="0" borderId="77" xfId="57152" applyNumberFormat="1" applyFont="1" applyFill="1" applyBorder="1" applyAlignment="1">
      <alignment horizontal="center"/>
    </xf>
    <xf numFmtId="167" fontId="37" fillId="0" borderId="0" xfId="57152" applyNumberFormat="1" applyFont="1" applyFill="1" applyBorder="1" applyAlignment="1">
      <alignment horizontal="center"/>
    </xf>
    <xf numFmtId="181" fontId="37" fillId="0" borderId="0" xfId="57152" applyNumberFormat="1" applyFont="1" applyFill="1" applyBorder="1" applyAlignment="1">
      <alignment horizontal="center"/>
    </xf>
    <xf numFmtId="181" fontId="37" fillId="0" borderId="78" xfId="57152" applyNumberFormat="1" applyFont="1" applyFill="1" applyBorder="1" applyAlignment="1">
      <alignment horizontal="center"/>
    </xf>
    <xf numFmtId="15" fontId="37" fillId="0" borderId="0" xfId="57151" applyNumberFormat="1" applyFont="1" applyFill="1" applyAlignment="1">
      <alignment horizontal="center"/>
    </xf>
    <xf numFmtId="38" fontId="50" fillId="38" borderId="0" xfId="0" applyNumberFormat="1" applyFont="1" applyFill="1"/>
    <xf numFmtId="38" fontId="51" fillId="38" borderId="0" xfId="0" applyNumberFormat="1" applyFont="1" applyFill="1"/>
    <xf numFmtId="169" fontId="51" fillId="38" borderId="0" xfId="1" applyNumberFormat="1" applyFont="1" applyFill="1" applyAlignment="1">
      <alignment wrapText="1"/>
    </xf>
    <xf numFmtId="0" fontId="48" fillId="0" borderId="11" xfId="0" applyFont="1" applyBorder="1" applyAlignment="1">
      <alignment horizontal="center" vertical="center"/>
    </xf>
    <xf numFmtId="0" fontId="48" fillId="0" borderId="11" xfId="0" applyFont="1" applyBorder="1" applyAlignment="1">
      <alignment horizontal="center" vertical="center" wrapText="1"/>
    </xf>
    <xf numFmtId="167" fontId="47" fillId="0" borderId="11" xfId="1" applyNumberFormat="1" applyFont="1" applyFill="1" applyBorder="1"/>
    <xf numFmtId="169" fontId="47" fillId="0" borderId="11" xfId="1" applyNumberFormat="1" applyFont="1" applyBorder="1"/>
    <xf numFmtId="167" fontId="47" fillId="38" borderId="11" xfId="1" applyNumberFormat="1" applyFont="1" applyFill="1" applyBorder="1"/>
    <xf numFmtId="0" fontId="47" fillId="0" borderId="11" xfId="0" applyFont="1" applyBorder="1"/>
    <xf numFmtId="0" fontId="49" fillId="48" borderId="11" xfId="0" applyFont="1" applyFill="1" applyBorder="1" applyAlignment="1">
      <alignment horizontal="center" vertical="center"/>
    </xf>
    <xf numFmtId="0" fontId="49" fillId="48" borderId="11" xfId="0" applyFont="1" applyFill="1" applyBorder="1" applyAlignment="1">
      <alignment horizontal="center" vertical="center" wrapText="1"/>
    </xf>
    <xf numFmtId="0" fontId="48" fillId="0" borderId="11" xfId="0" applyFont="1" applyFill="1" applyBorder="1"/>
    <xf numFmtId="169" fontId="48" fillId="0" borderId="11" xfId="1" applyNumberFormat="1" applyFont="1" applyFill="1" applyBorder="1" applyAlignment="1"/>
    <xf numFmtId="167" fontId="37" fillId="0" borderId="78" xfId="57155" applyNumberFormat="1" applyFont="1" applyFill="1" applyBorder="1" applyAlignment="1">
      <alignment horizontal="center"/>
    </xf>
    <xf numFmtId="167" fontId="37" fillId="0" borderId="77" xfId="57155" applyNumberFormat="1" applyFont="1" applyFill="1" applyBorder="1" applyAlignment="1">
      <alignment horizontal="center"/>
    </xf>
    <xf numFmtId="167" fontId="37" fillId="0" borderId="0" xfId="57155" applyNumberFormat="1" applyFont="1" applyFill="1" applyBorder="1" applyAlignment="1">
      <alignment horizontal="center"/>
    </xf>
    <xf numFmtId="181" fontId="37" fillId="0" borderId="0" xfId="57155" applyNumberFormat="1" applyFont="1" applyFill="1" applyBorder="1" applyAlignment="1">
      <alignment horizontal="center"/>
    </xf>
    <xf numFmtId="181" fontId="37" fillId="0" borderId="78" xfId="57155" applyNumberFormat="1" applyFont="1" applyFill="1" applyBorder="1" applyAlignment="1">
      <alignment horizontal="center"/>
    </xf>
    <xf numFmtId="15" fontId="37" fillId="0" borderId="0" xfId="57154" applyNumberFormat="1" applyFont="1" applyFill="1" applyAlignment="1">
      <alignment horizontal="center"/>
    </xf>
    <xf numFmtId="167" fontId="37" fillId="0" borderId="78" xfId="57158" applyNumberFormat="1" applyFont="1" applyFill="1" applyBorder="1" applyAlignment="1">
      <alignment horizontal="center"/>
    </xf>
    <xf numFmtId="167" fontId="37" fillId="0" borderId="77" xfId="57158" applyNumberFormat="1" applyFont="1" applyFill="1" applyBorder="1" applyAlignment="1">
      <alignment horizontal="center"/>
    </xf>
    <xf numFmtId="167" fontId="37" fillId="0" borderId="0" xfId="57158" applyNumberFormat="1" applyFont="1" applyFill="1" applyBorder="1" applyAlignment="1">
      <alignment horizontal="center"/>
    </xf>
    <xf numFmtId="181" fontId="37" fillId="0" borderId="0" xfId="57158" applyNumberFormat="1" applyFont="1" applyFill="1" applyBorder="1" applyAlignment="1">
      <alignment horizontal="center"/>
    </xf>
    <xf numFmtId="181" fontId="37" fillId="0" borderId="78" xfId="57158" applyNumberFormat="1" applyFont="1" applyFill="1" applyBorder="1" applyAlignment="1">
      <alignment horizontal="center"/>
    </xf>
    <xf numFmtId="15" fontId="37" fillId="0" borderId="0" xfId="57157" applyNumberFormat="1" applyFont="1" applyFill="1" applyAlignment="1">
      <alignment horizontal="center"/>
    </xf>
    <xf numFmtId="167" fontId="37" fillId="0" borderId="78" xfId="57161" applyNumberFormat="1" applyFont="1" applyFill="1" applyBorder="1" applyAlignment="1">
      <alignment horizontal="center"/>
    </xf>
    <xf numFmtId="167" fontId="37" fillId="0" borderId="77" xfId="57161" applyNumberFormat="1" applyFont="1" applyFill="1" applyBorder="1" applyAlignment="1">
      <alignment horizontal="center"/>
    </xf>
    <xf numFmtId="167" fontId="37" fillId="0" borderId="0" xfId="57161" applyNumberFormat="1" applyFont="1" applyFill="1" applyBorder="1" applyAlignment="1">
      <alignment horizontal="center"/>
    </xf>
    <xf numFmtId="181" fontId="37" fillId="0" borderId="0" xfId="57161" applyNumberFormat="1" applyFont="1" applyFill="1" applyBorder="1" applyAlignment="1">
      <alignment horizontal="center"/>
    </xf>
    <xf numFmtId="181" fontId="37" fillId="0" borderId="78" xfId="57161" applyNumberFormat="1" applyFont="1" applyFill="1" applyBorder="1" applyAlignment="1">
      <alignment horizontal="center"/>
    </xf>
    <xf numFmtId="15" fontId="37" fillId="0" borderId="0" xfId="57160" applyNumberFormat="1" applyFont="1" applyFill="1" applyAlignment="1">
      <alignment horizontal="center"/>
    </xf>
    <xf numFmtId="167" fontId="37" fillId="0" borderId="78" xfId="57164" applyNumberFormat="1" applyFont="1" applyFill="1" applyBorder="1" applyAlignment="1">
      <alignment horizontal="center"/>
    </xf>
    <xf numFmtId="167" fontId="37" fillId="0" borderId="77" xfId="57164" applyNumberFormat="1" applyFont="1" applyFill="1" applyBorder="1" applyAlignment="1">
      <alignment horizontal="center"/>
    </xf>
    <xf numFmtId="167" fontId="37" fillId="0" borderId="0" xfId="57164" applyNumberFormat="1" applyFont="1" applyFill="1" applyBorder="1" applyAlignment="1">
      <alignment horizontal="center"/>
    </xf>
    <xf numFmtId="181" fontId="37" fillId="0" borderId="0" xfId="57164" applyNumberFormat="1" applyFont="1" applyFill="1" applyBorder="1" applyAlignment="1">
      <alignment horizontal="center"/>
    </xf>
    <xf numFmtId="181" fontId="37" fillId="0" borderId="78" xfId="57164" applyNumberFormat="1" applyFont="1" applyFill="1" applyBorder="1" applyAlignment="1">
      <alignment horizontal="center"/>
    </xf>
    <xf numFmtId="15" fontId="37" fillId="0" borderId="0" xfId="57163" applyNumberFormat="1" applyFont="1" applyFill="1" applyAlignment="1">
      <alignment horizontal="center"/>
    </xf>
    <xf numFmtId="167" fontId="37" fillId="0" borderId="78" xfId="57167" applyNumberFormat="1" applyFont="1" applyFill="1" applyBorder="1" applyAlignment="1">
      <alignment horizontal="center"/>
    </xf>
    <xf numFmtId="167" fontId="37" fillId="0" borderId="77" xfId="57167" applyNumberFormat="1" applyFont="1" applyFill="1" applyBorder="1" applyAlignment="1">
      <alignment horizontal="center"/>
    </xf>
    <xf numFmtId="167" fontId="37" fillId="0" borderId="0" xfId="57167" applyNumberFormat="1" applyFont="1" applyFill="1" applyBorder="1" applyAlignment="1">
      <alignment horizontal="center"/>
    </xf>
    <xf numFmtId="181" fontId="37" fillId="0" borderId="0" xfId="57167" applyNumberFormat="1" applyFont="1" applyFill="1" applyBorder="1" applyAlignment="1">
      <alignment horizontal="center"/>
    </xf>
    <xf numFmtId="181" fontId="37" fillId="0" borderId="78" xfId="57167" applyNumberFormat="1" applyFont="1" applyFill="1" applyBorder="1" applyAlignment="1">
      <alignment horizontal="center"/>
    </xf>
    <xf numFmtId="15" fontId="37" fillId="0" borderId="0" xfId="57166" applyNumberFormat="1" applyFont="1" applyFill="1" applyAlignment="1">
      <alignment horizontal="center"/>
    </xf>
    <xf numFmtId="167" fontId="37" fillId="0" borderId="78" xfId="57170" applyNumberFormat="1" applyFont="1" applyFill="1" applyBorder="1" applyAlignment="1">
      <alignment horizontal="center"/>
    </xf>
    <xf numFmtId="167" fontId="37" fillId="0" borderId="77" xfId="57170" applyNumberFormat="1" applyFont="1" applyFill="1" applyBorder="1" applyAlignment="1">
      <alignment horizontal="center"/>
    </xf>
    <xf numFmtId="167" fontId="37" fillId="0" borderId="0" xfId="57170" applyNumberFormat="1" applyFont="1" applyFill="1" applyBorder="1" applyAlignment="1">
      <alignment horizontal="center"/>
    </xf>
    <xf numFmtId="181" fontId="37" fillId="0" borderId="0" xfId="57170" applyNumberFormat="1" applyFont="1" applyFill="1" applyBorder="1" applyAlignment="1">
      <alignment horizontal="center"/>
    </xf>
    <xf numFmtId="181" fontId="37" fillId="0" borderId="78" xfId="57170" applyNumberFormat="1" applyFont="1" applyFill="1" applyBorder="1" applyAlignment="1">
      <alignment horizontal="center"/>
    </xf>
    <xf numFmtId="15" fontId="37" fillId="0" borderId="0" xfId="57169" applyNumberFormat="1" applyFont="1" applyFill="1" applyAlignment="1">
      <alignment horizontal="center"/>
    </xf>
    <xf numFmtId="167" fontId="37" fillId="0" borderId="78" xfId="57173" applyNumberFormat="1" applyFont="1" applyFill="1" applyBorder="1" applyAlignment="1">
      <alignment horizontal="center"/>
    </xf>
    <xf numFmtId="167" fontId="37" fillId="0" borderId="77" xfId="57173" applyNumberFormat="1" applyFont="1" applyFill="1" applyBorder="1" applyAlignment="1">
      <alignment horizontal="center"/>
    </xf>
    <xf numFmtId="167" fontId="37" fillId="0" borderId="0" xfId="57173" applyNumberFormat="1" applyFont="1" applyFill="1" applyBorder="1" applyAlignment="1">
      <alignment horizontal="center"/>
    </xf>
    <xf numFmtId="181" fontId="37" fillId="0" borderId="0" xfId="57173" applyNumberFormat="1" applyFont="1" applyFill="1" applyBorder="1" applyAlignment="1">
      <alignment horizontal="center"/>
    </xf>
    <xf numFmtId="181" fontId="37" fillId="0" borderId="78" xfId="57173" applyNumberFormat="1" applyFont="1" applyFill="1" applyBorder="1" applyAlignment="1">
      <alignment horizontal="center"/>
    </xf>
    <xf numFmtId="15" fontId="37" fillId="0" borderId="0" xfId="57172" applyNumberFormat="1" applyFont="1" applyFill="1" applyAlignment="1">
      <alignment horizontal="center"/>
    </xf>
    <xf numFmtId="167" fontId="37" fillId="0" borderId="78" xfId="57176" applyNumberFormat="1" applyFont="1" applyFill="1" applyBorder="1" applyAlignment="1">
      <alignment horizontal="center"/>
    </xf>
    <xf numFmtId="167" fontId="37" fillId="0" borderId="77" xfId="57176" applyNumberFormat="1" applyFont="1" applyFill="1" applyBorder="1" applyAlignment="1">
      <alignment horizontal="center"/>
    </xf>
    <xf numFmtId="167" fontId="37" fillId="0" borderId="0" xfId="57176" applyNumberFormat="1" applyFont="1" applyFill="1" applyBorder="1" applyAlignment="1">
      <alignment horizontal="center"/>
    </xf>
    <xf numFmtId="181" fontId="37" fillId="0" borderId="0" xfId="57176" applyNumberFormat="1" applyFont="1" applyFill="1" applyBorder="1" applyAlignment="1">
      <alignment horizontal="center"/>
    </xf>
    <xf numFmtId="181" fontId="37" fillId="0" borderId="78" xfId="57176" applyNumberFormat="1" applyFont="1" applyFill="1" applyBorder="1" applyAlignment="1">
      <alignment horizontal="center"/>
    </xf>
    <xf numFmtId="15" fontId="37" fillId="0" borderId="0" xfId="57175" applyNumberFormat="1" applyFont="1" applyFill="1" applyAlignment="1">
      <alignment horizontal="center"/>
    </xf>
    <xf numFmtId="167" fontId="37" fillId="0" borderId="78" xfId="57179" applyNumberFormat="1" applyFont="1" applyFill="1" applyBorder="1" applyAlignment="1">
      <alignment horizontal="center"/>
    </xf>
    <xf numFmtId="167" fontId="37" fillId="0" borderId="77" xfId="57179" applyNumberFormat="1" applyFont="1" applyFill="1" applyBorder="1" applyAlignment="1">
      <alignment horizontal="center"/>
    </xf>
    <xf numFmtId="167" fontId="37" fillId="0" borderId="0" xfId="57179" applyNumberFormat="1" applyFont="1" applyFill="1" applyBorder="1" applyAlignment="1">
      <alignment horizontal="center"/>
    </xf>
    <xf numFmtId="181" fontId="37" fillId="0" borderId="0" xfId="57179" applyNumberFormat="1" applyFont="1" applyFill="1" applyBorder="1" applyAlignment="1">
      <alignment horizontal="center"/>
    </xf>
    <xf numFmtId="181" fontId="37" fillId="0" borderId="78" xfId="57179" applyNumberFormat="1" applyFont="1" applyFill="1" applyBorder="1" applyAlignment="1">
      <alignment horizontal="center"/>
    </xf>
    <xf numFmtId="15" fontId="37" fillId="0" borderId="0" xfId="57178" applyNumberFormat="1" applyFont="1" applyFill="1" applyAlignment="1">
      <alignment horizontal="center"/>
    </xf>
    <xf numFmtId="167" fontId="37" fillId="0" borderId="78" xfId="57182" applyNumberFormat="1" applyFont="1" applyFill="1" applyBorder="1" applyAlignment="1">
      <alignment horizontal="center"/>
    </xf>
    <xf numFmtId="167" fontId="37" fillId="0" borderId="77" xfId="57182" applyNumberFormat="1" applyFont="1" applyFill="1" applyBorder="1" applyAlignment="1">
      <alignment horizontal="center"/>
    </xf>
    <xf numFmtId="167" fontId="37" fillId="0" borderId="0" xfId="57182" applyNumberFormat="1" applyFont="1" applyFill="1" applyBorder="1" applyAlignment="1">
      <alignment horizontal="center"/>
    </xf>
    <xf numFmtId="181" fontId="37" fillId="0" borderId="0" xfId="57182" applyNumberFormat="1" applyFont="1" applyFill="1" applyBorder="1" applyAlignment="1">
      <alignment horizontal="center"/>
    </xf>
    <xf numFmtId="181" fontId="37" fillId="0" borderId="78" xfId="57182" applyNumberFormat="1" applyFont="1" applyFill="1" applyBorder="1" applyAlignment="1">
      <alignment horizontal="center"/>
    </xf>
    <xf numFmtId="15" fontId="37" fillId="0" borderId="0" xfId="57181" applyNumberFormat="1" applyFont="1" applyFill="1" applyAlignment="1">
      <alignment horizontal="center"/>
    </xf>
    <xf numFmtId="167" fontId="37" fillId="0" borderId="78" xfId="57185" applyNumberFormat="1" applyFont="1" applyFill="1" applyBorder="1" applyAlignment="1">
      <alignment horizontal="center"/>
    </xf>
    <xf numFmtId="167" fontId="37" fillId="0" borderId="77" xfId="57185" applyNumberFormat="1" applyFont="1" applyFill="1" applyBorder="1" applyAlignment="1">
      <alignment horizontal="center"/>
    </xf>
    <xf numFmtId="167" fontId="37" fillId="0" borderId="0" xfId="57185" applyNumberFormat="1" applyFont="1" applyFill="1" applyBorder="1" applyAlignment="1">
      <alignment horizontal="center"/>
    </xf>
    <xf numFmtId="181" fontId="37" fillId="0" borderId="0" xfId="57185" applyNumberFormat="1" applyFont="1" applyFill="1" applyBorder="1" applyAlignment="1">
      <alignment horizontal="center"/>
    </xf>
    <xf numFmtId="181" fontId="37" fillId="0" borderId="78" xfId="57185" applyNumberFormat="1" applyFont="1" applyFill="1" applyBorder="1" applyAlignment="1">
      <alignment horizontal="center"/>
    </xf>
    <xf numFmtId="15" fontId="37" fillId="0" borderId="0" xfId="57184" applyNumberFormat="1" applyFont="1" applyFill="1" applyAlignment="1">
      <alignment horizontal="center"/>
    </xf>
    <xf numFmtId="167" fontId="37" fillId="0" borderId="78" xfId="57188" applyNumberFormat="1" applyFont="1" applyFill="1" applyBorder="1" applyAlignment="1">
      <alignment horizontal="center"/>
    </xf>
    <xf numFmtId="167" fontId="37" fillId="0" borderId="77" xfId="57188" applyNumberFormat="1" applyFont="1" applyFill="1" applyBorder="1" applyAlignment="1">
      <alignment horizontal="center"/>
    </xf>
    <xf numFmtId="167" fontId="37" fillId="0" borderId="0" xfId="57188" applyNumberFormat="1" applyFont="1" applyFill="1" applyBorder="1" applyAlignment="1">
      <alignment horizontal="center"/>
    </xf>
    <xf numFmtId="181" fontId="37" fillId="0" borderId="0" xfId="57188" applyNumberFormat="1" applyFont="1" applyFill="1" applyBorder="1" applyAlignment="1">
      <alignment horizontal="center"/>
    </xf>
    <xf numFmtId="181" fontId="37" fillId="0" borderId="78" xfId="57188" applyNumberFormat="1" applyFont="1" applyFill="1" applyBorder="1" applyAlignment="1">
      <alignment horizontal="center"/>
    </xf>
    <xf numFmtId="15" fontId="37" fillId="0" borderId="0" xfId="57187" applyNumberFormat="1" applyFont="1" applyFill="1" applyAlignment="1">
      <alignment horizontal="center"/>
    </xf>
    <xf numFmtId="167" fontId="37" fillId="0" borderId="78" xfId="57191" applyNumberFormat="1" applyFont="1" applyFill="1" applyBorder="1" applyAlignment="1">
      <alignment horizontal="center"/>
    </xf>
    <xf numFmtId="167" fontId="37" fillId="0" borderId="77" xfId="57191" applyNumberFormat="1" applyFont="1" applyFill="1" applyBorder="1" applyAlignment="1">
      <alignment horizontal="center"/>
    </xf>
    <xf numFmtId="167" fontId="37" fillId="0" borderId="0" xfId="57191" applyNumberFormat="1" applyFont="1" applyFill="1" applyBorder="1" applyAlignment="1">
      <alignment horizontal="center"/>
    </xf>
    <xf numFmtId="181" fontId="37" fillId="0" borderId="0" xfId="57191" applyNumberFormat="1" applyFont="1" applyFill="1" applyBorder="1" applyAlignment="1">
      <alignment horizontal="center"/>
    </xf>
    <xf numFmtId="181" fontId="37" fillId="0" borderId="78" xfId="57191" applyNumberFormat="1" applyFont="1" applyFill="1" applyBorder="1" applyAlignment="1">
      <alignment horizontal="center"/>
    </xf>
    <xf numFmtId="15" fontId="37" fillId="0" borderId="0" xfId="57190" applyNumberFormat="1" applyFont="1" applyFill="1" applyAlignment="1">
      <alignment horizontal="center"/>
    </xf>
    <xf numFmtId="167" fontId="37" fillId="0" borderId="78" xfId="57194" applyNumberFormat="1" applyFont="1" applyFill="1" applyBorder="1" applyAlignment="1">
      <alignment horizontal="center"/>
    </xf>
    <xf numFmtId="167" fontId="37" fillId="0" borderId="77" xfId="57194" applyNumberFormat="1" applyFont="1" applyFill="1" applyBorder="1" applyAlignment="1">
      <alignment horizontal="center"/>
    </xf>
    <xf numFmtId="167" fontId="37" fillId="0" borderId="0" xfId="57194" applyNumberFormat="1" applyFont="1" applyFill="1" applyBorder="1" applyAlignment="1">
      <alignment horizontal="center"/>
    </xf>
    <xf numFmtId="181" fontId="37" fillId="0" borderId="0" xfId="57194" applyNumberFormat="1" applyFont="1" applyFill="1" applyBorder="1" applyAlignment="1">
      <alignment horizontal="center"/>
    </xf>
    <xf numFmtId="181" fontId="37" fillId="0" borderId="78" xfId="57194" applyNumberFormat="1" applyFont="1" applyFill="1" applyBorder="1" applyAlignment="1">
      <alignment horizontal="center"/>
    </xf>
    <xf numFmtId="15" fontId="37" fillId="0" borderId="0" xfId="57193" applyNumberFormat="1" applyFont="1" applyFill="1" applyAlignment="1">
      <alignment horizontal="center"/>
    </xf>
    <xf numFmtId="167" fontId="37" fillId="0" borderId="78" xfId="57197" applyNumberFormat="1" applyFont="1" applyFill="1" applyBorder="1" applyAlignment="1">
      <alignment horizontal="center"/>
    </xf>
    <xf numFmtId="167" fontId="37" fillId="0" borderId="77" xfId="57197" applyNumberFormat="1" applyFont="1" applyFill="1" applyBorder="1" applyAlignment="1">
      <alignment horizontal="center"/>
    </xf>
    <xf numFmtId="167" fontId="37" fillId="0" borderId="0" xfId="57197" applyNumberFormat="1" applyFont="1" applyFill="1" applyBorder="1" applyAlignment="1">
      <alignment horizontal="center"/>
    </xf>
    <xf numFmtId="181" fontId="37" fillId="0" borderId="0" xfId="57197" applyNumberFormat="1" applyFont="1" applyFill="1" applyBorder="1" applyAlignment="1">
      <alignment horizontal="center"/>
    </xf>
    <xf numFmtId="181" fontId="37" fillId="0" borderId="78" xfId="57197" applyNumberFormat="1" applyFont="1" applyFill="1" applyBorder="1" applyAlignment="1">
      <alignment horizontal="center"/>
    </xf>
    <xf numFmtId="15" fontId="37" fillId="0" borderId="0" xfId="57196" applyNumberFormat="1" applyFont="1" applyFill="1" applyAlignment="1">
      <alignment horizontal="center"/>
    </xf>
    <xf numFmtId="167" fontId="37" fillId="0" borderId="78" xfId="57200" applyNumberFormat="1" applyFont="1" applyFill="1" applyBorder="1" applyAlignment="1">
      <alignment horizontal="center"/>
    </xf>
    <xf numFmtId="167" fontId="37" fillId="0" borderId="77" xfId="57200" applyNumberFormat="1" applyFont="1" applyFill="1" applyBorder="1" applyAlignment="1">
      <alignment horizontal="center"/>
    </xf>
    <xf numFmtId="167" fontId="37" fillId="0" borderId="0" xfId="57200" applyNumberFormat="1" applyFont="1" applyFill="1" applyBorder="1" applyAlignment="1">
      <alignment horizontal="center"/>
    </xf>
    <xf numFmtId="181" fontId="37" fillId="0" borderId="0" xfId="57200" applyNumberFormat="1" applyFont="1" applyFill="1" applyBorder="1" applyAlignment="1">
      <alignment horizontal="center"/>
    </xf>
    <xf numFmtId="181" fontId="37" fillId="0" borderId="78" xfId="57200" applyNumberFormat="1" applyFont="1" applyFill="1" applyBorder="1" applyAlignment="1">
      <alignment horizontal="center"/>
    </xf>
    <xf numFmtId="15" fontId="37" fillId="0" borderId="0" xfId="57199" applyNumberFormat="1" applyFont="1" applyFill="1" applyAlignment="1">
      <alignment horizontal="center"/>
    </xf>
    <xf numFmtId="167" fontId="37" fillId="0" borderId="78" xfId="57203" applyNumberFormat="1" applyFont="1" applyFill="1" applyBorder="1" applyAlignment="1">
      <alignment horizontal="center"/>
    </xf>
    <xf numFmtId="167" fontId="37" fillId="0" borderId="77" xfId="57203" applyNumberFormat="1" applyFont="1" applyFill="1" applyBorder="1" applyAlignment="1">
      <alignment horizontal="center"/>
    </xf>
    <xf numFmtId="167" fontId="37" fillId="0" borderId="0" xfId="57203" applyNumberFormat="1" applyFont="1" applyFill="1" applyBorder="1" applyAlignment="1">
      <alignment horizontal="center"/>
    </xf>
    <xf numFmtId="181" fontId="37" fillId="0" borderId="0" xfId="57203" applyNumberFormat="1" applyFont="1" applyFill="1" applyBorder="1" applyAlignment="1">
      <alignment horizontal="center"/>
    </xf>
    <xf numFmtId="181" fontId="37" fillId="0" borderId="78" xfId="57203" applyNumberFormat="1" applyFont="1" applyFill="1" applyBorder="1" applyAlignment="1">
      <alignment horizontal="center"/>
    </xf>
    <xf numFmtId="15" fontId="37" fillId="0" borderId="0" xfId="57202" applyNumberFormat="1" applyFont="1" applyFill="1" applyAlignment="1">
      <alignment horizontal="center"/>
    </xf>
    <xf numFmtId="167" fontId="37" fillId="0" borderId="78" xfId="57206" applyNumberFormat="1" applyFont="1" applyFill="1" applyBorder="1" applyAlignment="1">
      <alignment horizontal="center"/>
    </xf>
    <xf numFmtId="167" fontId="37" fillId="0" borderId="77" xfId="57206" applyNumberFormat="1" applyFont="1" applyFill="1" applyBorder="1" applyAlignment="1">
      <alignment horizontal="center"/>
    </xf>
    <xf numFmtId="167" fontId="37" fillId="0" borderId="0" xfId="57206" applyNumberFormat="1" applyFont="1" applyFill="1" applyBorder="1" applyAlignment="1">
      <alignment horizontal="center"/>
    </xf>
    <xf numFmtId="181" fontId="37" fillId="0" borderId="0" xfId="57206" applyNumberFormat="1" applyFont="1" applyFill="1" applyBorder="1" applyAlignment="1">
      <alignment horizontal="center"/>
    </xf>
    <xf numFmtId="181" fontId="37" fillId="0" borderId="78" xfId="57206" applyNumberFormat="1" applyFont="1" applyFill="1" applyBorder="1" applyAlignment="1">
      <alignment horizontal="center"/>
    </xf>
    <xf numFmtId="15" fontId="37" fillId="0" borderId="0" xfId="57205" applyNumberFormat="1" applyFont="1" applyFill="1" applyAlignment="1">
      <alignment horizontal="center"/>
    </xf>
    <xf numFmtId="167" fontId="37" fillId="0" borderId="78" xfId="57209" applyNumberFormat="1" applyFont="1" applyFill="1" applyBorder="1" applyAlignment="1">
      <alignment horizontal="center"/>
    </xf>
    <xf numFmtId="167" fontId="37" fillId="0" borderId="77" xfId="57209" applyNumberFormat="1" applyFont="1" applyFill="1" applyBorder="1" applyAlignment="1">
      <alignment horizontal="center"/>
    </xf>
    <xf numFmtId="167" fontId="37" fillId="0" borderId="0" xfId="57209" applyNumberFormat="1" applyFont="1" applyFill="1" applyBorder="1" applyAlignment="1">
      <alignment horizontal="center"/>
    </xf>
    <xf numFmtId="181" fontId="37" fillId="0" borderId="0" xfId="57209" applyNumberFormat="1" applyFont="1" applyFill="1" applyBorder="1" applyAlignment="1">
      <alignment horizontal="center"/>
    </xf>
    <xf numFmtId="181" fontId="37" fillId="0" borderId="78" xfId="57209" applyNumberFormat="1" applyFont="1" applyFill="1" applyBorder="1" applyAlignment="1">
      <alignment horizontal="center"/>
    </xf>
    <xf numFmtId="15" fontId="37" fillId="0" borderId="0" xfId="57208" applyNumberFormat="1" applyFont="1" applyFill="1" applyAlignment="1">
      <alignment horizontal="center"/>
    </xf>
    <xf numFmtId="167" fontId="37" fillId="0" borderId="78" xfId="57212" applyNumberFormat="1" applyFont="1" applyFill="1" applyBorder="1" applyAlignment="1">
      <alignment horizontal="center"/>
    </xf>
    <xf numFmtId="167" fontId="37" fillId="0" borderId="77" xfId="57212" applyNumberFormat="1" applyFont="1" applyFill="1" applyBorder="1" applyAlignment="1">
      <alignment horizontal="center"/>
    </xf>
    <xf numFmtId="167" fontId="37" fillId="0" borderId="0" xfId="57212" applyNumberFormat="1" applyFont="1" applyFill="1" applyBorder="1" applyAlignment="1">
      <alignment horizontal="center"/>
    </xf>
    <xf numFmtId="181" fontId="37" fillId="0" borderId="0" xfId="57212" applyNumberFormat="1" applyFont="1" applyFill="1" applyBorder="1" applyAlignment="1">
      <alignment horizontal="center"/>
    </xf>
    <xf numFmtId="181" fontId="37" fillId="0" borderId="78" xfId="57212" applyNumberFormat="1" applyFont="1" applyFill="1" applyBorder="1" applyAlignment="1">
      <alignment horizontal="center"/>
    </xf>
    <xf numFmtId="15" fontId="37" fillId="0" borderId="0" xfId="57211" applyNumberFormat="1" applyFont="1" applyFill="1" applyAlignment="1">
      <alignment horizontal="center"/>
    </xf>
    <xf numFmtId="167" fontId="37" fillId="0" borderId="78" xfId="57215" applyNumberFormat="1" applyFont="1" applyFill="1" applyBorder="1" applyAlignment="1">
      <alignment horizontal="center"/>
    </xf>
    <xf numFmtId="167" fontId="37" fillId="0" borderId="77" xfId="57215" applyNumberFormat="1" applyFont="1" applyFill="1" applyBorder="1" applyAlignment="1">
      <alignment horizontal="center"/>
    </xf>
    <xf numFmtId="167" fontId="37" fillId="0" borderId="0" xfId="57215" applyNumberFormat="1" applyFont="1" applyFill="1" applyBorder="1" applyAlignment="1">
      <alignment horizontal="center"/>
    </xf>
    <xf numFmtId="181" fontId="37" fillId="0" borderId="0" xfId="57215" applyNumberFormat="1" applyFont="1" applyFill="1" applyBorder="1" applyAlignment="1">
      <alignment horizontal="center"/>
    </xf>
    <xf numFmtId="181" fontId="37" fillId="0" borderId="78" xfId="57215" applyNumberFormat="1" applyFont="1" applyFill="1" applyBorder="1" applyAlignment="1">
      <alignment horizontal="center"/>
    </xf>
    <xf numFmtId="15" fontId="37" fillId="0" borderId="0" xfId="57214" applyNumberFormat="1" applyFont="1" applyFill="1" applyAlignment="1">
      <alignment horizontal="center"/>
    </xf>
    <xf numFmtId="167" fontId="37" fillId="0" borderId="78" xfId="57218" applyNumberFormat="1" applyFont="1" applyFill="1" applyBorder="1" applyAlignment="1">
      <alignment horizontal="center"/>
    </xf>
    <xf numFmtId="167" fontId="37" fillId="0" borderId="77" xfId="57218" applyNumberFormat="1" applyFont="1" applyFill="1" applyBorder="1" applyAlignment="1">
      <alignment horizontal="center"/>
    </xf>
    <xf numFmtId="167" fontId="37" fillId="0" borderId="0" xfId="57218" applyNumberFormat="1" applyFont="1" applyFill="1" applyBorder="1" applyAlignment="1">
      <alignment horizontal="center"/>
    </xf>
    <xf numFmtId="181" fontId="37" fillId="0" borderId="0" xfId="57218" applyNumberFormat="1" applyFont="1" applyFill="1" applyBorder="1" applyAlignment="1">
      <alignment horizontal="center"/>
    </xf>
    <xf numFmtId="181" fontId="37" fillId="0" borderId="78" xfId="57218" applyNumberFormat="1" applyFont="1" applyFill="1" applyBorder="1" applyAlignment="1">
      <alignment horizontal="center"/>
    </xf>
    <xf numFmtId="15" fontId="37" fillId="0" borderId="0" xfId="57217" applyNumberFormat="1" applyFont="1" applyFill="1" applyAlignment="1">
      <alignment horizontal="center"/>
    </xf>
    <xf numFmtId="167" fontId="37" fillId="0" borderId="78" xfId="57221" applyNumberFormat="1" applyFont="1" applyFill="1" applyBorder="1" applyAlignment="1">
      <alignment horizontal="center"/>
    </xf>
    <xf numFmtId="167" fontId="37" fillId="0" borderId="77" xfId="57221" applyNumberFormat="1" applyFont="1" applyFill="1" applyBorder="1" applyAlignment="1">
      <alignment horizontal="center"/>
    </xf>
    <xf numFmtId="167" fontId="37" fillId="0" borderId="0" xfId="57221" applyNumberFormat="1" applyFont="1" applyFill="1" applyBorder="1" applyAlignment="1">
      <alignment horizontal="center"/>
    </xf>
    <xf numFmtId="181" fontId="37" fillId="0" borderId="0" xfId="57221" applyNumberFormat="1" applyFont="1" applyFill="1" applyBorder="1" applyAlignment="1">
      <alignment horizontal="center"/>
    </xf>
    <xf numFmtId="181" fontId="37" fillId="0" borderId="78" xfId="57221" applyNumberFormat="1" applyFont="1" applyFill="1" applyBorder="1" applyAlignment="1">
      <alignment horizontal="center"/>
    </xf>
    <xf numFmtId="15" fontId="37" fillId="0" borderId="0" xfId="57220" applyNumberFormat="1" applyFont="1" applyFill="1" applyAlignment="1">
      <alignment horizontal="center"/>
    </xf>
    <xf numFmtId="167" fontId="37" fillId="0" borderId="78" xfId="57224" applyNumberFormat="1" applyFont="1" applyFill="1" applyBorder="1" applyAlignment="1">
      <alignment horizontal="center"/>
    </xf>
    <xf numFmtId="167" fontId="37" fillId="0" borderId="77" xfId="57224" applyNumberFormat="1" applyFont="1" applyFill="1" applyBorder="1" applyAlignment="1">
      <alignment horizontal="center"/>
    </xf>
    <xf numFmtId="167" fontId="37" fillId="0" borderId="0" xfId="57224" applyNumberFormat="1" applyFont="1" applyFill="1" applyBorder="1" applyAlignment="1">
      <alignment horizontal="center"/>
    </xf>
    <xf numFmtId="181" fontId="37" fillId="0" borderId="0" xfId="57224" applyNumberFormat="1" applyFont="1" applyFill="1" applyBorder="1" applyAlignment="1">
      <alignment horizontal="center"/>
    </xf>
    <xf numFmtId="181" fontId="37" fillId="0" borderId="78" xfId="57224" applyNumberFormat="1" applyFont="1" applyFill="1" applyBorder="1" applyAlignment="1">
      <alignment horizontal="center"/>
    </xf>
    <xf numFmtId="15" fontId="37" fillId="0" borderId="0" xfId="57223" applyNumberFormat="1" applyFont="1" applyFill="1" applyAlignment="1">
      <alignment horizontal="center"/>
    </xf>
    <xf numFmtId="169" fontId="51" fillId="0" borderId="0" xfId="1" applyNumberFormat="1" applyFont="1" applyAlignment="1">
      <alignment wrapText="1"/>
    </xf>
    <xf numFmtId="167" fontId="14" fillId="0" borderId="78" xfId="57224" applyNumberFormat="1" applyFont="1" applyFill="1" applyBorder="1" applyAlignment="1">
      <alignment horizontal="center"/>
    </xf>
    <xf numFmtId="167" fontId="14" fillId="0" borderId="77" xfId="57224" applyNumberFormat="1" applyFont="1" applyFill="1" applyBorder="1" applyAlignment="1">
      <alignment horizontal="center"/>
    </xf>
    <xf numFmtId="167" fontId="14" fillId="0" borderId="0" xfId="57224" applyNumberFormat="1" applyFont="1" applyFill="1" applyBorder="1" applyAlignment="1">
      <alignment horizontal="center"/>
    </xf>
    <xf numFmtId="181" fontId="14" fillId="0" borderId="0" xfId="57224" applyNumberFormat="1" applyFont="1" applyFill="1" applyBorder="1" applyAlignment="1">
      <alignment horizontal="center"/>
    </xf>
    <xf numFmtId="181" fontId="14" fillId="0" borderId="78" xfId="57224" applyNumberFormat="1" applyFont="1" applyFill="1" applyBorder="1" applyAlignment="1">
      <alignment horizontal="center"/>
    </xf>
    <xf numFmtId="15" fontId="14" fillId="0" borderId="0" xfId="57223" applyNumberFormat="1" applyFont="1" applyFill="1" applyAlignment="1">
      <alignment horizontal="center"/>
    </xf>
    <xf numFmtId="167" fontId="37" fillId="0" borderId="78" xfId="57230" applyNumberFormat="1" applyFont="1" applyFill="1" applyBorder="1" applyAlignment="1">
      <alignment horizontal="center"/>
    </xf>
    <xf numFmtId="167" fontId="37" fillId="0" borderId="77" xfId="57230" applyNumberFormat="1" applyFont="1" applyFill="1" applyBorder="1" applyAlignment="1">
      <alignment horizontal="center"/>
    </xf>
    <xf numFmtId="167" fontId="37" fillId="0" borderId="0" xfId="57230" applyNumberFormat="1" applyFont="1" applyFill="1" applyBorder="1" applyAlignment="1">
      <alignment horizontal="center"/>
    </xf>
    <xf numFmtId="181" fontId="37" fillId="0" borderId="0" xfId="57230" applyNumberFormat="1" applyFont="1" applyFill="1" applyBorder="1" applyAlignment="1">
      <alignment horizontal="center"/>
    </xf>
    <xf numFmtId="181" fontId="37" fillId="0" borderId="78" xfId="57230" applyNumberFormat="1" applyFont="1" applyFill="1" applyBorder="1" applyAlignment="1">
      <alignment horizontal="center"/>
    </xf>
    <xf numFmtId="15" fontId="37" fillId="0" borderId="0" xfId="57229" applyNumberFormat="1" applyFont="1" applyFill="1" applyAlignment="1">
      <alignment horizontal="center"/>
    </xf>
    <xf numFmtId="167" fontId="37" fillId="0" borderId="78" xfId="57233" applyNumberFormat="1" applyFont="1" applyFill="1" applyBorder="1" applyAlignment="1">
      <alignment horizontal="center"/>
    </xf>
    <xf numFmtId="167" fontId="37" fillId="0" borderId="77" xfId="57233" applyNumberFormat="1" applyFont="1" applyFill="1" applyBorder="1" applyAlignment="1">
      <alignment horizontal="center"/>
    </xf>
    <xf numFmtId="167" fontId="37" fillId="0" borderId="0" xfId="57233" applyNumberFormat="1" applyFont="1" applyFill="1" applyBorder="1" applyAlignment="1">
      <alignment horizontal="center"/>
    </xf>
    <xf numFmtId="181" fontId="37" fillId="0" borderId="0" xfId="57233" applyNumberFormat="1" applyFont="1" applyFill="1" applyBorder="1" applyAlignment="1">
      <alignment horizontal="center"/>
    </xf>
    <xf numFmtId="181" fontId="37" fillId="0" borderId="78" xfId="57233" applyNumberFormat="1" applyFont="1" applyFill="1" applyBorder="1" applyAlignment="1">
      <alignment horizontal="center"/>
    </xf>
    <xf numFmtId="15" fontId="37" fillId="0" borderId="0" xfId="57232" applyNumberFormat="1" applyFont="1" applyFill="1" applyAlignment="1">
      <alignment horizontal="center"/>
    </xf>
    <xf numFmtId="167" fontId="37" fillId="0" borderId="78" xfId="57236" applyNumberFormat="1" applyFont="1" applyFill="1" applyBorder="1" applyAlignment="1">
      <alignment horizontal="center"/>
    </xf>
    <xf numFmtId="167" fontId="37" fillId="0" borderId="77" xfId="57236" applyNumberFormat="1" applyFont="1" applyFill="1" applyBorder="1" applyAlignment="1">
      <alignment horizontal="center"/>
    </xf>
    <xf numFmtId="167" fontId="37" fillId="0" borderId="0" xfId="57236" applyNumberFormat="1" applyFont="1" applyFill="1" applyBorder="1" applyAlignment="1">
      <alignment horizontal="center"/>
    </xf>
    <xf numFmtId="181" fontId="37" fillId="0" borderId="0" xfId="57236" applyNumberFormat="1" applyFont="1" applyFill="1" applyBorder="1" applyAlignment="1">
      <alignment horizontal="center"/>
    </xf>
    <xf numFmtId="181" fontId="37" fillId="0" borderId="78" xfId="57236" applyNumberFormat="1" applyFont="1" applyFill="1" applyBorder="1" applyAlignment="1">
      <alignment horizontal="center"/>
    </xf>
    <xf numFmtId="15" fontId="37" fillId="0" borderId="0" xfId="57235" applyNumberFormat="1" applyFont="1" applyFill="1" applyAlignment="1">
      <alignment horizontal="center"/>
    </xf>
    <xf numFmtId="167" fontId="37" fillId="0" borderId="78" xfId="57239" applyNumberFormat="1" applyFont="1" applyFill="1" applyBorder="1" applyAlignment="1">
      <alignment horizontal="center"/>
    </xf>
    <xf numFmtId="167" fontId="37" fillId="0" borderId="77" xfId="57239" applyNumberFormat="1" applyFont="1" applyFill="1" applyBorder="1" applyAlignment="1">
      <alignment horizontal="center"/>
    </xf>
    <xf numFmtId="167" fontId="37" fillId="0" borderId="0" xfId="57239" applyNumberFormat="1" applyFont="1" applyFill="1" applyBorder="1" applyAlignment="1">
      <alignment horizontal="center"/>
    </xf>
    <xf numFmtId="181" fontId="37" fillId="0" borderId="0" xfId="57239" applyNumberFormat="1" applyFont="1" applyFill="1" applyBorder="1" applyAlignment="1">
      <alignment horizontal="center"/>
    </xf>
    <xf numFmtId="181" fontId="37" fillId="0" borderId="78" xfId="57239" applyNumberFormat="1" applyFont="1" applyFill="1" applyBorder="1" applyAlignment="1">
      <alignment horizontal="center"/>
    </xf>
    <xf numFmtId="15" fontId="37" fillId="0" borderId="0" xfId="57238" applyNumberFormat="1" applyFont="1" applyFill="1" applyAlignment="1">
      <alignment horizontal="center"/>
    </xf>
    <xf numFmtId="167" fontId="37" fillId="0" borderId="78" xfId="57242" applyNumberFormat="1" applyFont="1" applyFill="1" applyBorder="1" applyAlignment="1">
      <alignment horizontal="center"/>
    </xf>
    <xf numFmtId="167" fontId="37" fillId="0" borderId="77" xfId="57242" applyNumberFormat="1" applyFont="1" applyFill="1" applyBorder="1" applyAlignment="1">
      <alignment horizontal="center"/>
    </xf>
    <xf numFmtId="167" fontId="37" fillId="0" borderId="0" xfId="57242" applyNumberFormat="1" applyFont="1" applyFill="1" applyBorder="1" applyAlignment="1">
      <alignment horizontal="center"/>
    </xf>
    <xf numFmtId="181" fontId="37" fillId="0" borderId="0" xfId="57242" applyNumberFormat="1" applyFont="1" applyFill="1" applyBorder="1" applyAlignment="1">
      <alignment horizontal="center"/>
    </xf>
    <xf numFmtId="181" fontId="37" fillId="0" borderId="78" xfId="57242" applyNumberFormat="1" applyFont="1" applyFill="1" applyBorder="1" applyAlignment="1">
      <alignment horizontal="center"/>
    </xf>
    <xf numFmtId="15" fontId="37" fillId="0" borderId="0" xfId="57241" applyNumberFormat="1" applyFont="1" applyFill="1" applyAlignment="1">
      <alignment horizontal="center"/>
    </xf>
    <xf numFmtId="167" fontId="37" fillId="0" borderId="78" xfId="57245" applyNumberFormat="1" applyFont="1" applyFill="1" applyBorder="1" applyAlignment="1">
      <alignment horizontal="center"/>
    </xf>
    <xf numFmtId="167" fontId="37" fillId="0" borderId="77" xfId="57245" applyNumberFormat="1" applyFont="1" applyFill="1" applyBorder="1" applyAlignment="1">
      <alignment horizontal="center"/>
    </xf>
    <xf numFmtId="167" fontId="37" fillId="0" borderId="0" xfId="57245" applyNumberFormat="1" applyFont="1" applyFill="1" applyBorder="1" applyAlignment="1">
      <alignment horizontal="center"/>
    </xf>
    <xf numFmtId="181" fontId="37" fillId="0" borderId="0" xfId="57245" applyNumberFormat="1" applyFont="1" applyFill="1" applyBorder="1" applyAlignment="1">
      <alignment horizontal="center"/>
    </xf>
    <xf numFmtId="181" fontId="37" fillId="0" borderId="78" xfId="57245" applyNumberFormat="1" applyFont="1" applyFill="1" applyBorder="1" applyAlignment="1">
      <alignment horizontal="center"/>
    </xf>
    <xf numFmtId="15" fontId="37" fillId="0" borderId="0" xfId="57244" applyNumberFormat="1" applyFont="1" applyFill="1" applyAlignment="1">
      <alignment horizontal="center"/>
    </xf>
    <xf numFmtId="15" fontId="37" fillId="38" borderId="0" xfId="56800" applyNumberFormat="1" applyFont="1" applyFill="1" applyAlignment="1">
      <alignment horizontal="center"/>
    </xf>
    <xf numFmtId="181" fontId="37" fillId="38" borderId="78" xfId="56801" applyNumberFormat="1" applyFont="1" applyFill="1" applyBorder="1" applyAlignment="1">
      <alignment horizontal="center"/>
    </xf>
    <xf numFmtId="181" fontId="37" fillId="38" borderId="0" xfId="56801" applyNumberFormat="1" applyFont="1" applyFill="1" applyBorder="1" applyAlignment="1">
      <alignment horizontal="center"/>
    </xf>
    <xf numFmtId="167" fontId="37" fillId="38" borderId="77" xfId="56801" applyNumberFormat="1" applyFont="1" applyFill="1" applyBorder="1" applyAlignment="1">
      <alignment horizontal="center"/>
    </xf>
    <xf numFmtId="167" fontId="37" fillId="38" borderId="78" xfId="56801" applyNumberFormat="1" applyFont="1" applyFill="1" applyBorder="1" applyAlignment="1">
      <alignment horizontal="center"/>
    </xf>
    <xf numFmtId="167" fontId="37" fillId="38" borderId="0" xfId="56801" applyNumberFormat="1" applyFont="1" applyFill="1" applyBorder="1" applyAlignment="1">
      <alignment horizontal="center"/>
    </xf>
    <xf numFmtId="167" fontId="37" fillId="0" borderId="78" xfId="57248" applyNumberFormat="1" applyFont="1" applyFill="1" applyBorder="1" applyAlignment="1">
      <alignment horizontal="center"/>
    </xf>
    <xf numFmtId="167" fontId="37" fillId="0" borderId="77" xfId="57248" applyNumberFormat="1" applyFont="1" applyFill="1" applyBorder="1" applyAlignment="1">
      <alignment horizontal="center"/>
    </xf>
    <xf numFmtId="167" fontId="37" fillId="0" borderId="0" xfId="57248" applyNumberFormat="1" applyFont="1" applyFill="1" applyBorder="1" applyAlignment="1">
      <alignment horizontal="center"/>
    </xf>
    <xf numFmtId="181" fontId="37" fillId="0" borderId="0" xfId="57248" applyNumberFormat="1" applyFont="1" applyFill="1" applyBorder="1" applyAlignment="1">
      <alignment horizontal="center"/>
    </xf>
    <xf numFmtId="181" fontId="37" fillId="0" borderId="78" xfId="57248" applyNumberFormat="1" applyFont="1" applyFill="1" applyBorder="1" applyAlignment="1">
      <alignment horizontal="center"/>
    </xf>
    <xf numFmtId="15" fontId="37" fillId="0" borderId="0" xfId="57247" applyNumberFormat="1" applyFont="1" applyFill="1" applyAlignment="1">
      <alignment horizontal="center"/>
    </xf>
    <xf numFmtId="167" fontId="37" fillId="0" borderId="78" xfId="57251" applyNumberFormat="1" applyFont="1" applyFill="1" applyBorder="1" applyAlignment="1">
      <alignment horizontal="center"/>
    </xf>
    <xf numFmtId="167" fontId="37" fillId="0" borderId="77" xfId="57251" applyNumberFormat="1" applyFont="1" applyFill="1" applyBorder="1" applyAlignment="1">
      <alignment horizontal="center"/>
    </xf>
    <xf numFmtId="167" fontId="37" fillId="0" borderId="0" xfId="57251" applyNumberFormat="1" applyFont="1" applyFill="1" applyBorder="1" applyAlignment="1">
      <alignment horizontal="center"/>
    </xf>
    <xf numFmtId="181" fontId="37" fillId="0" borderId="0" xfId="57251" applyNumberFormat="1" applyFont="1" applyFill="1" applyBorder="1" applyAlignment="1">
      <alignment horizontal="center"/>
    </xf>
    <xf numFmtId="181" fontId="37" fillId="0" borderId="78" xfId="57251" applyNumberFormat="1" applyFont="1" applyFill="1" applyBorder="1" applyAlignment="1">
      <alignment horizontal="center"/>
    </xf>
    <xf numFmtId="15" fontId="37" fillId="0" borderId="0" xfId="57250" applyNumberFormat="1" applyFont="1" applyFill="1" applyAlignment="1">
      <alignment horizontal="center"/>
    </xf>
    <xf numFmtId="167" fontId="37" fillId="0" borderId="78" xfId="57254" applyNumberFormat="1" applyFont="1" applyFill="1" applyBorder="1" applyAlignment="1">
      <alignment horizontal="center"/>
    </xf>
    <xf numFmtId="167" fontId="37" fillId="0" borderId="77" xfId="57254" applyNumberFormat="1" applyFont="1" applyFill="1" applyBorder="1" applyAlignment="1">
      <alignment horizontal="center"/>
    </xf>
    <xf numFmtId="167" fontId="37" fillId="0" borderId="0" xfId="57254" applyNumberFormat="1" applyFont="1" applyFill="1" applyBorder="1" applyAlignment="1">
      <alignment horizontal="center"/>
    </xf>
    <xf numFmtId="181" fontId="37" fillId="0" borderId="0" xfId="57254" applyNumberFormat="1" applyFont="1" applyFill="1" applyBorder="1" applyAlignment="1">
      <alignment horizontal="center"/>
    </xf>
    <xf numFmtId="181" fontId="37" fillId="0" borderId="78" xfId="57254" applyNumberFormat="1" applyFont="1" applyFill="1" applyBorder="1" applyAlignment="1">
      <alignment horizontal="center"/>
    </xf>
    <xf numFmtId="15" fontId="37" fillId="0" borderId="0" xfId="57253" applyNumberFormat="1" applyFont="1" applyFill="1" applyAlignment="1">
      <alignment horizontal="center"/>
    </xf>
    <xf numFmtId="167" fontId="37" fillId="0" borderId="78" xfId="57257" applyNumberFormat="1" applyFont="1" applyFill="1" applyBorder="1" applyAlignment="1">
      <alignment horizontal="center"/>
    </xf>
    <xf numFmtId="167" fontId="37" fillId="0" borderId="77" xfId="57257" applyNumberFormat="1" applyFont="1" applyFill="1" applyBorder="1" applyAlignment="1">
      <alignment horizontal="center"/>
    </xf>
    <xf numFmtId="167" fontId="37" fillId="0" borderId="0" xfId="57257" applyNumberFormat="1" applyFont="1" applyFill="1" applyBorder="1" applyAlignment="1">
      <alignment horizontal="center"/>
    </xf>
    <xf numFmtId="181" fontId="37" fillId="0" borderId="0" xfId="57257" applyNumberFormat="1" applyFont="1" applyFill="1" applyBorder="1" applyAlignment="1">
      <alignment horizontal="center"/>
    </xf>
    <xf numFmtId="181" fontId="37" fillId="0" borderId="78" xfId="57257" applyNumberFormat="1" applyFont="1" applyFill="1" applyBorder="1" applyAlignment="1">
      <alignment horizontal="center"/>
    </xf>
    <xf numFmtId="15" fontId="37" fillId="0" borderId="0" xfId="57256" applyNumberFormat="1" applyFont="1" applyFill="1" applyAlignment="1">
      <alignment horizontal="center"/>
    </xf>
    <xf numFmtId="167" fontId="37" fillId="0" borderId="78" xfId="57260" applyNumberFormat="1" applyFont="1" applyFill="1" applyBorder="1" applyAlignment="1">
      <alignment horizontal="center"/>
    </xf>
    <xf numFmtId="167" fontId="37" fillId="0" borderId="77" xfId="57260" applyNumberFormat="1" applyFont="1" applyFill="1" applyBorder="1" applyAlignment="1">
      <alignment horizontal="center"/>
    </xf>
    <xf numFmtId="167" fontId="37" fillId="0" borderId="0" xfId="57260" applyNumberFormat="1" applyFont="1" applyFill="1" applyBorder="1" applyAlignment="1">
      <alignment horizontal="center"/>
    </xf>
    <xf numFmtId="181" fontId="37" fillId="0" borderId="0" xfId="57260" applyNumberFormat="1" applyFont="1" applyFill="1" applyBorder="1" applyAlignment="1">
      <alignment horizontal="center"/>
    </xf>
    <xf numFmtId="181" fontId="37" fillId="0" borderId="78" xfId="57260" applyNumberFormat="1" applyFont="1" applyFill="1" applyBorder="1" applyAlignment="1">
      <alignment horizontal="center"/>
    </xf>
    <xf numFmtId="15" fontId="37" fillId="0" borderId="0" xfId="57259" applyNumberFormat="1" applyFont="1" applyFill="1" applyAlignment="1">
      <alignment horizontal="center"/>
    </xf>
    <xf numFmtId="167" fontId="37" fillId="0" borderId="78" xfId="57263" applyNumberFormat="1" applyFont="1" applyFill="1" applyBorder="1" applyAlignment="1">
      <alignment horizontal="center"/>
    </xf>
    <xf numFmtId="167" fontId="37" fillId="0" borderId="77" xfId="57263" applyNumberFormat="1" applyFont="1" applyFill="1" applyBorder="1" applyAlignment="1">
      <alignment horizontal="center"/>
    </xf>
    <xf numFmtId="167" fontId="37" fillId="0" borderId="0" xfId="57263" applyNumberFormat="1" applyFont="1" applyFill="1" applyBorder="1" applyAlignment="1">
      <alignment horizontal="center"/>
    </xf>
    <xf numFmtId="181" fontId="37" fillId="0" borderId="0" xfId="57263" applyNumberFormat="1" applyFont="1" applyFill="1" applyBorder="1" applyAlignment="1">
      <alignment horizontal="center"/>
    </xf>
    <xf numFmtId="181" fontId="37" fillId="0" borderId="78" xfId="57263" applyNumberFormat="1" applyFont="1" applyFill="1" applyBorder="1" applyAlignment="1">
      <alignment horizontal="center"/>
    </xf>
    <xf numFmtId="15" fontId="37" fillId="0" borderId="0" xfId="57262" applyNumberFormat="1" applyFont="1" applyFill="1" applyAlignment="1">
      <alignment horizontal="center"/>
    </xf>
    <xf numFmtId="167" fontId="37" fillId="0" borderId="78" xfId="57266" applyNumberFormat="1" applyFont="1" applyFill="1" applyBorder="1" applyAlignment="1">
      <alignment horizontal="center"/>
    </xf>
    <xf numFmtId="167" fontId="37" fillId="0" borderId="77" xfId="57266" applyNumberFormat="1" applyFont="1" applyFill="1" applyBorder="1" applyAlignment="1">
      <alignment horizontal="center"/>
    </xf>
    <xf numFmtId="167" fontId="37" fillId="0" borderId="0" xfId="57266" applyNumberFormat="1" applyFont="1" applyFill="1" applyBorder="1" applyAlignment="1">
      <alignment horizontal="center"/>
    </xf>
    <xf numFmtId="181" fontId="37" fillId="0" borderId="0" xfId="57266" applyNumberFormat="1" applyFont="1" applyFill="1" applyBorder="1" applyAlignment="1">
      <alignment horizontal="center"/>
    </xf>
    <xf numFmtId="181" fontId="37" fillId="0" borderId="78" xfId="57266" applyNumberFormat="1" applyFont="1" applyFill="1" applyBorder="1" applyAlignment="1">
      <alignment horizontal="center"/>
    </xf>
    <xf numFmtId="15" fontId="37" fillId="0" borderId="0" xfId="57265" applyNumberFormat="1" applyFont="1" applyFill="1" applyAlignment="1">
      <alignment horizontal="center"/>
    </xf>
    <xf numFmtId="167" fontId="37" fillId="0" borderId="78" xfId="57269" applyNumberFormat="1" applyFont="1" applyFill="1" applyBorder="1" applyAlignment="1">
      <alignment horizontal="center"/>
    </xf>
    <xf numFmtId="167" fontId="37" fillId="0" borderId="77" xfId="57269" applyNumberFormat="1" applyFont="1" applyFill="1" applyBorder="1" applyAlignment="1">
      <alignment horizontal="center"/>
    </xf>
    <xf numFmtId="167" fontId="37" fillId="0" borderId="0" xfId="57269" applyNumberFormat="1" applyFont="1" applyFill="1" applyBorder="1" applyAlignment="1">
      <alignment horizontal="center"/>
    </xf>
    <xf numFmtId="181" fontId="37" fillId="0" borderId="0" xfId="57269" applyNumberFormat="1" applyFont="1" applyFill="1" applyBorder="1" applyAlignment="1">
      <alignment horizontal="center"/>
    </xf>
    <xf numFmtId="181" fontId="37" fillId="0" borderId="78" xfId="57269" applyNumberFormat="1" applyFont="1" applyFill="1" applyBorder="1" applyAlignment="1">
      <alignment horizontal="center"/>
    </xf>
    <xf numFmtId="15" fontId="37" fillId="0" borderId="0" xfId="57268" applyNumberFormat="1" applyFont="1" applyFill="1" applyAlignment="1">
      <alignment horizontal="center"/>
    </xf>
    <xf numFmtId="167" fontId="37" fillId="0" borderId="78" xfId="57272" applyNumberFormat="1" applyFont="1" applyFill="1" applyBorder="1" applyAlignment="1">
      <alignment horizontal="center"/>
    </xf>
    <xf numFmtId="167" fontId="37" fillId="0" borderId="77" xfId="57272" applyNumberFormat="1" applyFont="1" applyFill="1" applyBorder="1" applyAlignment="1">
      <alignment horizontal="center"/>
    </xf>
    <xf numFmtId="167" fontId="37" fillId="0" borderId="0" xfId="57272" applyNumberFormat="1" applyFont="1" applyFill="1" applyBorder="1" applyAlignment="1">
      <alignment horizontal="center"/>
    </xf>
    <xf numFmtId="181" fontId="37" fillId="0" borderId="0" xfId="57272" applyNumberFormat="1" applyFont="1" applyFill="1" applyBorder="1" applyAlignment="1">
      <alignment horizontal="center"/>
    </xf>
    <xf numFmtId="181" fontId="37" fillId="0" borderId="78" xfId="57272" applyNumberFormat="1" applyFont="1" applyFill="1" applyBorder="1" applyAlignment="1">
      <alignment horizontal="center"/>
    </xf>
    <xf numFmtId="15" fontId="37" fillId="0" borderId="0" xfId="57271" applyNumberFormat="1" applyFont="1" applyFill="1" applyAlignment="1">
      <alignment horizontal="center"/>
    </xf>
    <xf numFmtId="167" fontId="37" fillId="0" borderId="78" xfId="57275" applyNumberFormat="1" applyFont="1" applyFill="1" applyBorder="1" applyAlignment="1">
      <alignment horizontal="center"/>
    </xf>
    <xf numFmtId="167" fontId="37" fillId="0" borderId="77" xfId="57275" applyNumberFormat="1" applyFont="1" applyFill="1" applyBorder="1" applyAlignment="1">
      <alignment horizontal="center"/>
    </xf>
    <xf numFmtId="167" fontId="37" fillId="0" borderId="0" xfId="57275" applyNumberFormat="1" applyFont="1" applyFill="1" applyBorder="1" applyAlignment="1">
      <alignment horizontal="center"/>
    </xf>
    <xf numFmtId="181" fontId="37" fillId="0" borderId="0" xfId="57275" applyNumberFormat="1" applyFont="1" applyFill="1" applyBorder="1" applyAlignment="1">
      <alignment horizontal="center"/>
    </xf>
    <xf numFmtId="181" fontId="37" fillId="0" borderId="78" xfId="57275" applyNumberFormat="1" applyFont="1" applyFill="1" applyBorder="1" applyAlignment="1">
      <alignment horizontal="center"/>
    </xf>
    <xf numFmtId="15" fontId="37" fillId="0" borderId="0" xfId="57274" applyNumberFormat="1" applyFont="1" applyFill="1" applyAlignment="1">
      <alignment horizontal="center"/>
    </xf>
    <xf numFmtId="181" fontId="60" fillId="0" borderId="80" xfId="0" applyNumberFormat="1" applyFont="1" applyFill="1" applyBorder="1" applyAlignment="1" applyProtection="1">
      <alignment horizontal="center"/>
    </xf>
    <xf numFmtId="167" fontId="60" fillId="0" borderId="79" xfId="0" applyNumberFormat="1" applyFont="1" applyFill="1" applyBorder="1" applyAlignment="1" applyProtection="1">
      <alignment horizontal="center"/>
    </xf>
    <xf numFmtId="167" fontId="60" fillId="0" borderId="80" xfId="0" applyNumberFormat="1" applyFont="1" applyFill="1" applyBorder="1" applyAlignment="1" applyProtection="1">
      <alignment horizontal="center"/>
    </xf>
    <xf numFmtId="15" fontId="14" fillId="0" borderId="0" xfId="57274" applyNumberFormat="1" applyFont="1" applyFill="1" applyAlignment="1">
      <alignment horizontal="center"/>
    </xf>
    <xf numFmtId="181" fontId="14" fillId="0" borderId="78" xfId="57275" applyNumberFormat="1" applyFont="1" applyFill="1" applyBorder="1" applyAlignment="1">
      <alignment horizontal="center"/>
    </xf>
    <xf numFmtId="181" fontId="14" fillId="0" borderId="0" xfId="57275" applyNumberFormat="1" applyFont="1" applyFill="1" applyBorder="1" applyAlignment="1">
      <alignment horizontal="center"/>
    </xf>
    <xf numFmtId="167" fontId="14" fillId="0" borderId="0" xfId="57275" applyNumberFormat="1" applyFont="1" applyFill="1" applyBorder="1" applyAlignment="1">
      <alignment horizontal="center"/>
    </xf>
    <xf numFmtId="167" fontId="14" fillId="0" borderId="77" xfId="57275" applyNumberFormat="1" applyFont="1" applyFill="1" applyBorder="1" applyAlignment="1">
      <alignment horizontal="center"/>
    </xf>
    <xf numFmtId="167" fontId="14" fillId="0" borderId="78" xfId="57275" applyNumberFormat="1" applyFont="1" applyFill="1" applyBorder="1" applyAlignment="1">
      <alignment horizontal="center"/>
    </xf>
    <xf numFmtId="167" fontId="37" fillId="0" borderId="80" xfId="57278" applyNumberFormat="1" applyFont="1" applyFill="1" applyBorder="1" applyAlignment="1">
      <alignment horizontal="center"/>
    </xf>
    <xf numFmtId="167" fontId="37" fillId="0" borderId="79" xfId="57278" applyNumberFormat="1" applyFont="1" applyFill="1" applyBorder="1" applyAlignment="1">
      <alignment horizontal="center"/>
    </xf>
    <xf numFmtId="167" fontId="37" fillId="0" borderId="0" xfId="57278" applyNumberFormat="1" applyFont="1" applyFill="1" applyBorder="1" applyAlignment="1">
      <alignment horizontal="center"/>
    </xf>
    <xf numFmtId="181" fontId="37" fillId="0" borderId="0" xfId="57278" applyNumberFormat="1" applyFont="1" applyFill="1" applyBorder="1" applyAlignment="1">
      <alignment horizontal="center"/>
    </xf>
    <xf numFmtId="181" fontId="37" fillId="0" borderId="80" xfId="57278" applyNumberFormat="1" applyFont="1" applyFill="1" applyBorder="1" applyAlignment="1">
      <alignment horizontal="center"/>
    </xf>
    <xf numFmtId="15" fontId="37" fillId="0" borderId="0" xfId="57277" applyNumberFormat="1" applyFont="1" applyFill="1" applyAlignment="1">
      <alignment horizontal="center"/>
    </xf>
    <xf numFmtId="167" fontId="37" fillId="0" borderId="80" xfId="57281" applyNumberFormat="1" applyFont="1" applyFill="1" applyBorder="1" applyAlignment="1">
      <alignment horizontal="center"/>
    </xf>
    <xf numFmtId="167" fontId="37" fillId="0" borderId="79" xfId="57281" applyNumberFormat="1" applyFont="1" applyFill="1" applyBorder="1" applyAlignment="1">
      <alignment horizontal="center"/>
    </xf>
    <xf numFmtId="167" fontId="37" fillId="0" borderId="0" xfId="57281" applyNumberFormat="1" applyFont="1" applyFill="1" applyBorder="1" applyAlignment="1">
      <alignment horizontal="center"/>
    </xf>
    <xf numFmtId="181" fontId="37" fillId="0" borderId="0" xfId="57281" applyNumberFormat="1" applyFont="1" applyFill="1" applyBorder="1" applyAlignment="1">
      <alignment horizontal="center"/>
    </xf>
    <xf numFmtId="181" fontId="37" fillId="0" borderId="80" xfId="57281" applyNumberFormat="1" applyFont="1" applyFill="1" applyBorder="1" applyAlignment="1">
      <alignment horizontal="center"/>
    </xf>
    <xf numFmtId="15" fontId="37" fillId="0" borderId="0" xfId="57280" applyNumberFormat="1" applyFont="1" applyFill="1" applyAlignment="1">
      <alignment horizontal="center"/>
    </xf>
    <xf numFmtId="167" fontId="37" fillId="0" borderId="80" xfId="57284" applyNumberFormat="1" applyFont="1" applyFill="1" applyBorder="1" applyAlignment="1">
      <alignment horizontal="center"/>
    </xf>
    <xf numFmtId="167" fontId="37" fillId="0" borderId="79" xfId="57284" applyNumberFormat="1" applyFont="1" applyFill="1" applyBorder="1" applyAlignment="1">
      <alignment horizontal="center"/>
    </xf>
    <xf numFmtId="167" fontId="37" fillId="0" borderId="0" xfId="57284" applyNumberFormat="1" applyFont="1" applyFill="1" applyBorder="1" applyAlignment="1">
      <alignment horizontal="center"/>
    </xf>
    <xf numFmtId="181" fontId="37" fillId="0" borderId="0" xfId="57284" applyNumberFormat="1" applyFont="1" applyFill="1" applyBorder="1" applyAlignment="1">
      <alignment horizontal="center"/>
    </xf>
    <xf numFmtId="181" fontId="37" fillId="0" borderId="80" xfId="57284" applyNumberFormat="1" applyFont="1" applyFill="1" applyBorder="1" applyAlignment="1">
      <alignment horizontal="center"/>
    </xf>
    <xf numFmtId="15" fontId="37" fillId="0" borderId="0" xfId="57283" applyNumberFormat="1" applyFont="1" applyFill="1" applyAlignment="1">
      <alignment horizontal="center"/>
    </xf>
    <xf numFmtId="15" fontId="37" fillId="0" borderId="0" xfId="57286" applyNumberFormat="1" applyFont="1" applyFill="1" applyAlignment="1">
      <alignment horizontal="center"/>
    </xf>
    <xf numFmtId="181" fontId="37" fillId="0" borderId="80" xfId="57287" applyNumberFormat="1" applyFont="1" applyFill="1" applyBorder="1" applyAlignment="1">
      <alignment horizontal="center"/>
    </xf>
    <xf numFmtId="181" fontId="37" fillId="0" borderId="0" xfId="57287" applyNumberFormat="1" applyFont="1" applyFill="1" applyBorder="1" applyAlignment="1">
      <alignment horizontal="center"/>
    </xf>
    <xf numFmtId="167" fontId="37" fillId="0" borderId="0" xfId="57287" applyNumberFormat="1" applyFont="1" applyFill="1" applyBorder="1" applyAlignment="1">
      <alignment horizontal="center"/>
    </xf>
    <xf numFmtId="167" fontId="37" fillId="0" borderId="79" xfId="57287" applyNumberFormat="1" applyFont="1" applyFill="1" applyBorder="1" applyAlignment="1">
      <alignment horizontal="center"/>
    </xf>
    <xf numFmtId="167" fontId="37" fillId="0" borderId="80" xfId="57287" applyNumberFormat="1" applyFont="1" applyFill="1" applyBorder="1" applyAlignment="1">
      <alignment horizontal="center"/>
    </xf>
    <xf numFmtId="167" fontId="37" fillId="0" borderId="80" xfId="57290" applyNumberFormat="1" applyFont="1" applyFill="1" applyBorder="1" applyAlignment="1">
      <alignment horizontal="center"/>
    </xf>
    <xf numFmtId="167" fontId="37" fillId="0" borderId="79" xfId="57290" applyNumberFormat="1" applyFont="1" applyFill="1" applyBorder="1" applyAlignment="1">
      <alignment horizontal="center"/>
    </xf>
    <xf numFmtId="167" fontId="37" fillId="0" borderId="0" xfId="57290" applyNumberFormat="1" applyFont="1" applyFill="1" applyBorder="1" applyAlignment="1">
      <alignment horizontal="center"/>
    </xf>
    <xf numFmtId="181" fontId="37" fillId="0" borderId="0" xfId="57290" applyNumberFormat="1" applyFont="1" applyFill="1" applyBorder="1" applyAlignment="1">
      <alignment horizontal="center"/>
    </xf>
    <xf numFmtId="181" fontId="37" fillId="0" borderId="80" xfId="57290" applyNumberFormat="1" applyFont="1" applyFill="1" applyBorder="1" applyAlignment="1">
      <alignment horizontal="center"/>
    </xf>
    <xf numFmtId="15" fontId="37" fillId="0" borderId="0" xfId="57289" applyNumberFormat="1" applyFont="1" applyFill="1" applyAlignment="1">
      <alignment horizontal="center"/>
    </xf>
    <xf numFmtId="167" fontId="37" fillId="0" borderId="80" xfId="57293" applyNumberFormat="1" applyFont="1" applyFill="1" applyBorder="1" applyAlignment="1">
      <alignment horizontal="center"/>
    </xf>
    <xf numFmtId="167" fontId="37" fillId="0" borderId="79" xfId="57293" applyNumberFormat="1" applyFont="1" applyFill="1" applyBorder="1" applyAlignment="1">
      <alignment horizontal="center"/>
    </xf>
    <xf numFmtId="167" fontId="37" fillId="0" borderId="0" xfId="57293" applyNumberFormat="1" applyFont="1" applyFill="1" applyBorder="1" applyAlignment="1">
      <alignment horizontal="center"/>
    </xf>
    <xf numFmtId="181" fontId="37" fillId="0" borderId="0" xfId="57293" applyNumberFormat="1" applyFont="1" applyFill="1" applyBorder="1" applyAlignment="1">
      <alignment horizontal="center"/>
    </xf>
    <xf numFmtId="181" fontId="37" fillId="0" borderId="80" xfId="57293" applyNumberFormat="1" applyFont="1" applyFill="1" applyBorder="1" applyAlignment="1">
      <alignment horizontal="center"/>
    </xf>
    <xf numFmtId="15" fontId="37" fillId="0" borderId="0" xfId="57292" applyNumberFormat="1" applyFont="1" applyFill="1" applyAlignment="1">
      <alignment horizontal="center"/>
    </xf>
    <xf numFmtId="167" fontId="37" fillId="0" borderId="80" xfId="57296" applyNumberFormat="1" applyFont="1" applyFill="1" applyBorder="1" applyAlignment="1">
      <alignment horizontal="center"/>
    </xf>
    <xf numFmtId="167" fontId="37" fillId="0" borderId="79" xfId="57296" applyNumberFormat="1" applyFont="1" applyFill="1" applyBorder="1" applyAlignment="1">
      <alignment horizontal="center"/>
    </xf>
    <xf numFmtId="167" fontId="37" fillId="0" borderId="0" xfId="57296" applyNumberFormat="1" applyFont="1" applyFill="1" applyBorder="1" applyAlignment="1">
      <alignment horizontal="center"/>
    </xf>
    <xf numFmtId="181" fontId="37" fillId="0" borderId="0" xfId="57296" applyNumberFormat="1" applyFont="1" applyFill="1" applyBorder="1" applyAlignment="1">
      <alignment horizontal="center"/>
    </xf>
    <xf numFmtId="181" fontId="37" fillId="0" borderId="80" xfId="57296" applyNumberFormat="1" applyFont="1" applyFill="1" applyBorder="1" applyAlignment="1">
      <alignment horizontal="center"/>
    </xf>
    <xf numFmtId="15" fontId="37" fillId="0" borderId="0" xfId="57295" applyNumberFormat="1" applyFont="1" applyFill="1" applyAlignment="1">
      <alignment horizontal="center"/>
    </xf>
    <xf numFmtId="167" fontId="37" fillId="0" borderId="80" xfId="57299" applyNumberFormat="1" applyFont="1" applyFill="1" applyBorder="1" applyAlignment="1">
      <alignment horizontal="center"/>
    </xf>
    <xf numFmtId="167" fontId="37" fillId="0" borderId="79" xfId="57299" applyNumberFormat="1" applyFont="1" applyFill="1" applyBorder="1" applyAlignment="1">
      <alignment horizontal="center"/>
    </xf>
    <xf numFmtId="167" fontId="37" fillId="0" borderId="0" xfId="57299" applyNumberFormat="1" applyFont="1" applyFill="1" applyBorder="1" applyAlignment="1">
      <alignment horizontal="center"/>
    </xf>
    <xf numFmtId="181" fontId="37" fillId="0" borderId="0" xfId="57299" applyNumberFormat="1" applyFont="1" applyFill="1" applyBorder="1" applyAlignment="1">
      <alignment horizontal="center"/>
    </xf>
    <xf numFmtId="181" fontId="37" fillId="0" borderId="80" xfId="57299" applyNumberFormat="1" applyFont="1" applyFill="1" applyBorder="1" applyAlignment="1">
      <alignment horizontal="center"/>
    </xf>
    <xf numFmtId="15" fontId="37" fillId="0" borderId="0" xfId="57298" applyNumberFormat="1" applyFont="1" applyFill="1" applyAlignment="1">
      <alignment horizontal="center"/>
    </xf>
    <xf numFmtId="167" fontId="37" fillId="0" borderId="80" xfId="57302" applyNumberFormat="1" applyFont="1" applyFill="1" applyBorder="1" applyAlignment="1">
      <alignment horizontal="center"/>
    </xf>
    <xf numFmtId="167" fontId="37" fillId="0" borderId="79" xfId="57302" applyNumberFormat="1" applyFont="1" applyFill="1" applyBorder="1" applyAlignment="1">
      <alignment horizontal="center"/>
    </xf>
    <xf numFmtId="167" fontId="37" fillId="0" borderId="0" xfId="57302" applyNumberFormat="1" applyFont="1" applyFill="1" applyBorder="1" applyAlignment="1">
      <alignment horizontal="center"/>
    </xf>
    <xf numFmtId="181" fontId="37" fillId="0" borderId="0" xfId="57302" applyNumberFormat="1" applyFont="1" applyFill="1" applyBorder="1" applyAlignment="1">
      <alignment horizontal="center"/>
    </xf>
    <xf numFmtId="181" fontId="37" fillId="0" borderId="80" xfId="57302" applyNumberFormat="1" applyFont="1" applyFill="1" applyBorder="1" applyAlignment="1">
      <alignment horizontal="center"/>
    </xf>
    <xf numFmtId="15" fontId="37" fillId="0" borderId="0" xfId="57301" applyNumberFormat="1" applyFont="1" applyFill="1" applyAlignment="1">
      <alignment horizontal="center"/>
    </xf>
    <xf numFmtId="167" fontId="37" fillId="0" borderId="80" xfId="57305" applyNumberFormat="1" applyFont="1" applyFill="1" applyBorder="1" applyAlignment="1">
      <alignment horizontal="center"/>
    </xf>
    <xf numFmtId="167" fontId="37" fillId="0" borderId="79" xfId="57305" applyNumberFormat="1" applyFont="1" applyFill="1" applyBorder="1" applyAlignment="1">
      <alignment horizontal="center"/>
    </xf>
    <xf numFmtId="167" fontId="37" fillId="0" borderId="0" xfId="57305" applyNumberFormat="1" applyFont="1" applyFill="1" applyBorder="1" applyAlignment="1">
      <alignment horizontal="center"/>
    </xf>
    <xf numFmtId="181" fontId="37" fillId="0" borderId="0" xfId="57305" applyNumberFormat="1" applyFont="1" applyFill="1" applyBorder="1" applyAlignment="1">
      <alignment horizontal="center"/>
    </xf>
    <xf numFmtId="181" fontId="37" fillId="0" borderId="80" xfId="57305" applyNumberFormat="1" applyFont="1" applyFill="1" applyBorder="1" applyAlignment="1">
      <alignment horizontal="center"/>
    </xf>
    <xf numFmtId="15" fontId="37" fillId="0" borderId="0" xfId="57304" applyNumberFormat="1" applyFont="1" applyFill="1" applyAlignment="1">
      <alignment horizontal="center"/>
    </xf>
    <xf numFmtId="167" fontId="37" fillId="0" borderId="80" xfId="57308" applyNumberFormat="1" applyFont="1" applyFill="1" applyBorder="1" applyAlignment="1">
      <alignment horizontal="center"/>
    </xf>
    <xf numFmtId="167" fontId="37" fillId="0" borderId="79" xfId="57308" applyNumberFormat="1" applyFont="1" applyFill="1" applyBorder="1" applyAlignment="1">
      <alignment horizontal="center"/>
    </xf>
    <xf numFmtId="167" fontId="37" fillId="0" borderId="0" xfId="57308" applyNumberFormat="1" applyFont="1" applyFill="1" applyBorder="1" applyAlignment="1">
      <alignment horizontal="center"/>
    </xf>
    <xf numFmtId="181" fontId="37" fillId="0" borderId="0" xfId="57308" applyNumberFormat="1" applyFont="1" applyFill="1" applyBorder="1" applyAlignment="1">
      <alignment horizontal="center"/>
    </xf>
    <xf numFmtId="181" fontId="37" fillId="0" borderId="80" xfId="57308" applyNumberFormat="1" applyFont="1" applyFill="1" applyBorder="1" applyAlignment="1">
      <alignment horizontal="center"/>
    </xf>
    <xf numFmtId="15" fontId="37" fillId="0" borderId="0" xfId="57307" applyNumberFormat="1" applyFont="1" applyFill="1" applyAlignment="1">
      <alignment horizontal="center"/>
    </xf>
    <xf numFmtId="167" fontId="37" fillId="0" borderId="80" xfId="57311" applyNumberFormat="1" applyFont="1" applyFill="1" applyBorder="1" applyAlignment="1">
      <alignment horizontal="center"/>
    </xf>
    <xf numFmtId="167" fontId="37" fillId="0" borderId="79" xfId="57311" applyNumberFormat="1" applyFont="1" applyFill="1" applyBorder="1" applyAlignment="1">
      <alignment horizontal="center"/>
    </xf>
    <xf numFmtId="167" fontId="37" fillId="0" borderId="0" xfId="57311" applyNumberFormat="1" applyFont="1" applyFill="1" applyBorder="1" applyAlignment="1">
      <alignment horizontal="center"/>
    </xf>
    <xf numFmtId="181" fontId="37" fillId="0" borderId="0" xfId="57311" applyNumberFormat="1" applyFont="1" applyFill="1" applyBorder="1" applyAlignment="1">
      <alignment horizontal="center"/>
    </xf>
    <xf numFmtId="181" fontId="37" fillId="0" borderId="80" xfId="57311" applyNumberFormat="1" applyFont="1" applyFill="1" applyBorder="1" applyAlignment="1">
      <alignment horizontal="center"/>
    </xf>
    <xf numFmtId="15" fontId="37" fillId="0" borderId="0" xfId="57310" applyNumberFormat="1" applyFont="1" applyFill="1" applyAlignment="1">
      <alignment horizontal="center"/>
    </xf>
    <xf numFmtId="15" fontId="14" fillId="0" borderId="0" xfId="57307" applyNumberFormat="1" applyFont="1" applyFill="1" applyAlignment="1">
      <alignment horizontal="center"/>
    </xf>
    <xf numFmtId="181" fontId="14" fillId="0" borderId="80" xfId="57308" applyNumberFormat="1" applyFont="1" applyFill="1" applyBorder="1" applyAlignment="1">
      <alignment horizontal="center"/>
    </xf>
    <xf numFmtId="181" fontId="14" fillId="0" borderId="0" xfId="57308" applyNumberFormat="1" applyFont="1" applyFill="1" applyBorder="1" applyAlignment="1">
      <alignment horizontal="center"/>
    </xf>
    <xf numFmtId="167" fontId="14" fillId="0" borderId="0" xfId="57308" applyNumberFormat="1" applyFont="1" applyFill="1" applyBorder="1" applyAlignment="1">
      <alignment horizontal="center"/>
    </xf>
    <xf numFmtId="167" fontId="14" fillId="0" borderId="79" xfId="57308" applyNumberFormat="1" applyFont="1" applyFill="1" applyBorder="1" applyAlignment="1">
      <alignment horizontal="center"/>
    </xf>
    <xf numFmtId="167" fontId="14" fillId="0" borderId="80" xfId="57308" applyNumberFormat="1" applyFont="1" applyFill="1" applyBorder="1" applyAlignment="1">
      <alignment horizontal="center"/>
    </xf>
    <xf numFmtId="167" fontId="37" fillId="0" borderId="80" xfId="57314" applyNumberFormat="1" applyFont="1" applyFill="1" applyBorder="1" applyAlignment="1">
      <alignment horizontal="center"/>
    </xf>
    <xf numFmtId="167" fontId="37" fillId="0" borderId="79" xfId="57314" applyNumberFormat="1" applyFont="1" applyFill="1" applyBorder="1" applyAlignment="1">
      <alignment horizontal="center"/>
    </xf>
    <xf numFmtId="167" fontId="37" fillId="0" borderId="0" xfId="57314" applyNumberFormat="1" applyFont="1" applyFill="1" applyBorder="1" applyAlignment="1">
      <alignment horizontal="center"/>
    </xf>
    <xf numFmtId="181" fontId="37" fillId="0" borderId="0" xfId="57314" applyNumberFormat="1" applyFont="1" applyFill="1" applyBorder="1" applyAlignment="1">
      <alignment horizontal="center"/>
    </xf>
    <xf numFmtId="181" fontId="37" fillId="0" borderId="80" xfId="57314" applyNumberFormat="1" applyFont="1" applyFill="1" applyBorder="1" applyAlignment="1">
      <alignment horizontal="center"/>
    </xf>
    <xf numFmtId="15" fontId="37" fillId="0" borderId="0" xfId="57313" applyNumberFormat="1" applyFont="1" applyFill="1" applyAlignment="1">
      <alignment horizontal="center"/>
    </xf>
    <xf numFmtId="167" fontId="37" fillId="0" borderId="80" xfId="57317" applyNumberFormat="1" applyFont="1" applyFill="1" applyBorder="1" applyAlignment="1">
      <alignment horizontal="center"/>
    </xf>
    <xf numFmtId="167" fontId="37" fillId="0" borderId="79" xfId="57317" applyNumberFormat="1" applyFont="1" applyFill="1" applyBorder="1" applyAlignment="1">
      <alignment horizontal="center"/>
    </xf>
    <xf numFmtId="167" fontId="37" fillId="0" borderId="0" xfId="57317" applyNumberFormat="1" applyFont="1" applyFill="1" applyBorder="1" applyAlignment="1">
      <alignment horizontal="center"/>
    </xf>
    <xf numFmtId="181" fontId="37" fillId="0" borderId="0" xfId="57317" applyNumberFormat="1" applyFont="1" applyFill="1" applyBorder="1" applyAlignment="1">
      <alignment horizontal="center"/>
    </xf>
    <xf numFmtId="181" fontId="37" fillId="0" borderId="80" xfId="57317" applyNumberFormat="1" applyFont="1" applyFill="1" applyBorder="1" applyAlignment="1">
      <alignment horizontal="center"/>
    </xf>
    <xf numFmtId="15" fontId="37" fillId="0" borderId="0" xfId="57316" applyNumberFormat="1" applyFont="1" applyFill="1" applyAlignment="1">
      <alignment horizontal="center"/>
    </xf>
    <xf numFmtId="169" fontId="47" fillId="46" borderId="0" xfId="1" applyNumberFormat="1" applyFont="1" applyFill="1"/>
    <xf numFmtId="167" fontId="37" fillId="0" borderId="80" xfId="57320" applyNumberFormat="1" applyFont="1" applyFill="1" applyBorder="1" applyAlignment="1">
      <alignment horizontal="center"/>
    </xf>
    <xf numFmtId="167" fontId="37" fillId="0" borderId="79" xfId="57320" applyNumberFormat="1" applyFont="1" applyFill="1" applyBorder="1" applyAlignment="1">
      <alignment horizontal="center"/>
    </xf>
    <xf numFmtId="167" fontId="37" fillId="0" borderId="0" xfId="57320" applyNumberFormat="1" applyFont="1" applyFill="1" applyBorder="1" applyAlignment="1">
      <alignment horizontal="center"/>
    </xf>
    <xf numFmtId="181" fontId="37" fillId="0" borderId="0" xfId="57320" applyNumberFormat="1" applyFont="1" applyFill="1" applyBorder="1" applyAlignment="1">
      <alignment horizontal="center"/>
    </xf>
    <xf numFmtId="181" fontId="37" fillId="0" borderId="80" xfId="57320" applyNumberFormat="1" applyFont="1" applyFill="1" applyBorder="1" applyAlignment="1">
      <alignment horizontal="center"/>
    </xf>
    <xf numFmtId="15" fontId="37" fillId="0" borderId="0" xfId="57319" applyNumberFormat="1" applyFont="1" applyFill="1" applyAlignment="1">
      <alignment horizontal="center"/>
    </xf>
    <xf numFmtId="167" fontId="37" fillId="0" borderId="80" xfId="57323" applyFont="1" applyFill="1" applyBorder="1" applyAlignment="1">
      <alignment horizontal="center"/>
    </xf>
    <xf numFmtId="167" fontId="37" fillId="0" borderId="79" xfId="57323" applyFont="1" applyFill="1" applyBorder="1" applyAlignment="1">
      <alignment horizontal="center"/>
    </xf>
    <xf numFmtId="181" fontId="37" fillId="0" borderId="0" xfId="57323" applyNumberFormat="1" applyFont="1" applyFill="1" applyBorder="1" applyAlignment="1">
      <alignment horizontal="center"/>
    </xf>
    <xf numFmtId="181" fontId="37" fillId="0" borderId="80" xfId="57323" applyNumberFormat="1" applyFont="1" applyFill="1" applyBorder="1" applyAlignment="1">
      <alignment horizontal="center"/>
    </xf>
    <xf numFmtId="15" fontId="37" fillId="0" borderId="0" xfId="57322" applyNumberFormat="1" applyFont="1" applyFill="1" applyAlignment="1">
      <alignment horizontal="center"/>
    </xf>
    <xf numFmtId="167" fontId="37" fillId="0" borderId="0" xfId="57323" applyFont="1" applyFill="1" applyBorder="1" applyAlignment="1">
      <alignment horizontal="center"/>
    </xf>
    <xf numFmtId="167" fontId="37" fillId="0" borderId="80" xfId="57326" applyNumberFormat="1" applyFont="1" applyFill="1" applyBorder="1" applyAlignment="1">
      <alignment horizontal="center"/>
    </xf>
    <xf numFmtId="167" fontId="37" fillId="0" borderId="79" xfId="57326" applyNumberFormat="1" applyFont="1" applyFill="1" applyBorder="1" applyAlignment="1">
      <alignment horizontal="center"/>
    </xf>
    <xf numFmtId="167" fontId="37" fillId="0" borderId="0" xfId="57326" applyNumberFormat="1" applyFont="1" applyFill="1" applyBorder="1" applyAlignment="1">
      <alignment horizontal="center"/>
    </xf>
    <xf numFmtId="181" fontId="37" fillId="0" borderId="0" xfId="57326" applyNumberFormat="1" applyFont="1" applyFill="1" applyBorder="1" applyAlignment="1">
      <alignment horizontal="center"/>
    </xf>
    <xf numFmtId="181" fontId="37" fillId="0" borderId="80" xfId="57326" applyNumberFormat="1" applyFont="1" applyFill="1" applyBorder="1" applyAlignment="1">
      <alignment horizontal="center"/>
    </xf>
    <xf numFmtId="15" fontId="37" fillId="0" borderId="0" xfId="57325" applyNumberFormat="1" applyFont="1" applyFill="1" applyAlignment="1">
      <alignment horizontal="center"/>
    </xf>
    <xf numFmtId="167" fontId="37" fillId="0" borderId="80" xfId="57329" applyNumberFormat="1" applyFont="1" applyFill="1" applyBorder="1" applyAlignment="1">
      <alignment horizontal="center"/>
    </xf>
    <xf numFmtId="167" fontId="37" fillId="0" borderId="79" xfId="57329" applyNumberFormat="1" applyFont="1" applyFill="1" applyBorder="1" applyAlignment="1">
      <alignment horizontal="center"/>
    </xf>
    <xf numFmtId="167" fontId="37" fillId="0" borderId="0" xfId="57329" applyNumberFormat="1" applyFont="1" applyFill="1" applyBorder="1" applyAlignment="1">
      <alignment horizontal="center"/>
    </xf>
    <xf numFmtId="181" fontId="37" fillId="0" borderId="0" xfId="57329" applyNumberFormat="1" applyFont="1" applyFill="1" applyBorder="1" applyAlignment="1">
      <alignment horizontal="center"/>
    </xf>
    <xf numFmtId="181" fontId="37" fillId="0" borderId="80" xfId="57329" applyNumberFormat="1" applyFont="1" applyFill="1" applyBorder="1" applyAlignment="1">
      <alignment horizontal="center"/>
    </xf>
    <xf numFmtId="15" fontId="37" fillId="0" borderId="0" xfId="57328" applyNumberFormat="1" applyFont="1" applyFill="1" applyAlignment="1">
      <alignment horizontal="center"/>
    </xf>
    <xf numFmtId="167" fontId="37" fillId="0" borderId="80" xfId="57332" applyNumberFormat="1" applyFont="1" applyFill="1" applyBorder="1" applyAlignment="1">
      <alignment horizontal="center"/>
    </xf>
    <xf numFmtId="167" fontId="37" fillId="0" borderId="79" xfId="57332" applyNumberFormat="1" applyFont="1" applyFill="1" applyBorder="1" applyAlignment="1">
      <alignment horizontal="center"/>
    </xf>
    <xf numFmtId="167" fontId="37" fillId="0" borderId="0" xfId="57332" applyNumberFormat="1" applyFont="1" applyFill="1" applyBorder="1" applyAlignment="1">
      <alignment horizontal="center"/>
    </xf>
    <xf numFmtId="181" fontId="37" fillId="0" borderId="0" xfId="57332" applyNumberFormat="1" applyFont="1" applyFill="1" applyBorder="1" applyAlignment="1">
      <alignment horizontal="center"/>
    </xf>
    <xf numFmtId="181" fontId="37" fillId="0" borderId="80" xfId="57332" applyNumberFormat="1" applyFont="1" applyFill="1" applyBorder="1" applyAlignment="1">
      <alignment horizontal="center"/>
    </xf>
    <xf numFmtId="15" fontId="37" fillId="0" borderId="0" xfId="57331" applyNumberFormat="1" applyFont="1" applyFill="1" applyAlignment="1">
      <alignment horizontal="center"/>
    </xf>
    <xf numFmtId="167" fontId="37" fillId="0" borderId="80" xfId="57335" applyNumberFormat="1" applyFont="1" applyFill="1" applyBorder="1" applyAlignment="1">
      <alignment horizontal="center"/>
    </xf>
    <xf numFmtId="167" fontId="37" fillId="0" borderId="79" xfId="57335" applyNumberFormat="1" applyFont="1" applyFill="1" applyBorder="1" applyAlignment="1">
      <alignment horizontal="center"/>
    </xf>
    <xf numFmtId="167" fontId="37" fillId="0" borderId="0" xfId="57335" applyNumberFormat="1" applyFont="1" applyFill="1" applyBorder="1" applyAlignment="1">
      <alignment horizontal="center"/>
    </xf>
    <xf numFmtId="181" fontId="37" fillId="0" borderId="0" xfId="57335" applyNumberFormat="1" applyFont="1" applyFill="1" applyBorder="1" applyAlignment="1">
      <alignment horizontal="center"/>
    </xf>
    <xf numFmtId="181" fontId="37" fillId="0" borderId="80" xfId="57335" applyNumberFormat="1" applyFont="1" applyFill="1" applyBorder="1" applyAlignment="1">
      <alignment horizontal="center"/>
    </xf>
    <xf numFmtId="15" fontId="37" fillId="0" borderId="0" xfId="57334" applyNumberFormat="1" applyFont="1" applyFill="1" applyAlignment="1">
      <alignment horizontal="center"/>
    </xf>
    <xf numFmtId="167" fontId="37" fillId="0" borderId="80" xfId="57338" applyNumberFormat="1" applyFont="1" applyFill="1" applyBorder="1" applyAlignment="1">
      <alignment horizontal="center"/>
    </xf>
    <xf numFmtId="167" fontId="37" fillId="0" borderId="79" xfId="57338" applyNumberFormat="1" applyFont="1" applyFill="1" applyBorder="1" applyAlignment="1">
      <alignment horizontal="center"/>
    </xf>
    <xf numFmtId="167" fontId="37" fillId="0" borderId="0" xfId="57338" applyNumberFormat="1" applyFont="1" applyFill="1" applyBorder="1" applyAlignment="1">
      <alignment horizontal="center"/>
    </xf>
    <xf numFmtId="181" fontId="37" fillId="0" borderId="0" xfId="57338" applyNumberFormat="1" applyFont="1" applyFill="1" applyBorder="1" applyAlignment="1">
      <alignment horizontal="center"/>
    </xf>
    <xf numFmtId="181" fontId="37" fillId="0" borderId="80" xfId="57338" applyNumberFormat="1" applyFont="1" applyFill="1" applyBorder="1" applyAlignment="1">
      <alignment horizontal="center"/>
    </xf>
    <xf numFmtId="15" fontId="37" fillId="0" borderId="0" xfId="57337" applyNumberFormat="1" applyFont="1" applyFill="1" applyAlignment="1">
      <alignment horizontal="center"/>
    </xf>
    <xf numFmtId="167" fontId="37" fillId="0" borderId="80" xfId="57341" applyNumberFormat="1" applyFont="1" applyFill="1" applyBorder="1" applyAlignment="1">
      <alignment horizontal="center"/>
    </xf>
    <xf numFmtId="167" fontId="37" fillId="0" borderId="79" xfId="57341" applyNumberFormat="1" applyFont="1" applyFill="1" applyBorder="1" applyAlignment="1">
      <alignment horizontal="center"/>
    </xf>
    <xf numFmtId="167" fontId="37" fillId="0" borderId="0" xfId="57341" applyNumberFormat="1" applyFont="1" applyFill="1" applyBorder="1" applyAlignment="1">
      <alignment horizontal="center"/>
    </xf>
    <xf numFmtId="181" fontId="37" fillId="0" borderId="0" xfId="57341" applyNumberFormat="1" applyFont="1" applyFill="1" applyBorder="1" applyAlignment="1">
      <alignment horizontal="center"/>
    </xf>
    <xf numFmtId="181" fontId="37" fillId="0" borderId="80" xfId="57341" applyNumberFormat="1" applyFont="1" applyFill="1" applyBorder="1" applyAlignment="1">
      <alignment horizontal="center"/>
    </xf>
    <xf numFmtId="15" fontId="37" fillId="0" borderId="0" xfId="57340" applyNumberFormat="1" applyFont="1" applyFill="1" applyAlignment="1">
      <alignment horizontal="center"/>
    </xf>
    <xf numFmtId="167" fontId="37" fillId="0" borderId="80" xfId="57344" applyNumberFormat="1" applyFont="1" applyFill="1" applyBorder="1" applyAlignment="1">
      <alignment horizontal="center"/>
    </xf>
    <xf numFmtId="167" fontId="37" fillId="0" borderId="79" xfId="57344" applyNumberFormat="1" applyFont="1" applyFill="1" applyBorder="1" applyAlignment="1">
      <alignment horizontal="center"/>
    </xf>
    <xf numFmtId="167" fontId="37" fillId="0" borderId="0" xfId="57344" applyNumberFormat="1" applyFont="1" applyFill="1" applyBorder="1" applyAlignment="1">
      <alignment horizontal="center"/>
    </xf>
    <xf numFmtId="181" fontId="37" fillId="0" borderId="0" xfId="57344" applyNumberFormat="1" applyFont="1" applyFill="1" applyBorder="1" applyAlignment="1">
      <alignment horizontal="center"/>
    </xf>
    <xf numFmtId="181" fontId="37" fillId="0" borderId="80" xfId="57344" applyNumberFormat="1" applyFont="1" applyFill="1" applyBorder="1" applyAlignment="1">
      <alignment horizontal="center"/>
    </xf>
    <xf numFmtId="15" fontId="37" fillId="0" borderId="0" xfId="57343" applyNumberFormat="1" applyFont="1" applyFill="1" applyAlignment="1">
      <alignment horizontal="center"/>
    </xf>
    <xf numFmtId="167" fontId="37" fillId="0" borderId="80" xfId="57347" applyNumberFormat="1" applyFont="1" applyFill="1" applyBorder="1" applyAlignment="1">
      <alignment horizontal="center"/>
    </xf>
    <xf numFmtId="167" fontId="37" fillId="0" borderId="79" xfId="57347" applyNumberFormat="1" applyFont="1" applyFill="1" applyBorder="1" applyAlignment="1">
      <alignment horizontal="center"/>
    </xf>
    <xf numFmtId="167" fontId="37" fillId="0" borderId="0" xfId="57347" applyNumberFormat="1" applyFont="1" applyFill="1" applyBorder="1" applyAlignment="1">
      <alignment horizontal="center"/>
    </xf>
    <xf numFmtId="181" fontId="37" fillId="0" borderId="0" xfId="57347" applyNumberFormat="1" applyFont="1" applyFill="1" applyBorder="1" applyAlignment="1">
      <alignment horizontal="center"/>
    </xf>
    <xf numFmtId="181" fontId="37" fillId="0" borderId="80" xfId="57347" applyNumberFormat="1" applyFont="1" applyFill="1" applyBorder="1" applyAlignment="1">
      <alignment horizontal="center"/>
    </xf>
    <xf numFmtId="15" fontId="37" fillId="0" borderId="0" xfId="57346" applyNumberFormat="1" applyFont="1" applyFill="1" applyAlignment="1">
      <alignment horizontal="center"/>
    </xf>
    <xf numFmtId="167" fontId="37" fillId="0" borderId="80" xfId="57350" applyNumberFormat="1" applyFont="1" applyFill="1" applyBorder="1" applyAlignment="1">
      <alignment horizontal="center"/>
    </xf>
    <xf numFmtId="167" fontId="37" fillId="0" borderId="79" xfId="57350" applyNumberFormat="1" applyFont="1" applyFill="1" applyBorder="1" applyAlignment="1">
      <alignment horizontal="center"/>
    </xf>
    <xf numFmtId="167" fontId="37" fillId="0" borderId="0" xfId="57350" applyNumberFormat="1" applyFont="1" applyFill="1" applyBorder="1" applyAlignment="1">
      <alignment horizontal="center"/>
    </xf>
    <xf numFmtId="181" fontId="37" fillId="0" borderId="0" xfId="57350" applyNumberFormat="1" applyFont="1" applyFill="1" applyBorder="1" applyAlignment="1">
      <alignment horizontal="center"/>
    </xf>
    <xf numFmtId="181" fontId="37" fillId="0" borderId="80" xfId="57350" applyNumberFormat="1" applyFont="1" applyFill="1" applyBorder="1" applyAlignment="1">
      <alignment horizontal="center"/>
    </xf>
    <xf numFmtId="15" fontId="37" fillId="0" borderId="0" xfId="57349" applyNumberFormat="1" applyFont="1" applyFill="1" applyAlignment="1">
      <alignment horizontal="center"/>
    </xf>
    <xf numFmtId="167" fontId="37" fillId="0" borderId="0" xfId="57352" applyNumberFormat="1" applyFont="1" applyFill="1"/>
    <xf numFmtId="174" fontId="37" fillId="0" borderId="0" xfId="57352" applyFont="1" applyFill="1"/>
    <xf numFmtId="181" fontId="37" fillId="0" borderId="0" xfId="57353" applyNumberFormat="1" applyFont="1" applyFill="1"/>
    <xf numFmtId="15" fontId="37" fillId="0" borderId="0" xfId="57352" applyNumberFormat="1" applyFont="1" applyFill="1" applyAlignment="1">
      <alignment horizontal="center"/>
    </xf>
    <xf numFmtId="167" fontId="37" fillId="0" borderId="0" xfId="57353" applyNumberFormat="1" applyFont="1" applyFill="1"/>
    <xf numFmtId="167" fontId="37" fillId="0" borderId="0" xfId="57353" applyFont="1" applyFill="1" applyBorder="1" applyAlignment="1">
      <alignment horizontal="center"/>
    </xf>
    <xf numFmtId="167" fontId="37" fillId="0" borderId="79" xfId="57353" applyNumberFormat="1" applyFont="1" applyFill="1" applyBorder="1"/>
    <xf numFmtId="167" fontId="37" fillId="0" borderId="80" xfId="57356" applyNumberFormat="1" applyFont="1" applyFill="1" applyBorder="1" applyAlignment="1">
      <alignment horizontal="center"/>
    </xf>
    <xf numFmtId="167" fontId="37" fillId="0" borderId="79" xfId="57356" applyNumberFormat="1" applyFont="1" applyFill="1" applyBorder="1" applyAlignment="1">
      <alignment horizontal="center"/>
    </xf>
    <xf numFmtId="167" fontId="37" fillId="0" borderId="0" xfId="57356" applyNumberFormat="1" applyFont="1" applyFill="1" applyBorder="1" applyAlignment="1">
      <alignment horizontal="center"/>
    </xf>
    <xf numFmtId="181" fontId="37" fillId="0" borderId="0" xfId="57356" applyNumberFormat="1" applyFont="1" applyFill="1" applyBorder="1" applyAlignment="1">
      <alignment horizontal="center"/>
    </xf>
    <xf numFmtId="181" fontId="37" fillId="0" borderId="80" xfId="57356" applyNumberFormat="1" applyFont="1" applyFill="1" applyBorder="1" applyAlignment="1">
      <alignment horizontal="center"/>
    </xf>
    <xf numFmtId="15" fontId="37" fillId="0" borderId="0" xfId="57355" applyNumberFormat="1" applyFont="1" applyFill="1" applyAlignment="1">
      <alignment horizontal="center"/>
    </xf>
    <xf numFmtId="167" fontId="37" fillId="0" borderId="80" xfId="57359" applyNumberFormat="1" applyFont="1" applyFill="1" applyBorder="1" applyAlignment="1">
      <alignment horizontal="center"/>
    </xf>
    <xf numFmtId="167" fontId="37" fillId="0" borderId="79" xfId="57359" applyNumberFormat="1" applyFont="1" applyFill="1" applyBorder="1" applyAlignment="1">
      <alignment horizontal="center"/>
    </xf>
    <xf numFmtId="167" fontId="37" fillId="0" borderId="0" xfId="57359" applyNumberFormat="1" applyFont="1" applyFill="1" applyBorder="1" applyAlignment="1">
      <alignment horizontal="center"/>
    </xf>
    <xf numFmtId="181" fontId="37" fillId="0" borderId="0" xfId="57359" applyNumberFormat="1" applyFont="1" applyFill="1" applyBorder="1" applyAlignment="1">
      <alignment horizontal="center"/>
    </xf>
    <xf numFmtId="181" fontId="37" fillId="0" borderId="80" xfId="57359" applyNumberFormat="1" applyFont="1" applyFill="1" applyBorder="1" applyAlignment="1">
      <alignment horizontal="center"/>
    </xf>
    <xf numFmtId="15" fontId="37" fillId="0" borderId="0" xfId="57358" applyNumberFormat="1" applyFont="1" applyFill="1" applyAlignment="1">
      <alignment horizontal="center"/>
    </xf>
    <xf numFmtId="173" fontId="63" fillId="0" borderId="0" xfId="0" applyNumberFormat="1" applyFont="1"/>
    <xf numFmtId="38" fontId="64" fillId="0" borderId="0" xfId="0" applyNumberFormat="1" applyFont="1"/>
    <xf numFmtId="38" fontId="63" fillId="0" borderId="0" xfId="0" applyNumberFormat="1" applyFont="1"/>
    <xf numFmtId="169" fontId="63" fillId="0" borderId="0" xfId="1" applyNumberFormat="1" applyFont="1" applyAlignment="1">
      <alignment wrapText="1"/>
    </xf>
    <xf numFmtId="167" fontId="64" fillId="38" borderId="0" xfId="1" applyNumberFormat="1" applyFont="1" applyFill="1"/>
    <xf numFmtId="167" fontId="64" fillId="0" borderId="0" xfId="1" applyNumberFormat="1" applyFont="1" applyFill="1"/>
    <xf numFmtId="0" fontId="64" fillId="0" borderId="0" xfId="0" applyFont="1" applyFill="1"/>
    <xf numFmtId="38" fontId="64" fillId="0" borderId="0" xfId="0" applyNumberFormat="1" applyFont="1" applyFill="1"/>
    <xf numFmtId="15" fontId="14" fillId="0" borderId="0" xfId="57355" applyNumberFormat="1" applyFont="1" applyFill="1" applyAlignment="1">
      <alignment horizontal="center"/>
    </xf>
    <xf numFmtId="181" fontId="14" fillId="0" borderId="80" xfId="57356" applyNumberFormat="1" applyFont="1" applyFill="1" applyBorder="1" applyAlignment="1">
      <alignment horizontal="center"/>
    </xf>
    <xf numFmtId="181" fontId="14" fillId="0" borderId="0" xfId="57356" applyNumberFormat="1" applyFont="1" applyFill="1" applyBorder="1" applyAlignment="1">
      <alignment horizontal="center"/>
    </xf>
    <xf numFmtId="167" fontId="14" fillId="0" borderId="0" xfId="57356" applyNumberFormat="1" applyFont="1" applyFill="1" applyBorder="1" applyAlignment="1">
      <alignment horizontal="center"/>
    </xf>
    <xf numFmtId="167" fontId="14" fillId="0" borderId="79" xfId="57356" applyNumberFormat="1" applyFont="1" applyFill="1" applyBorder="1" applyAlignment="1">
      <alignment horizontal="center"/>
    </xf>
    <xf numFmtId="167" fontId="14" fillId="0" borderId="80" xfId="57356" applyNumberFormat="1" applyFont="1" applyFill="1" applyBorder="1" applyAlignment="1">
      <alignment horizontal="center"/>
    </xf>
    <xf numFmtId="167" fontId="37" fillId="0" borderId="80" xfId="57362" applyNumberFormat="1" applyFont="1" applyFill="1" applyBorder="1" applyAlignment="1">
      <alignment horizontal="center"/>
    </xf>
    <xf numFmtId="167" fontId="37" fillId="0" borderId="79" xfId="57362" applyNumberFormat="1" applyFont="1" applyFill="1" applyBorder="1" applyAlignment="1">
      <alignment horizontal="center"/>
    </xf>
    <xf numFmtId="167" fontId="37" fillId="0" borderId="0" xfId="57362" applyNumberFormat="1" applyFont="1" applyFill="1" applyBorder="1" applyAlignment="1">
      <alignment horizontal="center"/>
    </xf>
    <xf numFmtId="181" fontId="37" fillId="0" borderId="0" xfId="57362" applyNumberFormat="1" applyFont="1" applyFill="1" applyBorder="1" applyAlignment="1">
      <alignment horizontal="center"/>
    </xf>
    <xf numFmtId="181" fontId="37" fillId="0" borderId="80" xfId="57362" applyNumberFormat="1" applyFont="1" applyFill="1" applyBorder="1" applyAlignment="1">
      <alignment horizontal="center"/>
    </xf>
    <xf numFmtId="15" fontId="37" fillId="0" borderId="0" xfId="57361" applyNumberFormat="1" applyFont="1" applyFill="1" applyAlignment="1">
      <alignment horizontal="center"/>
    </xf>
    <xf numFmtId="167" fontId="37" fillId="0" borderId="80" xfId="57365" applyNumberFormat="1" applyFont="1" applyFill="1" applyBorder="1" applyAlignment="1">
      <alignment horizontal="center"/>
    </xf>
    <xf numFmtId="167" fontId="37" fillId="0" borderId="79" xfId="57365" applyNumberFormat="1" applyFont="1" applyFill="1" applyBorder="1" applyAlignment="1">
      <alignment horizontal="center"/>
    </xf>
    <xf numFmtId="167" fontId="37" fillId="0" borderId="0" xfId="57365" applyNumberFormat="1" applyFont="1" applyFill="1" applyBorder="1" applyAlignment="1">
      <alignment horizontal="center"/>
    </xf>
    <xf numFmtId="181" fontId="37" fillId="0" borderId="0" xfId="57365" applyNumberFormat="1" applyFont="1" applyFill="1" applyBorder="1" applyAlignment="1">
      <alignment horizontal="center"/>
    </xf>
    <xf numFmtId="181" fontId="37" fillId="0" borderId="80" xfId="57365" applyNumberFormat="1" applyFont="1" applyFill="1" applyBorder="1" applyAlignment="1">
      <alignment horizontal="center"/>
    </xf>
    <xf numFmtId="15" fontId="37" fillId="0" borderId="0" xfId="57364" applyNumberFormat="1" applyFont="1" applyFill="1" applyAlignment="1">
      <alignment horizontal="center"/>
    </xf>
    <xf numFmtId="167" fontId="37" fillId="0" borderId="80" xfId="57368" applyNumberFormat="1" applyFont="1" applyFill="1" applyBorder="1" applyAlignment="1">
      <alignment horizontal="center"/>
    </xf>
    <xf numFmtId="167" fontId="37" fillId="0" borderId="79" xfId="57368" applyNumberFormat="1" applyFont="1" applyFill="1" applyBorder="1" applyAlignment="1">
      <alignment horizontal="center"/>
    </xf>
    <xf numFmtId="167" fontId="37" fillId="0" borderId="0" xfId="57368" applyNumberFormat="1" applyFont="1" applyFill="1" applyBorder="1" applyAlignment="1">
      <alignment horizontal="center"/>
    </xf>
    <xf numFmtId="181" fontId="37" fillId="0" borderId="0" xfId="57368" applyNumberFormat="1" applyFont="1" applyFill="1" applyBorder="1" applyAlignment="1">
      <alignment horizontal="center"/>
    </xf>
    <xf numFmtId="181" fontId="37" fillId="0" borderId="80" xfId="57368" applyNumberFormat="1" applyFont="1" applyFill="1" applyBorder="1" applyAlignment="1">
      <alignment horizontal="center"/>
    </xf>
    <xf numFmtId="15" fontId="37" fillId="0" borderId="0" xfId="57367" applyNumberFormat="1" applyFont="1" applyFill="1" applyAlignment="1">
      <alignment horizontal="center"/>
    </xf>
    <xf numFmtId="167" fontId="37" fillId="0" borderId="80" xfId="57371" applyNumberFormat="1" applyFont="1" applyFill="1" applyBorder="1" applyAlignment="1">
      <alignment horizontal="center"/>
    </xf>
    <xf numFmtId="167" fontId="37" fillId="0" borderId="79" xfId="57371" applyNumberFormat="1" applyFont="1" applyFill="1" applyBorder="1" applyAlignment="1">
      <alignment horizontal="center"/>
    </xf>
    <xf numFmtId="167" fontId="37" fillId="0" borderId="0" xfId="57371" applyNumberFormat="1" applyFont="1" applyFill="1" applyBorder="1" applyAlignment="1">
      <alignment horizontal="center"/>
    </xf>
    <xf numFmtId="181" fontId="37" fillId="0" borderId="0" xfId="57371" applyNumberFormat="1" applyFont="1" applyFill="1" applyBorder="1" applyAlignment="1">
      <alignment horizontal="center"/>
    </xf>
    <xf numFmtId="181" fontId="37" fillId="0" borderId="80" xfId="57371" applyNumberFormat="1" applyFont="1" applyFill="1" applyBorder="1" applyAlignment="1">
      <alignment horizontal="center"/>
    </xf>
    <xf numFmtId="15" fontId="37" fillId="0" borderId="0" xfId="57370" applyNumberFormat="1" applyFont="1" applyFill="1" applyAlignment="1">
      <alignment horizontal="center"/>
    </xf>
    <xf numFmtId="167" fontId="37" fillId="0" borderId="80" xfId="57374" applyNumberFormat="1" applyFont="1" applyFill="1" applyBorder="1" applyAlignment="1">
      <alignment horizontal="center"/>
    </xf>
    <xf numFmtId="167" fontId="37" fillId="0" borderId="79" xfId="57374" applyNumberFormat="1" applyFont="1" applyFill="1" applyBorder="1" applyAlignment="1">
      <alignment horizontal="center"/>
    </xf>
    <xf numFmtId="167" fontId="37" fillId="0" borderId="0" xfId="57374" applyNumberFormat="1" applyFont="1" applyFill="1" applyBorder="1" applyAlignment="1">
      <alignment horizontal="center"/>
    </xf>
    <xf numFmtId="181" fontId="37" fillId="0" borderId="0" xfId="57374" applyNumberFormat="1" applyFont="1" applyFill="1" applyBorder="1" applyAlignment="1">
      <alignment horizontal="center"/>
    </xf>
    <xf numFmtId="181" fontId="37" fillId="0" borderId="80" xfId="57374" applyNumberFormat="1" applyFont="1" applyFill="1" applyBorder="1" applyAlignment="1">
      <alignment horizontal="center"/>
    </xf>
    <xf numFmtId="15" fontId="37" fillId="0" borderId="0" xfId="57373" applyNumberFormat="1" applyFont="1" applyFill="1" applyAlignment="1">
      <alignment horizontal="center"/>
    </xf>
    <xf numFmtId="15" fontId="14" fillId="0" borderId="0" xfId="57370" applyNumberFormat="1" applyFont="1" applyFill="1" applyAlignment="1">
      <alignment horizontal="center"/>
    </xf>
    <xf numFmtId="181" fontId="14" fillId="0" borderId="80" xfId="57371" applyNumberFormat="1" applyFont="1" applyFill="1" applyBorder="1" applyAlignment="1">
      <alignment horizontal="center"/>
    </xf>
    <xf numFmtId="181" fontId="14" fillId="0" borderId="0" xfId="57371" applyNumberFormat="1" applyFont="1" applyFill="1" applyBorder="1" applyAlignment="1">
      <alignment horizontal="center"/>
    </xf>
    <xf numFmtId="167" fontId="14" fillId="0" borderId="0" xfId="57371" applyNumberFormat="1" applyFont="1" applyFill="1" applyBorder="1" applyAlignment="1">
      <alignment horizontal="center"/>
    </xf>
    <xf numFmtId="167" fontId="14" fillId="0" borderId="79" xfId="57371" applyNumberFormat="1" applyFont="1" applyFill="1" applyBorder="1" applyAlignment="1">
      <alignment horizontal="center"/>
    </xf>
    <xf numFmtId="167" fontId="14" fillId="0" borderId="80" xfId="57371" applyNumberFormat="1" applyFont="1" applyFill="1" applyBorder="1" applyAlignment="1">
      <alignment horizontal="center"/>
    </xf>
    <xf numFmtId="167" fontId="37" fillId="0" borderId="80" xfId="57377" applyNumberFormat="1" applyFont="1" applyFill="1" applyBorder="1" applyAlignment="1">
      <alignment horizontal="center"/>
    </xf>
    <xf numFmtId="167" fontId="37" fillId="0" borderId="79" xfId="57377" applyNumberFormat="1" applyFont="1" applyFill="1" applyBorder="1" applyAlignment="1">
      <alignment horizontal="center"/>
    </xf>
    <xf numFmtId="167" fontId="37" fillId="0" borderId="0" xfId="57377" applyNumberFormat="1" applyFont="1" applyFill="1" applyBorder="1" applyAlignment="1">
      <alignment horizontal="center"/>
    </xf>
    <xf numFmtId="181" fontId="37" fillId="0" borderId="0" xfId="57377" applyNumberFormat="1" applyFont="1" applyFill="1" applyBorder="1" applyAlignment="1">
      <alignment horizontal="center"/>
    </xf>
    <xf numFmtId="181" fontId="37" fillId="0" borderId="80" xfId="57377" applyNumberFormat="1" applyFont="1" applyFill="1" applyBorder="1" applyAlignment="1">
      <alignment horizontal="center"/>
    </xf>
    <xf numFmtId="15" fontId="37" fillId="0" borderId="0" xfId="57376" applyNumberFormat="1" applyFont="1" applyFill="1" applyAlignment="1">
      <alignment horizontal="center"/>
    </xf>
    <xf numFmtId="167" fontId="37" fillId="0" borderId="80" xfId="57380" applyNumberFormat="1" applyFont="1" applyFill="1" applyBorder="1" applyAlignment="1">
      <alignment horizontal="center"/>
    </xf>
    <xf numFmtId="167" fontId="37" fillId="0" borderId="79" xfId="57380" applyNumberFormat="1" applyFont="1" applyFill="1" applyBorder="1" applyAlignment="1">
      <alignment horizontal="center"/>
    </xf>
    <xf numFmtId="167" fontId="37" fillId="0" borderId="0" xfId="57380" applyNumberFormat="1" applyFont="1" applyFill="1" applyBorder="1" applyAlignment="1">
      <alignment horizontal="center"/>
    </xf>
    <xf numFmtId="181" fontId="37" fillId="0" borderId="0" xfId="57380" applyNumberFormat="1" applyFont="1" applyFill="1" applyBorder="1" applyAlignment="1">
      <alignment horizontal="center"/>
    </xf>
    <xf numFmtId="181" fontId="37" fillId="0" borderId="80" xfId="57380" applyNumberFormat="1" applyFont="1" applyFill="1" applyBorder="1" applyAlignment="1">
      <alignment horizontal="center"/>
    </xf>
    <xf numFmtId="15" fontId="37" fillId="0" borderId="0" xfId="57379" applyNumberFormat="1" applyFont="1" applyFill="1" applyAlignment="1">
      <alignment horizontal="center"/>
    </xf>
    <xf numFmtId="167" fontId="37" fillId="0" borderId="80" xfId="57383" applyNumberFormat="1" applyFont="1" applyFill="1" applyBorder="1" applyAlignment="1">
      <alignment horizontal="center"/>
    </xf>
    <xf numFmtId="167" fontId="37" fillId="0" borderId="79" xfId="57383" applyNumberFormat="1" applyFont="1" applyFill="1" applyBorder="1" applyAlignment="1">
      <alignment horizontal="center"/>
    </xf>
    <xf numFmtId="167" fontId="37" fillId="0" borderId="0" xfId="57383" applyNumberFormat="1" applyFont="1" applyFill="1" applyBorder="1" applyAlignment="1">
      <alignment horizontal="center"/>
    </xf>
    <xf numFmtId="181" fontId="37" fillId="0" borderId="0" xfId="57383" applyNumberFormat="1" applyFont="1" applyFill="1" applyBorder="1" applyAlignment="1">
      <alignment horizontal="center"/>
    </xf>
    <xf numFmtId="181" fontId="37" fillId="0" borderId="80" xfId="57383" applyNumberFormat="1" applyFont="1" applyFill="1" applyBorder="1" applyAlignment="1">
      <alignment horizontal="center"/>
    </xf>
    <xf numFmtId="15" fontId="37" fillId="0" borderId="0" xfId="57382" applyNumberFormat="1" applyFont="1" applyFill="1" applyAlignment="1">
      <alignment horizontal="center"/>
    </xf>
    <xf numFmtId="167" fontId="37" fillId="0" borderId="80" xfId="57386" applyNumberFormat="1" applyFont="1" applyFill="1" applyBorder="1" applyAlignment="1">
      <alignment horizontal="center"/>
    </xf>
    <xf numFmtId="167" fontId="37" fillId="0" borderId="79" xfId="57386" applyNumberFormat="1" applyFont="1" applyFill="1" applyBorder="1" applyAlignment="1">
      <alignment horizontal="center"/>
    </xf>
    <xf numFmtId="167" fontId="37" fillId="0" borderId="0" xfId="57386" applyNumberFormat="1" applyFont="1" applyFill="1" applyBorder="1" applyAlignment="1">
      <alignment horizontal="center"/>
    </xf>
    <xf numFmtId="181" fontId="37" fillId="0" borderId="0" xfId="57386" applyNumberFormat="1" applyFont="1" applyFill="1" applyBorder="1" applyAlignment="1">
      <alignment horizontal="center"/>
    </xf>
    <xf numFmtId="181" fontId="37" fillId="0" borderId="80" xfId="57386" applyNumberFormat="1" applyFont="1" applyFill="1" applyBorder="1" applyAlignment="1">
      <alignment horizontal="center"/>
    </xf>
    <xf numFmtId="15" fontId="37" fillId="0" borderId="0" xfId="57385" applyNumberFormat="1" applyFont="1" applyFill="1" applyAlignment="1">
      <alignment horizontal="center"/>
    </xf>
    <xf numFmtId="167" fontId="37" fillId="0" borderId="80" xfId="57389" applyNumberFormat="1" applyFont="1" applyFill="1" applyBorder="1" applyAlignment="1">
      <alignment horizontal="center"/>
    </xf>
    <xf numFmtId="167" fontId="37" fillId="0" borderId="79" xfId="57389" applyNumberFormat="1" applyFont="1" applyFill="1" applyBorder="1" applyAlignment="1">
      <alignment horizontal="center"/>
    </xf>
    <xf numFmtId="167" fontId="37" fillId="0" borderId="0" xfId="57389" applyNumberFormat="1" applyFont="1" applyFill="1" applyBorder="1" applyAlignment="1">
      <alignment horizontal="center"/>
    </xf>
    <xf numFmtId="181" fontId="37" fillId="0" borderId="0" xfId="57389" applyNumberFormat="1" applyFont="1" applyFill="1" applyBorder="1" applyAlignment="1">
      <alignment horizontal="center"/>
    </xf>
    <xf numFmtId="181" fontId="37" fillId="0" borderId="80" xfId="57389" applyNumberFormat="1" applyFont="1" applyFill="1" applyBorder="1" applyAlignment="1">
      <alignment horizontal="center"/>
    </xf>
    <xf numFmtId="15" fontId="37" fillId="0" borderId="0" xfId="57388" applyNumberFormat="1" applyFont="1" applyFill="1" applyAlignment="1">
      <alignment horizontal="center"/>
    </xf>
    <xf numFmtId="167" fontId="37" fillId="0" borderId="80" xfId="57392" applyNumberFormat="1" applyFont="1" applyFill="1" applyBorder="1" applyAlignment="1">
      <alignment horizontal="center"/>
    </xf>
    <xf numFmtId="167" fontId="37" fillId="0" borderId="79" xfId="57392" applyNumberFormat="1" applyFont="1" applyFill="1" applyBorder="1" applyAlignment="1">
      <alignment horizontal="center"/>
    </xf>
    <xf numFmtId="167" fontId="37" fillId="0" borderId="0" xfId="57392" applyNumberFormat="1" applyFont="1" applyFill="1" applyBorder="1" applyAlignment="1">
      <alignment horizontal="center"/>
    </xf>
    <xf numFmtId="181" fontId="37" fillId="0" borderId="0" xfId="57392" applyNumberFormat="1" applyFont="1" applyFill="1" applyBorder="1" applyAlignment="1">
      <alignment horizontal="center"/>
    </xf>
    <xf numFmtId="181" fontId="37" fillId="0" borderId="80" xfId="57392" applyNumberFormat="1" applyFont="1" applyFill="1" applyBorder="1" applyAlignment="1">
      <alignment horizontal="center"/>
    </xf>
    <xf numFmtId="15" fontId="37" fillId="0" borderId="0" xfId="57391" applyNumberFormat="1" applyFont="1" applyFill="1" applyAlignment="1">
      <alignment horizontal="center"/>
    </xf>
    <xf numFmtId="167" fontId="37" fillId="0" borderId="80" xfId="57395" applyNumberFormat="1" applyFont="1" applyFill="1" applyBorder="1" applyAlignment="1">
      <alignment horizontal="center"/>
    </xf>
    <xf numFmtId="167" fontId="37" fillId="0" borderId="79" xfId="57395" applyNumberFormat="1" applyFont="1" applyFill="1" applyBorder="1" applyAlignment="1">
      <alignment horizontal="center"/>
    </xf>
    <xf numFmtId="167" fontId="37" fillId="0" borderId="0" xfId="57395" applyNumberFormat="1" applyFont="1" applyFill="1" applyBorder="1" applyAlignment="1">
      <alignment horizontal="center"/>
    </xf>
    <xf numFmtId="181" fontId="37" fillId="0" borderId="0" xfId="57395" applyNumberFormat="1" applyFont="1" applyFill="1" applyBorder="1" applyAlignment="1">
      <alignment horizontal="center"/>
    </xf>
    <xf numFmtId="181" fontId="37" fillId="0" borderId="80" xfId="57395" applyNumberFormat="1" applyFont="1" applyFill="1" applyBorder="1" applyAlignment="1">
      <alignment horizontal="center"/>
    </xf>
    <xf numFmtId="15" fontId="37" fillId="0" borderId="0" xfId="57394" applyNumberFormat="1" applyFont="1" applyFill="1" applyAlignment="1">
      <alignment horizontal="center"/>
    </xf>
    <xf numFmtId="167" fontId="37" fillId="0" borderId="80" xfId="57398" applyNumberFormat="1" applyFont="1" applyFill="1" applyBorder="1" applyAlignment="1">
      <alignment horizontal="center"/>
    </xf>
    <xf numFmtId="167" fontId="37" fillId="0" borderId="79" xfId="57398" applyNumberFormat="1" applyFont="1" applyFill="1" applyBorder="1" applyAlignment="1">
      <alignment horizontal="center"/>
    </xf>
    <xf numFmtId="167" fontId="37" fillId="0" borderId="0" xfId="57398" applyNumberFormat="1" applyFont="1" applyFill="1" applyBorder="1" applyAlignment="1">
      <alignment horizontal="center"/>
    </xf>
    <xf numFmtId="181" fontId="37" fillId="0" borderId="0" xfId="57398" applyNumberFormat="1" applyFont="1" applyFill="1" applyBorder="1" applyAlignment="1">
      <alignment horizontal="center"/>
    </xf>
    <xf numFmtId="181" fontId="37" fillId="0" borderId="80" xfId="57398" applyNumberFormat="1" applyFont="1" applyFill="1" applyBorder="1" applyAlignment="1">
      <alignment horizontal="center"/>
    </xf>
    <xf numFmtId="15" fontId="37" fillId="0" borderId="0" xfId="57397" applyNumberFormat="1" applyFont="1" applyFill="1" applyAlignment="1">
      <alignment horizontal="center"/>
    </xf>
    <xf numFmtId="15" fontId="14" fillId="0" borderId="0" xfId="57394" applyNumberFormat="1" applyFont="1" applyFill="1" applyAlignment="1">
      <alignment horizontal="center"/>
    </xf>
    <xf numFmtId="181" fontId="14" fillId="0" borderId="80" xfId="57395" applyNumberFormat="1" applyFont="1" applyFill="1" applyBorder="1" applyAlignment="1">
      <alignment horizontal="center"/>
    </xf>
    <xf numFmtId="181" fontId="14" fillId="0" borderId="0" xfId="57395" applyNumberFormat="1" applyFont="1" applyFill="1" applyBorder="1" applyAlignment="1">
      <alignment horizontal="center"/>
    </xf>
    <xf numFmtId="167" fontId="14" fillId="0" borderId="0" xfId="57395" applyNumberFormat="1" applyFont="1" applyFill="1" applyBorder="1" applyAlignment="1">
      <alignment horizontal="center"/>
    </xf>
    <xf numFmtId="167" fontId="14" fillId="0" borderId="79" xfId="57395" applyNumberFormat="1" applyFont="1" applyFill="1" applyBorder="1" applyAlignment="1">
      <alignment horizontal="center"/>
    </xf>
    <xf numFmtId="167" fontId="14" fillId="0" borderId="80" xfId="57395" applyNumberFormat="1" applyFont="1" applyFill="1" applyBorder="1" applyAlignment="1">
      <alignment horizontal="center"/>
    </xf>
    <xf numFmtId="43" fontId="37" fillId="0" borderId="80" xfId="57401" applyNumberFormat="1" applyFont="1" applyFill="1" applyBorder="1" applyAlignment="1">
      <alignment horizontal="center"/>
    </xf>
    <xf numFmtId="43" fontId="37" fillId="0" borderId="79" xfId="57401" applyNumberFormat="1" applyFont="1" applyFill="1" applyBorder="1" applyAlignment="1">
      <alignment horizontal="center"/>
    </xf>
    <xf numFmtId="43" fontId="37" fillId="0" borderId="0" xfId="57401" applyNumberFormat="1" applyFont="1" applyFill="1" applyBorder="1" applyAlignment="1">
      <alignment horizontal="center"/>
    </xf>
    <xf numFmtId="181" fontId="37" fillId="0" borderId="0" xfId="57401" applyNumberFormat="1" applyFont="1" applyFill="1" applyBorder="1" applyAlignment="1">
      <alignment horizontal="center"/>
    </xf>
    <xf numFmtId="181" fontId="37" fillId="0" borderId="80" xfId="57401" applyNumberFormat="1" applyFont="1" applyFill="1" applyBorder="1" applyAlignment="1">
      <alignment horizontal="center"/>
    </xf>
    <xf numFmtId="15" fontId="37" fillId="0" borderId="0" xfId="57400" applyNumberFormat="1" applyFont="1" applyFill="1" applyAlignment="1">
      <alignment horizontal="center"/>
    </xf>
    <xf numFmtId="43" fontId="37" fillId="0" borderId="80" xfId="57404" applyNumberFormat="1" applyFont="1" applyFill="1" applyBorder="1" applyAlignment="1">
      <alignment horizontal="center"/>
    </xf>
    <xf numFmtId="43" fontId="37" fillId="0" borderId="79" xfId="57404" applyNumberFormat="1" applyFont="1" applyFill="1" applyBorder="1" applyAlignment="1">
      <alignment horizontal="center"/>
    </xf>
    <xf numFmtId="43" fontId="37" fillId="0" borderId="0" xfId="57404" applyNumberFormat="1" applyFont="1" applyFill="1" applyBorder="1" applyAlignment="1">
      <alignment horizontal="center"/>
    </xf>
    <xf numFmtId="181" fontId="37" fillId="0" borderId="0" xfId="57404" applyNumberFormat="1" applyFont="1" applyFill="1" applyBorder="1" applyAlignment="1">
      <alignment horizontal="center"/>
    </xf>
    <xf numFmtId="181" fontId="37" fillId="0" borderId="80" xfId="57404" applyNumberFormat="1" applyFont="1" applyFill="1" applyBorder="1" applyAlignment="1">
      <alignment horizontal="center"/>
    </xf>
    <xf numFmtId="15" fontId="37" fillId="0" borderId="0" xfId="57403" applyNumberFormat="1" applyFont="1" applyFill="1" applyAlignment="1">
      <alignment horizontal="center"/>
    </xf>
    <xf numFmtId="167" fontId="37" fillId="0" borderId="80" xfId="57407" applyNumberFormat="1" applyFont="1" applyFill="1" applyBorder="1" applyAlignment="1">
      <alignment horizontal="center"/>
    </xf>
    <xf numFmtId="167" fontId="37" fillId="0" borderId="79" xfId="57407" applyNumberFormat="1" applyFont="1" applyFill="1" applyBorder="1" applyAlignment="1">
      <alignment horizontal="center"/>
    </xf>
    <xf numFmtId="167" fontId="37" fillId="0" borderId="0" xfId="57407" applyNumberFormat="1" applyFont="1" applyFill="1" applyBorder="1" applyAlignment="1">
      <alignment horizontal="center"/>
    </xf>
    <xf numFmtId="181" fontId="37" fillId="0" borderId="0" xfId="57407" applyNumberFormat="1" applyFont="1" applyFill="1" applyBorder="1" applyAlignment="1">
      <alignment horizontal="center"/>
    </xf>
    <xf numFmtId="181" fontId="37" fillId="0" borderId="80" xfId="57407" applyNumberFormat="1" applyFont="1" applyFill="1" applyBorder="1" applyAlignment="1">
      <alignment horizontal="center"/>
    </xf>
    <xf numFmtId="15" fontId="37" fillId="0" borderId="0" xfId="57406" applyNumberFormat="1" applyFont="1" applyFill="1" applyAlignment="1">
      <alignment horizontal="center"/>
    </xf>
    <xf numFmtId="167" fontId="37" fillId="0" borderId="80" xfId="57410" applyNumberFormat="1" applyFont="1" applyFill="1" applyBorder="1" applyAlignment="1">
      <alignment horizontal="center"/>
    </xf>
    <xf numFmtId="167" fontId="37" fillId="0" borderId="79" xfId="57410" applyNumberFormat="1" applyFont="1" applyFill="1" applyBorder="1" applyAlignment="1">
      <alignment horizontal="center"/>
    </xf>
    <xf numFmtId="167" fontId="37" fillId="0" borderId="0" xfId="57410" applyNumberFormat="1" applyFont="1" applyFill="1" applyBorder="1" applyAlignment="1">
      <alignment horizontal="center"/>
    </xf>
    <xf numFmtId="181" fontId="37" fillId="0" borderId="0" xfId="57410" applyNumberFormat="1" applyFont="1" applyFill="1" applyBorder="1" applyAlignment="1">
      <alignment horizontal="center"/>
    </xf>
    <xf numFmtId="181" fontId="37" fillId="0" borderId="80" xfId="57410" applyNumberFormat="1" applyFont="1" applyFill="1" applyBorder="1" applyAlignment="1">
      <alignment horizontal="center"/>
    </xf>
    <xf numFmtId="15" fontId="37" fillId="0" borderId="0" xfId="57409" applyNumberFormat="1" applyFont="1" applyFill="1" applyAlignment="1">
      <alignment horizontal="center"/>
    </xf>
    <xf numFmtId="167" fontId="37" fillId="0" borderId="80" xfId="57413" applyNumberFormat="1" applyFont="1" applyFill="1" applyBorder="1" applyAlignment="1">
      <alignment horizontal="center"/>
    </xf>
    <xf numFmtId="167" fontId="37" fillId="0" borderId="79" xfId="57413" applyNumberFormat="1" applyFont="1" applyFill="1" applyBorder="1" applyAlignment="1">
      <alignment horizontal="center"/>
    </xf>
    <xf numFmtId="167" fontId="37" fillId="0" borderId="0" xfId="57413" applyNumberFormat="1" applyFont="1" applyFill="1" applyBorder="1" applyAlignment="1">
      <alignment horizontal="center"/>
    </xf>
    <xf numFmtId="181" fontId="37" fillId="0" borderId="0" xfId="57413" applyNumberFormat="1" applyFont="1" applyFill="1" applyBorder="1" applyAlignment="1">
      <alignment horizontal="center"/>
    </xf>
    <xf numFmtId="181" fontId="37" fillId="0" borderId="80" xfId="57413" applyNumberFormat="1" applyFont="1" applyFill="1" applyBorder="1" applyAlignment="1">
      <alignment horizontal="center"/>
    </xf>
    <xf numFmtId="15" fontId="37" fillId="0" borderId="0" xfId="57412" applyNumberFormat="1" applyFont="1" applyFill="1" applyAlignment="1">
      <alignment horizontal="center"/>
    </xf>
    <xf numFmtId="167" fontId="37" fillId="0" borderId="80" xfId="57416" applyNumberFormat="1" applyFont="1" applyFill="1" applyBorder="1" applyAlignment="1">
      <alignment horizontal="center"/>
    </xf>
    <xf numFmtId="167" fontId="37" fillId="0" borderId="79" xfId="57416" applyNumberFormat="1" applyFont="1" applyFill="1" applyBorder="1" applyAlignment="1">
      <alignment horizontal="center"/>
    </xf>
    <xf numFmtId="167" fontId="37" fillId="0" borderId="0" xfId="57416" applyNumberFormat="1" applyFont="1" applyFill="1" applyBorder="1" applyAlignment="1">
      <alignment horizontal="center"/>
    </xf>
    <xf numFmtId="181" fontId="37" fillId="0" borderId="0" xfId="57416" applyNumberFormat="1" applyFont="1" applyFill="1" applyBorder="1" applyAlignment="1">
      <alignment horizontal="center"/>
    </xf>
    <xf numFmtId="181" fontId="37" fillId="0" borderId="80" xfId="57416" applyNumberFormat="1" applyFont="1" applyFill="1" applyBorder="1" applyAlignment="1">
      <alignment horizontal="center"/>
    </xf>
    <xf numFmtId="15" fontId="37" fillId="0" borderId="0" xfId="57415" applyNumberFormat="1" applyFont="1" applyFill="1" applyAlignment="1">
      <alignment horizontal="center"/>
    </xf>
    <xf numFmtId="167" fontId="37" fillId="0" borderId="80" xfId="57419" applyNumberFormat="1" applyFont="1" applyFill="1" applyBorder="1" applyAlignment="1">
      <alignment horizontal="center"/>
    </xf>
    <xf numFmtId="167" fontId="37" fillId="0" borderId="79" xfId="57419" applyNumberFormat="1" applyFont="1" applyFill="1" applyBorder="1" applyAlignment="1">
      <alignment horizontal="center"/>
    </xf>
    <xf numFmtId="167" fontId="37" fillId="0" borderId="0" xfId="57419" applyNumberFormat="1" applyFont="1" applyFill="1" applyBorder="1" applyAlignment="1">
      <alignment horizontal="center"/>
    </xf>
    <xf numFmtId="181" fontId="37" fillId="0" borderId="0" xfId="57419" applyNumberFormat="1" applyFont="1" applyFill="1" applyBorder="1" applyAlignment="1">
      <alignment horizontal="center"/>
    </xf>
    <xf numFmtId="181" fontId="37" fillId="0" borderId="80" xfId="57419" applyNumberFormat="1" applyFont="1" applyFill="1" applyBorder="1" applyAlignment="1">
      <alignment horizontal="center"/>
    </xf>
    <xf numFmtId="15" fontId="37" fillId="0" borderId="0" xfId="57418" applyNumberFormat="1" applyFont="1" applyFill="1" applyAlignment="1">
      <alignment horizontal="center"/>
    </xf>
    <xf numFmtId="167" fontId="37" fillId="0" borderId="80" xfId="57422" applyNumberFormat="1" applyFont="1" applyFill="1" applyBorder="1" applyAlignment="1">
      <alignment horizontal="center"/>
    </xf>
    <xf numFmtId="167" fontId="37" fillId="0" borderId="79" xfId="57422" applyNumberFormat="1" applyFont="1" applyFill="1" applyBorder="1" applyAlignment="1">
      <alignment horizontal="center"/>
    </xf>
    <xf numFmtId="167" fontId="37" fillId="0" borderId="0" xfId="57422" applyNumberFormat="1" applyFont="1" applyFill="1" applyBorder="1" applyAlignment="1">
      <alignment horizontal="center"/>
    </xf>
    <xf numFmtId="181" fontId="37" fillId="0" borderId="0" xfId="57422" applyNumberFormat="1" applyFont="1" applyFill="1" applyBorder="1" applyAlignment="1">
      <alignment horizontal="center"/>
    </xf>
    <xf numFmtId="181" fontId="37" fillId="0" borderId="80" xfId="57422" applyNumberFormat="1" applyFont="1" applyFill="1" applyBorder="1" applyAlignment="1">
      <alignment horizontal="center"/>
    </xf>
    <xf numFmtId="15" fontId="37" fillId="0" borderId="0" xfId="57421" applyNumberFormat="1" applyFont="1" applyFill="1" applyAlignment="1">
      <alignment horizontal="center"/>
    </xf>
    <xf numFmtId="167" fontId="37" fillId="0" borderId="80" xfId="57425" applyNumberFormat="1" applyFont="1" applyFill="1" applyBorder="1" applyAlignment="1">
      <alignment horizontal="center"/>
    </xf>
    <xf numFmtId="167" fontId="37" fillId="0" borderId="79" xfId="57425" applyNumberFormat="1" applyFont="1" applyFill="1" applyBorder="1" applyAlignment="1">
      <alignment horizontal="center"/>
    </xf>
    <xf numFmtId="167" fontId="37" fillId="0" borderId="0" xfId="57425" applyNumberFormat="1" applyFont="1" applyFill="1" applyBorder="1" applyAlignment="1">
      <alignment horizontal="center"/>
    </xf>
    <xf numFmtId="181" fontId="37" fillId="0" borderId="0" xfId="57425" applyNumberFormat="1" applyFont="1" applyFill="1" applyBorder="1" applyAlignment="1">
      <alignment horizontal="center"/>
    </xf>
    <xf numFmtId="181" fontId="37" fillId="0" borderId="80" xfId="57425" applyNumberFormat="1" applyFont="1" applyFill="1" applyBorder="1" applyAlignment="1">
      <alignment horizontal="center"/>
    </xf>
    <xf numFmtId="15" fontId="37" fillId="0" borderId="0" xfId="57424" applyNumberFormat="1" applyFont="1" applyFill="1" applyAlignment="1">
      <alignment horizontal="center"/>
    </xf>
    <xf numFmtId="167" fontId="37" fillId="0" borderId="80" xfId="57428" applyNumberFormat="1" applyFont="1" applyFill="1" applyBorder="1" applyAlignment="1">
      <alignment horizontal="center"/>
    </xf>
    <xf numFmtId="167" fontId="37" fillId="0" borderId="79" xfId="57428" applyNumberFormat="1" applyFont="1" applyFill="1" applyBorder="1" applyAlignment="1">
      <alignment horizontal="center"/>
    </xf>
    <xf numFmtId="167" fontId="37" fillId="0" borderId="0" xfId="57428" applyNumberFormat="1" applyFont="1" applyFill="1" applyBorder="1" applyAlignment="1">
      <alignment horizontal="center"/>
    </xf>
    <xf numFmtId="181" fontId="37" fillId="0" borderId="0" xfId="57428" applyNumberFormat="1" applyFont="1" applyFill="1" applyBorder="1" applyAlignment="1">
      <alignment horizontal="center"/>
    </xf>
    <xf numFmtId="181" fontId="37" fillId="0" borderId="80" xfId="57428" applyNumberFormat="1" applyFont="1" applyFill="1" applyBorder="1" applyAlignment="1">
      <alignment horizontal="center"/>
    </xf>
    <xf numFmtId="15" fontId="37" fillId="0" borderId="0" xfId="57427" applyNumberFormat="1" applyFont="1" applyFill="1" applyAlignment="1">
      <alignment horizontal="center"/>
    </xf>
    <xf numFmtId="167" fontId="37" fillId="0" borderId="0" xfId="57430" applyNumberFormat="1" applyFont="1" applyFill="1"/>
    <xf numFmtId="174" fontId="37" fillId="0" borderId="0" xfId="57430" applyFont="1" applyFill="1"/>
    <xf numFmtId="181" fontId="37" fillId="0" borderId="0" xfId="57431" applyNumberFormat="1" applyFont="1" applyFill="1"/>
    <xf numFmtId="15" fontId="37" fillId="0" borderId="0" xfId="57430" applyNumberFormat="1" applyFont="1" applyFill="1" applyAlignment="1">
      <alignment horizontal="center"/>
    </xf>
    <xf numFmtId="167" fontId="37" fillId="0" borderId="0" xfId="57431" applyNumberFormat="1" applyFont="1" applyFill="1"/>
    <xf numFmtId="167" fontId="37" fillId="0" borderId="0" xfId="57431" applyFont="1" applyFill="1" applyBorder="1" applyAlignment="1">
      <alignment horizontal="center"/>
    </xf>
    <xf numFmtId="167" fontId="37" fillId="0" borderId="79" xfId="57431" applyNumberFormat="1" applyFont="1" applyFill="1" applyBorder="1"/>
    <xf numFmtId="167" fontId="37" fillId="0" borderId="80" xfId="57434" applyNumberFormat="1" applyFont="1" applyFill="1" applyBorder="1" applyAlignment="1">
      <alignment horizontal="center"/>
    </xf>
    <xf numFmtId="167" fontId="37" fillId="0" borderId="79" xfId="57434" applyNumberFormat="1" applyFont="1" applyFill="1" applyBorder="1" applyAlignment="1">
      <alignment horizontal="center"/>
    </xf>
    <xf numFmtId="167" fontId="37" fillId="0" borderId="0" xfId="57434" applyNumberFormat="1" applyFont="1" applyFill="1" applyBorder="1" applyAlignment="1">
      <alignment horizontal="center"/>
    </xf>
    <xf numFmtId="181" fontId="37" fillId="0" borderId="0" xfId="57434" applyNumberFormat="1" applyFont="1" applyFill="1" applyBorder="1" applyAlignment="1">
      <alignment horizontal="center"/>
    </xf>
    <xf numFmtId="181" fontId="37" fillId="0" borderId="80" xfId="57434" applyNumberFormat="1" applyFont="1" applyFill="1" applyBorder="1" applyAlignment="1">
      <alignment horizontal="center"/>
    </xf>
    <xf numFmtId="15" fontId="37" fillId="0" borderId="0" xfId="57433" applyNumberFormat="1" applyFont="1" applyFill="1" applyAlignment="1">
      <alignment horizontal="center"/>
    </xf>
    <xf numFmtId="43" fontId="37" fillId="0" borderId="80" xfId="57437" applyNumberFormat="1" applyFont="1" applyFill="1" applyBorder="1" applyAlignment="1">
      <alignment horizontal="center"/>
    </xf>
    <xf numFmtId="43" fontId="37" fillId="0" borderId="79" xfId="57437" applyNumberFormat="1" applyFont="1" applyFill="1" applyBorder="1" applyAlignment="1">
      <alignment horizontal="center"/>
    </xf>
    <xf numFmtId="43" fontId="37" fillId="0" borderId="0" xfId="57437" applyNumberFormat="1" applyFont="1" applyFill="1" applyBorder="1" applyAlignment="1">
      <alignment horizontal="center"/>
    </xf>
    <xf numFmtId="181" fontId="37" fillId="0" borderId="0" xfId="57437" applyNumberFormat="1" applyFont="1" applyFill="1" applyBorder="1" applyAlignment="1">
      <alignment horizontal="center"/>
    </xf>
    <xf numFmtId="181" fontId="37" fillId="0" borderId="80" xfId="57437" applyNumberFormat="1" applyFont="1" applyFill="1" applyBorder="1" applyAlignment="1">
      <alignment horizontal="center"/>
    </xf>
    <xf numFmtId="15" fontId="37" fillId="0" borderId="0" xfId="57436" applyNumberFormat="1" applyFont="1" applyFill="1" applyAlignment="1">
      <alignment horizontal="center"/>
    </xf>
    <xf numFmtId="43" fontId="37" fillId="0" borderId="80" xfId="57440" applyNumberFormat="1" applyFont="1" applyFill="1" applyBorder="1" applyAlignment="1">
      <alignment horizontal="center"/>
    </xf>
    <xf numFmtId="43" fontId="37" fillId="0" borderId="79" xfId="57440" applyNumberFormat="1" applyFont="1" applyFill="1" applyBorder="1" applyAlignment="1">
      <alignment horizontal="center"/>
    </xf>
    <xf numFmtId="43" fontId="37" fillId="0" borderId="0" xfId="57440" applyNumberFormat="1" applyFont="1" applyFill="1" applyBorder="1" applyAlignment="1">
      <alignment horizontal="center"/>
    </xf>
    <xf numFmtId="181" fontId="37" fillId="0" borderId="0" xfId="57440" applyNumberFormat="1" applyFont="1" applyFill="1" applyBorder="1" applyAlignment="1">
      <alignment horizontal="center"/>
    </xf>
    <xf numFmtId="181" fontId="37" fillId="0" borderId="80" xfId="57440" applyNumberFormat="1" applyFont="1" applyFill="1" applyBorder="1" applyAlignment="1">
      <alignment horizontal="center"/>
    </xf>
    <xf numFmtId="15" fontId="37" fillId="0" borderId="0" xfId="57439" applyNumberFormat="1" applyFont="1" applyFill="1" applyAlignment="1">
      <alignment horizontal="center"/>
    </xf>
    <xf numFmtId="0" fontId="16" fillId="0" borderId="11" xfId="0" applyFont="1" applyBorder="1" applyAlignment="1">
      <alignment horizontal="center"/>
    </xf>
    <xf numFmtId="0" fontId="0" fillId="0" borderId="81" xfId="0" applyBorder="1"/>
    <xf numFmtId="10" fontId="0" fillId="0" borderId="81" xfId="0" applyNumberFormat="1" applyBorder="1"/>
    <xf numFmtId="0" fontId="0" fillId="0" borderId="82" xfId="0" applyBorder="1"/>
    <xf numFmtId="10" fontId="0" fillId="0" borderId="82" xfId="0" applyNumberFormat="1" applyBorder="1"/>
    <xf numFmtId="0" fontId="0" fillId="0" borderId="83" xfId="0" applyBorder="1"/>
    <xf numFmtId="10" fontId="0" fillId="0" borderId="83" xfId="0" applyNumberFormat="1" applyBorder="1"/>
    <xf numFmtId="0" fontId="0" fillId="49" borderId="82" xfId="0" applyFill="1" applyBorder="1"/>
    <xf numFmtId="0" fontId="0" fillId="49" borderId="83" xfId="0" applyFill="1" applyBorder="1"/>
    <xf numFmtId="14" fontId="0" fillId="0" borderId="0" xfId="0" applyNumberFormat="1"/>
    <xf numFmtId="9" fontId="0" fillId="0" borderId="0" xfId="0" applyNumberFormat="1"/>
    <xf numFmtId="0" fontId="0" fillId="0" borderId="0" xfId="0" applyAlignment="1"/>
    <xf numFmtId="0" fontId="16" fillId="0" borderId="11" xfId="0" applyFont="1" applyBorder="1" applyAlignment="1">
      <alignment horizontal="center" vertical="center"/>
    </xf>
    <xf numFmtId="15" fontId="0" fillId="0" borderId="11" xfId="0" quotePrefix="1" applyNumberFormat="1" applyFont="1" applyBorder="1" applyAlignment="1"/>
    <xf numFmtId="38" fontId="0" fillId="38" borderId="11" xfId="0" applyNumberFormat="1" applyFont="1" applyFill="1" applyBorder="1" applyAlignment="1"/>
    <xf numFmtId="15" fontId="0" fillId="0" borderId="26" xfId="0" quotePrefix="1" applyNumberFormat="1" applyFont="1" applyBorder="1" applyAlignment="1">
      <alignment horizontal="center"/>
    </xf>
    <xf numFmtId="15" fontId="0" fillId="0" borderId="79" xfId="0" quotePrefix="1" applyNumberFormat="1" applyFont="1" applyBorder="1" applyAlignment="1">
      <alignment horizontal="center"/>
    </xf>
    <xf numFmtId="15" fontId="0" fillId="0" borderId="27" xfId="0" quotePrefix="1" applyNumberFormat="1" applyFont="1" applyBorder="1" applyAlignment="1">
      <alignment horizontal="center"/>
    </xf>
    <xf numFmtId="38" fontId="0" fillId="0" borderId="26" xfId="0" applyNumberFormat="1" applyFont="1" applyFill="1" applyBorder="1" applyAlignment="1">
      <alignment horizontal="center"/>
    </xf>
    <xf numFmtId="38" fontId="0" fillId="0" borderId="79" xfId="0" applyNumberFormat="1" applyFont="1" applyFill="1" applyBorder="1" applyAlignment="1">
      <alignment horizontal="center"/>
    </xf>
    <xf numFmtId="38" fontId="0" fillId="0" borderId="27" xfId="0" applyNumberFormat="1" applyFont="1" applyFill="1" applyBorder="1" applyAlignment="1">
      <alignment horizontal="center"/>
    </xf>
    <xf numFmtId="0" fontId="16" fillId="0" borderId="11" xfId="0" applyFont="1" applyBorder="1"/>
    <xf numFmtId="9" fontId="0" fillId="0" borderId="26" xfId="0" applyNumberFormat="1" applyBorder="1"/>
    <xf numFmtId="169" fontId="0" fillId="0" borderId="26" xfId="1" applyNumberFormat="1" applyFont="1" applyBorder="1"/>
    <xf numFmtId="10" fontId="0" fillId="0" borderId="26" xfId="55961" applyNumberFormat="1" applyFont="1" applyBorder="1"/>
    <xf numFmtId="9" fontId="0" fillId="0" borderId="79" xfId="0" applyNumberFormat="1" applyBorder="1"/>
    <xf numFmtId="169" fontId="0" fillId="0" borderId="79" xfId="1" applyNumberFormat="1" applyFont="1" applyBorder="1"/>
    <xf numFmtId="10" fontId="0" fillId="0" borderId="79" xfId="55961" applyNumberFormat="1" applyFont="1" applyBorder="1"/>
    <xf numFmtId="9" fontId="0" fillId="0" borderId="27" xfId="0" applyNumberFormat="1" applyBorder="1"/>
    <xf numFmtId="169" fontId="0" fillId="0" borderId="27" xfId="1" applyNumberFormat="1" applyFont="1" applyBorder="1"/>
    <xf numFmtId="10" fontId="0" fillId="0" borderId="27" xfId="55961" applyNumberFormat="1" applyFont="1" applyBorder="1"/>
    <xf numFmtId="0" fontId="16" fillId="0" borderId="11" xfId="0" applyFont="1" applyFill="1" applyBorder="1" applyAlignment="1">
      <alignment horizontal="center" vertical="center"/>
    </xf>
    <xf numFmtId="167" fontId="0" fillId="0" borderId="11" xfId="0" applyNumberFormat="1" applyBorder="1" applyAlignment="1"/>
    <xf numFmtId="10" fontId="0" fillId="0" borderId="26" xfId="55961" applyNumberFormat="1" applyFont="1" applyBorder="1" applyAlignment="1"/>
    <xf numFmtId="10" fontId="0" fillId="0" borderId="79" xfId="55961" applyNumberFormat="1" applyFont="1" applyBorder="1" applyAlignment="1"/>
    <xf numFmtId="10" fontId="0" fillId="0" borderId="27" xfId="55961" applyNumberFormat="1" applyFont="1" applyBorder="1" applyAlignment="1"/>
    <xf numFmtId="168" fontId="0" fillId="0" borderId="26" xfId="0" applyNumberFormat="1" applyBorder="1"/>
    <xf numFmtId="168" fontId="0" fillId="0" borderId="79" xfId="0" applyNumberFormat="1" applyBorder="1"/>
    <xf numFmtId="168" fontId="0" fillId="0" borderId="27" xfId="0" applyNumberFormat="1" applyBorder="1"/>
    <xf numFmtId="15" fontId="14" fillId="0" borderId="0" xfId="57439" applyNumberFormat="1" applyFont="1" applyFill="1" applyAlignment="1">
      <alignment horizontal="center"/>
    </xf>
    <xf numFmtId="181" fontId="14" fillId="0" borderId="80" xfId="57440" applyNumberFormat="1" applyFont="1" applyFill="1" applyBorder="1" applyAlignment="1">
      <alignment horizontal="center"/>
    </xf>
    <xf numFmtId="181" fontId="14" fillId="0" borderId="0" xfId="57440" applyNumberFormat="1" applyFont="1" applyFill="1" applyBorder="1" applyAlignment="1">
      <alignment horizontal="center"/>
    </xf>
    <xf numFmtId="43" fontId="14" fillId="0" borderId="0" xfId="57440" applyNumberFormat="1" applyFont="1" applyFill="1" applyBorder="1" applyAlignment="1">
      <alignment horizontal="center"/>
    </xf>
    <xf numFmtId="43" fontId="14" fillId="0" borderId="79" xfId="57440" applyNumberFormat="1" applyFont="1" applyFill="1" applyBorder="1" applyAlignment="1">
      <alignment horizontal="center"/>
    </xf>
    <xf numFmtId="43" fontId="14" fillId="0" borderId="80" xfId="57440" applyNumberFormat="1" applyFont="1" applyFill="1" applyBorder="1" applyAlignment="1">
      <alignment horizontal="center"/>
    </xf>
    <xf numFmtId="43" fontId="37" fillId="0" borderId="80" xfId="57443" applyNumberFormat="1" applyFont="1" applyFill="1" applyBorder="1" applyAlignment="1">
      <alignment horizontal="center"/>
    </xf>
    <xf numFmtId="43" fontId="37" fillId="0" borderId="79" xfId="57443" applyNumberFormat="1" applyFont="1" applyFill="1" applyBorder="1" applyAlignment="1">
      <alignment horizontal="center"/>
    </xf>
    <xf numFmtId="43" fontId="37" fillId="0" borderId="0" xfId="57443" applyNumberFormat="1" applyFont="1" applyFill="1" applyBorder="1" applyAlignment="1">
      <alignment horizontal="center"/>
    </xf>
    <xf numFmtId="181" fontId="37" fillId="0" borderId="0" xfId="57443" applyNumberFormat="1" applyFont="1" applyFill="1" applyBorder="1" applyAlignment="1">
      <alignment horizontal="center"/>
    </xf>
    <xf numFmtId="181" fontId="37" fillId="0" borderId="80" xfId="57443" applyNumberFormat="1" applyFont="1" applyFill="1" applyBorder="1" applyAlignment="1">
      <alignment horizontal="center"/>
    </xf>
    <xf numFmtId="15" fontId="37" fillId="0" borderId="0" xfId="57442" applyNumberFormat="1" applyFont="1" applyFill="1" applyAlignment="1">
      <alignment horizontal="center"/>
    </xf>
    <xf numFmtId="43" fontId="37" fillId="0" borderId="80" xfId="57446" applyNumberFormat="1" applyFont="1" applyFill="1" applyBorder="1" applyAlignment="1">
      <alignment horizontal="center"/>
    </xf>
    <xf numFmtId="43" fontId="37" fillId="0" borderId="79" xfId="57446" applyNumberFormat="1" applyFont="1" applyFill="1" applyBorder="1" applyAlignment="1">
      <alignment horizontal="center"/>
    </xf>
    <xf numFmtId="43" fontId="37" fillId="0" borderId="0" xfId="57446" applyNumberFormat="1" applyFont="1" applyFill="1" applyBorder="1" applyAlignment="1">
      <alignment horizontal="center"/>
    </xf>
    <xf numFmtId="181" fontId="37" fillId="0" borderId="0" xfId="57446" applyNumberFormat="1" applyFont="1" applyFill="1" applyBorder="1" applyAlignment="1">
      <alignment horizontal="center"/>
    </xf>
    <xf numFmtId="181" fontId="37" fillId="0" borderId="80" xfId="57446" applyNumberFormat="1" applyFont="1" applyFill="1" applyBorder="1" applyAlignment="1">
      <alignment horizontal="center"/>
    </xf>
    <xf numFmtId="15" fontId="37" fillId="0" borderId="0" xfId="57445" applyNumberFormat="1" applyFont="1" applyFill="1" applyAlignment="1">
      <alignment horizontal="center"/>
    </xf>
    <xf numFmtId="43" fontId="37" fillId="0" borderId="80" xfId="57449" applyNumberFormat="1" applyFont="1" applyFill="1" applyBorder="1" applyAlignment="1">
      <alignment horizontal="center"/>
    </xf>
    <xf numFmtId="43" fontId="37" fillId="0" borderId="79" xfId="57449" applyNumberFormat="1" applyFont="1" applyFill="1" applyBorder="1" applyAlignment="1">
      <alignment horizontal="center"/>
    </xf>
    <xf numFmtId="43" fontId="37" fillId="0" borderId="0" xfId="57449" applyNumberFormat="1" applyFont="1" applyFill="1" applyBorder="1" applyAlignment="1">
      <alignment horizontal="center"/>
    </xf>
    <xf numFmtId="181" fontId="37" fillId="0" borderId="0" xfId="57449" applyNumberFormat="1" applyFont="1" applyFill="1" applyBorder="1" applyAlignment="1">
      <alignment horizontal="center"/>
    </xf>
    <xf numFmtId="181" fontId="37" fillId="0" borderId="80" xfId="57449" applyNumberFormat="1" applyFont="1" applyFill="1" applyBorder="1" applyAlignment="1">
      <alignment horizontal="center"/>
    </xf>
    <xf numFmtId="15" fontId="37" fillId="0" borderId="0" xfId="57448" applyNumberFormat="1" applyFont="1" applyFill="1" applyAlignment="1">
      <alignment horizontal="center"/>
    </xf>
    <xf numFmtId="43" fontId="37" fillId="0" borderId="80" xfId="57452" applyNumberFormat="1" applyFont="1" applyFill="1" applyBorder="1" applyAlignment="1">
      <alignment horizontal="center"/>
    </xf>
    <xf numFmtId="43" fontId="37" fillId="0" borderId="79" xfId="57452" applyNumberFormat="1" applyFont="1" applyFill="1" applyBorder="1" applyAlignment="1">
      <alignment horizontal="center"/>
    </xf>
    <xf numFmtId="43" fontId="37" fillId="0" borderId="0" xfId="57452" applyNumberFormat="1" applyFont="1" applyFill="1" applyBorder="1" applyAlignment="1">
      <alignment horizontal="center"/>
    </xf>
    <xf numFmtId="181" fontId="37" fillId="0" borderId="0" xfId="57452" applyNumberFormat="1" applyFont="1" applyFill="1" applyBorder="1" applyAlignment="1">
      <alignment horizontal="center"/>
    </xf>
    <xf numFmtId="181" fontId="37" fillId="0" borderId="80" xfId="57452" applyNumberFormat="1" applyFont="1" applyFill="1" applyBorder="1" applyAlignment="1">
      <alignment horizontal="center"/>
    </xf>
    <xf numFmtId="15" fontId="37" fillId="0" borderId="0" xfId="57451" applyNumberFormat="1" applyFont="1" applyFill="1" applyAlignment="1">
      <alignment horizontal="center"/>
    </xf>
    <xf numFmtId="43" fontId="37" fillId="0" borderId="80" xfId="57455" applyNumberFormat="1" applyFont="1" applyFill="1" applyBorder="1" applyAlignment="1">
      <alignment horizontal="center"/>
    </xf>
    <xf numFmtId="43" fontId="37" fillId="0" borderId="79" xfId="57455" applyNumberFormat="1" applyFont="1" applyFill="1" applyBorder="1" applyAlignment="1">
      <alignment horizontal="center"/>
    </xf>
    <xf numFmtId="43" fontId="37" fillId="0" borderId="0" xfId="57455" applyNumberFormat="1" applyFont="1" applyFill="1" applyBorder="1" applyAlignment="1">
      <alignment horizontal="center"/>
    </xf>
    <xf numFmtId="181" fontId="37" fillId="0" borderId="0" xfId="57455" applyNumberFormat="1" applyFont="1" applyFill="1" applyBorder="1" applyAlignment="1">
      <alignment horizontal="center"/>
    </xf>
    <xf numFmtId="181" fontId="37" fillId="0" borderId="80" xfId="57455" applyNumberFormat="1" applyFont="1" applyFill="1" applyBorder="1" applyAlignment="1">
      <alignment horizontal="center"/>
    </xf>
    <xf numFmtId="15" fontId="37" fillId="0" borderId="0" xfId="57454" applyNumberFormat="1" applyFont="1" applyFill="1" applyAlignment="1">
      <alignment horizontal="center"/>
    </xf>
    <xf numFmtId="43" fontId="37" fillId="0" borderId="80" xfId="57458" applyNumberFormat="1" applyFont="1" applyFill="1" applyBorder="1" applyAlignment="1">
      <alignment horizontal="center"/>
    </xf>
    <xf numFmtId="43" fontId="37" fillId="0" borderId="79" xfId="57458" applyNumberFormat="1" applyFont="1" applyFill="1" applyBorder="1" applyAlignment="1">
      <alignment horizontal="center"/>
    </xf>
    <xf numFmtId="43" fontId="37" fillId="0" borderId="0" xfId="57458" applyNumberFormat="1" applyFont="1" applyFill="1" applyBorder="1" applyAlignment="1">
      <alignment horizontal="center"/>
    </xf>
    <xf numFmtId="181" fontId="37" fillId="0" borderId="0" xfId="57458" applyNumberFormat="1" applyFont="1" applyFill="1" applyBorder="1" applyAlignment="1">
      <alignment horizontal="center"/>
    </xf>
    <xf numFmtId="181" fontId="37" fillId="0" borderId="80" xfId="57458" applyNumberFormat="1" applyFont="1" applyFill="1" applyBorder="1" applyAlignment="1">
      <alignment horizontal="center"/>
    </xf>
    <xf numFmtId="15" fontId="37" fillId="0" borderId="0" xfId="57457" applyNumberFormat="1" applyFont="1" applyFill="1" applyAlignment="1">
      <alignment horizontal="center"/>
    </xf>
    <xf numFmtId="43" fontId="37" fillId="0" borderId="80" xfId="57461" applyNumberFormat="1" applyFont="1" applyFill="1" applyBorder="1" applyAlignment="1">
      <alignment horizontal="center"/>
    </xf>
    <xf numFmtId="43" fontId="37" fillId="0" borderId="79" xfId="57461" applyNumberFormat="1" applyFont="1" applyFill="1" applyBorder="1" applyAlignment="1">
      <alignment horizontal="center"/>
    </xf>
    <xf numFmtId="43" fontId="37" fillId="0" borderId="0" xfId="57461" applyNumberFormat="1" applyFont="1" applyFill="1" applyBorder="1" applyAlignment="1">
      <alignment horizontal="center"/>
    </xf>
    <xf numFmtId="181" fontId="37" fillId="0" borderId="0" xfId="57461" applyNumberFormat="1" applyFont="1" applyFill="1" applyBorder="1" applyAlignment="1">
      <alignment horizontal="center"/>
    </xf>
    <xf numFmtId="181" fontId="37" fillId="0" borderId="80" xfId="57461" applyNumberFormat="1" applyFont="1" applyFill="1" applyBorder="1" applyAlignment="1">
      <alignment horizontal="center"/>
    </xf>
    <xf numFmtId="15" fontId="37" fillId="0" borderId="0" xfId="57460" applyNumberFormat="1" applyFont="1" applyFill="1" applyAlignment="1">
      <alignment horizontal="center"/>
    </xf>
    <xf numFmtId="43" fontId="37" fillId="0" borderId="80" xfId="57464" applyNumberFormat="1" applyFont="1" applyFill="1" applyBorder="1" applyAlignment="1">
      <alignment horizontal="center"/>
    </xf>
    <xf numFmtId="43" fontId="37" fillId="0" borderId="79" xfId="57464" applyNumberFormat="1" applyFont="1" applyFill="1" applyBorder="1" applyAlignment="1">
      <alignment horizontal="center"/>
    </xf>
    <xf numFmtId="43" fontId="37" fillId="0" borderId="0" xfId="57464" applyNumberFormat="1" applyFont="1" applyFill="1" applyBorder="1" applyAlignment="1">
      <alignment horizontal="center"/>
    </xf>
    <xf numFmtId="181" fontId="37" fillId="0" borderId="0" xfId="57464" applyNumberFormat="1" applyFont="1" applyFill="1" applyBorder="1" applyAlignment="1">
      <alignment horizontal="center"/>
    </xf>
    <xf numFmtId="181" fontId="37" fillId="0" borderId="80" xfId="57464" applyNumberFormat="1" applyFont="1" applyFill="1" applyBorder="1" applyAlignment="1">
      <alignment horizontal="center"/>
    </xf>
    <xf numFmtId="15" fontId="37" fillId="0" borderId="0" xfId="57463" applyNumberFormat="1" applyFont="1" applyFill="1" applyAlignment="1">
      <alignment horizontal="center"/>
    </xf>
    <xf numFmtId="181" fontId="60" fillId="0" borderId="85" xfId="0" applyNumberFormat="1" applyFont="1" applyFill="1" applyBorder="1" applyAlignment="1" applyProtection="1">
      <alignment horizontal="center"/>
    </xf>
    <xf numFmtId="167" fontId="60" fillId="0" borderId="84" xfId="0" applyNumberFormat="1" applyFont="1" applyFill="1" applyBorder="1" applyAlignment="1" applyProtection="1">
      <alignment horizontal="center"/>
    </xf>
    <xf numFmtId="167" fontId="60" fillId="0" borderId="85" xfId="0" applyNumberFormat="1" applyFont="1" applyFill="1" applyBorder="1" applyAlignment="1" applyProtection="1">
      <alignment horizontal="center"/>
    </xf>
    <xf numFmtId="43" fontId="37" fillId="0" borderId="85" xfId="57467" applyNumberFormat="1" applyFont="1" applyFill="1" applyBorder="1" applyAlignment="1">
      <alignment horizontal="center"/>
    </xf>
    <xf numFmtId="43" fontId="37" fillId="0" borderId="84" xfId="57467" applyNumberFormat="1" applyFont="1" applyFill="1" applyBorder="1" applyAlignment="1">
      <alignment horizontal="center"/>
    </xf>
    <xf numFmtId="43" fontId="37" fillId="0" borderId="0" xfId="57467" applyNumberFormat="1" applyFont="1" applyFill="1" applyBorder="1" applyAlignment="1">
      <alignment horizontal="center"/>
    </xf>
    <xf numFmtId="181" fontId="37" fillId="0" borderId="0" xfId="57467" applyNumberFormat="1" applyFont="1" applyFill="1" applyBorder="1" applyAlignment="1">
      <alignment horizontal="center"/>
    </xf>
    <xf numFmtId="181" fontId="37" fillId="0" borderId="85" xfId="57467" applyNumberFormat="1" applyFont="1" applyFill="1" applyBorder="1" applyAlignment="1">
      <alignment horizontal="center"/>
    </xf>
    <xf numFmtId="15" fontId="37" fillId="0" borderId="0" xfId="57466" applyNumberFormat="1" applyFont="1" applyFill="1" applyAlignment="1">
      <alignment horizontal="center"/>
    </xf>
    <xf numFmtId="43" fontId="37" fillId="0" borderId="85" xfId="57470" applyNumberFormat="1" applyFont="1" applyFill="1" applyBorder="1" applyAlignment="1">
      <alignment horizontal="center"/>
    </xf>
    <xf numFmtId="43" fontId="37" fillId="0" borderId="84" xfId="57470" applyNumberFormat="1" applyFont="1" applyFill="1" applyBorder="1" applyAlignment="1">
      <alignment horizontal="center"/>
    </xf>
    <xf numFmtId="43" fontId="37" fillId="0" borderId="0" xfId="57470" applyNumberFormat="1" applyFont="1" applyFill="1" applyBorder="1" applyAlignment="1">
      <alignment horizontal="center"/>
    </xf>
    <xf numFmtId="181" fontId="37" fillId="0" borderId="0" xfId="57470" applyNumberFormat="1" applyFont="1" applyFill="1" applyBorder="1" applyAlignment="1">
      <alignment horizontal="center"/>
    </xf>
    <xf numFmtId="181" fontId="37" fillId="0" borderId="85" xfId="57470" applyNumberFormat="1" applyFont="1" applyFill="1" applyBorder="1" applyAlignment="1">
      <alignment horizontal="center"/>
    </xf>
    <xf numFmtId="15" fontId="37" fillId="0" borderId="0" xfId="57469" applyNumberFormat="1" applyFont="1" applyFill="1" applyAlignment="1">
      <alignment horizontal="center"/>
    </xf>
    <xf numFmtId="43" fontId="37" fillId="0" borderId="85" xfId="57473" applyNumberFormat="1" applyFont="1" applyFill="1" applyBorder="1" applyAlignment="1">
      <alignment horizontal="center"/>
    </xf>
    <xf numFmtId="43" fontId="37" fillId="0" borderId="84" xfId="57473" applyNumberFormat="1" applyFont="1" applyFill="1" applyBorder="1" applyAlignment="1">
      <alignment horizontal="center"/>
    </xf>
    <xf numFmtId="43" fontId="37" fillId="0" borderId="0" xfId="57473" applyNumberFormat="1" applyFont="1" applyFill="1" applyBorder="1" applyAlignment="1">
      <alignment horizontal="center"/>
    </xf>
    <xf numFmtId="181" fontId="37" fillId="0" borderId="0" xfId="57473" applyNumberFormat="1" applyFont="1" applyFill="1" applyBorder="1" applyAlignment="1">
      <alignment horizontal="center"/>
    </xf>
    <xf numFmtId="181" fontId="37" fillId="0" borderId="85" xfId="57473" applyNumberFormat="1" applyFont="1" applyFill="1" applyBorder="1" applyAlignment="1">
      <alignment horizontal="center"/>
    </xf>
    <xf numFmtId="15" fontId="37" fillId="0" borderId="0" xfId="57472" applyNumberFormat="1" applyFont="1" applyFill="1" applyAlignment="1">
      <alignment horizontal="center"/>
    </xf>
    <xf numFmtId="43" fontId="37" fillId="0" borderId="85" xfId="57476" applyNumberFormat="1" applyFont="1" applyFill="1" applyBorder="1" applyAlignment="1">
      <alignment horizontal="center"/>
    </xf>
    <xf numFmtId="43" fontId="37" fillId="0" borderId="84" xfId="57476" applyNumberFormat="1" applyFont="1" applyFill="1" applyBorder="1" applyAlignment="1">
      <alignment horizontal="center"/>
    </xf>
    <xf numFmtId="43" fontId="37" fillId="0" borderId="0" xfId="57476" applyNumberFormat="1" applyFont="1" applyFill="1" applyBorder="1" applyAlignment="1">
      <alignment horizontal="center"/>
    </xf>
    <xf numFmtId="181" fontId="37" fillId="0" borderId="0" xfId="57476" applyNumberFormat="1" applyFont="1" applyFill="1" applyBorder="1" applyAlignment="1">
      <alignment horizontal="center"/>
    </xf>
    <xf numFmtId="181" fontId="37" fillId="0" borderId="85" xfId="57476" applyNumberFormat="1" applyFont="1" applyFill="1" applyBorder="1" applyAlignment="1">
      <alignment horizontal="center"/>
    </xf>
    <xf numFmtId="15" fontId="37" fillId="0" borderId="0" xfId="57475" applyNumberFormat="1" applyFont="1" applyFill="1" applyAlignment="1">
      <alignment horizontal="center"/>
    </xf>
    <xf numFmtId="15" fontId="14" fillId="0" borderId="0" xfId="57463" applyNumberFormat="1" applyFont="1" applyFill="1" applyAlignment="1">
      <alignment horizontal="center"/>
    </xf>
    <xf numFmtId="181" fontId="14" fillId="0" borderId="80" xfId="57464" applyNumberFormat="1" applyFont="1" applyFill="1" applyBorder="1" applyAlignment="1">
      <alignment horizontal="center"/>
    </xf>
    <xf numFmtId="181" fontId="14" fillId="0" borderId="0" xfId="57464" applyNumberFormat="1" applyFont="1" applyFill="1" applyBorder="1" applyAlignment="1">
      <alignment horizontal="center"/>
    </xf>
    <xf numFmtId="43" fontId="14" fillId="0" borderId="0" xfId="57464" applyNumberFormat="1" applyFont="1" applyFill="1" applyBorder="1" applyAlignment="1">
      <alignment horizontal="center"/>
    </xf>
    <xf numFmtId="43" fontId="14" fillId="0" borderId="79" xfId="57464" applyNumberFormat="1" applyFont="1" applyFill="1" applyBorder="1" applyAlignment="1">
      <alignment horizontal="center"/>
    </xf>
    <xf numFmtId="43" fontId="14" fillId="0" borderId="80" xfId="57464" applyNumberFormat="1" applyFont="1" applyFill="1" applyBorder="1" applyAlignment="1">
      <alignment horizontal="center"/>
    </xf>
    <xf numFmtId="43" fontId="37" fillId="0" borderId="85" xfId="57479" applyNumberFormat="1" applyFont="1" applyFill="1" applyBorder="1" applyAlignment="1">
      <alignment horizontal="center"/>
    </xf>
    <xf numFmtId="43" fontId="37" fillId="0" borderId="84" xfId="57479" applyNumberFormat="1" applyFont="1" applyFill="1" applyBorder="1" applyAlignment="1">
      <alignment horizontal="center"/>
    </xf>
    <xf numFmtId="43" fontId="37" fillId="0" borderId="0" xfId="57479" applyNumberFormat="1" applyFont="1" applyFill="1" applyBorder="1" applyAlignment="1">
      <alignment horizontal="center"/>
    </xf>
    <xf numFmtId="181" fontId="37" fillId="0" borderId="0" xfId="57479" applyNumberFormat="1" applyFont="1" applyFill="1" applyBorder="1" applyAlignment="1">
      <alignment horizontal="center"/>
    </xf>
    <xf numFmtId="181" fontId="37" fillId="0" borderId="85" xfId="57479" applyNumberFormat="1" applyFont="1" applyFill="1" applyBorder="1" applyAlignment="1">
      <alignment horizontal="center"/>
    </xf>
    <xf numFmtId="15" fontId="37" fillId="0" borderId="0" xfId="57478" applyNumberFormat="1" applyFont="1" applyFill="1" applyAlignment="1">
      <alignment horizontal="center"/>
    </xf>
    <xf numFmtId="43" fontId="37" fillId="0" borderId="85" xfId="57482" applyNumberFormat="1" applyFont="1" applyFill="1" applyBorder="1" applyAlignment="1">
      <alignment horizontal="center"/>
    </xf>
    <xf numFmtId="43" fontId="37" fillId="0" borderId="84" xfId="57482" applyNumberFormat="1" applyFont="1" applyFill="1" applyBorder="1" applyAlignment="1">
      <alignment horizontal="center"/>
    </xf>
    <xf numFmtId="43" fontId="37" fillId="0" borderId="0" xfId="57482" applyNumberFormat="1" applyFont="1" applyFill="1" applyBorder="1" applyAlignment="1">
      <alignment horizontal="center"/>
    </xf>
    <xf numFmtId="181" fontId="37" fillId="0" borderId="0" xfId="57482" applyNumberFormat="1" applyFont="1" applyFill="1" applyBorder="1" applyAlignment="1">
      <alignment horizontal="center"/>
    </xf>
    <xf numFmtId="181" fontId="37" fillId="0" borderId="85" xfId="57482" applyNumberFormat="1" applyFont="1" applyFill="1" applyBorder="1" applyAlignment="1">
      <alignment horizontal="center"/>
    </xf>
    <xf numFmtId="15" fontId="37" fillId="0" borderId="0" xfId="57481" applyNumberFormat="1" applyFont="1" applyFill="1" applyAlignment="1">
      <alignment horizontal="center"/>
    </xf>
    <xf numFmtId="43" fontId="37" fillId="0" borderId="85" xfId="57485" applyNumberFormat="1" applyFont="1" applyFill="1" applyBorder="1" applyAlignment="1">
      <alignment horizontal="center"/>
    </xf>
    <xf numFmtId="43" fontId="37" fillId="0" borderId="84" xfId="57485" applyNumberFormat="1" applyFont="1" applyFill="1" applyBorder="1" applyAlignment="1">
      <alignment horizontal="center"/>
    </xf>
    <xf numFmtId="43" fontId="37" fillId="0" borderId="0" xfId="57485" applyNumberFormat="1" applyFont="1" applyFill="1" applyBorder="1" applyAlignment="1">
      <alignment horizontal="center"/>
    </xf>
    <xf numFmtId="181" fontId="37" fillId="0" borderId="0" xfId="57485" applyNumberFormat="1" applyFont="1" applyFill="1" applyBorder="1" applyAlignment="1">
      <alignment horizontal="center"/>
    </xf>
    <xf numFmtId="181" fontId="37" fillId="0" borderId="85" xfId="57485" applyNumberFormat="1" applyFont="1" applyFill="1" applyBorder="1" applyAlignment="1">
      <alignment horizontal="center"/>
    </xf>
    <xf numFmtId="15" fontId="37" fillId="0" borderId="0" xfId="57484" applyNumberFormat="1" applyFont="1" applyFill="1" applyAlignment="1">
      <alignment horizontal="center"/>
    </xf>
    <xf numFmtId="43" fontId="37" fillId="0" borderId="85" xfId="57488" applyNumberFormat="1" applyFont="1" applyFill="1" applyBorder="1" applyAlignment="1">
      <alignment horizontal="center"/>
    </xf>
    <xf numFmtId="43" fontId="37" fillId="0" borderId="84" xfId="57488" applyNumberFormat="1" applyFont="1" applyFill="1" applyBorder="1" applyAlignment="1">
      <alignment horizontal="center"/>
    </xf>
    <xf numFmtId="43" fontId="37" fillId="0" borderId="0" xfId="57488" applyNumberFormat="1" applyFont="1" applyFill="1" applyBorder="1" applyAlignment="1">
      <alignment horizontal="center"/>
    </xf>
    <xf numFmtId="181" fontId="37" fillId="0" borderId="0" xfId="57488" applyNumberFormat="1" applyFont="1" applyFill="1" applyBorder="1" applyAlignment="1">
      <alignment horizontal="center"/>
    </xf>
    <xf numFmtId="181" fontId="37" fillId="0" borderId="85" xfId="57488" applyNumberFormat="1" applyFont="1" applyFill="1" applyBorder="1" applyAlignment="1">
      <alignment horizontal="center"/>
    </xf>
    <xf numFmtId="15" fontId="37" fillId="0" borderId="0" xfId="57487" applyNumberFormat="1" applyFont="1" applyFill="1" applyAlignment="1">
      <alignment horizontal="center"/>
    </xf>
    <xf numFmtId="43" fontId="37" fillId="0" borderId="85" xfId="57491" applyNumberFormat="1" applyFont="1" applyFill="1" applyBorder="1" applyAlignment="1">
      <alignment horizontal="center"/>
    </xf>
    <xf numFmtId="43" fontId="37" fillId="0" borderId="84" xfId="57491" applyNumberFormat="1" applyFont="1" applyFill="1" applyBorder="1" applyAlignment="1">
      <alignment horizontal="center"/>
    </xf>
    <xf numFmtId="43" fontId="37" fillId="0" borderId="0" xfId="57491" applyNumberFormat="1" applyFont="1" applyFill="1" applyBorder="1" applyAlignment="1">
      <alignment horizontal="center"/>
    </xf>
    <xf numFmtId="181" fontId="37" fillId="0" borderId="0" xfId="57491" applyNumberFormat="1" applyFont="1" applyFill="1" applyBorder="1" applyAlignment="1">
      <alignment horizontal="center"/>
    </xf>
    <xf numFmtId="181" fontId="37" fillId="0" borderId="85" xfId="57491" applyNumberFormat="1" applyFont="1" applyFill="1" applyBorder="1" applyAlignment="1">
      <alignment horizontal="center"/>
    </xf>
    <xf numFmtId="15" fontId="37" fillId="0" borderId="0" xfId="57490" applyNumberFormat="1" applyFont="1" applyFill="1" applyAlignment="1">
      <alignment horizontal="center"/>
    </xf>
    <xf numFmtId="43" fontId="37" fillId="0" borderId="85" xfId="57494" applyNumberFormat="1" applyFont="1" applyFill="1" applyBorder="1" applyAlignment="1">
      <alignment horizontal="center"/>
    </xf>
    <xf numFmtId="43" fontId="37" fillId="0" borderId="84" xfId="57494" applyNumberFormat="1" applyFont="1" applyFill="1" applyBorder="1" applyAlignment="1">
      <alignment horizontal="center"/>
    </xf>
    <xf numFmtId="43" fontId="37" fillId="0" borderId="0" xfId="57494" applyNumberFormat="1" applyFont="1" applyFill="1" applyBorder="1" applyAlignment="1">
      <alignment horizontal="center"/>
    </xf>
    <xf numFmtId="181" fontId="37" fillId="0" borderId="0" xfId="57494" applyNumberFormat="1" applyFont="1" applyFill="1" applyBorder="1" applyAlignment="1">
      <alignment horizontal="center"/>
    </xf>
    <xf numFmtId="181" fontId="37" fillId="0" borderId="85" xfId="57494" applyNumberFormat="1" applyFont="1" applyFill="1" applyBorder="1" applyAlignment="1">
      <alignment horizontal="center"/>
    </xf>
    <xf numFmtId="15" fontId="37" fillId="0" borderId="0" xfId="57493" applyNumberFormat="1" applyFont="1" applyFill="1" applyAlignment="1">
      <alignment horizontal="center"/>
    </xf>
    <xf numFmtId="43" fontId="37" fillId="0" borderId="85" xfId="57497" applyNumberFormat="1" applyFont="1" applyFill="1" applyBorder="1" applyAlignment="1">
      <alignment horizontal="center"/>
    </xf>
    <xf numFmtId="43" fontId="37" fillId="0" borderId="84" xfId="57497" applyNumberFormat="1" applyFont="1" applyFill="1" applyBorder="1" applyAlignment="1">
      <alignment horizontal="center"/>
    </xf>
    <xf numFmtId="43" fontId="37" fillId="0" borderId="0" xfId="57497" applyNumberFormat="1" applyFont="1" applyFill="1" applyBorder="1" applyAlignment="1">
      <alignment horizontal="center"/>
    </xf>
    <xf numFmtId="181" fontId="37" fillId="0" borderId="0" xfId="57497" applyNumberFormat="1" applyFont="1" applyFill="1" applyBorder="1" applyAlignment="1">
      <alignment horizontal="center"/>
    </xf>
    <xf numFmtId="181" fontId="37" fillId="0" borderId="85" xfId="57497" applyNumberFormat="1" applyFont="1" applyFill="1" applyBorder="1" applyAlignment="1">
      <alignment horizontal="center"/>
    </xf>
    <xf numFmtId="15" fontId="37" fillId="0" borderId="0" xfId="57496" applyNumberFormat="1" applyFont="1" applyFill="1" applyAlignment="1">
      <alignment horizontal="center"/>
    </xf>
    <xf numFmtId="43" fontId="37" fillId="0" borderId="85" xfId="57500" applyNumberFormat="1" applyFont="1" applyFill="1" applyBorder="1" applyAlignment="1">
      <alignment horizontal="center"/>
    </xf>
    <xf numFmtId="43" fontId="37" fillId="0" borderId="84" xfId="57500" applyNumberFormat="1" applyFont="1" applyFill="1" applyBorder="1" applyAlignment="1">
      <alignment horizontal="center"/>
    </xf>
    <xf numFmtId="43" fontId="37" fillId="0" borderId="0" xfId="57500" applyNumberFormat="1" applyFont="1" applyFill="1" applyBorder="1" applyAlignment="1">
      <alignment horizontal="center"/>
    </xf>
    <xf numFmtId="181" fontId="37" fillId="0" borderId="0" xfId="57500" applyNumberFormat="1" applyFont="1" applyFill="1" applyBorder="1" applyAlignment="1">
      <alignment horizontal="center"/>
    </xf>
    <xf numFmtId="181" fontId="37" fillId="0" borderId="85" xfId="57500" applyNumberFormat="1" applyFont="1" applyFill="1" applyBorder="1" applyAlignment="1">
      <alignment horizontal="center"/>
    </xf>
    <xf numFmtId="15" fontId="37" fillId="0" borderId="0" xfId="57499" applyNumberFormat="1" applyFont="1" applyFill="1" applyAlignment="1">
      <alignment horizontal="center"/>
    </xf>
    <xf numFmtId="43" fontId="37" fillId="0" borderId="85" xfId="57503" applyNumberFormat="1" applyFont="1" applyFill="1" applyBorder="1" applyAlignment="1">
      <alignment horizontal="center"/>
    </xf>
    <xf numFmtId="43" fontId="37" fillId="0" borderId="84" xfId="57503" applyNumberFormat="1" applyFont="1" applyFill="1" applyBorder="1" applyAlignment="1">
      <alignment horizontal="center"/>
    </xf>
    <xf numFmtId="43" fontId="37" fillId="0" borderId="0" xfId="57503" applyNumberFormat="1" applyFont="1" applyFill="1" applyBorder="1" applyAlignment="1">
      <alignment horizontal="center"/>
    </xf>
    <xf numFmtId="181" fontId="37" fillId="0" borderId="0" xfId="57503" applyNumberFormat="1" applyFont="1" applyFill="1" applyBorder="1" applyAlignment="1">
      <alignment horizontal="center"/>
    </xf>
    <xf numFmtId="181" fontId="37" fillId="0" borderId="85" xfId="57503" applyNumberFormat="1" applyFont="1" applyFill="1" applyBorder="1" applyAlignment="1">
      <alignment horizontal="center"/>
    </xf>
    <xf numFmtId="15" fontId="37" fillId="0" borderId="0" xfId="57502" applyNumberFormat="1" applyFont="1" applyFill="1" applyAlignment="1">
      <alignment horizontal="center"/>
    </xf>
    <xf numFmtId="43" fontId="37" fillId="0" borderId="85" xfId="57506" applyNumberFormat="1" applyFont="1" applyFill="1" applyBorder="1" applyAlignment="1">
      <alignment horizontal="center"/>
    </xf>
    <xf numFmtId="43" fontId="37" fillId="0" borderId="84" xfId="57506" applyNumberFormat="1" applyFont="1" applyFill="1" applyBorder="1" applyAlignment="1">
      <alignment horizontal="center"/>
    </xf>
    <xf numFmtId="43" fontId="37" fillId="0" borderId="0" xfId="57506" applyNumberFormat="1" applyFont="1" applyFill="1" applyBorder="1" applyAlignment="1">
      <alignment horizontal="center"/>
    </xf>
    <xf numFmtId="181" fontId="37" fillId="0" borderId="0" xfId="57506" applyNumberFormat="1" applyFont="1" applyFill="1" applyBorder="1" applyAlignment="1">
      <alignment horizontal="center"/>
    </xf>
    <xf numFmtId="181" fontId="37" fillId="0" borderId="85" xfId="57506" applyNumberFormat="1" applyFont="1" applyFill="1" applyBorder="1" applyAlignment="1">
      <alignment horizontal="center"/>
    </xf>
    <xf numFmtId="15" fontId="37" fillId="0" borderId="0" xfId="57505" applyNumberFormat="1" applyFont="1" applyFill="1" applyAlignment="1">
      <alignment horizontal="center"/>
    </xf>
    <xf numFmtId="43" fontId="37" fillId="0" borderId="85" xfId="57509" applyNumberFormat="1" applyFont="1" applyFill="1" applyBorder="1" applyAlignment="1">
      <alignment horizontal="center"/>
    </xf>
    <xf numFmtId="43" fontId="37" fillId="0" borderId="84" xfId="57509" applyNumberFormat="1" applyFont="1" applyFill="1" applyBorder="1" applyAlignment="1">
      <alignment horizontal="center"/>
    </xf>
    <xf numFmtId="43" fontId="37" fillId="0" borderId="0" xfId="57509" applyNumberFormat="1" applyFont="1" applyFill="1" applyBorder="1" applyAlignment="1">
      <alignment horizontal="center"/>
    </xf>
    <xf numFmtId="181" fontId="37" fillId="0" borderId="0" xfId="57509" applyNumberFormat="1" applyFont="1" applyFill="1" applyBorder="1" applyAlignment="1">
      <alignment horizontal="center"/>
    </xf>
    <xf numFmtId="181" fontId="37" fillId="0" borderId="85" xfId="57509" applyNumberFormat="1" applyFont="1" applyFill="1" applyBorder="1" applyAlignment="1">
      <alignment horizontal="center"/>
    </xf>
    <xf numFmtId="15" fontId="37" fillId="0" borderId="0" xfId="57508" applyNumberFormat="1" applyFont="1" applyFill="1" applyAlignment="1">
      <alignment horizontal="center"/>
    </xf>
    <xf numFmtId="43" fontId="37" fillId="0" borderId="85" xfId="57512" applyNumberFormat="1" applyFont="1" applyFill="1" applyBorder="1" applyAlignment="1">
      <alignment horizontal="center"/>
    </xf>
    <xf numFmtId="43" fontId="37" fillId="0" borderId="84" xfId="57512" applyNumberFormat="1" applyFont="1" applyFill="1" applyBorder="1" applyAlignment="1">
      <alignment horizontal="center"/>
    </xf>
    <xf numFmtId="43" fontId="37" fillId="0" borderId="0" xfId="57512" applyNumberFormat="1" applyFont="1" applyFill="1" applyBorder="1" applyAlignment="1">
      <alignment horizontal="center"/>
    </xf>
    <xf numFmtId="181" fontId="37" fillId="0" borderId="0" xfId="57512" applyNumberFormat="1" applyFont="1" applyFill="1" applyBorder="1" applyAlignment="1">
      <alignment horizontal="center"/>
    </xf>
    <xf numFmtId="181" fontId="37" fillId="0" borderId="85" xfId="57512" applyNumberFormat="1" applyFont="1" applyFill="1" applyBorder="1" applyAlignment="1">
      <alignment horizontal="center"/>
    </xf>
    <xf numFmtId="15" fontId="37" fillId="0" borderId="0" xfId="57511" applyNumberFormat="1" applyFont="1" applyFill="1" applyAlignment="1">
      <alignment horizontal="center"/>
    </xf>
    <xf numFmtId="43" fontId="37" fillId="0" borderId="85" xfId="57515" applyNumberFormat="1" applyFont="1" applyFill="1" applyBorder="1" applyAlignment="1">
      <alignment horizontal="center"/>
    </xf>
    <xf numFmtId="43" fontId="37" fillId="0" borderId="84" xfId="57515" applyNumberFormat="1" applyFont="1" applyFill="1" applyBorder="1" applyAlignment="1">
      <alignment horizontal="center"/>
    </xf>
    <xf numFmtId="43" fontId="37" fillId="0" borderId="0" xfId="57515" applyNumberFormat="1" applyFont="1" applyFill="1" applyBorder="1" applyAlignment="1">
      <alignment horizontal="center"/>
    </xf>
    <xf numFmtId="181" fontId="37" fillId="0" borderId="0" xfId="57515" applyNumberFormat="1" applyFont="1" applyFill="1" applyBorder="1" applyAlignment="1">
      <alignment horizontal="center"/>
    </xf>
    <xf numFmtId="181" fontId="37" fillId="0" borderId="85" xfId="57515" applyNumberFormat="1" applyFont="1" applyFill="1" applyBorder="1" applyAlignment="1">
      <alignment horizontal="center"/>
    </xf>
    <xf numFmtId="15" fontId="37" fillId="0" borderId="0" xfId="57514" applyNumberFormat="1" applyFont="1" applyFill="1" applyAlignment="1">
      <alignment horizontal="center"/>
    </xf>
    <xf numFmtId="38" fontId="47" fillId="46" borderId="0" xfId="0" applyNumberFormat="1" applyFont="1" applyFill="1"/>
    <xf numFmtId="43" fontId="37" fillId="0" borderId="85" xfId="57518" applyNumberFormat="1" applyFont="1" applyFill="1" applyBorder="1" applyAlignment="1">
      <alignment horizontal="center"/>
    </xf>
    <xf numFmtId="43" fontId="37" fillId="0" borderId="84" xfId="57518" applyNumberFormat="1" applyFont="1" applyFill="1" applyBorder="1" applyAlignment="1">
      <alignment horizontal="center"/>
    </xf>
    <xf numFmtId="43" fontId="37" fillId="0" borderId="0" xfId="57518" applyNumberFormat="1" applyFont="1" applyFill="1" applyBorder="1" applyAlignment="1">
      <alignment horizontal="center"/>
    </xf>
    <xf numFmtId="181" fontId="37" fillId="0" borderId="0" xfId="57518" applyNumberFormat="1" applyFont="1" applyFill="1" applyBorder="1" applyAlignment="1">
      <alignment horizontal="center"/>
    </xf>
    <xf numFmtId="181" fontId="37" fillId="0" borderId="85" xfId="57518" applyNumberFormat="1" applyFont="1" applyFill="1" applyBorder="1" applyAlignment="1">
      <alignment horizontal="center"/>
    </xf>
    <xf numFmtId="15" fontId="37" fillId="0" borderId="0" xfId="57517" applyNumberFormat="1" applyFont="1" applyFill="1" applyAlignment="1">
      <alignment horizontal="center"/>
    </xf>
    <xf numFmtId="43" fontId="37" fillId="0" borderId="85" xfId="57521" applyNumberFormat="1" applyFont="1" applyFill="1" applyBorder="1" applyAlignment="1">
      <alignment horizontal="center"/>
    </xf>
    <xf numFmtId="43" fontId="37" fillId="0" borderId="84" xfId="57521" applyNumberFormat="1" applyFont="1" applyFill="1" applyBorder="1" applyAlignment="1">
      <alignment horizontal="center"/>
    </xf>
    <xf numFmtId="43" fontId="37" fillId="0" borderId="0" xfId="57521" applyNumberFormat="1" applyFont="1" applyFill="1" applyBorder="1" applyAlignment="1">
      <alignment horizontal="center"/>
    </xf>
    <xf numFmtId="181" fontId="37" fillId="0" borderId="0" xfId="57521" applyNumberFormat="1" applyFont="1" applyFill="1" applyBorder="1" applyAlignment="1">
      <alignment horizontal="center"/>
    </xf>
    <xf numFmtId="181" fontId="37" fillId="0" borderId="85" xfId="57521" applyNumberFormat="1" applyFont="1" applyFill="1" applyBorder="1" applyAlignment="1">
      <alignment horizontal="center"/>
    </xf>
    <xf numFmtId="15" fontId="37" fillId="0" borderId="0" xfId="57520" applyNumberFormat="1" applyFont="1" applyFill="1" applyAlignment="1">
      <alignment horizontal="center"/>
    </xf>
    <xf numFmtId="43" fontId="37" fillId="0" borderId="85" xfId="57524" applyNumberFormat="1" applyFont="1" applyFill="1" applyBorder="1" applyAlignment="1">
      <alignment horizontal="center"/>
    </xf>
    <xf numFmtId="43" fontId="37" fillId="0" borderId="84" xfId="57524" applyNumberFormat="1" applyFont="1" applyFill="1" applyBorder="1" applyAlignment="1">
      <alignment horizontal="center"/>
    </xf>
    <xf numFmtId="43" fontId="37" fillId="0" borderId="0" xfId="57524" applyNumberFormat="1" applyFont="1" applyFill="1" applyBorder="1" applyAlignment="1">
      <alignment horizontal="center"/>
    </xf>
    <xf numFmtId="181" fontId="37" fillId="0" borderId="0" xfId="57524" applyNumberFormat="1" applyFont="1" applyFill="1" applyBorder="1" applyAlignment="1">
      <alignment horizontal="center"/>
    </xf>
    <xf numFmtId="181" fontId="37" fillId="0" borderId="85" xfId="57524" applyNumberFormat="1" applyFont="1" applyFill="1" applyBorder="1" applyAlignment="1">
      <alignment horizontal="center"/>
    </xf>
    <xf numFmtId="15" fontId="37" fillId="0" borderId="0" xfId="57523" applyNumberFormat="1" applyFont="1" applyFill="1" applyAlignment="1">
      <alignment horizontal="center"/>
    </xf>
    <xf numFmtId="43" fontId="37" fillId="0" borderId="85" xfId="57527" applyNumberFormat="1" applyFont="1" applyFill="1" applyBorder="1" applyAlignment="1">
      <alignment horizontal="center"/>
    </xf>
    <xf numFmtId="43" fontId="37" fillId="0" borderId="84" xfId="57527" applyNumberFormat="1" applyFont="1" applyFill="1" applyBorder="1" applyAlignment="1">
      <alignment horizontal="center"/>
    </xf>
    <xf numFmtId="43" fontId="37" fillId="0" borderId="0" xfId="57527" applyNumberFormat="1" applyFont="1" applyFill="1" applyBorder="1" applyAlignment="1">
      <alignment horizontal="center"/>
    </xf>
    <xf numFmtId="181" fontId="37" fillId="0" borderId="0" xfId="57527" applyNumberFormat="1" applyFont="1" applyFill="1" applyBorder="1" applyAlignment="1">
      <alignment horizontal="center"/>
    </xf>
    <xf numFmtId="181" fontId="37" fillId="0" borderId="85" xfId="57527" applyNumberFormat="1" applyFont="1" applyFill="1" applyBorder="1" applyAlignment="1">
      <alignment horizontal="center"/>
    </xf>
    <xf numFmtId="15" fontId="37" fillId="0" borderId="0" xfId="57526" applyNumberFormat="1" applyFont="1" applyFill="1" applyAlignment="1">
      <alignment horizontal="center"/>
    </xf>
    <xf numFmtId="43" fontId="37" fillId="0" borderId="85" xfId="57530" applyNumberFormat="1" applyFont="1" applyFill="1" applyBorder="1" applyAlignment="1">
      <alignment horizontal="center"/>
    </xf>
    <xf numFmtId="43" fontId="37" fillId="0" borderId="84" xfId="57530" applyNumberFormat="1" applyFont="1" applyFill="1" applyBorder="1" applyAlignment="1">
      <alignment horizontal="center"/>
    </xf>
    <xf numFmtId="43" fontId="37" fillId="0" borderId="0" xfId="57530" applyNumberFormat="1" applyFont="1" applyFill="1" applyBorder="1" applyAlignment="1">
      <alignment horizontal="center"/>
    </xf>
    <xf numFmtId="181" fontId="37" fillId="0" borderId="0" xfId="57530" applyNumberFormat="1" applyFont="1" applyFill="1" applyBorder="1" applyAlignment="1">
      <alignment horizontal="center"/>
    </xf>
    <xf numFmtId="181" fontId="37" fillId="0" borderId="85" xfId="57530" applyNumberFormat="1" applyFont="1" applyFill="1" applyBorder="1" applyAlignment="1">
      <alignment horizontal="center"/>
    </xf>
    <xf numFmtId="15" fontId="37" fillId="0" borderId="0" xfId="57529" applyNumberFormat="1" applyFont="1" applyFill="1" applyAlignment="1">
      <alignment horizontal="center"/>
    </xf>
    <xf numFmtId="43" fontId="37" fillId="0" borderId="85" xfId="57533" applyNumberFormat="1" applyFont="1" applyFill="1" applyBorder="1" applyAlignment="1">
      <alignment horizontal="center"/>
    </xf>
    <xf numFmtId="43" fontId="37" fillId="0" borderId="84" xfId="57533" applyNumberFormat="1" applyFont="1" applyFill="1" applyBorder="1" applyAlignment="1">
      <alignment horizontal="center"/>
    </xf>
    <xf numFmtId="43" fontId="37" fillId="0" borderId="0" xfId="57533" applyNumberFormat="1" applyFont="1" applyFill="1" applyBorder="1" applyAlignment="1">
      <alignment horizontal="center"/>
    </xf>
    <xf numFmtId="181" fontId="37" fillId="0" borderId="0" xfId="57533" applyNumberFormat="1" applyFont="1" applyFill="1" applyBorder="1" applyAlignment="1">
      <alignment horizontal="center"/>
    </xf>
    <xf numFmtId="181" fontId="37" fillId="0" borderId="85" xfId="57533" applyNumberFormat="1" applyFont="1" applyFill="1" applyBorder="1" applyAlignment="1">
      <alignment horizontal="center"/>
    </xf>
    <xf numFmtId="15" fontId="37" fillId="0" borderId="0" xfId="57532" applyNumberFormat="1" applyFont="1" applyFill="1" applyAlignment="1">
      <alignment horizontal="center"/>
    </xf>
    <xf numFmtId="43" fontId="37" fillId="0" borderId="85" xfId="57536" applyNumberFormat="1" applyFont="1" applyFill="1" applyBorder="1" applyAlignment="1">
      <alignment horizontal="center"/>
    </xf>
    <xf numFmtId="43" fontId="37" fillId="0" borderId="84" xfId="57536" applyNumberFormat="1" applyFont="1" applyFill="1" applyBorder="1" applyAlignment="1">
      <alignment horizontal="center"/>
    </xf>
    <xf numFmtId="43" fontId="37" fillId="0" borderId="0" xfId="57536" applyNumberFormat="1" applyFont="1" applyFill="1" applyBorder="1" applyAlignment="1">
      <alignment horizontal="center"/>
    </xf>
    <xf numFmtId="181" fontId="37" fillId="0" borderId="0" xfId="57536" applyNumberFormat="1" applyFont="1" applyFill="1" applyBorder="1" applyAlignment="1">
      <alignment horizontal="center"/>
    </xf>
    <xf numFmtId="181" fontId="37" fillId="0" borderId="85" xfId="57536" applyNumberFormat="1" applyFont="1" applyFill="1" applyBorder="1" applyAlignment="1">
      <alignment horizontal="center"/>
    </xf>
    <xf numFmtId="15" fontId="37" fillId="0" borderId="0" xfId="57535" applyNumberFormat="1" applyFont="1" applyFill="1" applyAlignment="1">
      <alignment horizontal="center"/>
    </xf>
    <xf numFmtId="43" fontId="37" fillId="0" borderId="85" xfId="57539" applyNumberFormat="1" applyFont="1" applyFill="1" applyBorder="1" applyAlignment="1">
      <alignment horizontal="center"/>
    </xf>
    <xf numFmtId="43" fontId="37" fillId="0" borderId="84" xfId="57539" applyNumberFormat="1" applyFont="1" applyFill="1" applyBorder="1" applyAlignment="1">
      <alignment horizontal="center"/>
    </xf>
    <xf numFmtId="43" fontId="37" fillId="0" borderId="0" xfId="57539" applyNumberFormat="1" applyFont="1" applyFill="1" applyBorder="1" applyAlignment="1">
      <alignment horizontal="center"/>
    </xf>
    <xf numFmtId="181" fontId="37" fillId="0" borderId="0" xfId="57539" applyNumberFormat="1" applyFont="1" applyFill="1" applyBorder="1" applyAlignment="1">
      <alignment horizontal="center"/>
    </xf>
    <xf numFmtId="181" fontId="37" fillId="0" borderId="85" xfId="57539" applyNumberFormat="1" applyFont="1" applyFill="1" applyBorder="1" applyAlignment="1">
      <alignment horizontal="center"/>
    </xf>
    <xf numFmtId="15" fontId="37" fillId="0" borderId="0" xfId="57538" applyNumberFormat="1" applyFont="1" applyFill="1" applyAlignment="1">
      <alignment horizontal="center"/>
    </xf>
    <xf numFmtId="43" fontId="37" fillId="0" borderId="0" xfId="57541" applyNumberFormat="1" applyFont="1" applyFill="1"/>
    <xf numFmtId="174" fontId="37" fillId="0" borderId="0" xfId="57541" applyFont="1" applyFill="1"/>
    <xf numFmtId="181" fontId="37" fillId="0" borderId="0" xfId="57542" applyNumberFormat="1" applyFont="1" applyFill="1"/>
    <xf numFmtId="15" fontId="37" fillId="0" borderId="0" xfId="57541" applyNumberFormat="1" applyFont="1" applyFill="1" applyAlignment="1">
      <alignment horizontal="center"/>
    </xf>
    <xf numFmtId="43" fontId="37" fillId="0" borderId="0" xfId="57542" applyNumberFormat="1" applyFont="1" applyFill="1"/>
    <xf numFmtId="43" fontId="37" fillId="0" borderId="0" xfId="57542" applyFont="1" applyFill="1" applyBorder="1" applyAlignment="1">
      <alignment horizontal="center"/>
    </xf>
    <xf numFmtId="43" fontId="37" fillId="0" borderId="84" xfId="57542" applyNumberFormat="1" applyFont="1" applyFill="1" applyBorder="1"/>
    <xf numFmtId="43" fontId="37" fillId="0" borderId="85" xfId="57545" applyNumberFormat="1" applyFont="1" applyFill="1" applyBorder="1" applyAlignment="1">
      <alignment horizontal="center"/>
    </xf>
    <xf numFmtId="43" fontId="37" fillId="0" borderId="84" xfId="57545" applyNumberFormat="1" applyFont="1" applyFill="1" applyBorder="1" applyAlignment="1">
      <alignment horizontal="center"/>
    </xf>
    <xf numFmtId="43" fontId="37" fillId="0" borderId="0" xfId="57545" applyNumberFormat="1" applyFont="1" applyFill="1" applyBorder="1" applyAlignment="1">
      <alignment horizontal="center"/>
    </xf>
    <xf numFmtId="181" fontId="37" fillId="0" borderId="0" xfId="57545" applyNumberFormat="1" applyFont="1" applyFill="1" applyBorder="1" applyAlignment="1">
      <alignment horizontal="center"/>
    </xf>
    <xf numFmtId="181" fontId="37" fillId="0" borderId="85" xfId="57545" applyNumberFormat="1" applyFont="1" applyFill="1" applyBorder="1" applyAlignment="1">
      <alignment horizontal="center"/>
    </xf>
    <xf numFmtId="15" fontId="37" fillId="0" borderId="0" xfId="57544" applyNumberFormat="1" applyFont="1" applyFill="1" applyAlignment="1">
      <alignment horizontal="center"/>
    </xf>
    <xf numFmtId="15" fontId="37" fillId="0" borderId="0" xfId="57547" applyNumberFormat="1" applyFont="1" applyFill="1" applyAlignment="1">
      <alignment horizontal="center"/>
    </xf>
    <xf numFmtId="181" fontId="37" fillId="0" borderId="85" xfId="57548" applyNumberFormat="1" applyFont="1" applyFill="1" applyBorder="1" applyAlignment="1">
      <alignment horizontal="center"/>
    </xf>
    <xf numFmtId="181" fontId="37" fillId="0" borderId="0" xfId="57548" applyNumberFormat="1" applyFont="1" applyFill="1" applyBorder="1" applyAlignment="1">
      <alignment horizontal="center"/>
    </xf>
    <xf numFmtId="167" fontId="37" fillId="0" borderId="0" xfId="57548" applyNumberFormat="1" applyFont="1" applyFill="1" applyBorder="1" applyAlignment="1">
      <alignment horizontal="center"/>
    </xf>
    <xf numFmtId="167" fontId="37" fillId="0" borderId="84" xfId="57548" applyNumberFormat="1" applyFont="1" applyFill="1" applyBorder="1" applyAlignment="1">
      <alignment horizontal="center"/>
    </xf>
    <xf numFmtId="167" fontId="37" fillId="0" borderId="85" xfId="57548" applyNumberFormat="1" applyFont="1" applyFill="1" applyBorder="1" applyAlignment="1">
      <alignment horizontal="center"/>
    </xf>
    <xf numFmtId="43" fontId="37" fillId="0" borderId="85" xfId="57551" applyNumberFormat="1" applyFont="1" applyFill="1" applyBorder="1" applyAlignment="1">
      <alignment horizontal="center"/>
    </xf>
    <xf numFmtId="43" fontId="37" fillId="0" borderId="84" xfId="57551" applyNumberFormat="1" applyFont="1" applyFill="1" applyBorder="1" applyAlignment="1">
      <alignment horizontal="center"/>
    </xf>
    <xf numFmtId="43" fontId="37" fillId="0" borderId="0" xfId="57551" applyNumberFormat="1" applyFont="1" applyFill="1" applyBorder="1" applyAlignment="1">
      <alignment horizontal="center"/>
    </xf>
    <xf numFmtId="181" fontId="37" fillId="0" borderId="0" xfId="57551" applyNumberFormat="1" applyFont="1" applyFill="1" applyBorder="1" applyAlignment="1">
      <alignment horizontal="center"/>
    </xf>
    <xf numFmtId="181" fontId="37" fillId="0" borderId="85" xfId="57551" applyNumberFormat="1" applyFont="1" applyFill="1" applyBorder="1" applyAlignment="1">
      <alignment horizontal="center"/>
    </xf>
    <xf numFmtId="15" fontId="37" fillId="0" borderId="0" xfId="57550" applyNumberFormat="1" applyFont="1" applyFill="1" applyAlignment="1">
      <alignment horizontal="center"/>
    </xf>
    <xf numFmtId="43" fontId="37" fillId="0" borderId="85" xfId="57554" applyNumberFormat="1" applyFont="1" applyFill="1" applyBorder="1" applyAlignment="1">
      <alignment horizontal="center"/>
    </xf>
    <xf numFmtId="43" fontId="37" fillId="0" borderId="84" xfId="57554" applyNumberFormat="1" applyFont="1" applyFill="1" applyBorder="1" applyAlignment="1">
      <alignment horizontal="center"/>
    </xf>
    <xf numFmtId="43" fontId="37" fillId="0" borderId="0" xfId="57554" applyNumberFormat="1" applyFont="1" applyFill="1" applyBorder="1" applyAlignment="1">
      <alignment horizontal="center"/>
    </xf>
    <xf numFmtId="181" fontId="37" fillId="0" borderId="0" xfId="57554" applyNumberFormat="1" applyFont="1" applyFill="1" applyBorder="1" applyAlignment="1">
      <alignment horizontal="center"/>
    </xf>
    <xf numFmtId="181" fontId="37" fillId="0" borderId="85" xfId="57554" applyNumberFormat="1" applyFont="1" applyFill="1" applyBorder="1" applyAlignment="1">
      <alignment horizontal="center"/>
    </xf>
    <xf numFmtId="15" fontId="37" fillId="0" borderId="0" xfId="57553" applyNumberFormat="1" applyFont="1" applyFill="1" applyAlignment="1">
      <alignment horizontal="center"/>
    </xf>
    <xf numFmtId="43" fontId="37" fillId="0" borderId="85" xfId="57557" applyNumberFormat="1" applyFont="1" applyFill="1" applyBorder="1" applyAlignment="1">
      <alignment horizontal="center"/>
    </xf>
    <xf numFmtId="43" fontId="37" fillId="0" borderId="84" xfId="57557" applyNumberFormat="1" applyFont="1" applyFill="1" applyBorder="1" applyAlignment="1">
      <alignment horizontal="center"/>
    </xf>
    <xf numFmtId="43" fontId="37" fillId="0" borderId="0" xfId="57557" applyNumberFormat="1" applyFont="1" applyFill="1" applyBorder="1" applyAlignment="1">
      <alignment horizontal="center"/>
    </xf>
    <xf numFmtId="181" fontId="37" fillId="0" borderId="0" xfId="57557" applyNumberFormat="1" applyFont="1" applyFill="1" applyBorder="1" applyAlignment="1">
      <alignment horizontal="center"/>
    </xf>
    <xf numFmtId="181" fontId="37" fillId="0" borderId="85" xfId="57557" applyNumberFormat="1" applyFont="1" applyFill="1" applyBorder="1" applyAlignment="1">
      <alignment horizontal="center"/>
    </xf>
    <xf numFmtId="15" fontId="37" fillId="0" borderId="0" xfId="57556" applyNumberFormat="1" applyFont="1" applyFill="1" applyAlignment="1">
      <alignment horizontal="center"/>
    </xf>
    <xf numFmtId="43" fontId="37" fillId="0" borderId="85" xfId="57560" applyNumberFormat="1" applyFont="1" applyFill="1" applyBorder="1" applyAlignment="1">
      <alignment horizontal="center"/>
    </xf>
    <xf numFmtId="43" fontId="37" fillId="0" borderId="84" xfId="57560" applyNumberFormat="1" applyFont="1" applyFill="1" applyBorder="1" applyAlignment="1">
      <alignment horizontal="center"/>
    </xf>
    <xf numFmtId="43" fontId="37" fillId="0" borderId="0" xfId="57560" applyNumberFormat="1" applyFont="1" applyFill="1" applyBorder="1" applyAlignment="1">
      <alignment horizontal="center"/>
    </xf>
    <xf numFmtId="181" fontId="37" fillId="0" borderId="0" xfId="57560" applyNumberFormat="1" applyFont="1" applyFill="1" applyBorder="1" applyAlignment="1">
      <alignment horizontal="center"/>
    </xf>
    <xf numFmtId="181" fontId="37" fillId="0" borderId="85" xfId="57560" applyNumberFormat="1" applyFont="1" applyFill="1" applyBorder="1" applyAlignment="1">
      <alignment horizontal="center"/>
    </xf>
    <xf numFmtId="15" fontId="37" fillId="0" borderId="0" xfId="57559" applyNumberFormat="1" applyFont="1" applyFill="1" applyAlignment="1">
      <alignment horizontal="center"/>
    </xf>
    <xf numFmtId="43" fontId="37" fillId="0" borderId="85" xfId="57563" applyNumberFormat="1" applyFont="1" applyFill="1" applyBorder="1" applyAlignment="1">
      <alignment horizontal="center"/>
    </xf>
    <xf numFmtId="43" fontId="37" fillId="0" borderId="84" xfId="57563" applyNumberFormat="1" applyFont="1" applyFill="1" applyBorder="1" applyAlignment="1">
      <alignment horizontal="center"/>
    </xf>
    <xf numFmtId="43" fontId="37" fillId="0" borderId="0" xfId="57563" applyNumberFormat="1" applyFont="1" applyFill="1" applyBorder="1" applyAlignment="1">
      <alignment horizontal="center"/>
    </xf>
    <xf numFmtId="181" fontId="37" fillId="0" borderId="0" xfId="57563" applyNumberFormat="1" applyFont="1" applyFill="1" applyBorder="1" applyAlignment="1">
      <alignment horizontal="center"/>
    </xf>
    <xf numFmtId="181" fontId="37" fillId="0" borderId="85" xfId="57563" applyNumberFormat="1" applyFont="1" applyFill="1" applyBorder="1" applyAlignment="1">
      <alignment horizontal="center"/>
    </xf>
    <xf numFmtId="15" fontId="37" fillId="0" borderId="0" xfId="57562" applyNumberFormat="1" applyFont="1" applyFill="1" applyAlignment="1">
      <alignment horizontal="center"/>
    </xf>
    <xf numFmtId="173" fontId="65" fillId="0" borderId="0" xfId="0" applyNumberFormat="1" applyFont="1"/>
    <xf numFmtId="43" fontId="37" fillId="0" borderId="85" xfId="57566" applyNumberFormat="1" applyFont="1" applyFill="1" applyBorder="1" applyAlignment="1">
      <alignment horizontal="center"/>
    </xf>
    <xf numFmtId="43" fontId="37" fillId="0" borderId="84" xfId="57566" applyNumberFormat="1" applyFont="1" applyFill="1" applyBorder="1" applyAlignment="1">
      <alignment horizontal="center"/>
    </xf>
    <xf numFmtId="43" fontId="37" fillId="0" borderId="0" xfId="57566" applyNumberFormat="1" applyFont="1" applyFill="1" applyBorder="1" applyAlignment="1">
      <alignment horizontal="center"/>
    </xf>
    <xf numFmtId="181" fontId="37" fillId="0" borderId="0" xfId="57566" applyNumberFormat="1" applyFont="1" applyFill="1" applyBorder="1" applyAlignment="1">
      <alignment horizontal="center"/>
    </xf>
    <xf numFmtId="181" fontId="37" fillId="0" borderId="85" xfId="57566" applyNumberFormat="1" applyFont="1" applyFill="1" applyBorder="1" applyAlignment="1">
      <alignment horizontal="center"/>
    </xf>
    <xf numFmtId="15" fontId="37" fillId="0" borderId="0" xfId="57565" applyNumberFormat="1" applyFont="1" applyFill="1" applyAlignment="1">
      <alignment horizontal="center"/>
    </xf>
    <xf numFmtId="43" fontId="37" fillId="0" borderId="85" xfId="57569" applyNumberFormat="1" applyFont="1" applyFill="1" applyBorder="1" applyAlignment="1">
      <alignment horizontal="center"/>
    </xf>
    <xf numFmtId="43" fontId="37" fillId="0" borderId="84" xfId="57569" applyNumberFormat="1" applyFont="1" applyFill="1" applyBorder="1" applyAlignment="1">
      <alignment horizontal="center"/>
    </xf>
    <xf numFmtId="43" fontId="37" fillId="0" borderId="0" xfId="57569" applyNumberFormat="1" applyFont="1" applyFill="1" applyBorder="1" applyAlignment="1">
      <alignment horizontal="center"/>
    </xf>
    <xf numFmtId="181" fontId="37" fillId="0" borderId="0" xfId="57569" applyNumberFormat="1" applyFont="1" applyFill="1" applyBorder="1" applyAlignment="1">
      <alignment horizontal="center"/>
    </xf>
    <xf numFmtId="181" fontId="37" fillId="0" borderId="85" xfId="57569" applyNumberFormat="1" applyFont="1" applyFill="1" applyBorder="1" applyAlignment="1">
      <alignment horizontal="center"/>
    </xf>
    <xf numFmtId="15" fontId="37" fillId="0" borderId="0" xfId="57568" applyNumberFormat="1" applyFont="1" applyFill="1" applyAlignment="1">
      <alignment horizontal="center"/>
    </xf>
    <xf numFmtId="43" fontId="37" fillId="0" borderId="85" xfId="57572" applyNumberFormat="1" applyFont="1" applyFill="1" applyBorder="1" applyAlignment="1">
      <alignment horizontal="center"/>
    </xf>
    <xf numFmtId="43" fontId="37" fillId="0" borderId="84" xfId="57572" applyNumberFormat="1" applyFont="1" applyFill="1" applyBorder="1" applyAlignment="1">
      <alignment horizontal="center"/>
    </xf>
    <xf numFmtId="43" fontId="37" fillId="0" borderId="0" xfId="57572" applyNumberFormat="1" applyFont="1" applyFill="1" applyBorder="1" applyAlignment="1">
      <alignment horizontal="center"/>
    </xf>
    <xf numFmtId="181" fontId="37" fillId="0" borderId="0" xfId="57572" applyNumberFormat="1" applyFont="1" applyFill="1" applyBorder="1" applyAlignment="1">
      <alignment horizontal="center"/>
    </xf>
    <xf numFmtId="181" fontId="37" fillId="0" borderId="85" xfId="57572" applyNumberFormat="1" applyFont="1" applyFill="1" applyBorder="1" applyAlignment="1">
      <alignment horizontal="center"/>
    </xf>
    <xf numFmtId="15" fontId="37" fillId="0" borderId="0" xfId="57571" applyNumberFormat="1" applyFont="1" applyFill="1" applyAlignment="1">
      <alignment horizontal="center"/>
    </xf>
    <xf numFmtId="43" fontId="37" fillId="0" borderId="85" xfId="57575" applyNumberFormat="1" applyFont="1" applyFill="1" applyBorder="1" applyAlignment="1">
      <alignment horizontal="center"/>
    </xf>
    <xf numFmtId="43" fontId="37" fillId="0" borderId="84" xfId="57575" applyNumberFormat="1" applyFont="1" applyFill="1" applyBorder="1" applyAlignment="1">
      <alignment horizontal="center"/>
    </xf>
    <xf numFmtId="43" fontId="37" fillId="0" borderId="0" xfId="57575" applyNumberFormat="1" applyFont="1" applyFill="1" applyBorder="1" applyAlignment="1">
      <alignment horizontal="center"/>
    </xf>
    <xf numFmtId="181" fontId="37" fillId="0" borderId="0" xfId="57575" applyNumberFormat="1" applyFont="1" applyFill="1" applyBorder="1" applyAlignment="1">
      <alignment horizontal="center"/>
    </xf>
    <xf numFmtId="181" fontId="37" fillId="0" borderId="85" xfId="57575" applyNumberFormat="1" applyFont="1" applyFill="1" applyBorder="1" applyAlignment="1">
      <alignment horizontal="center"/>
    </xf>
    <xf numFmtId="15" fontId="37" fillId="0" borderId="0" xfId="57574" applyNumberFormat="1" applyFont="1" applyFill="1" applyAlignment="1">
      <alignment horizontal="center"/>
    </xf>
    <xf numFmtId="43" fontId="37" fillId="0" borderId="85" xfId="57578" applyNumberFormat="1" applyFont="1" applyFill="1" applyBorder="1" applyAlignment="1">
      <alignment horizontal="center"/>
    </xf>
    <xf numFmtId="43" fontId="37" fillId="0" borderId="84" xfId="57578" applyNumberFormat="1" applyFont="1" applyFill="1" applyBorder="1" applyAlignment="1">
      <alignment horizontal="center"/>
    </xf>
    <xf numFmtId="43" fontId="37" fillId="0" borderId="0" xfId="57578" applyNumberFormat="1" applyFont="1" applyFill="1" applyBorder="1" applyAlignment="1">
      <alignment horizontal="center"/>
    </xf>
    <xf numFmtId="181" fontId="37" fillId="0" borderId="0" xfId="57578" applyNumberFormat="1" applyFont="1" applyFill="1" applyBorder="1" applyAlignment="1">
      <alignment horizontal="center"/>
    </xf>
    <xf numFmtId="181" fontId="37" fillId="0" borderId="85" xfId="57578" applyNumberFormat="1" applyFont="1" applyFill="1" applyBorder="1" applyAlignment="1">
      <alignment horizontal="center"/>
    </xf>
    <xf numFmtId="15" fontId="37" fillId="0" borderId="0" xfId="57577" applyNumberFormat="1" applyFont="1" applyFill="1" applyAlignment="1">
      <alignment horizontal="center"/>
    </xf>
    <xf numFmtId="43" fontId="37" fillId="0" borderId="85" xfId="57581" applyNumberFormat="1" applyFont="1" applyFill="1" applyBorder="1" applyAlignment="1">
      <alignment horizontal="center"/>
    </xf>
    <xf numFmtId="43" fontId="37" fillId="0" borderId="84" xfId="57581" applyNumberFormat="1" applyFont="1" applyFill="1" applyBorder="1" applyAlignment="1">
      <alignment horizontal="center"/>
    </xf>
    <xf numFmtId="43" fontId="37" fillId="0" borderId="0" xfId="57581" applyNumberFormat="1" applyFont="1" applyFill="1" applyBorder="1" applyAlignment="1">
      <alignment horizontal="center"/>
    </xf>
    <xf numFmtId="181" fontId="37" fillId="0" borderId="0" xfId="57581" applyNumberFormat="1" applyFont="1" applyFill="1" applyBorder="1" applyAlignment="1">
      <alignment horizontal="center"/>
    </xf>
    <xf numFmtId="181" fontId="37" fillId="0" borderId="85" xfId="57581" applyNumberFormat="1" applyFont="1" applyFill="1" applyBorder="1" applyAlignment="1">
      <alignment horizontal="center"/>
    </xf>
    <xf numFmtId="15" fontId="37" fillId="0" borderId="0" xfId="57580" applyNumberFormat="1" applyFont="1" applyFill="1" applyAlignment="1">
      <alignment horizontal="center"/>
    </xf>
    <xf numFmtId="43" fontId="37" fillId="0" borderId="85" xfId="57584" applyNumberFormat="1" applyFont="1" applyFill="1" applyBorder="1" applyAlignment="1">
      <alignment horizontal="center"/>
    </xf>
    <xf numFmtId="43" fontId="37" fillId="0" borderId="84" xfId="57584" applyNumberFormat="1" applyFont="1" applyFill="1" applyBorder="1" applyAlignment="1">
      <alignment horizontal="center"/>
    </xf>
    <xf numFmtId="43" fontId="37" fillId="0" borderId="0" xfId="57584" applyNumberFormat="1" applyFont="1" applyFill="1" applyBorder="1" applyAlignment="1">
      <alignment horizontal="center"/>
    </xf>
    <xf numFmtId="181" fontId="37" fillId="0" borderId="0" xfId="57584" applyNumberFormat="1" applyFont="1" applyFill="1" applyBorder="1" applyAlignment="1">
      <alignment horizontal="center"/>
    </xf>
    <xf numFmtId="181" fontId="37" fillId="0" borderId="85" xfId="57584" applyNumberFormat="1" applyFont="1" applyFill="1" applyBorder="1" applyAlignment="1">
      <alignment horizontal="center"/>
    </xf>
    <xf numFmtId="15" fontId="37" fillId="0" borderId="0" xfId="57583" applyNumberFormat="1" applyFont="1" applyFill="1" applyAlignment="1">
      <alignment horizontal="center"/>
    </xf>
    <xf numFmtId="181" fontId="60" fillId="0" borderId="87" xfId="0" applyNumberFormat="1" applyFont="1" applyFill="1" applyBorder="1" applyAlignment="1" applyProtection="1">
      <alignment horizontal="center"/>
    </xf>
    <xf numFmtId="167" fontId="60" fillId="0" borderId="86" xfId="0" applyNumberFormat="1" applyFont="1" applyFill="1" applyBorder="1" applyAlignment="1" applyProtection="1">
      <alignment horizontal="center"/>
    </xf>
    <xf numFmtId="167" fontId="60" fillId="0" borderId="87" xfId="0" applyNumberFormat="1" applyFont="1" applyFill="1" applyBorder="1" applyAlignment="1" applyProtection="1">
      <alignment horizontal="center"/>
    </xf>
    <xf numFmtId="43" fontId="37" fillId="0" borderId="87" xfId="57590" applyNumberFormat="1" applyFont="1" applyFill="1" applyBorder="1" applyAlignment="1">
      <alignment horizontal="center"/>
    </xf>
    <xf numFmtId="43" fontId="37" fillId="0" borderId="86" xfId="57590" applyNumberFormat="1" applyFont="1" applyFill="1" applyBorder="1" applyAlignment="1">
      <alignment horizontal="center"/>
    </xf>
    <xf numFmtId="43" fontId="37" fillId="0" borderId="0" xfId="57590" applyNumberFormat="1" applyFont="1" applyFill="1" applyBorder="1" applyAlignment="1">
      <alignment horizontal="center"/>
    </xf>
    <xf numFmtId="181" fontId="37" fillId="0" borderId="0" xfId="57590" applyNumberFormat="1" applyFont="1" applyFill="1" applyBorder="1" applyAlignment="1">
      <alignment horizontal="center"/>
    </xf>
    <xf numFmtId="181" fontId="37" fillId="0" borderId="87" xfId="57590" applyNumberFormat="1" applyFont="1" applyFill="1" applyBorder="1" applyAlignment="1">
      <alignment horizontal="center"/>
    </xf>
    <xf numFmtId="15" fontId="37" fillId="0" borderId="0" xfId="57589" applyNumberFormat="1" applyFont="1" applyFill="1" applyAlignment="1">
      <alignment horizontal="center"/>
    </xf>
    <xf numFmtId="43" fontId="37" fillId="0" borderId="87" xfId="57593" applyNumberFormat="1" applyFont="1" applyFill="1" applyBorder="1" applyAlignment="1">
      <alignment horizontal="center"/>
    </xf>
    <xf numFmtId="43" fontId="37" fillId="0" borderId="86" xfId="57593" applyNumberFormat="1" applyFont="1" applyFill="1" applyBorder="1" applyAlignment="1">
      <alignment horizontal="center"/>
    </xf>
    <xf numFmtId="43" fontId="37" fillId="0" borderId="0" xfId="57593" applyNumberFormat="1" applyFont="1" applyFill="1" applyBorder="1" applyAlignment="1">
      <alignment horizontal="center"/>
    </xf>
    <xf numFmtId="181" fontId="37" fillId="0" borderId="0" xfId="57593" applyNumberFormat="1" applyFont="1" applyFill="1" applyBorder="1" applyAlignment="1">
      <alignment horizontal="center"/>
    </xf>
    <xf numFmtId="181" fontId="37" fillId="0" borderId="87" xfId="57593" applyNumberFormat="1" applyFont="1" applyFill="1" applyBorder="1" applyAlignment="1">
      <alignment horizontal="center"/>
    </xf>
    <xf numFmtId="15" fontId="37" fillId="0" borderId="0" xfId="57592" applyNumberFormat="1" applyFont="1" applyFill="1" applyAlignment="1">
      <alignment horizontal="center"/>
    </xf>
    <xf numFmtId="173" fontId="66" fillId="0" borderId="0" xfId="0" applyNumberFormat="1" applyFont="1"/>
    <xf numFmtId="167" fontId="50" fillId="38" borderId="0" xfId="1" applyFont="1" applyFill="1"/>
    <xf numFmtId="15" fontId="14" fillId="0" borderId="0" xfId="57592" applyNumberFormat="1" applyFont="1" applyFill="1" applyAlignment="1">
      <alignment horizontal="center"/>
    </xf>
    <xf numFmtId="181" fontId="14" fillId="0" borderId="87" xfId="57593" applyNumberFormat="1" applyFont="1" applyFill="1" applyBorder="1" applyAlignment="1">
      <alignment horizontal="center"/>
    </xf>
    <xf numFmtId="181" fontId="14" fillId="0" borderId="0" xfId="57593" applyNumberFormat="1" applyFont="1" applyFill="1" applyBorder="1" applyAlignment="1">
      <alignment horizontal="center"/>
    </xf>
    <xf numFmtId="43" fontId="14" fillId="0" borderId="0" xfId="57593" applyNumberFormat="1" applyFont="1" applyFill="1" applyBorder="1" applyAlignment="1">
      <alignment horizontal="center"/>
    </xf>
    <xf numFmtId="43" fontId="14" fillId="0" borderId="86" xfId="57593" applyNumberFormat="1" applyFont="1" applyFill="1" applyBorder="1" applyAlignment="1">
      <alignment horizontal="center"/>
    </xf>
    <xf numFmtId="43" fontId="14" fillId="0" borderId="87" xfId="57593" applyNumberFormat="1" applyFont="1" applyFill="1" applyBorder="1" applyAlignment="1">
      <alignment horizontal="center"/>
    </xf>
    <xf numFmtId="43" fontId="37" fillId="0" borderId="87" xfId="57596" applyNumberFormat="1" applyFont="1" applyFill="1" applyBorder="1" applyAlignment="1">
      <alignment horizontal="center"/>
    </xf>
    <xf numFmtId="43" fontId="37" fillId="0" borderId="86" xfId="57596" applyNumberFormat="1" applyFont="1" applyFill="1" applyBorder="1" applyAlignment="1">
      <alignment horizontal="center"/>
    </xf>
    <xf numFmtId="43" fontId="37" fillId="0" borderId="0" xfId="57596" applyNumberFormat="1" applyFont="1" applyFill="1" applyBorder="1" applyAlignment="1">
      <alignment horizontal="center"/>
    </xf>
    <xf numFmtId="181" fontId="37" fillId="0" borderId="0" xfId="57596" applyNumberFormat="1" applyFont="1" applyFill="1" applyBorder="1" applyAlignment="1">
      <alignment horizontal="center"/>
    </xf>
    <xf numFmtId="181" fontId="37" fillId="0" borderId="87" xfId="57596" applyNumberFormat="1" applyFont="1" applyFill="1" applyBorder="1" applyAlignment="1">
      <alignment horizontal="center"/>
    </xf>
    <xf numFmtId="15" fontId="37" fillId="0" borderId="0" xfId="57595" applyNumberFormat="1" applyFont="1" applyFill="1" applyAlignment="1">
      <alignment horizontal="center"/>
    </xf>
    <xf numFmtId="43" fontId="37" fillId="0" borderId="87" xfId="57599" applyNumberFormat="1" applyFont="1" applyFill="1" applyBorder="1" applyAlignment="1">
      <alignment horizontal="center"/>
    </xf>
    <xf numFmtId="43" fontId="37" fillId="0" borderId="86" xfId="57599" applyNumberFormat="1" applyFont="1" applyFill="1" applyBorder="1" applyAlignment="1">
      <alignment horizontal="center"/>
    </xf>
    <xf numFmtId="43" fontId="37" fillId="0" borderId="0" xfId="57599" applyNumberFormat="1" applyFont="1" applyFill="1" applyBorder="1" applyAlignment="1">
      <alignment horizontal="center"/>
    </xf>
    <xf numFmtId="181" fontId="37" fillId="0" borderId="0" xfId="57599" applyNumberFormat="1" applyFont="1" applyFill="1" applyBorder="1" applyAlignment="1">
      <alignment horizontal="center"/>
    </xf>
    <xf numFmtId="181" fontId="37" fillId="0" borderId="87" xfId="57599" applyNumberFormat="1" applyFont="1" applyFill="1" applyBorder="1" applyAlignment="1">
      <alignment horizontal="center"/>
    </xf>
    <xf numFmtId="15" fontId="37" fillId="0" borderId="0" xfId="57598" applyNumberFormat="1" applyFont="1" applyFill="1" applyAlignment="1">
      <alignment horizontal="center"/>
    </xf>
    <xf numFmtId="43" fontId="37" fillId="0" borderId="87" xfId="57602" applyNumberFormat="1" applyFont="1" applyFill="1" applyBorder="1" applyAlignment="1">
      <alignment horizontal="center"/>
    </xf>
    <xf numFmtId="43" fontId="37" fillId="0" borderId="86" xfId="57602" applyNumberFormat="1" applyFont="1" applyFill="1" applyBorder="1" applyAlignment="1">
      <alignment horizontal="center"/>
    </xf>
    <xf numFmtId="43" fontId="37" fillId="0" borderId="0" xfId="57602" applyNumberFormat="1" applyFont="1" applyFill="1" applyBorder="1" applyAlignment="1">
      <alignment horizontal="center"/>
    </xf>
    <xf numFmtId="181" fontId="37" fillId="0" borderId="0" xfId="57602" applyNumberFormat="1" applyFont="1" applyFill="1" applyBorder="1" applyAlignment="1">
      <alignment horizontal="center"/>
    </xf>
    <xf numFmtId="181" fontId="37" fillId="0" borderId="87" xfId="57602" applyNumberFormat="1" applyFont="1" applyFill="1" applyBorder="1" applyAlignment="1">
      <alignment horizontal="center"/>
    </xf>
    <xf numFmtId="15" fontId="37" fillId="0" borderId="0" xfId="57601" applyNumberFormat="1" applyFont="1" applyFill="1" applyAlignment="1">
      <alignment horizontal="center"/>
    </xf>
    <xf numFmtId="43" fontId="37" fillId="0" borderId="87" xfId="57605" applyNumberFormat="1" applyFont="1" applyFill="1" applyBorder="1" applyAlignment="1">
      <alignment horizontal="center"/>
    </xf>
    <xf numFmtId="43" fontId="37" fillId="0" borderId="86" xfId="57605" applyNumberFormat="1" applyFont="1" applyFill="1" applyBorder="1" applyAlignment="1">
      <alignment horizontal="center"/>
    </xf>
    <xf numFmtId="43" fontId="37" fillId="0" borderId="0" xfId="57605" applyNumberFormat="1" applyFont="1" applyFill="1" applyBorder="1" applyAlignment="1">
      <alignment horizontal="center"/>
    </xf>
    <xf numFmtId="181" fontId="37" fillId="0" borderId="0" xfId="57605" applyNumberFormat="1" applyFont="1" applyFill="1" applyBorder="1" applyAlignment="1">
      <alignment horizontal="center"/>
    </xf>
    <xf numFmtId="181" fontId="37" fillId="0" borderId="87" xfId="57605" applyNumberFormat="1" applyFont="1" applyFill="1" applyBorder="1" applyAlignment="1">
      <alignment horizontal="center"/>
    </xf>
    <xf numFmtId="15" fontId="37" fillId="0" borderId="0" xfId="57604" applyNumberFormat="1" applyFont="1" applyFill="1" applyAlignment="1">
      <alignment horizontal="center"/>
    </xf>
    <xf numFmtId="43" fontId="37" fillId="0" borderId="0" xfId="57607" applyNumberFormat="1" applyFont="1" applyFill="1"/>
    <xf numFmtId="174" fontId="37" fillId="0" borderId="0" xfId="57607" applyFont="1" applyFill="1"/>
    <xf numFmtId="181" fontId="37" fillId="0" borderId="0" xfId="57608" applyNumberFormat="1" applyFont="1" applyFill="1"/>
    <xf numFmtId="15" fontId="37" fillId="0" borderId="0" xfId="57607" applyNumberFormat="1" applyFont="1" applyFill="1" applyAlignment="1">
      <alignment horizontal="center"/>
    </xf>
    <xf numFmtId="43" fontId="37" fillId="0" borderId="0" xfId="57608" applyNumberFormat="1" applyFont="1" applyFill="1"/>
    <xf numFmtId="43" fontId="37" fillId="0" borderId="0" xfId="57608" applyFont="1" applyFill="1" applyBorder="1" applyAlignment="1">
      <alignment horizontal="center"/>
    </xf>
    <xf numFmtId="43" fontId="37" fillId="0" borderId="86" xfId="57608" applyNumberFormat="1" applyFont="1" applyFill="1" applyBorder="1"/>
    <xf numFmtId="43" fontId="37" fillId="0" borderId="87" xfId="57611" applyNumberFormat="1" applyFont="1" applyFill="1" applyBorder="1" applyAlignment="1">
      <alignment horizontal="center"/>
    </xf>
    <xf numFmtId="43" fontId="37" fillId="0" borderId="86" xfId="57611" applyNumberFormat="1" applyFont="1" applyFill="1" applyBorder="1" applyAlignment="1">
      <alignment horizontal="center"/>
    </xf>
    <xf numFmtId="43" fontId="37" fillId="0" borderId="0" xfId="57611" applyNumberFormat="1" applyFont="1" applyFill="1" applyBorder="1" applyAlignment="1">
      <alignment horizontal="center"/>
    </xf>
    <xf numFmtId="181" fontId="37" fillId="0" borderId="0" xfId="57611" applyNumberFormat="1" applyFont="1" applyFill="1" applyBorder="1" applyAlignment="1">
      <alignment horizontal="center"/>
    </xf>
    <xf numFmtId="181" fontId="37" fillId="0" borderId="87" xfId="57611" applyNumberFormat="1" applyFont="1" applyFill="1" applyBorder="1" applyAlignment="1">
      <alignment horizontal="center"/>
    </xf>
    <xf numFmtId="15" fontId="37" fillId="0" borderId="0" xfId="57610" applyNumberFormat="1" applyFont="1" applyFill="1" applyAlignment="1">
      <alignment horizontal="center"/>
    </xf>
    <xf numFmtId="43" fontId="37" fillId="0" borderId="87" xfId="57614" applyNumberFormat="1" applyFont="1" applyFill="1" applyBorder="1" applyAlignment="1">
      <alignment horizontal="center"/>
    </xf>
    <xf numFmtId="43" fontId="37" fillId="0" borderId="86" xfId="57614" applyNumberFormat="1" applyFont="1" applyFill="1" applyBorder="1" applyAlignment="1">
      <alignment horizontal="center"/>
    </xf>
    <xf numFmtId="43" fontId="37" fillId="0" borderId="0" xfId="57614" applyNumberFormat="1" applyFont="1" applyFill="1" applyBorder="1" applyAlignment="1">
      <alignment horizontal="center"/>
    </xf>
    <xf numFmtId="181" fontId="37" fillId="0" borderId="0" xfId="57614" applyNumberFormat="1" applyFont="1" applyFill="1" applyBorder="1" applyAlignment="1">
      <alignment horizontal="center"/>
    </xf>
    <xf numFmtId="181" fontId="37" fillId="0" borderId="87" xfId="57614" applyNumberFormat="1" applyFont="1" applyFill="1" applyBorder="1" applyAlignment="1">
      <alignment horizontal="center"/>
    </xf>
    <xf numFmtId="15" fontId="37" fillId="0" borderId="0" xfId="57613" applyNumberFormat="1" applyFont="1" applyFill="1" applyAlignment="1">
      <alignment horizontal="center"/>
    </xf>
    <xf numFmtId="0" fontId="36" fillId="41" borderId="0" xfId="0" applyFont="1" applyFill="1" applyAlignment="1">
      <alignment horizontal="center" wrapText="1"/>
    </xf>
    <xf numFmtId="0" fontId="36" fillId="41" borderId="0" xfId="0" applyFont="1" applyFill="1" applyAlignment="1">
      <alignment horizontal="center"/>
    </xf>
    <xf numFmtId="0" fontId="28" fillId="39" borderId="0" xfId="0" applyFont="1" applyFill="1" applyAlignment="1">
      <alignment horizontal="center" wrapText="1"/>
    </xf>
    <xf numFmtId="0" fontId="28" fillId="39" borderId="0" xfId="0" applyFont="1" applyFill="1" applyAlignment="1">
      <alignment horizontal="center"/>
    </xf>
    <xf numFmtId="0" fontId="27" fillId="38" borderId="0" xfId="0" applyFont="1" applyFill="1" applyAlignment="1">
      <alignment horizontal="center" wrapText="1"/>
    </xf>
    <xf numFmtId="0" fontId="27" fillId="38" borderId="0" xfId="0" applyFont="1" applyFill="1" applyAlignment="1">
      <alignment horizontal="center"/>
    </xf>
    <xf numFmtId="0" fontId="38" fillId="41" borderId="0" xfId="0" applyFont="1" applyFill="1" applyAlignment="1">
      <alignment horizontal="center" wrapText="1"/>
    </xf>
    <xf numFmtId="189" fontId="0" fillId="38" borderId="0" xfId="0" quotePrefix="1" applyNumberFormat="1" applyFill="1" applyAlignment="1">
      <alignment horizontal="center" vertical="center"/>
    </xf>
    <xf numFmtId="189" fontId="0" fillId="38" borderId="0" xfId="0" applyNumberForma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33" fillId="46" borderId="0" xfId="0" applyFont="1" applyFill="1" applyBorder="1" applyAlignment="1">
      <alignment horizontal="center" vertical="center"/>
    </xf>
    <xf numFmtId="0" fontId="48" fillId="36" borderId="19" xfId="0" applyFont="1" applyFill="1" applyBorder="1" applyAlignment="1">
      <alignment horizontal="center"/>
    </xf>
    <xf numFmtId="0" fontId="48" fillId="36" borderId="20" xfId="0" applyFont="1" applyFill="1" applyBorder="1" applyAlignment="1">
      <alignment horizontal="center"/>
    </xf>
    <xf numFmtId="0" fontId="48" fillId="36" borderId="10" xfId="0" applyFont="1" applyFill="1" applyBorder="1" applyAlignment="1">
      <alignment horizontal="center"/>
    </xf>
    <xf numFmtId="0" fontId="48" fillId="37" borderId="19" xfId="0" applyFont="1" applyFill="1" applyBorder="1" applyAlignment="1">
      <alignment horizontal="center"/>
    </xf>
    <xf numFmtId="0" fontId="48" fillId="37" borderId="20" xfId="0" applyFont="1" applyFill="1" applyBorder="1" applyAlignment="1">
      <alignment horizontal="center"/>
    </xf>
    <xf numFmtId="0" fontId="48" fillId="37" borderId="10" xfId="0" applyFont="1" applyFill="1" applyBorder="1" applyAlignment="1">
      <alignment horizontal="center"/>
    </xf>
    <xf numFmtId="0" fontId="50" fillId="0" borderId="0" xfId="0" applyFont="1" applyAlignment="1">
      <alignment horizontal="center"/>
    </xf>
    <xf numFmtId="0" fontId="49" fillId="48" borderId="11" xfId="0" applyFont="1" applyFill="1" applyBorder="1" applyAlignment="1">
      <alignment horizontal="center" vertical="center"/>
    </xf>
    <xf numFmtId="0" fontId="16" fillId="0" borderId="11" xfId="0" applyFont="1" applyBorder="1" applyAlignment="1">
      <alignment horizontal="center"/>
    </xf>
    <xf numFmtId="43" fontId="37" fillId="0" borderId="87" xfId="57617" applyNumberFormat="1" applyFont="1" applyFill="1" applyBorder="1" applyAlignment="1">
      <alignment horizontal="center"/>
    </xf>
    <xf numFmtId="43" fontId="37" fillId="0" borderId="86" xfId="57617" applyNumberFormat="1" applyFont="1" applyFill="1" applyBorder="1" applyAlignment="1">
      <alignment horizontal="center"/>
    </xf>
    <xf numFmtId="43" fontId="37" fillId="0" borderId="0" xfId="57617" applyNumberFormat="1" applyFont="1" applyFill="1" applyBorder="1" applyAlignment="1">
      <alignment horizontal="center"/>
    </xf>
    <xf numFmtId="181" fontId="37" fillId="0" borderId="0" xfId="57617" applyNumberFormat="1" applyFont="1" applyFill="1" applyBorder="1" applyAlignment="1">
      <alignment horizontal="center"/>
    </xf>
    <xf numFmtId="181" fontId="37" fillId="0" borderId="87" xfId="57617" applyNumberFormat="1" applyFont="1" applyFill="1" applyBorder="1" applyAlignment="1">
      <alignment horizontal="center"/>
    </xf>
    <xf numFmtId="15" fontId="37" fillId="0" borderId="0" xfId="57616" applyNumberFormat="1" applyFont="1" applyFill="1" applyAlignment="1">
      <alignment horizontal="center"/>
    </xf>
  </cellXfs>
  <cellStyles count="57619">
    <cellStyle name="20% - Accent1 2" xfId="112"/>
    <cellStyle name="20% - Accent1 2 10" xfId="470"/>
    <cellStyle name="20% - Accent1 2 10 2" xfId="15730"/>
    <cellStyle name="20% - Accent1 2 10 2 2" xfId="42738"/>
    <cellStyle name="20% - Accent1 2 10 3" xfId="29234"/>
    <cellStyle name="20% - Accent1 2 100" xfId="10000"/>
    <cellStyle name="20% - Accent1 2 100 2" xfId="24080"/>
    <cellStyle name="20% - Accent1 2 100 2 2" xfId="51088"/>
    <cellStyle name="20% - Accent1 2 100 3" xfId="37584"/>
    <cellStyle name="20% - Accent1 2 101" xfId="10142"/>
    <cellStyle name="20% - Accent1 2 101 2" xfId="24208"/>
    <cellStyle name="20% - Accent1 2 101 2 2" xfId="51216"/>
    <cellStyle name="20% - Accent1 2 101 3" xfId="37712"/>
    <cellStyle name="20% - Accent1 2 102" xfId="10284"/>
    <cellStyle name="20% - Accent1 2 102 2" xfId="24336"/>
    <cellStyle name="20% - Accent1 2 102 2 2" xfId="51344"/>
    <cellStyle name="20% - Accent1 2 102 3" xfId="37840"/>
    <cellStyle name="20% - Accent1 2 103" xfId="10426"/>
    <cellStyle name="20% - Accent1 2 103 2" xfId="24464"/>
    <cellStyle name="20% - Accent1 2 103 2 2" xfId="51472"/>
    <cellStyle name="20% - Accent1 2 103 3" xfId="37968"/>
    <cellStyle name="20% - Accent1 2 104" xfId="10568"/>
    <cellStyle name="20% - Accent1 2 104 2" xfId="24592"/>
    <cellStyle name="20% - Accent1 2 104 2 2" xfId="51600"/>
    <cellStyle name="20% - Accent1 2 104 3" xfId="38096"/>
    <cellStyle name="20% - Accent1 2 105" xfId="10710"/>
    <cellStyle name="20% - Accent1 2 105 2" xfId="24720"/>
    <cellStyle name="20% - Accent1 2 105 2 2" xfId="51728"/>
    <cellStyle name="20% - Accent1 2 105 3" xfId="38224"/>
    <cellStyle name="20% - Accent1 2 106" xfId="10852"/>
    <cellStyle name="20% - Accent1 2 106 2" xfId="24848"/>
    <cellStyle name="20% - Accent1 2 106 2 2" xfId="51856"/>
    <cellStyle name="20% - Accent1 2 106 3" xfId="38352"/>
    <cellStyle name="20% - Accent1 2 107" xfId="10994"/>
    <cellStyle name="20% - Accent1 2 107 2" xfId="24976"/>
    <cellStyle name="20% - Accent1 2 107 2 2" xfId="51984"/>
    <cellStyle name="20% - Accent1 2 107 3" xfId="38480"/>
    <cellStyle name="20% - Accent1 2 108" xfId="11136"/>
    <cellStyle name="20% - Accent1 2 108 2" xfId="25104"/>
    <cellStyle name="20% - Accent1 2 108 2 2" xfId="52112"/>
    <cellStyle name="20% - Accent1 2 108 3" xfId="38608"/>
    <cellStyle name="20% - Accent1 2 109" xfId="11278"/>
    <cellStyle name="20% - Accent1 2 109 2" xfId="25232"/>
    <cellStyle name="20% - Accent1 2 109 2 2" xfId="52240"/>
    <cellStyle name="20% - Accent1 2 109 3" xfId="38736"/>
    <cellStyle name="20% - Accent1 2 11" xfId="300"/>
    <cellStyle name="20% - Accent1 2 11 2" xfId="15602"/>
    <cellStyle name="20% - Accent1 2 11 2 2" xfId="42610"/>
    <cellStyle name="20% - Accent1 2 11 3" xfId="29106"/>
    <cellStyle name="20% - Accent1 2 110" xfId="11420"/>
    <cellStyle name="20% - Accent1 2 110 2" xfId="25360"/>
    <cellStyle name="20% - Accent1 2 110 2 2" xfId="52368"/>
    <cellStyle name="20% - Accent1 2 110 3" xfId="38864"/>
    <cellStyle name="20% - Accent1 2 111" xfId="11562"/>
    <cellStyle name="20% - Accent1 2 111 2" xfId="25488"/>
    <cellStyle name="20% - Accent1 2 111 2 2" xfId="52496"/>
    <cellStyle name="20% - Accent1 2 111 3" xfId="38992"/>
    <cellStyle name="20% - Accent1 2 112" xfId="11704"/>
    <cellStyle name="20% - Accent1 2 112 2" xfId="25616"/>
    <cellStyle name="20% - Accent1 2 112 2 2" xfId="52624"/>
    <cellStyle name="20% - Accent1 2 112 3" xfId="39120"/>
    <cellStyle name="20% - Accent1 2 113" xfId="11846"/>
    <cellStyle name="20% - Accent1 2 113 2" xfId="25744"/>
    <cellStyle name="20% - Accent1 2 113 2 2" xfId="52752"/>
    <cellStyle name="20% - Accent1 2 113 3" xfId="39248"/>
    <cellStyle name="20% - Accent1 2 114" xfId="11988"/>
    <cellStyle name="20% - Accent1 2 114 2" xfId="25872"/>
    <cellStyle name="20% - Accent1 2 114 2 2" xfId="52880"/>
    <cellStyle name="20% - Accent1 2 114 3" xfId="39376"/>
    <cellStyle name="20% - Accent1 2 115" xfId="12130"/>
    <cellStyle name="20% - Accent1 2 115 2" xfId="26000"/>
    <cellStyle name="20% - Accent1 2 115 2 2" xfId="53008"/>
    <cellStyle name="20% - Accent1 2 115 3" xfId="39504"/>
    <cellStyle name="20% - Accent1 2 116" xfId="12272"/>
    <cellStyle name="20% - Accent1 2 116 2" xfId="26128"/>
    <cellStyle name="20% - Accent1 2 116 2 2" xfId="53136"/>
    <cellStyle name="20% - Accent1 2 116 3" xfId="39632"/>
    <cellStyle name="20% - Accent1 2 117" xfId="12414"/>
    <cellStyle name="20% - Accent1 2 117 2" xfId="26256"/>
    <cellStyle name="20% - Accent1 2 117 2 2" xfId="53264"/>
    <cellStyle name="20% - Accent1 2 117 3" xfId="39760"/>
    <cellStyle name="20% - Accent1 2 118" xfId="12556"/>
    <cellStyle name="20% - Accent1 2 118 2" xfId="26384"/>
    <cellStyle name="20% - Accent1 2 118 2 2" xfId="53392"/>
    <cellStyle name="20% - Accent1 2 118 3" xfId="39888"/>
    <cellStyle name="20% - Accent1 2 119" xfId="12698"/>
    <cellStyle name="20% - Accent1 2 119 2" xfId="26512"/>
    <cellStyle name="20% - Accent1 2 119 2 2" xfId="53520"/>
    <cellStyle name="20% - Accent1 2 119 3" xfId="40016"/>
    <cellStyle name="20% - Accent1 2 12" xfId="456"/>
    <cellStyle name="20% - Accent1 2 12 2" xfId="15719"/>
    <cellStyle name="20% - Accent1 2 12 2 2" xfId="42727"/>
    <cellStyle name="20% - Accent1 2 12 3" xfId="29223"/>
    <cellStyle name="20% - Accent1 2 120" xfId="12840"/>
    <cellStyle name="20% - Accent1 2 120 2" xfId="26640"/>
    <cellStyle name="20% - Accent1 2 120 2 2" xfId="53648"/>
    <cellStyle name="20% - Accent1 2 120 3" xfId="40144"/>
    <cellStyle name="20% - Accent1 2 121" xfId="12982"/>
    <cellStyle name="20% - Accent1 2 121 2" xfId="26768"/>
    <cellStyle name="20% - Accent1 2 121 2 2" xfId="53776"/>
    <cellStyle name="20% - Accent1 2 121 3" xfId="40272"/>
    <cellStyle name="20% - Accent1 2 122" xfId="13124"/>
    <cellStyle name="20% - Accent1 2 122 2" xfId="26896"/>
    <cellStyle name="20% - Accent1 2 122 2 2" xfId="53904"/>
    <cellStyle name="20% - Accent1 2 122 3" xfId="40400"/>
    <cellStyle name="20% - Accent1 2 123" xfId="13266"/>
    <cellStyle name="20% - Accent1 2 123 2" xfId="27024"/>
    <cellStyle name="20% - Accent1 2 123 2 2" xfId="54032"/>
    <cellStyle name="20% - Accent1 2 123 3" xfId="40528"/>
    <cellStyle name="20% - Accent1 2 124" xfId="13408"/>
    <cellStyle name="20% - Accent1 2 124 2" xfId="27152"/>
    <cellStyle name="20% - Accent1 2 124 2 2" xfId="54160"/>
    <cellStyle name="20% - Accent1 2 124 3" xfId="40656"/>
    <cellStyle name="20% - Accent1 2 125" xfId="13550"/>
    <cellStyle name="20% - Accent1 2 125 2" xfId="27280"/>
    <cellStyle name="20% - Accent1 2 125 2 2" xfId="54288"/>
    <cellStyle name="20% - Accent1 2 125 3" xfId="40784"/>
    <cellStyle name="20% - Accent1 2 126" xfId="13692"/>
    <cellStyle name="20% - Accent1 2 126 2" xfId="27408"/>
    <cellStyle name="20% - Accent1 2 126 2 2" xfId="54416"/>
    <cellStyle name="20% - Accent1 2 126 3" xfId="40912"/>
    <cellStyle name="20% - Accent1 2 127" xfId="15470"/>
    <cellStyle name="20% - Accent1 2 127 2" xfId="42478"/>
    <cellStyle name="20% - Accent1 2 128" xfId="28974"/>
    <cellStyle name="20% - Accent1 2 13" xfId="298"/>
    <cellStyle name="20% - Accent1 2 13 2" xfId="15600"/>
    <cellStyle name="20% - Accent1 2 13 2 2" xfId="42608"/>
    <cellStyle name="20% - Accent1 2 13 3" xfId="29104"/>
    <cellStyle name="20% - Accent1 2 14" xfId="454"/>
    <cellStyle name="20% - Accent1 2 14 2" xfId="15718"/>
    <cellStyle name="20% - Accent1 2 14 2 2" xfId="42726"/>
    <cellStyle name="20% - Accent1 2 14 3" xfId="29222"/>
    <cellStyle name="20% - Accent1 2 15" xfId="302"/>
    <cellStyle name="20% - Accent1 2 15 2" xfId="15604"/>
    <cellStyle name="20% - Accent1 2 15 2 2" xfId="42612"/>
    <cellStyle name="20% - Accent1 2 15 3" xfId="29108"/>
    <cellStyle name="20% - Accent1 2 16" xfId="556"/>
    <cellStyle name="20% - Accent1 2 16 2" xfId="15812"/>
    <cellStyle name="20% - Accent1 2 16 2 2" xfId="42820"/>
    <cellStyle name="20% - Accent1 2 16 3" xfId="29316"/>
    <cellStyle name="20% - Accent1 2 17" xfId="661"/>
    <cellStyle name="20% - Accent1 2 17 2" xfId="15903"/>
    <cellStyle name="20% - Accent1 2 17 2 2" xfId="42911"/>
    <cellStyle name="20% - Accent1 2 17 3" xfId="29407"/>
    <cellStyle name="20% - Accent1 2 18" xfId="767"/>
    <cellStyle name="20% - Accent1 2 18 2" xfId="15995"/>
    <cellStyle name="20% - Accent1 2 18 2 2" xfId="43003"/>
    <cellStyle name="20% - Accent1 2 18 3" xfId="29499"/>
    <cellStyle name="20% - Accent1 2 19" xfId="873"/>
    <cellStyle name="20% - Accent1 2 19 2" xfId="16087"/>
    <cellStyle name="20% - Accent1 2 19 2 2" xfId="43095"/>
    <cellStyle name="20% - Accent1 2 19 3" xfId="29591"/>
    <cellStyle name="20% - Accent1 2 2" xfId="221"/>
    <cellStyle name="20% - Accent1 2 2 10" xfId="8926"/>
    <cellStyle name="20% - Accent1 2 2 10 2" xfId="23104"/>
    <cellStyle name="20% - Accent1 2 2 10 2 2" xfId="50112"/>
    <cellStyle name="20% - Accent1 2 2 10 3" xfId="36608"/>
    <cellStyle name="20% - Accent1 2 2 11" xfId="9068"/>
    <cellStyle name="20% - Accent1 2 2 11 2" xfId="23232"/>
    <cellStyle name="20% - Accent1 2 2 11 2 2" xfId="50240"/>
    <cellStyle name="20% - Accent1 2 2 11 3" xfId="36736"/>
    <cellStyle name="20% - Accent1 2 2 12" xfId="9210"/>
    <cellStyle name="20% - Accent1 2 2 12 2" xfId="23360"/>
    <cellStyle name="20% - Accent1 2 2 12 2 2" xfId="50368"/>
    <cellStyle name="20% - Accent1 2 2 12 3" xfId="36864"/>
    <cellStyle name="20% - Accent1 2 2 13" xfId="9352"/>
    <cellStyle name="20% - Accent1 2 2 13 2" xfId="23488"/>
    <cellStyle name="20% - Accent1 2 2 13 2 2" xfId="50496"/>
    <cellStyle name="20% - Accent1 2 2 13 3" xfId="36992"/>
    <cellStyle name="20% - Accent1 2 2 14" xfId="9494"/>
    <cellStyle name="20% - Accent1 2 2 14 2" xfId="23616"/>
    <cellStyle name="20% - Accent1 2 2 14 2 2" xfId="50624"/>
    <cellStyle name="20% - Accent1 2 2 14 3" xfId="37120"/>
    <cellStyle name="20% - Accent1 2 2 15" xfId="9636"/>
    <cellStyle name="20% - Accent1 2 2 15 2" xfId="23744"/>
    <cellStyle name="20% - Accent1 2 2 15 2 2" xfId="50752"/>
    <cellStyle name="20% - Accent1 2 2 15 3" xfId="37248"/>
    <cellStyle name="20% - Accent1 2 2 16" xfId="9778"/>
    <cellStyle name="20% - Accent1 2 2 16 2" xfId="23872"/>
    <cellStyle name="20% - Accent1 2 2 16 2 2" xfId="50880"/>
    <cellStyle name="20% - Accent1 2 2 16 3" xfId="37376"/>
    <cellStyle name="20% - Accent1 2 2 17" xfId="9920"/>
    <cellStyle name="20% - Accent1 2 2 17 2" xfId="24000"/>
    <cellStyle name="20% - Accent1 2 2 17 2 2" xfId="51008"/>
    <cellStyle name="20% - Accent1 2 2 17 3" xfId="37504"/>
    <cellStyle name="20% - Accent1 2 2 18" xfId="10062"/>
    <cellStyle name="20% - Accent1 2 2 18 2" xfId="24128"/>
    <cellStyle name="20% - Accent1 2 2 18 2 2" xfId="51136"/>
    <cellStyle name="20% - Accent1 2 2 18 3" xfId="37632"/>
    <cellStyle name="20% - Accent1 2 2 19" xfId="10204"/>
    <cellStyle name="20% - Accent1 2 2 19 2" xfId="24256"/>
    <cellStyle name="20% - Accent1 2 2 19 2 2" xfId="51264"/>
    <cellStyle name="20% - Accent1 2 2 19 3" xfId="37760"/>
    <cellStyle name="20% - Accent1 2 2 2" xfId="7790"/>
    <cellStyle name="20% - Accent1 2 2 2 2" xfId="22080"/>
    <cellStyle name="20% - Accent1 2 2 2 2 2" xfId="49088"/>
    <cellStyle name="20% - Accent1 2 2 2 3" xfId="35584"/>
    <cellStyle name="20% - Accent1 2 2 20" xfId="10346"/>
    <cellStyle name="20% - Accent1 2 2 20 2" xfId="24384"/>
    <cellStyle name="20% - Accent1 2 2 20 2 2" xfId="51392"/>
    <cellStyle name="20% - Accent1 2 2 20 3" xfId="37888"/>
    <cellStyle name="20% - Accent1 2 2 21" xfId="10488"/>
    <cellStyle name="20% - Accent1 2 2 21 2" xfId="24512"/>
    <cellStyle name="20% - Accent1 2 2 21 2 2" xfId="51520"/>
    <cellStyle name="20% - Accent1 2 2 21 3" xfId="38016"/>
    <cellStyle name="20% - Accent1 2 2 22" xfId="10630"/>
    <cellStyle name="20% - Accent1 2 2 22 2" xfId="24640"/>
    <cellStyle name="20% - Accent1 2 2 22 2 2" xfId="51648"/>
    <cellStyle name="20% - Accent1 2 2 22 3" xfId="38144"/>
    <cellStyle name="20% - Accent1 2 2 23" xfId="10772"/>
    <cellStyle name="20% - Accent1 2 2 23 2" xfId="24768"/>
    <cellStyle name="20% - Accent1 2 2 23 2 2" xfId="51776"/>
    <cellStyle name="20% - Accent1 2 2 23 3" xfId="38272"/>
    <cellStyle name="20% - Accent1 2 2 24" xfId="10914"/>
    <cellStyle name="20% - Accent1 2 2 24 2" xfId="24896"/>
    <cellStyle name="20% - Accent1 2 2 24 2 2" xfId="51904"/>
    <cellStyle name="20% - Accent1 2 2 24 3" xfId="38400"/>
    <cellStyle name="20% - Accent1 2 2 25" xfId="11056"/>
    <cellStyle name="20% - Accent1 2 2 25 2" xfId="25024"/>
    <cellStyle name="20% - Accent1 2 2 25 2 2" xfId="52032"/>
    <cellStyle name="20% - Accent1 2 2 25 3" xfId="38528"/>
    <cellStyle name="20% - Accent1 2 2 26" xfId="11198"/>
    <cellStyle name="20% - Accent1 2 2 26 2" xfId="25152"/>
    <cellStyle name="20% - Accent1 2 2 26 2 2" xfId="52160"/>
    <cellStyle name="20% - Accent1 2 2 26 3" xfId="38656"/>
    <cellStyle name="20% - Accent1 2 2 27" xfId="11340"/>
    <cellStyle name="20% - Accent1 2 2 27 2" xfId="25280"/>
    <cellStyle name="20% - Accent1 2 2 27 2 2" xfId="52288"/>
    <cellStyle name="20% - Accent1 2 2 27 3" xfId="38784"/>
    <cellStyle name="20% - Accent1 2 2 28" xfId="11482"/>
    <cellStyle name="20% - Accent1 2 2 28 2" xfId="25408"/>
    <cellStyle name="20% - Accent1 2 2 28 2 2" xfId="52416"/>
    <cellStyle name="20% - Accent1 2 2 28 3" xfId="38912"/>
    <cellStyle name="20% - Accent1 2 2 29" xfId="11624"/>
    <cellStyle name="20% - Accent1 2 2 29 2" xfId="25536"/>
    <cellStyle name="20% - Accent1 2 2 29 2 2" xfId="52544"/>
    <cellStyle name="20% - Accent1 2 2 29 3" xfId="39040"/>
    <cellStyle name="20% - Accent1 2 2 3" xfId="7932"/>
    <cellStyle name="20% - Accent1 2 2 3 2" xfId="22208"/>
    <cellStyle name="20% - Accent1 2 2 3 2 2" xfId="49216"/>
    <cellStyle name="20% - Accent1 2 2 3 3" xfId="35712"/>
    <cellStyle name="20% - Accent1 2 2 30" xfId="11766"/>
    <cellStyle name="20% - Accent1 2 2 30 2" xfId="25664"/>
    <cellStyle name="20% - Accent1 2 2 30 2 2" xfId="52672"/>
    <cellStyle name="20% - Accent1 2 2 30 3" xfId="39168"/>
    <cellStyle name="20% - Accent1 2 2 31" xfId="11908"/>
    <cellStyle name="20% - Accent1 2 2 31 2" xfId="25792"/>
    <cellStyle name="20% - Accent1 2 2 31 2 2" xfId="52800"/>
    <cellStyle name="20% - Accent1 2 2 31 3" xfId="39296"/>
    <cellStyle name="20% - Accent1 2 2 32" xfId="12050"/>
    <cellStyle name="20% - Accent1 2 2 32 2" xfId="25920"/>
    <cellStyle name="20% - Accent1 2 2 32 2 2" xfId="52928"/>
    <cellStyle name="20% - Accent1 2 2 32 3" xfId="39424"/>
    <cellStyle name="20% - Accent1 2 2 33" xfId="12192"/>
    <cellStyle name="20% - Accent1 2 2 33 2" xfId="26048"/>
    <cellStyle name="20% - Accent1 2 2 33 2 2" xfId="53056"/>
    <cellStyle name="20% - Accent1 2 2 33 3" xfId="39552"/>
    <cellStyle name="20% - Accent1 2 2 34" xfId="12334"/>
    <cellStyle name="20% - Accent1 2 2 34 2" xfId="26176"/>
    <cellStyle name="20% - Accent1 2 2 34 2 2" xfId="53184"/>
    <cellStyle name="20% - Accent1 2 2 34 3" xfId="39680"/>
    <cellStyle name="20% - Accent1 2 2 35" xfId="12476"/>
    <cellStyle name="20% - Accent1 2 2 35 2" xfId="26304"/>
    <cellStyle name="20% - Accent1 2 2 35 2 2" xfId="53312"/>
    <cellStyle name="20% - Accent1 2 2 35 3" xfId="39808"/>
    <cellStyle name="20% - Accent1 2 2 36" xfId="12618"/>
    <cellStyle name="20% - Accent1 2 2 36 2" xfId="26432"/>
    <cellStyle name="20% - Accent1 2 2 36 2 2" xfId="53440"/>
    <cellStyle name="20% - Accent1 2 2 36 3" xfId="39936"/>
    <cellStyle name="20% - Accent1 2 2 37" xfId="12760"/>
    <cellStyle name="20% - Accent1 2 2 37 2" xfId="26560"/>
    <cellStyle name="20% - Accent1 2 2 37 2 2" xfId="53568"/>
    <cellStyle name="20% - Accent1 2 2 37 3" xfId="40064"/>
    <cellStyle name="20% - Accent1 2 2 38" xfId="12902"/>
    <cellStyle name="20% - Accent1 2 2 38 2" xfId="26688"/>
    <cellStyle name="20% - Accent1 2 2 38 2 2" xfId="53696"/>
    <cellStyle name="20% - Accent1 2 2 38 3" xfId="40192"/>
    <cellStyle name="20% - Accent1 2 2 39" xfId="13044"/>
    <cellStyle name="20% - Accent1 2 2 39 2" xfId="26816"/>
    <cellStyle name="20% - Accent1 2 2 39 2 2" xfId="53824"/>
    <cellStyle name="20% - Accent1 2 2 39 3" xfId="40320"/>
    <cellStyle name="20% - Accent1 2 2 4" xfId="8074"/>
    <cellStyle name="20% - Accent1 2 2 4 2" xfId="22336"/>
    <cellStyle name="20% - Accent1 2 2 4 2 2" xfId="49344"/>
    <cellStyle name="20% - Accent1 2 2 4 3" xfId="35840"/>
    <cellStyle name="20% - Accent1 2 2 40" xfId="13186"/>
    <cellStyle name="20% - Accent1 2 2 40 2" xfId="26944"/>
    <cellStyle name="20% - Accent1 2 2 40 2 2" xfId="53952"/>
    <cellStyle name="20% - Accent1 2 2 40 3" xfId="40448"/>
    <cellStyle name="20% - Accent1 2 2 41" xfId="13328"/>
    <cellStyle name="20% - Accent1 2 2 41 2" xfId="27072"/>
    <cellStyle name="20% - Accent1 2 2 41 2 2" xfId="54080"/>
    <cellStyle name="20% - Accent1 2 2 41 3" xfId="40576"/>
    <cellStyle name="20% - Accent1 2 2 42" xfId="13470"/>
    <cellStyle name="20% - Accent1 2 2 42 2" xfId="27200"/>
    <cellStyle name="20% - Accent1 2 2 42 2 2" xfId="54208"/>
    <cellStyle name="20% - Accent1 2 2 42 3" xfId="40704"/>
    <cellStyle name="20% - Accent1 2 2 43" xfId="13612"/>
    <cellStyle name="20% - Accent1 2 2 43 2" xfId="27328"/>
    <cellStyle name="20% - Accent1 2 2 43 2 2" xfId="54336"/>
    <cellStyle name="20% - Accent1 2 2 43 3" xfId="40832"/>
    <cellStyle name="20% - Accent1 2 2 44" xfId="13754"/>
    <cellStyle name="20% - Accent1 2 2 44 2" xfId="27456"/>
    <cellStyle name="20% - Accent1 2 2 44 2 2" xfId="54464"/>
    <cellStyle name="20% - Accent1 2 2 44 3" xfId="40960"/>
    <cellStyle name="20% - Accent1 2 2 45" xfId="13895"/>
    <cellStyle name="20% - Accent1 2 2 45 2" xfId="27583"/>
    <cellStyle name="20% - Accent1 2 2 45 2 2" xfId="54591"/>
    <cellStyle name="20% - Accent1 2 2 45 3" xfId="41087"/>
    <cellStyle name="20% - Accent1 2 2 46" xfId="14036"/>
    <cellStyle name="20% - Accent1 2 2 46 2" xfId="27710"/>
    <cellStyle name="20% - Accent1 2 2 46 2 2" xfId="54718"/>
    <cellStyle name="20% - Accent1 2 2 46 3" xfId="41214"/>
    <cellStyle name="20% - Accent1 2 2 47" xfId="14177"/>
    <cellStyle name="20% - Accent1 2 2 47 2" xfId="27837"/>
    <cellStyle name="20% - Accent1 2 2 47 2 2" xfId="54845"/>
    <cellStyle name="20% - Accent1 2 2 47 3" xfId="41341"/>
    <cellStyle name="20% - Accent1 2 2 48" xfId="14318"/>
    <cellStyle name="20% - Accent1 2 2 48 2" xfId="27964"/>
    <cellStyle name="20% - Accent1 2 2 48 2 2" xfId="54972"/>
    <cellStyle name="20% - Accent1 2 2 48 3" xfId="41468"/>
    <cellStyle name="20% - Accent1 2 2 49" xfId="14458"/>
    <cellStyle name="20% - Accent1 2 2 49 2" xfId="28090"/>
    <cellStyle name="20% - Accent1 2 2 49 2 2" xfId="55098"/>
    <cellStyle name="20% - Accent1 2 2 49 3" xfId="41594"/>
    <cellStyle name="20% - Accent1 2 2 5" xfId="8216"/>
    <cellStyle name="20% - Accent1 2 2 5 2" xfId="22464"/>
    <cellStyle name="20% - Accent1 2 2 5 2 2" xfId="49472"/>
    <cellStyle name="20% - Accent1 2 2 5 3" xfId="35968"/>
    <cellStyle name="20% - Accent1 2 2 50" xfId="14598"/>
    <cellStyle name="20% - Accent1 2 2 50 2" xfId="28216"/>
    <cellStyle name="20% - Accent1 2 2 50 2 2" xfId="55224"/>
    <cellStyle name="20% - Accent1 2 2 50 3" xfId="41720"/>
    <cellStyle name="20% - Accent1 2 2 51" xfId="14737"/>
    <cellStyle name="20% - Accent1 2 2 51 2" xfId="28341"/>
    <cellStyle name="20% - Accent1 2 2 51 2 2" xfId="55349"/>
    <cellStyle name="20% - Accent1 2 2 51 3" xfId="41845"/>
    <cellStyle name="20% - Accent1 2 2 52" xfId="14872"/>
    <cellStyle name="20% - Accent1 2 2 52 2" xfId="28463"/>
    <cellStyle name="20% - Accent1 2 2 52 2 2" xfId="55471"/>
    <cellStyle name="20% - Accent1 2 2 52 3" xfId="41967"/>
    <cellStyle name="20% - Accent1 2 2 53" xfId="15006"/>
    <cellStyle name="20% - Accent1 2 2 53 2" xfId="28584"/>
    <cellStyle name="20% - Accent1 2 2 53 2 2" xfId="55592"/>
    <cellStyle name="20% - Accent1 2 2 53 3" xfId="42088"/>
    <cellStyle name="20% - Accent1 2 2 54" xfId="15134"/>
    <cellStyle name="20% - Accent1 2 2 54 2" xfId="28701"/>
    <cellStyle name="20% - Accent1 2 2 54 2 2" xfId="55709"/>
    <cellStyle name="20% - Accent1 2 2 54 3" xfId="42205"/>
    <cellStyle name="20% - Accent1 2 2 55" xfId="15255"/>
    <cellStyle name="20% - Accent1 2 2 55 2" xfId="28815"/>
    <cellStyle name="20% - Accent1 2 2 55 2 2" xfId="55823"/>
    <cellStyle name="20% - Accent1 2 2 55 3" xfId="42319"/>
    <cellStyle name="20% - Accent1 2 2 56" xfId="15553"/>
    <cellStyle name="20% - Accent1 2 2 56 2" xfId="42561"/>
    <cellStyle name="20% - Accent1 2 2 57" xfId="29057"/>
    <cellStyle name="20% - Accent1 2 2 6" xfId="8358"/>
    <cellStyle name="20% - Accent1 2 2 6 2" xfId="22592"/>
    <cellStyle name="20% - Accent1 2 2 6 2 2" xfId="49600"/>
    <cellStyle name="20% - Accent1 2 2 6 3" xfId="36096"/>
    <cellStyle name="20% - Accent1 2 2 7" xfId="8500"/>
    <cellStyle name="20% - Accent1 2 2 7 2" xfId="22720"/>
    <cellStyle name="20% - Accent1 2 2 7 2 2" xfId="49728"/>
    <cellStyle name="20% - Accent1 2 2 7 3" xfId="36224"/>
    <cellStyle name="20% - Accent1 2 2 8" xfId="8642"/>
    <cellStyle name="20% - Accent1 2 2 8 2" xfId="22848"/>
    <cellStyle name="20% - Accent1 2 2 8 2 2" xfId="49856"/>
    <cellStyle name="20% - Accent1 2 2 8 3" xfId="36352"/>
    <cellStyle name="20% - Accent1 2 2 9" xfId="8784"/>
    <cellStyle name="20% - Accent1 2 2 9 2" xfId="22976"/>
    <cellStyle name="20% - Accent1 2 2 9 2 2" xfId="49984"/>
    <cellStyle name="20% - Accent1 2 2 9 3" xfId="36480"/>
    <cellStyle name="20% - Accent1 2 20" xfId="979"/>
    <cellStyle name="20% - Accent1 2 20 2" xfId="16179"/>
    <cellStyle name="20% - Accent1 2 20 2 2" xfId="43187"/>
    <cellStyle name="20% - Accent1 2 20 3" xfId="29683"/>
    <cellStyle name="20% - Accent1 2 21" xfId="1085"/>
    <cellStyle name="20% - Accent1 2 21 2" xfId="16271"/>
    <cellStyle name="20% - Accent1 2 21 2 2" xfId="43279"/>
    <cellStyle name="20% - Accent1 2 21 3" xfId="29775"/>
    <cellStyle name="20% - Accent1 2 22" xfId="1191"/>
    <cellStyle name="20% - Accent1 2 22 2" xfId="16363"/>
    <cellStyle name="20% - Accent1 2 22 2 2" xfId="43371"/>
    <cellStyle name="20% - Accent1 2 22 3" xfId="29867"/>
    <cellStyle name="20% - Accent1 2 23" xfId="1297"/>
    <cellStyle name="20% - Accent1 2 23 2" xfId="16455"/>
    <cellStyle name="20% - Accent1 2 23 2 2" xfId="43463"/>
    <cellStyle name="20% - Accent1 2 23 3" xfId="29959"/>
    <cellStyle name="20% - Accent1 2 24" xfId="1403"/>
    <cellStyle name="20% - Accent1 2 24 2" xfId="16547"/>
    <cellStyle name="20% - Accent1 2 24 2 2" xfId="43555"/>
    <cellStyle name="20% - Accent1 2 24 3" xfId="30051"/>
    <cellStyle name="20% - Accent1 2 25" xfId="1509"/>
    <cellStyle name="20% - Accent1 2 25 2" xfId="16639"/>
    <cellStyle name="20% - Accent1 2 25 2 2" xfId="43647"/>
    <cellStyle name="20% - Accent1 2 25 3" xfId="30143"/>
    <cellStyle name="20% - Accent1 2 26" xfId="1615"/>
    <cellStyle name="20% - Accent1 2 26 2" xfId="16731"/>
    <cellStyle name="20% - Accent1 2 26 2 2" xfId="43739"/>
    <cellStyle name="20% - Accent1 2 26 3" xfId="30235"/>
    <cellStyle name="20% - Accent1 2 27" xfId="1721"/>
    <cellStyle name="20% - Accent1 2 27 2" xfId="16823"/>
    <cellStyle name="20% - Accent1 2 27 2 2" xfId="43831"/>
    <cellStyle name="20% - Accent1 2 27 3" xfId="30327"/>
    <cellStyle name="20% - Accent1 2 28" xfId="1827"/>
    <cellStyle name="20% - Accent1 2 28 2" xfId="16915"/>
    <cellStyle name="20% - Accent1 2 28 2 2" xfId="43923"/>
    <cellStyle name="20% - Accent1 2 28 3" xfId="30419"/>
    <cellStyle name="20% - Accent1 2 29" xfId="1933"/>
    <cellStyle name="20% - Accent1 2 29 2" xfId="17007"/>
    <cellStyle name="20% - Accent1 2 29 2 2" xfId="44015"/>
    <cellStyle name="20% - Accent1 2 29 3" xfId="30511"/>
    <cellStyle name="20% - Accent1 2 3" xfId="413"/>
    <cellStyle name="20% - Accent1 2 3 10" xfId="9049"/>
    <cellStyle name="20% - Accent1 2 3 10 2" xfId="23217"/>
    <cellStyle name="20% - Accent1 2 3 10 2 2" xfId="50225"/>
    <cellStyle name="20% - Accent1 2 3 10 3" xfId="36721"/>
    <cellStyle name="20% - Accent1 2 3 11" xfId="9191"/>
    <cellStyle name="20% - Accent1 2 3 11 2" xfId="23345"/>
    <cellStyle name="20% - Accent1 2 3 11 2 2" xfId="50353"/>
    <cellStyle name="20% - Accent1 2 3 11 3" xfId="36849"/>
    <cellStyle name="20% - Accent1 2 3 12" xfId="9333"/>
    <cellStyle name="20% - Accent1 2 3 12 2" xfId="23473"/>
    <cellStyle name="20% - Accent1 2 3 12 2 2" xfId="50481"/>
    <cellStyle name="20% - Accent1 2 3 12 3" xfId="36977"/>
    <cellStyle name="20% - Accent1 2 3 13" xfId="9475"/>
    <cellStyle name="20% - Accent1 2 3 13 2" xfId="23601"/>
    <cellStyle name="20% - Accent1 2 3 13 2 2" xfId="50609"/>
    <cellStyle name="20% - Accent1 2 3 13 3" xfId="37105"/>
    <cellStyle name="20% - Accent1 2 3 14" xfId="9617"/>
    <cellStyle name="20% - Accent1 2 3 14 2" xfId="23729"/>
    <cellStyle name="20% - Accent1 2 3 14 2 2" xfId="50737"/>
    <cellStyle name="20% - Accent1 2 3 14 3" xfId="37233"/>
    <cellStyle name="20% - Accent1 2 3 15" xfId="9759"/>
    <cellStyle name="20% - Accent1 2 3 15 2" xfId="23857"/>
    <cellStyle name="20% - Accent1 2 3 15 2 2" xfId="50865"/>
    <cellStyle name="20% - Accent1 2 3 15 3" xfId="37361"/>
    <cellStyle name="20% - Accent1 2 3 16" xfId="9901"/>
    <cellStyle name="20% - Accent1 2 3 16 2" xfId="23985"/>
    <cellStyle name="20% - Accent1 2 3 16 2 2" xfId="50993"/>
    <cellStyle name="20% - Accent1 2 3 16 3" xfId="37489"/>
    <cellStyle name="20% - Accent1 2 3 17" xfId="10043"/>
    <cellStyle name="20% - Accent1 2 3 17 2" xfId="24113"/>
    <cellStyle name="20% - Accent1 2 3 17 2 2" xfId="51121"/>
    <cellStyle name="20% - Accent1 2 3 17 3" xfId="37617"/>
    <cellStyle name="20% - Accent1 2 3 18" xfId="10185"/>
    <cellStyle name="20% - Accent1 2 3 18 2" xfId="24241"/>
    <cellStyle name="20% - Accent1 2 3 18 2 2" xfId="51249"/>
    <cellStyle name="20% - Accent1 2 3 18 3" xfId="37745"/>
    <cellStyle name="20% - Accent1 2 3 19" xfId="10327"/>
    <cellStyle name="20% - Accent1 2 3 19 2" xfId="24369"/>
    <cellStyle name="20% - Accent1 2 3 19 2 2" xfId="51377"/>
    <cellStyle name="20% - Accent1 2 3 19 3" xfId="37873"/>
    <cellStyle name="20% - Accent1 2 3 2" xfId="7913"/>
    <cellStyle name="20% - Accent1 2 3 2 2" xfId="22193"/>
    <cellStyle name="20% - Accent1 2 3 2 2 2" xfId="49201"/>
    <cellStyle name="20% - Accent1 2 3 2 3" xfId="35697"/>
    <cellStyle name="20% - Accent1 2 3 20" xfId="10469"/>
    <cellStyle name="20% - Accent1 2 3 20 2" xfId="24497"/>
    <cellStyle name="20% - Accent1 2 3 20 2 2" xfId="51505"/>
    <cellStyle name="20% - Accent1 2 3 20 3" xfId="38001"/>
    <cellStyle name="20% - Accent1 2 3 21" xfId="10611"/>
    <cellStyle name="20% - Accent1 2 3 21 2" xfId="24625"/>
    <cellStyle name="20% - Accent1 2 3 21 2 2" xfId="51633"/>
    <cellStyle name="20% - Accent1 2 3 21 3" xfId="38129"/>
    <cellStyle name="20% - Accent1 2 3 22" xfId="10753"/>
    <cellStyle name="20% - Accent1 2 3 22 2" xfId="24753"/>
    <cellStyle name="20% - Accent1 2 3 22 2 2" xfId="51761"/>
    <cellStyle name="20% - Accent1 2 3 22 3" xfId="38257"/>
    <cellStyle name="20% - Accent1 2 3 23" xfId="10895"/>
    <cellStyle name="20% - Accent1 2 3 23 2" xfId="24881"/>
    <cellStyle name="20% - Accent1 2 3 23 2 2" xfId="51889"/>
    <cellStyle name="20% - Accent1 2 3 23 3" xfId="38385"/>
    <cellStyle name="20% - Accent1 2 3 24" xfId="11037"/>
    <cellStyle name="20% - Accent1 2 3 24 2" xfId="25009"/>
    <cellStyle name="20% - Accent1 2 3 24 2 2" xfId="52017"/>
    <cellStyle name="20% - Accent1 2 3 24 3" xfId="38513"/>
    <cellStyle name="20% - Accent1 2 3 25" xfId="11179"/>
    <cellStyle name="20% - Accent1 2 3 25 2" xfId="25137"/>
    <cellStyle name="20% - Accent1 2 3 25 2 2" xfId="52145"/>
    <cellStyle name="20% - Accent1 2 3 25 3" xfId="38641"/>
    <cellStyle name="20% - Accent1 2 3 26" xfId="11321"/>
    <cellStyle name="20% - Accent1 2 3 26 2" xfId="25265"/>
    <cellStyle name="20% - Accent1 2 3 26 2 2" xfId="52273"/>
    <cellStyle name="20% - Accent1 2 3 26 3" xfId="38769"/>
    <cellStyle name="20% - Accent1 2 3 27" xfId="11463"/>
    <cellStyle name="20% - Accent1 2 3 27 2" xfId="25393"/>
    <cellStyle name="20% - Accent1 2 3 27 2 2" xfId="52401"/>
    <cellStyle name="20% - Accent1 2 3 27 3" xfId="38897"/>
    <cellStyle name="20% - Accent1 2 3 28" xfId="11605"/>
    <cellStyle name="20% - Accent1 2 3 28 2" xfId="25521"/>
    <cellStyle name="20% - Accent1 2 3 28 2 2" xfId="52529"/>
    <cellStyle name="20% - Accent1 2 3 28 3" xfId="39025"/>
    <cellStyle name="20% - Accent1 2 3 29" xfId="11747"/>
    <cellStyle name="20% - Accent1 2 3 29 2" xfId="25649"/>
    <cellStyle name="20% - Accent1 2 3 29 2 2" xfId="52657"/>
    <cellStyle name="20% - Accent1 2 3 29 3" xfId="39153"/>
    <cellStyle name="20% - Accent1 2 3 3" xfId="8055"/>
    <cellStyle name="20% - Accent1 2 3 3 2" xfId="22321"/>
    <cellStyle name="20% - Accent1 2 3 3 2 2" xfId="49329"/>
    <cellStyle name="20% - Accent1 2 3 3 3" xfId="35825"/>
    <cellStyle name="20% - Accent1 2 3 30" xfId="11889"/>
    <cellStyle name="20% - Accent1 2 3 30 2" xfId="25777"/>
    <cellStyle name="20% - Accent1 2 3 30 2 2" xfId="52785"/>
    <cellStyle name="20% - Accent1 2 3 30 3" xfId="39281"/>
    <cellStyle name="20% - Accent1 2 3 31" xfId="12031"/>
    <cellStyle name="20% - Accent1 2 3 31 2" xfId="25905"/>
    <cellStyle name="20% - Accent1 2 3 31 2 2" xfId="52913"/>
    <cellStyle name="20% - Accent1 2 3 31 3" xfId="39409"/>
    <cellStyle name="20% - Accent1 2 3 32" xfId="12173"/>
    <cellStyle name="20% - Accent1 2 3 32 2" xfId="26033"/>
    <cellStyle name="20% - Accent1 2 3 32 2 2" xfId="53041"/>
    <cellStyle name="20% - Accent1 2 3 32 3" xfId="39537"/>
    <cellStyle name="20% - Accent1 2 3 33" xfId="12315"/>
    <cellStyle name="20% - Accent1 2 3 33 2" xfId="26161"/>
    <cellStyle name="20% - Accent1 2 3 33 2 2" xfId="53169"/>
    <cellStyle name="20% - Accent1 2 3 33 3" xfId="39665"/>
    <cellStyle name="20% - Accent1 2 3 34" xfId="12457"/>
    <cellStyle name="20% - Accent1 2 3 34 2" xfId="26289"/>
    <cellStyle name="20% - Accent1 2 3 34 2 2" xfId="53297"/>
    <cellStyle name="20% - Accent1 2 3 34 3" xfId="39793"/>
    <cellStyle name="20% - Accent1 2 3 35" xfId="12599"/>
    <cellStyle name="20% - Accent1 2 3 35 2" xfId="26417"/>
    <cellStyle name="20% - Accent1 2 3 35 2 2" xfId="53425"/>
    <cellStyle name="20% - Accent1 2 3 35 3" xfId="39921"/>
    <cellStyle name="20% - Accent1 2 3 36" xfId="12741"/>
    <cellStyle name="20% - Accent1 2 3 36 2" xfId="26545"/>
    <cellStyle name="20% - Accent1 2 3 36 2 2" xfId="53553"/>
    <cellStyle name="20% - Accent1 2 3 36 3" xfId="40049"/>
    <cellStyle name="20% - Accent1 2 3 37" xfId="12883"/>
    <cellStyle name="20% - Accent1 2 3 37 2" xfId="26673"/>
    <cellStyle name="20% - Accent1 2 3 37 2 2" xfId="53681"/>
    <cellStyle name="20% - Accent1 2 3 37 3" xfId="40177"/>
    <cellStyle name="20% - Accent1 2 3 38" xfId="13025"/>
    <cellStyle name="20% - Accent1 2 3 38 2" xfId="26801"/>
    <cellStyle name="20% - Accent1 2 3 38 2 2" xfId="53809"/>
    <cellStyle name="20% - Accent1 2 3 38 3" xfId="40305"/>
    <cellStyle name="20% - Accent1 2 3 39" xfId="13167"/>
    <cellStyle name="20% - Accent1 2 3 39 2" xfId="26929"/>
    <cellStyle name="20% - Accent1 2 3 39 2 2" xfId="53937"/>
    <cellStyle name="20% - Accent1 2 3 39 3" xfId="40433"/>
    <cellStyle name="20% - Accent1 2 3 4" xfId="8197"/>
    <cellStyle name="20% - Accent1 2 3 4 2" xfId="22449"/>
    <cellStyle name="20% - Accent1 2 3 4 2 2" xfId="49457"/>
    <cellStyle name="20% - Accent1 2 3 4 3" xfId="35953"/>
    <cellStyle name="20% - Accent1 2 3 40" xfId="13309"/>
    <cellStyle name="20% - Accent1 2 3 40 2" xfId="27057"/>
    <cellStyle name="20% - Accent1 2 3 40 2 2" xfId="54065"/>
    <cellStyle name="20% - Accent1 2 3 40 3" xfId="40561"/>
    <cellStyle name="20% - Accent1 2 3 41" xfId="13451"/>
    <cellStyle name="20% - Accent1 2 3 41 2" xfId="27185"/>
    <cellStyle name="20% - Accent1 2 3 41 2 2" xfId="54193"/>
    <cellStyle name="20% - Accent1 2 3 41 3" xfId="40689"/>
    <cellStyle name="20% - Accent1 2 3 42" xfId="13593"/>
    <cellStyle name="20% - Accent1 2 3 42 2" xfId="27313"/>
    <cellStyle name="20% - Accent1 2 3 42 2 2" xfId="54321"/>
    <cellStyle name="20% - Accent1 2 3 42 3" xfId="40817"/>
    <cellStyle name="20% - Accent1 2 3 43" xfId="13735"/>
    <cellStyle name="20% - Accent1 2 3 43 2" xfId="27441"/>
    <cellStyle name="20% - Accent1 2 3 43 2 2" xfId="54449"/>
    <cellStyle name="20% - Accent1 2 3 43 3" xfId="40945"/>
    <cellStyle name="20% - Accent1 2 3 44" xfId="13876"/>
    <cellStyle name="20% - Accent1 2 3 44 2" xfId="27568"/>
    <cellStyle name="20% - Accent1 2 3 44 2 2" xfId="54576"/>
    <cellStyle name="20% - Accent1 2 3 44 3" xfId="41072"/>
    <cellStyle name="20% - Accent1 2 3 45" xfId="14017"/>
    <cellStyle name="20% - Accent1 2 3 45 2" xfId="27695"/>
    <cellStyle name="20% - Accent1 2 3 45 2 2" xfId="54703"/>
    <cellStyle name="20% - Accent1 2 3 45 3" xfId="41199"/>
    <cellStyle name="20% - Accent1 2 3 46" xfId="14158"/>
    <cellStyle name="20% - Accent1 2 3 46 2" xfId="27822"/>
    <cellStyle name="20% - Accent1 2 3 46 2 2" xfId="54830"/>
    <cellStyle name="20% - Accent1 2 3 46 3" xfId="41326"/>
    <cellStyle name="20% - Accent1 2 3 47" xfId="14299"/>
    <cellStyle name="20% - Accent1 2 3 47 2" xfId="27949"/>
    <cellStyle name="20% - Accent1 2 3 47 2 2" xfId="54957"/>
    <cellStyle name="20% - Accent1 2 3 47 3" xfId="41453"/>
    <cellStyle name="20% - Accent1 2 3 48" xfId="14439"/>
    <cellStyle name="20% - Accent1 2 3 48 2" xfId="28075"/>
    <cellStyle name="20% - Accent1 2 3 48 2 2" xfId="55083"/>
    <cellStyle name="20% - Accent1 2 3 48 3" xfId="41579"/>
    <cellStyle name="20% - Accent1 2 3 49" xfId="14579"/>
    <cellStyle name="20% - Accent1 2 3 49 2" xfId="28201"/>
    <cellStyle name="20% - Accent1 2 3 49 2 2" xfId="55209"/>
    <cellStyle name="20% - Accent1 2 3 49 3" xfId="41705"/>
    <cellStyle name="20% - Accent1 2 3 5" xfId="8339"/>
    <cellStyle name="20% - Accent1 2 3 5 2" xfId="22577"/>
    <cellStyle name="20% - Accent1 2 3 5 2 2" xfId="49585"/>
    <cellStyle name="20% - Accent1 2 3 5 3" xfId="36081"/>
    <cellStyle name="20% - Accent1 2 3 50" xfId="14718"/>
    <cellStyle name="20% - Accent1 2 3 50 2" xfId="28326"/>
    <cellStyle name="20% - Accent1 2 3 50 2 2" xfId="55334"/>
    <cellStyle name="20% - Accent1 2 3 50 3" xfId="41830"/>
    <cellStyle name="20% - Accent1 2 3 51" xfId="14853"/>
    <cellStyle name="20% - Accent1 2 3 51 2" xfId="28448"/>
    <cellStyle name="20% - Accent1 2 3 51 2 2" xfId="55456"/>
    <cellStyle name="20% - Accent1 2 3 51 3" xfId="41952"/>
    <cellStyle name="20% - Accent1 2 3 52" xfId="14987"/>
    <cellStyle name="20% - Accent1 2 3 52 2" xfId="28569"/>
    <cellStyle name="20% - Accent1 2 3 52 2 2" xfId="55577"/>
    <cellStyle name="20% - Accent1 2 3 52 3" xfId="42073"/>
    <cellStyle name="20% - Accent1 2 3 53" xfId="15116"/>
    <cellStyle name="20% - Accent1 2 3 53 2" xfId="28686"/>
    <cellStyle name="20% - Accent1 2 3 53 2 2" xfId="55694"/>
    <cellStyle name="20% - Accent1 2 3 53 3" xfId="42190"/>
    <cellStyle name="20% - Accent1 2 3 54" xfId="15238"/>
    <cellStyle name="20% - Accent1 2 3 54 2" xfId="28800"/>
    <cellStyle name="20% - Accent1 2 3 54 2 2" xfId="55808"/>
    <cellStyle name="20% - Accent1 2 3 54 3" xfId="42304"/>
    <cellStyle name="20% - Accent1 2 3 55" xfId="15343"/>
    <cellStyle name="20% - Accent1 2 3 55 2" xfId="28903"/>
    <cellStyle name="20% - Accent1 2 3 55 2 2" xfId="55911"/>
    <cellStyle name="20% - Accent1 2 3 55 3" xfId="42407"/>
    <cellStyle name="20% - Accent1 2 3 56" xfId="15681"/>
    <cellStyle name="20% - Accent1 2 3 56 2" xfId="42689"/>
    <cellStyle name="20% - Accent1 2 3 57" xfId="29185"/>
    <cellStyle name="20% - Accent1 2 3 6" xfId="8481"/>
    <cellStyle name="20% - Accent1 2 3 6 2" xfId="22705"/>
    <cellStyle name="20% - Accent1 2 3 6 2 2" xfId="49713"/>
    <cellStyle name="20% - Accent1 2 3 6 3" xfId="36209"/>
    <cellStyle name="20% - Accent1 2 3 7" xfId="8623"/>
    <cellStyle name="20% - Accent1 2 3 7 2" xfId="22833"/>
    <cellStyle name="20% - Accent1 2 3 7 2 2" xfId="49841"/>
    <cellStyle name="20% - Accent1 2 3 7 3" xfId="36337"/>
    <cellStyle name="20% - Accent1 2 3 8" xfId="8765"/>
    <cellStyle name="20% - Accent1 2 3 8 2" xfId="22961"/>
    <cellStyle name="20% - Accent1 2 3 8 2 2" xfId="49969"/>
    <cellStyle name="20% - Accent1 2 3 8 3" xfId="36465"/>
    <cellStyle name="20% - Accent1 2 3 9" xfId="8907"/>
    <cellStyle name="20% - Accent1 2 3 9 2" xfId="23089"/>
    <cellStyle name="20% - Accent1 2 3 9 2 2" xfId="50097"/>
    <cellStyle name="20% - Accent1 2 3 9 3" xfId="36593"/>
    <cellStyle name="20% - Accent1 2 30" xfId="2039"/>
    <cellStyle name="20% - Accent1 2 30 2" xfId="17099"/>
    <cellStyle name="20% - Accent1 2 30 2 2" xfId="44107"/>
    <cellStyle name="20% - Accent1 2 30 3" xfId="30603"/>
    <cellStyle name="20% - Accent1 2 31" xfId="2145"/>
    <cellStyle name="20% - Accent1 2 31 2" xfId="17191"/>
    <cellStyle name="20% - Accent1 2 31 2 2" xfId="44199"/>
    <cellStyle name="20% - Accent1 2 31 3" xfId="30695"/>
    <cellStyle name="20% - Accent1 2 32" xfId="2251"/>
    <cellStyle name="20% - Accent1 2 32 2" xfId="17283"/>
    <cellStyle name="20% - Accent1 2 32 2 2" xfId="44291"/>
    <cellStyle name="20% - Accent1 2 32 3" xfId="30787"/>
    <cellStyle name="20% - Accent1 2 33" xfId="2357"/>
    <cellStyle name="20% - Accent1 2 33 2" xfId="17375"/>
    <cellStyle name="20% - Accent1 2 33 2 2" xfId="44383"/>
    <cellStyle name="20% - Accent1 2 33 3" xfId="30879"/>
    <cellStyle name="20% - Accent1 2 34" xfId="2463"/>
    <cellStyle name="20% - Accent1 2 34 2" xfId="17467"/>
    <cellStyle name="20% - Accent1 2 34 2 2" xfId="44475"/>
    <cellStyle name="20% - Accent1 2 34 3" xfId="30971"/>
    <cellStyle name="20% - Accent1 2 35" xfId="2569"/>
    <cellStyle name="20% - Accent1 2 35 2" xfId="17559"/>
    <cellStyle name="20% - Accent1 2 35 2 2" xfId="44567"/>
    <cellStyle name="20% - Accent1 2 35 3" xfId="31063"/>
    <cellStyle name="20% - Accent1 2 36" xfId="2675"/>
    <cellStyle name="20% - Accent1 2 36 2" xfId="17651"/>
    <cellStyle name="20% - Accent1 2 36 2 2" xfId="44659"/>
    <cellStyle name="20% - Accent1 2 36 3" xfId="31155"/>
    <cellStyle name="20% - Accent1 2 37" xfId="2781"/>
    <cellStyle name="20% - Accent1 2 37 2" xfId="17743"/>
    <cellStyle name="20% - Accent1 2 37 2 2" xfId="44751"/>
    <cellStyle name="20% - Accent1 2 37 3" xfId="31247"/>
    <cellStyle name="20% - Accent1 2 38" xfId="2887"/>
    <cellStyle name="20% - Accent1 2 38 2" xfId="17835"/>
    <cellStyle name="20% - Accent1 2 38 2 2" xfId="44843"/>
    <cellStyle name="20% - Accent1 2 38 3" xfId="31339"/>
    <cellStyle name="20% - Accent1 2 39" xfId="2993"/>
    <cellStyle name="20% - Accent1 2 39 2" xfId="17927"/>
    <cellStyle name="20% - Accent1 2 39 2 2" xfId="44935"/>
    <cellStyle name="20% - Accent1 2 39 3" xfId="31431"/>
    <cellStyle name="20% - Accent1 2 4" xfId="193"/>
    <cellStyle name="20% - Accent1 2 4 2" xfId="15548"/>
    <cellStyle name="20% - Accent1 2 4 2 2" xfId="42556"/>
    <cellStyle name="20% - Accent1 2 4 3" xfId="29052"/>
    <cellStyle name="20% - Accent1 2 40" xfId="3099"/>
    <cellStyle name="20% - Accent1 2 40 2" xfId="18019"/>
    <cellStyle name="20% - Accent1 2 40 2 2" xfId="45027"/>
    <cellStyle name="20% - Accent1 2 40 3" xfId="31523"/>
    <cellStyle name="20% - Accent1 2 41" xfId="3205"/>
    <cellStyle name="20% - Accent1 2 41 2" xfId="18111"/>
    <cellStyle name="20% - Accent1 2 41 2 2" xfId="45119"/>
    <cellStyle name="20% - Accent1 2 41 3" xfId="31615"/>
    <cellStyle name="20% - Accent1 2 42" xfId="3311"/>
    <cellStyle name="20% - Accent1 2 42 2" xfId="18203"/>
    <cellStyle name="20% - Accent1 2 42 2 2" xfId="45211"/>
    <cellStyle name="20% - Accent1 2 42 3" xfId="31707"/>
    <cellStyle name="20% - Accent1 2 43" xfId="3417"/>
    <cellStyle name="20% - Accent1 2 43 2" xfId="18295"/>
    <cellStyle name="20% - Accent1 2 43 2 2" xfId="45303"/>
    <cellStyle name="20% - Accent1 2 43 3" xfId="31799"/>
    <cellStyle name="20% - Accent1 2 44" xfId="3523"/>
    <cellStyle name="20% - Accent1 2 44 2" xfId="18387"/>
    <cellStyle name="20% - Accent1 2 44 2 2" xfId="45395"/>
    <cellStyle name="20% - Accent1 2 44 3" xfId="31891"/>
    <cellStyle name="20% - Accent1 2 45" xfId="3629"/>
    <cellStyle name="20% - Accent1 2 45 2" xfId="18479"/>
    <cellStyle name="20% - Accent1 2 45 2 2" xfId="45487"/>
    <cellStyle name="20% - Accent1 2 45 3" xfId="31983"/>
    <cellStyle name="20% - Accent1 2 46" xfId="3735"/>
    <cellStyle name="20% - Accent1 2 46 2" xfId="18571"/>
    <cellStyle name="20% - Accent1 2 46 2 2" xfId="45579"/>
    <cellStyle name="20% - Accent1 2 46 3" xfId="32075"/>
    <cellStyle name="20% - Accent1 2 47" xfId="3841"/>
    <cellStyle name="20% - Accent1 2 47 2" xfId="18663"/>
    <cellStyle name="20% - Accent1 2 47 2 2" xfId="45671"/>
    <cellStyle name="20% - Accent1 2 47 3" xfId="32167"/>
    <cellStyle name="20% - Accent1 2 48" xfId="3947"/>
    <cellStyle name="20% - Accent1 2 48 2" xfId="18755"/>
    <cellStyle name="20% - Accent1 2 48 2 2" xfId="45763"/>
    <cellStyle name="20% - Accent1 2 48 3" xfId="32259"/>
    <cellStyle name="20% - Accent1 2 49" xfId="4053"/>
    <cellStyle name="20% - Accent1 2 49 2" xfId="18847"/>
    <cellStyle name="20% - Accent1 2 49 2 2" xfId="45855"/>
    <cellStyle name="20% - Accent1 2 49 3" xfId="32351"/>
    <cellStyle name="20% - Accent1 2 5" xfId="247"/>
    <cellStyle name="20% - Accent1 2 5 2" xfId="15566"/>
    <cellStyle name="20% - Accent1 2 5 2 2" xfId="42574"/>
    <cellStyle name="20% - Accent1 2 5 3" xfId="29070"/>
    <cellStyle name="20% - Accent1 2 50" xfId="4159"/>
    <cellStyle name="20% - Accent1 2 50 2" xfId="18939"/>
    <cellStyle name="20% - Accent1 2 50 2 2" xfId="45947"/>
    <cellStyle name="20% - Accent1 2 50 3" xfId="32443"/>
    <cellStyle name="20% - Accent1 2 51" xfId="4265"/>
    <cellStyle name="20% - Accent1 2 51 2" xfId="19031"/>
    <cellStyle name="20% - Accent1 2 51 2 2" xfId="46039"/>
    <cellStyle name="20% - Accent1 2 51 3" xfId="32535"/>
    <cellStyle name="20% - Accent1 2 52" xfId="4371"/>
    <cellStyle name="20% - Accent1 2 52 2" xfId="19123"/>
    <cellStyle name="20% - Accent1 2 52 2 2" xfId="46131"/>
    <cellStyle name="20% - Accent1 2 52 3" xfId="32627"/>
    <cellStyle name="20% - Accent1 2 53" xfId="4477"/>
    <cellStyle name="20% - Accent1 2 53 2" xfId="19215"/>
    <cellStyle name="20% - Accent1 2 53 2 2" xfId="46223"/>
    <cellStyle name="20% - Accent1 2 53 3" xfId="32719"/>
    <cellStyle name="20% - Accent1 2 54" xfId="4583"/>
    <cellStyle name="20% - Accent1 2 54 2" xfId="19307"/>
    <cellStyle name="20% - Accent1 2 54 2 2" xfId="46315"/>
    <cellStyle name="20% - Accent1 2 54 3" xfId="32811"/>
    <cellStyle name="20% - Accent1 2 55" xfId="4689"/>
    <cellStyle name="20% - Accent1 2 55 2" xfId="19399"/>
    <cellStyle name="20% - Accent1 2 55 2 2" xfId="46407"/>
    <cellStyle name="20% - Accent1 2 55 3" xfId="32903"/>
    <cellStyle name="20% - Accent1 2 56" xfId="4795"/>
    <cellStyle name="20% - Accent1 2 56 2" xfId="19491"/>
    <cellStyle name="20% - Accent1 2 56 2 2" xfId="46499"/>
    <cellStyle name="20% - Accent1 2 56 3" xfId="32995"/>
    <cellStyle name="20% - Accent1 2 57" xfId="4901"/>
    <cellStyle name="20% - Accent1 2 57 2" xfId="19583"/>
    <cellStyle name="20% - Accent1 2 57 2 2" xfId="46591"/>
    <cellStyle name="20% - Accent1 2 57 3" xfId="33087"/>
    <cellStyle name="20% - Accent1 2 58" xfId="5007"/>
    <cellStyle name="20% - Accent1 2 58 2" xfId="19675"/>
    <cellStyle name="20% - Accent1 2 58 2 2" xfId="46683"/>
    <cellStyle name="20% - Accent1 2 58 3" xfId="33179"/>
    <cellStyle name="20% - Accent1 2 59" xfId="5113"/>
    <cellStyle name="20% - Accent1 2 59 2" xfId="19767"/>
    <cellStyle name="20% - Accent1 2 59 2 2" xfId="46775"/>
    <cellStyle name="20% - Accent1 2 59 3" xfId="33271"/>
    <cellStyle name="20% - Accent1 2 6" xfId="464"/>
    <cellStyle name="20% - Accent1 2 6 2" xfId="15725"/>
    <cellStyle name="20% - Accent1 2 6 2 2" xfId="42733"/>
    <cellStyle name="20% - Accent1 2 6 3" xfId="29229"/>
    <cellStyle name="20% - Accent1 2 60" xfId="5219"/>
    <cellStyle name="20% - Accent1 2 60 2" xfId="19859"/>
    <cellStyle name="20% - Accent1 2 60 2 2" xfId="46867"/>
    <cellStyle name="20% - Accent1 2 60 3" xfId="33363"/>
    <cellStyle name="20% - Accent1 2 61" xfId="5325"/>
    <cellStyle name="20% - Accent1 2 61 2" xfId="19951"/>
    <cellStyle name="20% - Accent1 2 61 2 2" xfId="46959"/>
    <cellStyle name="20% - Accent1 2 61 3" xfId="33455"/>
    <cellStyle name="20% - Accent1 2 62" xfId="5431"/>
    <cellStyle name="20% - Accent1 2 62 2" xfId="20043"/>
    <cellStyle name="20% - Accent1 2 62 2 2" xfId="47051"/>
    <cellStyle name="20% - Accent1 2 62 3" xfId="33547"/>
    <cellStyle name="20% - Accent1 2 63" xfId="5537"/>
    <cellStyle name="20% - Accent1 2 63 2" xfId="20135"/>
    <cellStyle name="20% - Accent1 2 63 2 2" xfId="47143"/>
    <cellStyle name="20% - Accent1 2 63 3" xfId="33639"/>
    <cellStyle name="20% - Accent1 2 64" xfId="5643"/>
    <cellStyle name="20% - Accent1 2 64 2" xfId="20227"/>
    <cellStyle name="20% - Accent1 2 64 2 2" xfId="47235"/>
    <cellStyle name="20% - Accent1 2 64 3" xfId="33731"/>
    <cellStyle name="20% - Accent1 2 65" xfId="5749"/>
    <cellStyle name="20% - Accent1 2 65 2" xfId="20319"/>
    <cellStyle name="20% - Accent1 2 65 2 2" xfId="47327"/>
    <cellStyle name="20% - Accent1 2 65 3" xfId="33823"/>
    <cellStyle name="20% - Accent1 2 66" xfId="5855"/>
    <cellStyle name="20% - Accent1 2 66 2" xfId="20411"/>
    <cellStyle name="20% - Accent1 2 66 2 2" xfId="47419"/>
    <cellStyle name="20% - Accent1 2 66 3" xfId="33915"/>
    <cellStyle name="20% - Accent1 2 67" xfId="5961"/>
    <cellStyle name="20% - Accent1 2 67 2" xfId="20503"/>
    <cellStyle name="20% - Accent1 2 67 2 2" xfId="47511"/>
    <cellStyle name="20% - Accent1 2 67 3" xfId="34007"/>
    <cellStyle name="20% - Accent1 2 68" xfId="6067"/>
    <cellStyle name="20% - Accent1 2 68 2" xfId="20595"/>
    <cellStyle name="20% - Accent1 2 68 2 2" xfId="47603"/>
    <cellStyle name="20% - Accent1 2 68 3" xfId="34099"/>
    <cellStyle name="20% - Accent1 2 69" xfId="6173"/>
    <cellStyle name="20% - Accent1 2 69 2" xfId="20687"/>
    <cellStyle name="20% - Accent1 2 69 2 2" xfId="47695"/>
    <cellStyle name="20% - Accent1 2 69 3" xfId="34191"/>
    <cellStyle name="20% - Accent1 2 7" xfId="426"/>
    <cellStyle name="20% - Accent1 2 7 2" xfId="15694"/>
    <cellStyle name="20% - Accent1 2 7 2 2" xfId="42702"/>
    <cellStyle name="20% - Accent1 2 7 3" xfId="29198"/>
    <cellStyle name="20% - Accent1 2 70" xfId="6279"/>
    <cellStyle name="20% - Accent1 2 70 2" xfId="20779"/>
    <cellStyle name="20% - Accent1 2 70 2 2" xfId="47787"/>
    <cellStyle name="20% - Accent1 2 70 3" xfId="34283"/>
    <cellStyle name="20% - Accent1 2 71" xfId="6385"/>
    <cellStyle name="20% - Accent1 2 71 2" xfId="20871"/>
    <cellStyle name="20% - Accent1 2 71 2 2" xfId="47879"/>
    <cellStyle name="20% - Accent1 2 71 3" xfId="34375"/>
    <cellStyle name="20% - Accent1 2 72" xfId="6491"/>
    <cellStyle name="20% - Accent1 2 72 2" xfId="20963"/>
    <cellStyle name="20% - Accent1 2 72 2 2" xfId="47971"/>
    <cellStyle name="20% - Accent1 2 72 3" xfId="34467"/>
    <cellStyle name="20% - Accent1 2 73" xfId="7720"/>
    <cellStyle name="20% - Accent1 2 73 2" xfId="22022"/>
    <cellStyle name="20% - Accent1 2 73 2 2" xfId="49030"/>
    <cellStyle name="20% - Accent1 2 73 3" xfId="35526"/>
    <cellStyle name="20% - Accent1 2 74" xfId="7708"/>
    <cellStyle name="20% - Accent1 2 74 2" xfId="22011"/>
    <cellStyle name="20% - Accent1 2 74 2 2" xfId="49019"/>
    <cellStyle name="20% - Accent1 2 74 3" xfId="35515"/>
    <cellStyle name="20% - Accent1 2 75" xfId="7775"/>
    <cellStyle name="20% - Accent1 2 75 2" xfId="22070"/>
    <cellStyle name="20% - Accent1 2 75 2 2" xfId="49078"/>
    <cellStyle name="20% - Accent1 2 75 3" xfId="35574"/>
    <cellStyle name="20% - Accent1 2 76" xfId="7737"/>
    <cellStyle name="20% - Accent1 2 76 2" xfId="22039"/>
    <cellStyle name="20% - Accent1 2 76 2 2" xfId="49047"/>
    <cellStyle name="20% - Accent1 2 76 3" xfId="35543"/>
    <cellStyle name="20% - Accent1 2 77" xfId="7744"/>
    <cellStyle name="20% - Accent1 2 77 2" xfId="22044"/>
    <cellStyle name="20% - Accent1 2 77 2 2" xfId="49052"/>
    <cellStyle name="20% - Accent1 2 77 3" xfId="35548"/>
    <cellStyle name="20% - Accent1 2 78" xfId="7718"/>
    <cellStyle name="20% - Accent1 2 78 2" xfId="22020"/>
    <cellStyle name="20% - Accent1 2 78 2 2" xfId="49028"/>
    <cellStyle name="20% - Accent1 2 78 3" xfId="35524"/>
    <cellStyle name="20% - Accent1 2 79" xfId="7781"/>
    <cellStyle name="20% - Accent1 2 79 2" xfId="22075"/>
    <cellStyle name="20% - Accent1 2 79 2 2" xfId="49083"/>
    <cellStyle name="20% - Accent1 2 79 3" xfId="35579"/>
    <cellStyle name="20% - Accent1 2 8" xfId="433"/>
    <cellStyle name="20% - Accent1 2 8 2" xfId="15699"/>
    <cellStyle name="20% - Accent1 2 8 2 2" xfId="42707"/>
    <cellStyle name="20% - Accent1 2 8 3" xfId="29203"/>
    <cellStyle name="20% - Accent1 2 80" xfId="7725"/>
    <cellStyle name="20% - Accent1 2 80 2" xfId="22027"/>
    <cellStyle name="20% - Accent1 2 80 2 2" xfId="49035"/>
    <cellStyle name="20% - Accent1 2 80 3" xfId="35531"/>
    <cellStyle name="20% - Accent1 2 81" xfId="7767"/>
    <cellStyle name="20% - Accent1 2 81 2" xfId="22064"/>
    <cellStyle name="20% - Accent1 2 81 2 2" xfId="49072"/>
    <cellStyle name="20% - Accent1 2 81 3" xfId="35568"/>
    <cellStyle name="20% - Accent1 2 82" xfId="7726"/>
    <cellStyle name="20% - Accent1 2 82 2" xfId="22028"/>
    <cellStyle name="20% - Accent1 2 82 2 2" xfId="49036"/>
    <cellStyle name="20% - Accent1 2 82 3" xfId="35532"/>
    <cellStyle name="20% - Accent1 2 83" xfId="7765"/>
    <cellStyle name="20% - Accent1 2 83 2" xfId="22063"/>
    <cellStyle name="20% - Accent1 2 83 2 2" xfId="49071"/>
    <cellStyle name="20% - Accent1 2 83 3" xfId="35567"/>
    <cellStyle name="20% - Accent1 2 84" xfId="7730"/>
    <cellStyle name="20% - Accent1 2 84 2" xfId="22032"/>
    <cellStyle name="20% - Accent1 2 84 2 2" xfId="49040"/>
    <cellStyle name="20% - Accent1 2 84 3" xfId="35536"/>
    <cellStyle name="20% - Accent1 2 85" xfId="7870"/>
    <cellStyle name="20% - Accent1 2 85 2" xfId="22160"/>
    <cellStyle name="20% - Accent1 2 85 2 2" xfId="49168"/>
    <cellStyle name="20% - Accent1 2 85 3" xfId="35664"/>
    <cellStyle name="20% - Accent1 2 86" xfId="8012"/>
    <cellStyle name="20% - Accent1 2 86 2" xfId="22288"/>
    <cellStyle name="20% - Accent1 2 86 2 2" xfId="49296"/>
    <cellStyle name="20% - Accent1 2 86 3" xfId="35792"/>
    <cellStyle name="20% - Accent1 2 87" xfId="8154"/>
    <cellStyle name="20% - Accent1 2 87 2" xfId="22416"/>
    <cellStyle name="20% - Accent1 2 87 2 2" xfId="49424"/>
    <cellStyle name="20% - Accent1 2 87 3" xfId="35920"/>
    <cellStyle name="20% - Accent1 2 88" xfId="8296"/>
    <cellStyle name="20% - Accent1 2 88 2" xfId="22544"/>
    <cellStyle name="20% - Accent1 2 88 2 2" xfId="49552"/>
    <cellStyle name="20% - Accent1 2 88 3" xfId="36048"/>
    <cellStyle name="20% - Accent1 2 89" xfId="8438"/>
    <cellStyle name="20% - Accent1 2 89 2" xfId="22672"/>
    <cellStyle name="20% - Accent1 2 89 2 2" xfId="49680"/>
    <cellStyle name="20% - Accent1 2 89 3" xfId="36176"/>
    <cellStyle name="20% - Accent1 2 9" xfId="314"/>
    <cellStyle name="20% - Accent1 2 9 2" xfId="15616"/>
    <cellStyle name="20% - Accent1 2 9 2 2" xfId="42624"/>
    <cellStyle name="20% - Accent1 2 9 3" xfId="29120"/>
    <cellStyle name="20% - Accent1 2 90" xfId="8580"/>
    <cellStyle name="20% - Accent1 2 90 2" xfId="22800"/>
    <cellStyle name="20% - Accent1 2 90 2 2" xfId="49808"/>
    <cellStyle name="20% - Accent1 2 90 3" xfId="36304"/>
    <cellStyle name="20% - Accent1 2 91" xfId="8722"/>
    <cellStyle name="20% - Accent1 2 91 2" xfId="22928"/>
    <cellStyle name="20% - Accent1 2 91 2 2" xfId="49936"/>
    <cellStyle name="20% - Accent1 2 91 3" xfId="36432"/>
    <cellStyle name="20% - Accent1 2 92" xfId="8864"/>
    <cellStyle name="20% - Accent1 2 92 2" xfId="23056"/>
    <cellStyle name="20% - Accent1 2 92 2 2" xfId="50064"/>
    <cellStyle name="20% - Accent1 2 92 3" xfId="36560"/>
    <cellStyle name="20% - Accent1 2 93" xfId="9006"/>
    <cellStyle name="20% - Accent1 2 93 2" xfId="23184"/>
    <cellStyle name="20% - Accent1 2 93 2 2" xfId="50192"/>
    <cellStyle name="20% - Accent1 2 93 3" xfId="36688"/>
    <cellStyle name="20% - Accent1 2 94" xfId="9148"/>
    <cellStyle name="20% - Accent1 2 94 2" xfId="23312"/>
    <cellStyle name="20% - Accent1 2 94 2 2" xfId="50320"/>
    <cellStyle name="20% - Accent1 2 94 3" xfId="36816"/>
    <cellStyle name="20% - Accent1 2 95" xfId="9290"/>
    <cellStyle name="20% - Accent1 2 95 2" xfId="23440"/>
    <cellStyle name="20% - Accent1 2 95 2 2" xfId="50448"/>
    <cellStyle name="20% - Accent1 2 95 3" xfId="36944"/>
    <cellStyle name="20% - Accent1 2 96" xfId="9432"/>
    <cellStyle name="20% - Accent1 2 96 2" xfId="23568"/>
    <cellStyle name="20% - Accent1 2 96 2 2" xfId="50576"/>
    <cellStyle name="20% - Accent1 2 96 3" xfId="37072"/>
    <cellStyle name="20% - Accent1 2 97" xfId="9574"/>
    <cellStyle name="20% - Accent1 2 97 2" xfId="23696"/>
    <cellStyle name="20% - Accent1 2 97 2 2" xfId="50704"/>
    <cellStyle name="20% - Accent1 2 97 3" xfId="37200"/>
    <cellStyle name="20% - Accent1 2 98" xfId="9716"/>
    <cellStyle name="20% - Accent1 2 98 2" xfId="23824"/>
    <cellStyle name="20% - Accent1 2 98 2 2" xfId="50832"/>
    <cellStyle name="20% - Accent1 2 98 3" xfId="37328"/>
    <cellStyle name="20% - Accent1 2 99" xfId="9858"/>
    <cellStyle name="20% - Accent1 2 99 2" xfId="23952"/>
    <cellStyle name="20% - Accent1 2 99 2 2" xfId="50960"/>
    <cellStyle name="20% - Accent1 2 99 3" xfId="37456"/>
    <cellStyle name="20% - Accent1 3" xfId="129"/>
    <cellStyle name="20% - Accent1 3 10" xfId="1240"/>
    <cellStyle name="20% - Accent1 3 10 2" xfId="16400"/>
    <cellStyle name="20% - Accent1 3 10 2 2" xfId="43408"/>
    <cellStyle name="20% - Accent1 3 10 3" xfId="29904"/>
    <cellStyle name="20% - Accent1 3 100" xfId="11783"/>
    <cellStyle name="20% - Accent1 3 100 2" xfId="25681"/>
    <cellStyle name="20% - Accent1 3 100 2 2" xfId="52689"/>
    <cellStyle name="20% - Accent1 3 100 3" xfId="39185"/>
    <cellStyle name="20% - Accent1 3 101" xfId="11925"/>
    <cellStyle name="20% - Accent1 3 101 2" xfId="25809"/>
    <cellStyle name="20% - Accent1 3 101 2 2" xfId="52817"/>
    <cellStyle name="20% - Accent1 3 101 3" xfId="39313"/>
    <cellStyle name="20% - Accent1 3 102" xfId="12067"/>
    <cellStyle name="20% - Accent1 3 102 2" xfId="25937"/>
    <cellStyle name="20% - Accent1 3 102 2 2" xfId="52945"/>
    <cellStyle name="20% - Accent1 3 102 3" xfId="39441"/>
    <cellStyle name="20% - Accent1 3 103" xfId="12209"/>
    <cellStyle name="20% - Accent1 3 103 2" xfId="26065"/>
    <cellStyle name="20% - Accent1 3 103 2 2" xfId="53073"/>
    <cellStyle name="20% - Accent1 3 103 3" xfId="39569"/>
    <cellStyle name="20% - Accent1 3 104" xfId="12351"/>
    <cellStyle name="20% - Accent1 3 104 2" xfId="26193"/>
    <cellStyle name="20% - Accent1 3 104 2 2" xfId="53201"/>
    <cellStyle name="20% - Accent1 3 104 3" xfId="39697"/>
    <cellStyle name="20% - Accent1 3 105" xfId="12493"/>
    <cellStyle name="20% - Accent1 3 105 2" xfId="26321"/>
    <cellStyle name="20% - Accent1 3 105 2 2" xfId="53329"/>
    <cellStyle name="20% - Accent1 3 105 3" xfId="39825"/>
    <cellStyle name="20% - Accent1 3 106" xfId="12635"/>
    <cellStyle name="20% - Accent1 3 106 2" xfId="26449"/>
    <cellStyle name="20% - Accent1 3 106 2 2" xfId="53457"/>
    <cellStyle name="20% - Accent1 3 106 3" xfId="39953"/>
    <cellStyle name="20% - Accent1 3 107" xfId="12777"/>
    <cellStyle name="20% - Accent1 3 107 2" xfId="26577"/>
    <cellStyle name="20% - Accent1 3 107 2 2" xfId="53585"/>
    <cellStyle name="20% - Accent1 3 107 3" xfId="40081"/>
    <cellStyle name="20% - Accent1 3 108" xfId="12919"/>
    <cellStyle name="20% - Accent1 3 108 2" xfId="26705"/>
    <cellStyle name="20% - Accent1 3 108 2 2" xfId="53713"/>
    <cellStyle name="20% - Accent1 3 108 3" xfId="40209"/>
    <cellStyle name="20% - Accent1 3 109" xfId="13061"/>
    <cellStyle name="20% - Accent1 3 109 2" xfId="26833"/>
    <cellStyle name="20% - Accent1 3 109 2 2" xfId="53841"/>
    <cellStyle name="20% - Accent1 3 109 3" xfId="40337"/>
    <cellStyle name="20% - Accent1 3 11" xfId="1346"/>
    <cellStyle name="20% - Accent1 3 11 2" xfId="16492"/>
    <cellStyle name="20% - Accent1 3 11 2 2" xfId="43500"/>
    <cellStyle name="20% - Accent1 3 11 3" xfId="29996"/>
    <cellStyle name="20% - Accent1 3 110" xfId="13203"/>
    <cellStyle name="20% - Accent1 3 110 2" xfId="26961"/>
    <cellStyle name="20% - Accent1 3 110 2 2" xfId="53969"/>
    <cellStyle name="20% - Accent1 3 110 3" xfId="40465"/>
    <cellStyle name="20% - Accent1 3 111" xfId="13345"/>
    <cellStyle name="20% - Accent1 3 111 2" xfId="27089"/>
    <cellStyle name="20% - Accent1 3 111 2 2" xfId="54097"/>
    <cellStyle name="20% - Accent1 3 111 3" xfId="40593"/>
    <cellStyle name="20% - Accent1 3 112" xfId="13487"/>
    <cellStyle name="20% - Accent1 3 112 2" xfId="27217"/>
    <cellStyle name="20% - Accent1 3 112 2 2" xfId="54225"/>
    <cellStyle name="20% - Accent1 3 112 3" xfId="40721"/>
    <cellStyle name="20% - Accent1 3 113" xfId="13629"/>
    <cellStyle name="20% - Accent1 3 113 2" xfId="27345"/>
    <cellStyle name="20% - Accent1 3 113 2 2" xfId="54353"/>
    <cellStyle name="20% - Accent1 3 113 3" xfId="40849"/>
    <cellStyle name="20% - Accent1 3 114" xfId="13771"/>
    <cellStyle name="20% - Accent1 3 114 2" xfId="27473"/>
    <cellStyle name="20% - Accent1 3 114 2 2" xfId="54481"/>
    <cellStyle name="20% - Accent1 3 114 3" xfId="40977"/>
    <cellStyle name="20% - Accent1 3 115" xfId="13912"/>
    <cellStyle name="20% - Accent1 3 115 2" xfId="27600"/>
    <cellStyle name="20% - Accent1 3 115 2 2" xfId="54608"/>
    <cellStyle name="20% - Accent1 3 115 3" xfId="41104"/>
    <cellStyle name="20% - Accent1 3 116" xfId="14053"/>
    <cellStyle name="20% - Accent1 3 116 2" xfId="27727"/>
    <cellStyle name="20% - Accent1 3 116 2 2" xfId="54735"/>
    <cellStyle name="20% - Accent1 3 116 3" xfId="41231"/>
    <cellStyle name="20% - Accent1 3 117" xfId="14194"/>
    <cellStyle name="20% - Accent1 3 117 2" xfId="27854"/>
    <cellStyle name="20% - Accent1 3 117 2 2" xfId="54862"/>
    <cellStyle name="20% - Accent1 3 117 3" xfId="41358"/>
    <cellStyle name="20% - Accent1 3 118" xfId="14335"/>
    <cellStyle name="20% - Accent1 3 118 2" xfId="27981"/>
    <cellStyle name="20% - Accent1 3 118 2 2" xfId="54989"/>
    <cellStyle name="20% - Accent1 3 118 3" xfId="41485"/>
    <cellStyle name="20% - Accent1 3 119" xfId="14475"/>
    <cellStyle name="20% - Accent1 3 119 2" xfId="28107"/>
    <cellStyle name="20% - Accent1 3 119 2 2" xfId="55115"/>
    <cellStyle name="20% - Accent1 3 119 3" xfId="41611"/>
    <cellStyle name="20% - Accent1 3 12" xfId="1452"/>
    <cellStyle name="20% - Accent1 3 12 2" xfId="16584"/>
    <cellStyle name="20% - Accent1 3 12 2 2" xfId="43592"/>
    <cellStyle name="20% - Accent1 3 12 3" xfId="30088"/>
    <cellStyle name="20% - Accent1 3 120" xfId="14615"/>
    <cellStyle name="20% - Accent1 3 120 2" xfId="28233"/>
    <cellStyle name="20% - Accent1 3 120 2 2" xfId="55241"/>
    <cellStyle name="20% - Accent1 3 120 3" xfId="41737"/>
    <cellStyle name="20% - Accent1 3 121" xfId="14754"/>
    <cellStyle name="20% - Accent1 3 121 2" xfId="28358"/>
    <cellStyle name="20% - Accent1 3 121 2 2" xfId="55366"/>
    <cellStyle name="20% - Accent1 3 121 3" xfId="41862"/>
    <cellStyle name="20% - Accent1 3 122" xfId="14889"/>
    <cellStyle name="20% - Accent1 3 122 2" xfId="28480"/>
    <cellStyle name="20% - Accent1 3 122 2 2" xfId="55488"/>
    <cellStyle name="20% - Accent1 3 122 3" xfId="41984"/>
    <cellStyle name="20% - Accent1 3 123" xfId="15023"/>
    <cellStyle name="20% - Accent1 3 123 2" xfId="28601"/>
    <cellStyle name="20% - Accent1 3 123 2 2" xfId="55609"/>
    <cellStyle name="20% - Accent1 3 123 3" xfId="42105"/>
    <cellStyle name="20% - Accent1 3 124" xfId="15151"/>
    <cellStyle name="20% - Accent1 3 124 2" xfId="28718"/>
    <cellStyle name="20% - Accent1 3 124 2 2" xfId="55726"/>
    <cellStyle name="20% - Accent1 3 124 3" xfId="42222"/>
    <cellStyle name="20% - Accent1 3 125" xfId="15272"/>
    <cellStyle name="20% - Accent1 3 125 2" xfId="28832"/>
    <cellStyle name="20% - Accent1 3 125 2 2" xfId="55840"/>
    <cellStyle name="20% - Accent1 3 125 3" xfId="42336"/>
    <cellStyle name="20% - Accent1 3 126" xfId="15487"/>
    <cellStyle name="20% - Accent1 3 126 2" xfId="42495"/>
    <cellStyle name="20% - Accent1 3 127" xfId="28991"/>
    <cellStyle name="20% - Accent1 3 13" xfId="1558"/>
    <cellStyle name="20% - Accent1 3 13 2" xfId="16676"/>
    <cellStyle name="20% - Accent1 3 13 2 2" xfId="43684"/>
    <cellStyle name="20% - Accent1 3 13 3" xfId="30180"/>
    <cellStyle name="20% - Accent1 3 14" xfId="1664"/>
    <cellStyle name="20% - Accent1 3 14 2" xfId="16768"/>
    <cellStyle name="20% - Accent1 3 14 2 2" xfId="43776"/>
    <cellStyle name="20% - Accent1 3 14 3" xfId="30272"/>
    <cellStyle name="20% - Accent1 3 15" xfId="1770"/>
    <cellStyle name="20% - Accent1 3 15 2" xfId="16860"/>
    <cellStyle name="20% - Accent1 3 15 2 2" xfId="43868"/>
    <cellStyle name="20% - Accent1 3 15 3" xfId="30364"/>
    <cellStyle name="20% - Accent1 3 16" xfId="1876"/>
    <cellStyle name="20% - Accent1 3 16 2" xfId="16952"/>
    <cellStyle name="20% - Accent1 3 16 2 2" xfId="43960"/>
    <cellStyle name="20% - Accent1 3 16 3" xfId="30456"/>
    <cellStyle name="20% - Accent1 3 17" xfId="1982"/>
    <cellStyle name="20% - Accent1 3 17 2" xfId="17044"/>
    <cellStyle name="20% - Accent1 3 17 2 2" xfId="44052"/>
    <cellStyle name="20% - Accent1 3 17 3" xfId="30548"/>
    <cellStyle name="20% - Accent1 3 18" xfId="2088"/>
    <cellStyle name="20% - Accent1 3 18 2" xfId="17136"/>
    <cellStyle name="20% - Accent1 3 18 2 2" xfId="44144"/>
    <cellStyle name="20% - Accent1 3 18 3" xfId="30640"/>
    <cellStyle name="20% - Accent1 3 19" xfId="2194"/>
    <cellStyle name="20% - Accent1 3 19 2" xfId="17228"/>
    <cellStyle name="20% - Accent1 3 19 2 2" xfId="44236"/>
    <cellStyle name="20% - Accent1 3 19 3" xfId="30732"/>
    <cellStyle name="20% - Accent1 3 2" xfId="306"/>
    <cellStyle name="20% - Accent1 3 2 2" xfId="15608"/>
    <cellStyle name="20% - Accent1 3 2 2 2" xfId="42616"/>
    <cellStyle name="20% - Accent1 3 2 3" xfId="29112"/>
    <cellStyle name="20% - Accent1 3 20" xfId="2300"/>
    <cellStyle name="20% - Accent1 3 20 2" xfId="17320"/>
    <cellStyle name="20% - Accent1 3 20 2 2" xfId="44328"/>
    <cellStyle name="20% - Accent1 3 20 3" xfId="30824"/>
    <cellStyle name="20% - Accent1 3 21" xfId="2406"/>
    <cellStyle name="20% - Accent1 3 21 2" xfId="17412"/>
    <cellStyle name="20% - Accent1 3 21 2 2" xfId="44420"/>
    <cellStyle name="20% - Accent1 3 21 3" xfId="30916"/>
    <cellStyle name="20% - Accent1 3 22" xfId="2512"/>
    <cellStyle name="20% - Accent1 3 22 2" xfId="17504"/>
    <cellStyle name="20% - Accent1 3 22 2 2" xfId="44512"/>
    <cellStyle name="20% - Accent1 3 22 3" xfId="31008"/>
    <cellStyle name="20% - Accent1 3 23" xfId="2618"/>
    <cellStyle name="20% - Accent1 3 23 2" xfId="17596"/>
    <cellStyle name="20% - Accent1 3 23 2 2" xfId="44604"/>
    <cellStyle name="20% - Accent1 3 23 3" xfId="31100"/>
    <cellStyle name="20% - Accent1 3 24" xfId="2724"/>
    <cellStyle name="20% - Accent1 3 24 2" xfId="17688"/>
    <cellStyle name="20% - Accent1 3 24 2 2" xfId="44696"/>
    <cellStyle name="20% - Accent1 3 24 3" xfId="31192"/>
    <cellStyle name="20% - Accent1 3 25" xfId="2830"/>
    <cellStyle name="20% - Accent1 3 25 2" xfId="17780"/>
    <cellStyle name="20% - Accent1 3 25 2 2" xfId="44788"/>
    <cellStyle name="20% - Accent1 3 25 3" xfId="31284"/>
    <cellStyle name="20% - Accent1 3 26" xfId="2936"/>
    <cellStyle name="20% - Accent1 3 26 2" xfId="17872"/>
    <cellStyle name="20% - Accent1 3 26 2 2" xfId="44880"/>
    <cellStyle name="20% - Accent1 3 26 3" xfId="31376"/>
    <cellStyle name="20% - Accent1 3 27" xfId="3042"/>
    <cellStyle name="20% - Accent1 3 27 2" xfId="17964"/>
    <cellStyle name="20% - Accent1 3 27 2 2" xfId="44972"/>
    <cellStyle name="20% - Accent1 3 27 3" xfId="31468"/>
    <cellStyle name="20% - Accent1 3 28" xfId="3148"/>
    <cellStyle name="20% - Accent1 3 28 2" xfId="18056"/>
    <cellStyle name="20% - Accent1 3 28 2 2" xfId="45064"/>
    <cellStyle name="20% - Accent1 3 28 3" xfId="31560"/>
    <cellStyle name="20% - Accent1 3 29" xfId="3254"/>
    <cellStyle name="20% - Accent1 3 29 2" xfId="18148"/>
    <cellStyle name="20% - Accent1 3 29 2 2" xfId="45156"/>
    <cellStyle name="20% - Accent1 3 29 3" xfId="31652"/>
    <cellStyle name="20% - Accent1 3 3" xfId="493"/>
    <cellStyle name="20% - Accent1 3 3 2" xfId="15749"/>
    <cellStyle name="20% - Accent1 3 3 2 2" xfId="42757"/>
    <cellStyle name="20% - Accent1 3 3 3" xfId="29253"/>
    <cellStyle name="20% - Accent1 3 30" xfId="3360"/>
    <cellStyle name="20% - Accent1 3 30 2" xfId="18240"/>
    <cellStyle name="20% - Accent1 3 30 2 2" xfId="45248"/>
    <cellStyle name="20% - Accent1 3 30 3" xfId="31744"/>
    <cellStyle name="20% - Accent1 3 31" xfId="3466"/>
    <cellStyle name="20% - Accent1 3 31 2" xfId="18332"/>
    <cellStyle name="20% - Accent1 3 31 2 2" xfId="45340"/>
    <cellStyle name="20% - Accent1 3 31 3" xfId="31836"/>
    <cellStyle name="20% - Accent1 3 32" xfId="3572"/>
    <cellStyle name="20% - Accent1 3 32 2" xfId="18424"/>
    <cellStyle name="20% - Accent1 3 32 2 2" xfId="45432"/>
    <cellStyle name="20% - Accent1 3 32 3" xfId="31928"/>
    <cellStyle name="20% - Accent1 3 33" xfId="3678"/>
    <cellStyle name="20% - Accent1 3 33 2" xfId="18516"/>
    <cellStyle name="20% - Accent1 3 33 2 2" xfId="45524"/>
    <cellStyle name="20% - Accent1 3 33 3" xfId="32020"/>
    <cellStyle name="20% - Accent1 3 34" xfId="3784"/>
    <cellStyle name="20% - Accent1 3 34 2" xfId="18608"/>
    <cellStyle name="20% - Accent1 3 34 2 2" xfId="45616"/>
    <cellStyle name="20% - Accent1 3 34 3" xfId="32112"/>
    <cellStyle name="20% - Accent1 3 35" xfId="3890"/>
    <cellStyle name="20% - Accent1 3 35 2" xfId="18700"/>
    <cellStyle name="20% - Accent1 3 35 2 2" xfId="45708"/>
    <cellStyle name="20% - Accent1 3 35 3" xfId="32204"/>
    <cellStyle name="20% - Accent1 3 36" xfId="3996"/>
    <cellStyle name="20% - Accent1 3 36 2" xfId="18792"/>
    <cellStyle name="20% - Accent1 3 36 2 2" xfId="45800"/>
    <cellStyle name="20% - Accent1 3 36 3" xfId="32296"/>
    <cellStyle name="20% - Accent1 3 37" xfId="4102"/>
    <cellStyle name="20% - Accent1 3 37 2" xfId="18884"/>
    <cellStyle name="20% - Accent1 3 37 2 2" xfId="45892"/>
    <cellStyle name="20% - Accent1 3 37 3" xfId="32388"/>
    <cellStyle name="20% - Accent1 3 38" xfId="4208"/>
    <cellStyle name="20% - Accent1 3 38 2" xfId="18976"/>
    <cellStyle name="20% - Accent1 3 38 2 2" xfId="45984"/>
    <cellStyle name="20% - Accent1 3 38 3" xfId="32480"/>
    <cellStyle name="20% - Accent1 3 39" xfId="4314"/>
    <cellStyle name="20% - Accent1 3 39 2" xfId="19068"/>
    <cellStyle name="20% - Accent1 3 39 2 2" xfId="46076"/>
    <cellStyle name="20% - Accent1 3 39 3" xfId="32572"/>
    <cellStyle name="20% - Accent1 3 4" xfId="604"/>
    <cellStyle name="20% - Accent1 3 4 2" xfId="15848"/>
    <cellStyle name="20% - Accent1 3 4 2 2" xfId="42856"/>
    <cellStyle name="20% - Accent1 3 4 3" xfId="29352"/>
    <cellStyle name="20% - Accent1 3 40" xfId="4420"/>
    <cellStyle name="20% - Accent1 3 40 2" xfId="19160"/>
    <cellStyle name="20% - Accent1 3 40 2 2" xfId="46168"/>
    <cellStyle name="20% - Accent1 3 40 3" xfId="32664"/>
    <cellStyle name="20% - Accent1 3 41" xfId="4526"/>
    <cellStyle name="20% - Accent1 3 41 2" xfId="19252"/>
    <cellStyle name="20% - Accent1 3 41 2 2" xfId="46260"/>
    <cellStyle name="20% - Accent1 3 41 3" xfId="32756"/>
    <cellStyle name="20% - Accent1 3 42" xfId="4632"/>
    <cellStyle name="20% - Accent1 3 42 2" xfId="19344"/>
    <cellStyle name="20% - Accent1 3 42 2 2" xfId="46352"/>
    <cellStyle name="20% - Accent1 3 42 3" xfId="32848"/>
    <cellStyle name="20% - Accent1 3 43" xfId="4738"/>
    <cellStyle name="20% - Accent1 3 43 2" xfId="19436"/>
    <cellStyle name="20% - Accent1 3 43 2 2" xfId="46444"/>
    <cellStyle name="20% - Accent1 3 43 3" xfId="32940"/>
    <cellStyle name="20% - Accent1 3 44" xfId="4844"/>
    <cellStyle name="20% - Accent1 3 44 2" xfId="19528"/>
    <cellStyle name="20% - Accent1 3 44 2 2" xfId="46536"/>
    <cellStyle name="20% - Accent1 3 44 3" xfId="33032"/>
    <cellStyle name="20% - Accent1 3 45" xfId="4950"/>
    <cellStyle name="20% - Accent1 3 45 2" xfId="19620"/>
    <cellStyle name="20% - Accent1 3 45 2 2" xfId="46628"/>
    <cellStyle name="20% - Accent1 3 45 3" xfId="33124"/>
    <cellStyle name="20% - Accent1 3 46" xfId="5056"/>
    <cellStyle name="20% - Accent1 3 46 2" xfId="19712"/>
    <cellStyle name="20% - Accent1 3 46 2 2" xfId="46720"/>
    <cellStyle name="20% - Accent1 3 46 3" xfId="33216"/>
    <cellStyle name="20% - Accent1 3 47" xfId="5162"/>
    <cellStyle name="20% - Accent1 3 47 2" xfId="19804"/>
    <cellStyle name="20% - Accent1 3 47 2 2" xfId="46812"/>
    <cellStyle name="20% - Accent1 3 47 3" xfId="33308"/>
    <cellStyle name="20% - Accent1 3 48" xfId="5268"/>
    <cellStyle name="20% - Accent1 3 48 2" xfId="19896"/>
    <cellStyle name="20% - Accent1 3 48 2 2" xfId="46904"/>
    <cellStyle name="20% - Accent1 3 48 3" xfId="33400"/>
    <cellStyle name="20% - Accent1 3 49" xfId="5374"/>
    <cellStyle name="20% - Accent1 3 49 2" xfId="19988"/>
    <cellStyle name="20% - Accent1 3 49 2 2" xfId="46996"/>
    <cellStyle name="20% - Accent1 3 49 3" xfId="33492"/>
    <cellStyle name="20% - Accent1 3 5" xfId="710"/>
    <cellStyle name="20% - Accent1 3 5 2" xfId="15940"/>
    <cellStyle name="20% - Accent1 3 5 2 2" xfId="42948"/>
    <cellStyle name="20% - Accent1 3 5 3" xfId="29444"/>
    <cellStyle name="20% - Accent1 3 50" xfId="5480"/>
    <cellStyle name="20% - Accent1 3 50 2" xfId="20080"/>
    <cellStyle name="20% - Accent1 3 50 2 2" xfId="47088"/>
    <cellStyle name="20% - Accent1 3 50 3" xfId="33584"/>
    <cellStyle name="20% - Accent1 3 51" xfId="5586"/>
    <cellStyle name="20% - Accent1 3 51 2" xfId="20172"/>
    <cellStyle name="20% - Accent1 3 51 2 2" xfId="47180"/>
    <cellStyle name="20% - Accent1 3 51 3" xfId="33676"/>
    <cellStyle name="20% - Accent1 3 52" xfId="5692"/>
    <cellStyle name="20% - Accent1 3 52 2" xfId="20264"/>
    <cellStyle name="20% - Accent1 3 52 2 2" xfId="47272"/>
    <cellStyle name="20% - Accent1 3 52 3" xfId="33768"/>
    <cellStyle name="20% - Accent1 3 53" xfId="5798"/>
    <cellStyle name="20% - Accent1 3 53 2" xfId="20356"/>
    <cellStyle name="20% - Accent1 3 53 2 2" xfId="47364"/>
    <cellStyle name="20% - Accent1 3 53 3" xfId="33860"/>
    <cellStyle name="20% - Accent1 3 54" xfId="5904"/>
    <cellStyle name="20% - Accent1 3 54 2" xfId="20448"/>
    <cellStyle name="20% - Accent1 3 54 2 2" xfId="47456"/>
    <cellStyle name="20% - Accent1 3 54 3" xfId="33952"/>
    <cellStyle name="20% - Accent1 3 55" xfId="6010"/>
    <cellStyle name="20% - Accent1 3 55 2" xfId="20540"/>
    <cellStyle name="20% - Accent1 3 55 2 2" xfId="47548"/>
    <cellStyle name="20% - Accent1 3 55 3" xfId="34044"/>
    <cellStyle name="20% - Accent1 3 56" xfId="6116"/>
    <cellStyle name="20% - Accent1 3 56 2" xfId="20632"/>
    <cellStyle name="20% - Accent1 3 56 2 2" xfId="47640"/>
    <cellStyle name="20% - Accent1 3 56 3" xfId="34136"/>
    <cellStyle name="20% - Accent1 3 57" xfId="6222"/>
    <cellStyle name="20% - Accent1 3 57 2" xfId="20724"/>
    <cellStyle name="20% - Accent1 3 57 2 2" xfId="47732"/>
    <cellStyle name="20% - Accent1 3 57 3" xfId="34228"/>
    <cellStyle name="20% - Accent1 3 58" xfId="6328"/>
    <cellStyle name="20% - Accent1 3 58 2" xfId="20816"/>
    <cellStyle name="20% - Accent1 3 58 2 2" xfId="47824"/>
    <cellStyle name="20% - Accent1 3 58 3" xfId="34320"/>
    <cellStyle name="20% - Accent1 3 59" xfId="6434"/>
    <cellStyle name="20% - Accent1 3 59 2" xfId="20908"/>
    <cellStyle name="20% - Accent1 3 59 2 2" xfId="47916"/>
    <cellStyle name="20% - Accent1 3 59 3" xfId="34412"/>
    <cellStyle name="20% - Accent1 3 6" xfId="816"/>
    <cellStyle name="20% - Accent1 3 6 2" xfId="16032"/>
    <cellStyle name="20% - Accent1 3 6 2 2" xfId="43040"/>
    <cellStyle name="20% - Accent1 3 6 3" xfId="29536"/>
    <cellStyle name="20% - Accent1 3 60" xfId="6540"/>
    <cellStyle name="20% - Accent1 3 60 2" xfId="21000"/>
    <cellStyle name="20% - Accent1 3 60 2 2" xfId="48008"/>
    <cellStyle name="20% - Accent1 3 60 3" xfId="34504"/>
    <cellStyle name="20% - Accent1 3 61" xfId="6645"/>
    <cellStyle name="20% - Accent1 3 61 2" xfId="21091"/>
    <cellStyle name="20% - Accent1 3 61 2 2" xfId="48099"/>
    <cellStyle name="20% - Accent1 3 61 3" xfId="34595"/>
    <cellStyle name="20% - Accent1 3 62" xfId="6750"/>
    <cellStyle name="20% - Accent1 3 62 2" xfId="21182"/>
    <cellStyle name="20% - Accent1 3 62 2 2" xfId="48190"/>
    <cellStyle name="20% - Accent1 3 62 3" xfId="34686"/>
    <cellStyle name="20% - Accent1 3 63" xfId="6855"/>
    <cellStyle name="20% - Accent1 3 63 2" xfId="21273"/>
    <cellStyle name="20% - Accent1 3 63 2 2" xfId="48281"/>
    <cellStyle name="20% - Accent1 3 63 3" xfId="34777"/>
    <cellStyle name="20% - Accent1 3 64" xfId="6960"/>
    <cellStyle name="20% - Accent1 3 64 2" xfId="21364"/>
    <cellStyle name="20% - Accent1 3 64 2 2" xfId="48372"/>
    <cellStyle name="20% - Accent1 3 64 3" xfId="34868"/>
    <cellStyle name="20% - Accent1 3 65" xfId="7064"/>
    <cellStyle name="20% - Accent1 3 65 2" xfId="21454"/>
    <cellStyle name="20% - Accent1 3 65 2 2" xfId="48462"/>
    <cellStyle name="20% - Accent1 3 65 3" xfId="34958"/>
    <cellStyle name="20% - Accent1 3 66" xfId="7168"/>
    <cellStyle name="20% - Accent1 3 66 2" xfId="21544"/>
    <cellStyle name="20% - Accent1 3 66 2 2" xfId="48552"/>
    <cellStyle name="20% - Accent1 3 66 3" xfId="35048"/>
    <cellStyle name="20% - Accent1 3 67" xfId="7271"/>
    <cellStyle name="20% - Accent1 3 67 2" xfId="21633"/>
    <cellStyle name="20% - Accent1 3 67 2 2" xfId="48641"/>
    <cellStyle name="20% - Accent1 3 67 3" xfId="35137"/>
    <cellStyle name="20% - Accent1 3 68" xfId="7371"/>
    <cellStyle name="20% - Accent1 3 68 2" xfId="21720"/>
    <cellStyle name="20% - Accent1 3 68 2 2" xfId="48728"/>
    <cellStyle name="20% - Accent1 3 68 3" xfId="35224"/>
    <cellStyle name="20% - Accent1 3 69" xfId="7469"/>
    <cellStyle name="20% - Accent1 3 69 2" xfId="21805"/>
    <cellStyle name="20% - Accent1 3 69 2 2" xfId="48813"/>
    <cellStyle name="20% - Accent1 3 69 3" xfId="35309"/>
    <cellStyle name="20% - Accent1 3 7" xfId="922"/>
    <cellStyle name="20% - Accent1 3 7 2" xfId="16124"/>
    <cellStyle name="20% - Accent1 3 7 2 2" xfId="43132"/>
    <cellStyle name="20% - Accent1 3 7 3" xfId="29628"/>
    <cellStyle name="20% - Accent1 3 70" xfId="7558"/>
    <cellStyle name="20% - Accent1 3 70 2" xfId="21883"/>
    <cellStyle name="20% - Accent1 3 70 2 2" xfId="48891"/>
    <cellStyle name="20% - Accent1 3 70 3" xfId="35387"/>
    <cellStyle name="20% - Accent1 3 71" xfId="7636"/>
    <cellStyle name="20% - Accent1 3 71 2" xfId="21953"/>
    <cellStyle name="20% - Accent1 3 71 2 2" xfId="48961"/>
    <cellStyle name="20% - Accent1 3 71 3" xfId="35457"/>
    <cellStyle name="20% - Accent1 3 72" xfId="7807"/>
    <cellStyle name="20% - Accent1 3 72 2" xfId="22097"/>
    <cellStyle name="20% - Accent1 3 72 2 2" xfId="49105"/>
    <cellStyle name="20% - Accent1 3 72 3" xfId="35601"/>
    <cellStyle name="20% - Accent1 3 73" xfId="7949"/>
    <cellStyle name="20% - Accent1 3 73 2" xfId="22225"/>
    <cellStyle name="20% - Accent1 3 73 2 2" xfId="49233"/>
    <cellStyle name="20% - Accent1 3 73 3" xfId="35729"/>
    <cellStyle name="20% - Accent1 3 74" xfId="8091"/>
    <cellStyle name="20% - Accent1 3 74 2" xfId="22353"/>
    <cellStyle name="20% - Accent1 3 74 2 2" xfId="49361"/>
    <cellStyle name="20% - Accent1 3 74 3" xfId="35857"/>
    <cellStyle name="20% - Accent1 3 75" xfId="8233"/>
    <cellStyle name="20% - Accent1 3 75 2" xfId="22481"/>
    <cellStyle name="20% - Accent1 3 75 2 2" xfId="49489"/>
    <cellStyle name="20% - Accent1 3 75 3" xfId="35985"/>
    <cellStyle name="20% - Accent1 3 76" xfId="8375"/>
    <cellStyle name="20% - Accent1 3 76 2" xfId="22609"/>
    <cellStyle name="20% - Accent1 3 76 2 2" xfId="49617"/>
    <cellStyle name="20% - Accent1 3 76 3" xfId="36113"/>
    <cellStyle name="20% - Accent1 3 77" xfId="8517"/>
    <cellStyle name="20% - Accent1 3 77 2" xfId="22737"/>
    <cellStyle name="20% - Accent1 3 77 2 2" xfId="49745"/>
    <cellStyle name="20% - Accent1 3 77 3" xfId="36241"/>
    <cellStyle name="20% - Accent1 3 78" xfId="8659"/>
    <cellStyle name="20% - Accent1 3 78 2" xfId="22865"/>
    <cellStyle name="20% - Accent1 3 78 2 2" xfId="49873"/>
    <cellStyle name="20% - Accent1 3 78 3" xfId="36369"/>
    <cellStyle name="20% - Accent1 3 79" xfId="8801"/>
    <cellStyle name="20% - Accent1 3 79 2" xfId="22993"/>
    <cellStyle name="20% - Accent1 3 79 2 2" xfId="50001"/>
    <cellStyle name="20% - Accent1 3 79 3" xfId="36497"/>
    <cellStyle name="20% - Accent1 3 8" xfId="1028"/>
    <cellStyle name="20% - Accent1 3 8 2" xfId="16216"/>
    <cellStyle name="20% - Accent1 3 8 2 2" xfId="43224"/>
    <cellStyle name="20% - Accent1 3 8 3" xfId="29720"/>
    <cellStyle name="20% - Accent1 3 80" xfId="8943"/>
    <cellStyle name="20% - Accent1 3 80 2" xfId="23121"/>
    <cellStyle name="20% - Accent1 3 80 2 2" xfId="50129"/>
    <cellStyle name="20% - Accent1 3 80 3" xfId="36625"/>
    <cellStyle name="20% - Accent1 3 81" xfId="9085"/>
    <cellStyle name="20% - Accent1 3 81 2" xfId="23249"/>
    <cellStyle name="20% - Accent1 3 81 2 2" xfId="50257"/>
    <cellStyle name="20% - Accent1 3 81 3" xfId="36753"/>
    <cellStyle name="20% - Accent1 3 82" xfId="9227"/>
    <cellStyle name="20% - Accent1 3 82 2" xfId="23377"/>
    <cellStyle name="20% - Accent1 3 82 2 2" xfId="50385"/>
    <cellStyle name="20% - Accent1 3 82 3" xfId="36881"/>
    <cellStyle name="20% - Accent1 3 83" xfId="9369"/>
    <cellStyle name="20% - Accent1 3 83 2" xfId="23505"/>
    <cellStyle name="20% - Accent1 3 83 2 2" xfId="50513"/>
    <cellStyle name="20% - Accent1 3 83 3" xfId="37009"/>
    <cellStyle name="20% - Accent1 3 84" xfId="9511"/>
    <cellStyle name="20% - Accent1 3 84 2" xfId="23633"/>
    <cellStyle name="20% - Accent1 3 84 2 2" xfId="50641"/>
    <cellStyle name="20% - Accent1 3 84 3" xfId="37137"/>
    <cellStyle name="20% - Accent1 3 85" xfId="9653"/>
    <cellStyle name="20% - Accent1 3 85 2" xfId="23761"/>
    <cellStyle name="20% - Accent1 3 85 2 2" xfId="50769"/>
    <cellStyle name="20% - Accent1 3 85 3" xfId="37265"/>
    <cellStyle name="20% - Accent1 3 86" xfId="9795"/>
    <cellStyle name="20% - Accent1 3 86 2" xfId="23889"/>
    <cellStyle name="20% - Accent1 3 86 2 2" xfId="50897"/>
    <cellStyle name="20% - Accent1 3 86 3" xfId="37393"/>
    <cellStyle name="20% - Accent1 3 87" xfId="9937"/>
    <cellStyle name="20% - Accent1 3 87 2" xfId="24017"/>
    <cellStyle name="20% - Accent1 3 87 2 2" xfId="51025"/>
    <cellStyle name="20% - Accent1 3 87 3" xfId="37521"/>
    <cellStyle name="20% - Accent1 3 88" xfId="10079"/>
    <cellStyle name="20% - Accent1 3 88 2" xfId="24145"/>
    <cellStyle name="20% - Accent1 3 88 2 2" xfId="51153"/>
    <cellStyle name="20% - Accent1 3 88 3" xfId="37649"/>
    <cellStyle name="20% - Accent1 3 89" xfId="10221"/>
    <cellStyle name="20% - Accent1 3 89 2" xfId="24273"/>
    <cellStyle name="20% - Accent1 3 89 2 2" xfId="51281"/>
    <cellStyle name="20% - Accent1 3 89 3" xfId="37777"/>
    <cellStyle name="20% - Accent1 3 9" xfId="1134"/>
    <cellStyle name="20% - Accent1 3 9 2" xfId="16308"/>
    <cellStyle name="20% - Accent1 3 9 2 2" xfId="43316"/>
    <cellStyle name="20% - Accent1 3 9 3" xfId="29812"/>
    <cellStyle name="20% - Accent1 3 90" xfId="10363"/>
    <cellStyle name="20% - Accent1 3 90 2" xfId="24401"/>
    <cellStyle name="20% - Accent1 3 90 2 2" xfId="51409"/>
    <cellStyle name="20% - Accent1 3 90 3" xfId="37905"/>
    <cellStyle name="20% - Accent1 3 91" xfId="10505"/>
    <cellStyle name="20% - Accent1 3 91 2" xfId="24529"/>
    <cellStyle name="20% - Accent1 3 91 2 2" xfId="51537"/>
    <cellStyle name="20% - Accent1 3 91 3" xfId="38033"/>
    <cellStyle name="20% - Accent1 3 92" xfId="10647"/>
    <cellStyle name="20% - Accent1 3 92 2" xfId="24657"/>
    <cellStyle name="20% - Accent1 3 92 2 2" xfId="51665"/>
    <cellStyle name="20% - Accent1 3 92 3" xfId="38161"/>
    <cellStyle name="20% - Accent1 3 93" xfId="10789"/>
    <cellStyle name="20% - Accent1 3 93 2" xfId="24785"/>
    <cellStyle name="20% - Accent1 3 93 2 2" xfId="51793"/>
    <cellStyle name="20% - Accent1 3 93 3" xfId="38289"/>
    <cellStyle name="20% - Accent1 3 94" xfId="10931"/>
    <cellStyle name="20% - Accent1 3 94 2" xfId="24913"/>
    <cellStyle name="20% - Accent1 3 94 2 2" xfId="51921"/>
    <cellStyle name="20% - Accent1 3 94 3" xfId="38417"/>
    <cellStyle name="20% - Accent1 3 95" xfId="11073"/>
    <cellStyle name="20% - Accent1 3 95 2" xfId="25041"/>
    <cellStyle name="20% - Accent1 3 95 2 2" xfId="52049"/>
    <cellStyle name="20% - Accent1 3 95 3" xfId="38545"/>
    <cellStyle name="20% - Accent1 3 96" xfId="11215"/>
    <cellStyle name="20% - Accent1 3 96 2" xfId="25169"/>
    <cellStyle name="20% - Accent1 3 96 2 2" xfId="52177"/>
    <cellStyle name="20% - Accent1 3 96 3" xfId="38673"/>
    <cellStyle name="20% - Accent1 3 97" xfId="11357"/>
    <cellStyle name="20% - Accent1 3 97 2" xfId="25297"/>
    <cellStyle name="20% - Accent1 3 97 2 2" xfId="52305"/>
    <cellStyle name="20% - Accent1 3 97 3" xfId="38801"/>
    <cellStyle name="20% - Accent1 3 98" xfId="11499"/>
    <cellStyle name="20% - Accent1 3 98 2" xfId="25425"/>
    <cellStyle name="20% - Accent1 3 98 2 2" xfId="52433"/>
    <cellStyle name="20% - Accent1 3 98 3" xfId="38929"/>
    <cellStyle name="20% - Accent1 3 99" xfId="11641"/>
    <cellStyle name="20% - Accent1 3 99 2" xfId="25553"/>
    <cellStyle name="20% - Accent1 3 99 2 2" xfId="52561"/>
    <cellStyle name="20% - Accent1 3 99 3" xfId="39057"/>
    <cellStyle name="20% - Accent1 4" xfId="386"/>
    <cellStyle name="20% - Accent1 4 10" xfId="9023"/>
    <cellStyle name="20% - Accent1 4 10 2" xfId="23195"/>
    <cellStyle name="20% - Accent1 4 10 2 2" xfId="50203"/>
    <cellStyle name="20% - Accent1 4 10 3" xfId="36699"/>
    <cellStyle name="20% - Accent1 4 11" xfId="9165"/>
    <cellStyle name="20% - Accent1 4 11 2" xfId="23323"/>
    <cellStyle name="20% - Accent1 4 11 2 2" xfId="50331"/>
    <cellStyle name="20% - Accent1 4 11 3" xfId="36827"/>
    <cellStyle name="20% - Accent1 4 12" xfId="9307"/>
    <cellStyle name="20% - Accent1 4 12 2" xfId="23451"/>
    <cellStyle name="20% - Accent1 4 12 2 2" xfId="50459"/>
    <cellStyle name="20% - Accent1 4 12 3" xfId="36955"/>
    <cellStyle name="20% - Accent1 4 13" xfId="9449"/>
    <cellStyle name="20% - Accent1 4 13 2" xfId="23579"/>
    <cellStyle name="20% - Accent1 4 13 2 2" xfId="50587"/>
    <cellStyle name="20% - Accent1 4 13 3" xfId="37083"/>
    <cellStyle name="20% - Accent1 4 14" xfId="9591"/>
    <cellStyle name="20% - Accent1 4 14 2" xfId="23707"/>
    <cellStyle name="20% - Accent1 4 14 2 2" xfId="50715"/>
    <cellStyle name="20% - Accent1 4 14 3" xfId="37211"/>
    <cellStyle name="20% - Accent1 4 15" xfId="9733"/>
    <cellStyle name="20% - Accent1 4 15 2" xfId="23835"/>
    <cellStyle name="20% - Accent1 4 15 2 2" xfId="50843"/>
    <cellStyle name="20% - Accent1 4 15 3" xfId="37339"/>
    <cellStyle name="20% - Accent1 4 16" xfId="9875"/>
    <cellStyle name="20% - Accent1 4 16 2" xfId="23963"/>
    <cellStyle name="20% - Accent1 4 16 2 2" xfId="50971"/>
    <cellStyle name="20% - Accent1 4 16 3" xfId="37467"/>
    <cellStyle name="20% - Accent1 4 17" xfId="10017"/>
    <cellStyle name="20% - Accent1 4 17 2" xfId="24091"/>
    <cellStyle name="20% - Accent1 4 17 2 2" xfId="51099"/>
    <cellStyle name="20% - Accent1 4 17 3" xfId="37595"/>
    <cellStyle name="20% - Accent1 4 18" xfId="10159"/>
    <cellStyle name="20% - Accent1 4 18 2" xfId="24219"/>
    <cellStyle name="20% - Accent1 4 18 2 2" xfId="51227"/>
    <cellStyle name="20% - Accent1 4 18 3" xfId="37723"/>
    <cellStyle name="20% - Accent1 4 19" xfId="10301"/>
    <cellStyle name="20% - Accent1 4 19 2" xfId="24347"/>
    <cellStyle name="20% - Accent1 4 19 2 2" xfId="51355"/>
    <cellStyle name="20% - Accent1 4 19 3" xfId="37851"/>
    <cellStyle name="20% - Accent1 4 2" xfId="7887"/>
    <cellStyle name="20% - Accent1 4 2 2" xfId="22171"/>
    <cellStyle name="20% - Accent1 4 2 2 2" xfId="49179"/>
    <cellStyle name="20% - Accent1 4 2 3" xfId="35675"/>
    <cellStyle name="20% - Accent1 4 20" xfId="10443"/>
    <cellStyle name="20% - Accent1 4 20 2" xfId="24475"/>
    <cellStyle name="20% - Accent1 4 20 2 2" xfId="51483"/>
    <cellStyle name="20% - Accent1 4 20 3" xfId="37979"/>
    <cellStyle name="20% - Accent1 4 21" xfId="10585"/>
    <cellStyle name="20% - Accent1 4 21 2" xfId="24603"/>
    <cellStyle name="20% - Accent1 4 21 2 2" xfId="51611"/>
    <cellStyle name="20% - Accent1 4 21 3" xfId="38107"/>
    <cellStyle name="20% - Accent1 4 22" xfId="10727"/>
    <cellStyle name="20% - Accent1 4 22 2" xfId="24731"/>
    <cellStyle name="20% - Accent1 4 22 2 2" xfId="51739"/>
    <cellStyle name="20% - Accent1 4 22 3" xfId="38235"/>
    <cellStyle name="20% - Accent1 4 23" xfId="10869"/>
    <cellStyle name="20% - Accent1 4 23 2" xfId="24859"/>
    <cellStyle name="20% - Accent1 4 23 2 2" xfId="51867"/>
    <cellStyle name="20% - Accent1 4 23 3" xfId="38363"/>
    <cellStyle name="20% - Accent1 4 24" xfId="11011"/>
    <cellStyle name="20% - Accent1 4 24 2" xfId="24987"/>
    <cellStyle name="20% - Accent1 4 24 2 2" xfId="51995"/>
    <cellStyle name="20% - Accent1 4 24 3" xfId="38491"/>
    <cellStyle name="20% - Accent1 4 25" xfId="11153"/>
    <cellStyle name="20% - Accent1 4 25 2" xfId="25115"/>
    <cellStyle name="20% - Accent1 4 25 2 2" xfId="52123"/>
    <cellStyle name="20% - Accent1 4 25 3" xfId="38619"/>
    <cellStyle name="20% - Accent1 4 26" xfId="11295"/>
    <cellStyle name="20% - Accent1 4 26 2" xfId="25243"/>
    <cellStyle name="20% - Accent1 4 26 2 2" xfId="52251"/>
    <cellStyle name="20% - Accent1 4 26 3" xfId="38747"/>
    <cellStyle name="20% - Accent1 4 27" xfId="11437"/>
    <cellStyle name="20% - Accent1 4 27 2" xfId="25371"/>
    <cellStyle name="20% - Accent1 4 27 2 2" xfId="52379"/>
    <cellStyle name="20% - Accent1 4 27 3" xfId="38875"/>
    <cellStyle name="20% - Accent1 4 28" xfId="11579"/>
    <cellStyle name="20% - Accent1 4 28 2" xfId="25499"/>
    <cellStyle name="20% - Accent1 4 28 2 2" xfId="52507"/>
    <cellStyle name="20% - Accent1 4 28 3" xfId="39003"/>
    <cellStyle name="20% - Accent1 4 29" xfId="11721"/>
    <cellStyle name="20% - Accent1 4 29 2" xfId="25627"/>
    <cellStyle name="20% - Accent1 4 29 2 2" xfId="52635"/>
    <cellStyle name="20% - Accent1 4 29 3" xfId="39131"/>
    <cellStyle name="20% - Accent1 4 3" xfId="8029"/>
    <cellStyle name="20% - Accent1 4 3 2" xfId="22299"/>
    <cellStyle name="20% - Accent1 4 3 2 2" xfId="49307"/>
    <cellStyle name="20% - Accent1 4 3 3" xfId="35803"/>
    <cellStyle name="20% - Accent1 4 30" xfId="11863"/>
    <cellStyle name="20% - Accent1 4 30 2" xfId="25755"/>
    <cellStyle name="20% - Accent1 4 30 2 2" xfId="52763"/>
    <cellStyle name="20% - Accent1 4 30 3" xfId="39259"/>
    <cellStyle name="20% - Accent1 4 31" xfId="12005"/>
    <cellStyle name="20% - Accent1 4 31 2" xfId="25883"/>
    <cellStyle name="20% - Accent1 4 31 2 2" xfId="52891"/>
    <cellStyle name="20% - Accent1 4 31 3" xfId="39387"/>
    <cellStyle name="20% - Accent1 4 32" xfId="12147"/>
    <cellStyle name="20% - Accent1 4 32 2" xfId="26011"/>
    <cellStyle name="20% - Accent1 4 32 2 2" xfId="53019"/>
    <cellStyle name="20% - Accent1 4 32 3" xfId="39515"/>
    <cellStyle name="20% - Accent1 4 33" xfId="12289"/>
    <cellStyle name="20% - Accent1 4 33 2" xfId="26139"/>
    <cellStyle name="20% - Accent1 4 33 2 2" xfId="53147"/>
    <cellStyle name="20% - Accent1 4 33 3" xfId="39643"/>
    <cellStyle name="20% - Accent1 4 34" xfId="12431"/>
    <cellStyle name="20% - Accent1 4 34 2" xfId="26267"/>
    <cellStyle name="20% - Accent1 4 34 2 2" xfId="53275"/>
    <cellStyle name="20% - Accent1 4 34 3" xfId="39771"/>
    <cellStyle name="20% - Accent1 4 35" xfId="12573"/>
    <cellStyle name="20% - Accent1 4 35 2" xfId="26395"/>
    <cellStyle name="20% - Accent1 4 35 2 2" xfId="53403"/>
    <cellStyle name="20% - Accent1 4 35 3" xfId="39899"/>
    <cellStyle name="20% - Accent1 4 36" xfId="12715"/>
    <cellStyle name="20% - Accent1 4 36 2" xfId="26523"/>
    <cellStyle name="20% - Accent1 4 36 2 2" xfId="53531"/>
    <cellStyle name="20% - Accent1 4 36 3" xfId="40027"/>
    <cellStyle name="20% - Accent1 4 37" xfId="12857"/>
    <cellStyle name="20% - Accent1 4 37 2" xfId="26651"/>
    <cellStyle name="20% - Accent1 4 37 2 2" xfId="53659"/>
    <cellStyle name="20% - Accent1 4 37 3" xfId="40155"/>
    <cellStyle name="20% - Accent1 4 38" xfId="12999"/>
    <cellStyle name="20% - Accent1 4 38 2" xfId="26779"/>
    <cellStyle name="20% - Accent1 4 38 2 2" xfId="53787"/>
    <cellStyle name="20% - Accent1 4 38 3" xfId="40283"/>
    <cellStyle name="20% - Accent1 4 39" xfId="13141"/>
    <cellStyle name="20% - Accent1 4 39 2" xfId="26907"/>
    <cellStyle name="20% - Accent1 4 39 2 2" xfId="53915"/>
    <cellStyle name="20% - Accent1 4 39 3" xfId="40411"/>
    <cellStyle name="20% - Accent1 4 4" xfId="8171"/>
    <cellStyle name="20% - Accent1 4 4 2" xfId="22427"/>
    <cellStyle name="20% - Accent1 4 4 2 2" xfId="49435"/>
    <cellStyle name="20% - Accent1 4 4 3" xfId="35931"/>
    <cellStyle name="20% - Accent1 4 40" xfId="13283"/>
    <cellStyle name="20% - Accent1 4 40 2" xfId="27035"/>
    <cellStyle name="20% - Accent1 4 40 2 2" xfId="54043"/>
    <cellStyle name="20% - Accent1 4 40 3" xfId="40539"/>
    <cellStyle name="20% - Accent1 4 41" xfId="13425"/>
    <cellStyle name="20% - Accent1 4 41 2" xfId="27163"/>
    <cellStyle name="20% - Accent1 4 41 2 2" xfId="54171"/>
    <cellStyle name="20% - Accent1 4 41 3" xfId="40667"/>
    <cellStyle name="20% - Accent1 4 42" xfId="13567"/>
    <cellStyle name="20% - Accent1 4 42 2" xfId="27291"/>
    <cellStyle name="20% - Accent1 4 42 2 2" xfId="54299"/>
    <cellStyle name="20% - Accent1 4 42 3" xfId="40795"/>
    <cellStyle name="20% - Accent1 4 43" xfId="13709"/>
    <cellStyle name="20% - Accent1 4 43 2" xfId="27419"/>
    <cellStyle name="20% - Accent1 4 43 2 2" xfId="54427"/>
    <cellStyle name="20% - Accent1 4 43 3" xfId="40923"/>
    <cellStyle name="20% - Accent1 4 44" xfId="13850"/>
    <cellStyle name="20% - Accent1 4 44 2" xfId="27546"/>
    <cellStyle name="20% - Accent1 4 44 2 2" xfId="54554"/>
    <cellStyle name="20% - Accent1 4 44 3" xfId="41050"/>
    <cellStyle name="20% - Accent1 4 45" xfId="13991"/>
    <cellStyle name="20% - Accent1 4 45 2" xfId="27673"/>
    <cellStyle name="20% - Accent1 4 45 2 2" xfId="54681"/>
    <cellStyle name="20% - Accent1 4 45 3" xfId="41177"/>
    <cellStyle name="20% - Accent1 4 46" xfId="14132"/>
    <cellStyle name="20% - Accent1 4 46 2" xfId="27800"/>
    <cellStyle name="20% - Accent1 4 46 2 2" xfId="54808"/>
    <cellStyle name="20% - Accent1 4 46 3" xfId="41304"/>
    <cellStyle name="20% - Accent1 4 47" xfId="14273"/>
    <cellStyle name="20% - Accent1 4 47 2" xfId="27927"/>
    <cellStyle name="20% - Accent1 4 47 2 2" xfId="54935"/>
    <cellStyle name="20% - Accent1 4 47 3" xfId="41431"/>
    <cellStyle name="20% - Accent1 4 48" xfId="14414"/>
    <cellStyle name="20% - Accent1 4 48 2" xfId="28054"/>
    <cellStyle name="20% - Accent1 4 48 2 2" xfId="55062"/>
    <cellStyle name="20% - Accent1 4 48 3" xfId="41558"/>
    <cellStyle name="20% - Accent1 4 49" xfId="14554"/>
    <cellStyle name="20% - Accent1 4 49 2" xfId="28180"/>
    <cellStyle name="20% - Accent1 4 49 2 2" xfId="55188"/>
    <cellStyle name="20% - Accent1 4 49 3" xfId="41684"/>
    <cellStyle name="20% - Accent1 4 5" xfId="8313"/>
    <cellStyle name="20% - Accent1 4 5 2" xfId="22555"/>
    <cellStyle name="20% - Accent1 4 5 2 2" xfId="49563"/>
    <cellStyle name="20% - Accent1 4 5 3" xfId="36059"/>
    <cellStyle name="20% - Accent1 4 50" xfId="14694"/>
    <cellStyle name="20% - Accent1 4 50 2" xfId="28306"/>
    <cellStyle name="20% - Accent1 4 50 2 2" xfId="55314"/>
    <cellStyle name="20% - Accent1 4 50 3" xfId="41810"/>
    <cellStyle name="20% - Accent1 4 51" xfId="14829"/>
    <cellStyle name="20% - Accent1 4 51 2" xfId="28428"/>
    <cellStyle name="20% - Accent1 4 51 2 2" xfId="55436"/>
    <cellStyle name="20% - Accent1 4 51 3" xfId="41932"/>
    <cellStyle name="20% - Accent1 4 52" xfId="14963"/>
    <cellStyle name="20% - Accent1 4 52 2" xfId="28549"/>
    <cellStyle name="20% - Accent1 4 52 2 2" xfId="55557"/>
    <cellStyle name="20% - Accent1 4 52 3" xfId="42053"/>
    <cellStyle name="20% - Accent1 4 53" xfId="15096"/>
    <cellStyle name="20% - Accent1 4 53 2" xfId="28669"/>
    <cellStyle name="20% - Accent1 4 53 2 2" xfId="55677"/>
    <cellStyle name="20% - Accent1 4 53 3" xfId="42173"/>
    <cellStyle name="20% - Accent1 4 54" xfId="15221"/>
    <cellStyle name="20% - Accent1 4 54 2" xfId="28785"/>
    <cellStyle name="20% - Accent1 4 54 2 2" xfId="55793"/>
    <cellStyle name="20% - Accent1 4 54 3" xfId="42289"/>
    <cellStyle name="20% - Accent1 4 55" xfId="15331"/>
    <cellStyle name="20% - Accent1 4 55 2" xfId="28891"/>
    <cellStyle name="20% - Accent1 4 55 2 2" xfId="55899"/>
    <cellStyle name="20% - Accent1 4 55 3" xfId="42395"/>
    <cellStyle name="20% - Accent1 4 56" xfId="15669"/>
    <cellStyle name="20% - Accent1 4 56 2" xfId="42677"/>
    <cellStyle name="20% - Accent1 4 57" xfId="29173"/>
    <cellStyle name="20% - Accent1 4 6" xfId="8455"/>
    <cellStyle name="20% - Accent1 4 6 2" xfId="22683"/>
    <cellStyle name="20% - Accent1 4 6 2 2" xfId="49691"/>
    <cellStyle name="20% - Accent1 4 6 3" xfId="36187"/>
    <cellStyle name="20% - Accent1 4 7" xfId="8597"/>
    <cellStyle name="20% - Accent1 4 7 2" xfId="22811"/>
    <cellStyle name="20% - Accent1 4 7 2 2" xfId="49819"/>
    <cellStyle name="20% - Accent1 4 7 3" xfId="36315"/>
    <cellStyle name="20% - Accent1 4 8" xfId="8739"/>
    <cellStyle name="20% - Accent1 4 8 2" xfId="22939"/>
    <cellStyle name="20% - Accent1 4 8 2 2" xfId="49947"/>
    <cellStyle name="20% - Accent1 4 8 3" xfId="36443"/>
    <cellStyle name="20% - Accent1 4 9" xfId="8881"/>
    <cellStyle name="20% - Accent1 4 9 2" xfId="23067"/>
    <cellStyle name="20% - Accent1 4 9 2 2" xfId="50075"/>
    <cellStyle name="20% - Accent1 4 9 3" xfId="36571"/>
    <cellStyle name="20% - Accent1 5" xfId="15374"/>
    <cellStyle name="20% - Accent1 5 2" xfId="28917"/>
    <cellStyle name="20% - Accent1 5 2 2" xfId="55925"/>
    <cellStyle name="20% - Accent1 5 3" xfId="42421"/>
    <cellStyle name="20% - Accent1 6" xfId="15418"/>
    <cellStyle name="20% - Accent1 6 2" xfId="28933"/>
    <cellStyle name="20% - Accent1 6 2 2" xfId="55941"/>
    <cellStyle name="20% - Accent1 6 3" xfId="42437"/>
    <cellStyle name="20% - Accent1 7" xfId="15443"/>
    <cellStyle name="20% - Accent1 7 2" xfId="42451"/>
    <cellStyle name="20% - Accent1 8" xfId="28947"/>
    <cellStyle name="20% - Accent1 9" xfId="38"/>
    <cellStyle name="20% - Accent2 2" xfId="114"/>
    <cellStyle name="20% - Accent2 2 10" xfId="878"/>
    <cellStyle name="20% - Accent2 2 10 2" xfId="16090"/>
    <cellStyle name="20% - Accent2 2 10 2 2" xfId="43098"/>
    <cellStyle name="20% - Accent2 2 10 3" xfId="29594"/>
    <cellStyle name="20% - Accent2 2 100" xfId="11283"/>
    <cellStyle name="20% - Accent2 2 100 2" xfId="25235"/>
    <cellStyle name="20% - Accent2 2 100 2 2" xfId="52243"/>
    <cellStyle name="20% - Accent2 2 100 3" xfId="38739"/>
    <cellStyle name="20% - Accent2 2 101" xfId="11425"/>
    <cellStyle name="20% - Accent2 2 101 2" xfId="25363"/>
    <cellStyle name="20% - Accent2 2 101 2 2" xfId="52371"/>
    <cellStyle name="20% - Accent2 2 101 3" xfId="38867"/>
    <cellStyle name="20% - Accent2 2 102" xfId="11567"/>
    <cellStyle name="20% - Accent2 2 102 2" xfId="25491"/>
    <cellStyle name="20% - Accent2 2 102 2 2" xfId="52499"/>
    <cellStyle name="20% - Accent2 2 102 3" xfId="38995"/>
    <cellStyle name="20% - Accent2 2 103" xfId="11709"/>
    <cellStyle name="20% - Accent2 2 103 2" xfId="25619"/>
    <cellStyle name="20% - Accent2 2 103 2 2" xfId="52627"/>
    <cellStyle name="20% - Accent2 2 103 3" xfId="39123"/>
    <cellStyle name="20% - Accent2 2 104" xfId="11851"/>
    <cellStyle name="20% - Accent2 2 104 2" xfId="25747"/>
    <cellStyle name="20% - Accent2 2 104 2 2" xfId="52755"/>
    <cellStyle name="20% - Accent2 2 104 3" xfId="39251"/>
    <cellStyle name="20% - Accent2 2 105" xfId="11993"/>
    <cellStyle name="20% - Accent2 2 105 2" xfId="25875"/>
    <cellStyle name="20% - Accent2 2 105 2 2" xfId="52883"/>
    <cellStyle name="20% - Accent2 2 105 3" xfId="39379"/>
    <cellStyle name="20% - Accent2 2 106" xfId="12135"/>
    <cellStyle name="20% - Accent2 2 106 2" xfId="26003"/>
    <cellStyle name="20% - Accent2 2 106 2 2" xfId="53011"/>
    <cellStyle name="20% - Accent2 2 106 3" xfId="39507"/>
    <cellStyle name="20% - Accent2 2 107" xfId="12277"/>
    <cellStyle name="20% - Accent2 2 107 2" xfId="26131"/>
    <cellStyle name="20% - Accent2 2 107 2 2" xfId="53139"/>
    <cellStyle name="20% - Accent2 2 107 3" xfId="39635"/>
    <cellStyle name="20% - Accent2 2 108" xfId="12419"/>
    <cellStyle name="20% - Accent2 2 108 2" xfId="26259"/>
    <cellStyle name="20% - Accent2 2 108 2 2" xfId="53267"/>
    <cellStyle name="20% - Accent2 2 108 3" xfId="39763"/>
    <cellStyle name="20% - Accent2 2 109" xfId="12561"/>
    <cellStyle name="20% - Accent2 2 109 2" xfId="26387"/>
    <cellStyle name="20% - Accent2 2 109 2 2" xfId="53395"/>
    <cellStyle name="20% - Accent2 2 109 3" xfId="39891"/>
    <cellStyle name="20% - Accent2 2 11" xfId="984"/>
    <cellStyle name="20% - Accent2 2 11 2" xfId="16182"/>
    <cellStyle name="20% - Accent2 2 11 2 2" xfId="43190"/>
    <cellStyle name="20% - Accent2 2 11 3" xfId="29686"/>
    <cellStyle name="20% - Accent2 2 110" xfId="12703"/>
    <cellStyle name="20% - Accent2 2 110 2" xfId="26515"/>
    <cellStyle name="20% - Accent2 2 110 2 2" xfId="53523"/>
    <cellStyle name="20% - Accent2 2 110 3" xfId="40019"/>
    <cellStyle name="20% - Accent2 2 111" xfId="12845"/>
    <cellStyle name="20% - Accent2 2 111 2" xfId="26643"/>
    <cellStyle name="20% - Accent2 2 111 2 2" xfId="53651"/>
    <cellStyle name="20% - Accent2 2 111 3" xfId="40147"/>
    <cellStyle name="20% - Accent2 2 112" xfId="12987"/>
    <cellStyle name="20% - Accent2 2 112 2" xfId="26771"/>
    <cellStyle name="20% - Accent2 2 112 2 2" xfId="53779"/>
    <cellStyle name="20% - Accent2 2 112 3" xfId="40275"/>
    <cellStyle name="20% - Accent2 2 113" xfId="13129"/>
    <cellStyle name="20% - Accent2 2 113 2" xfId="26899"/>
    <cellStyle name="20% - Accent2 2 113 2 2" xfId="53907"/>
    <cellStyle name="20% - Accent2 2 113 3" xfId="40403"/>
    <cellStyle name="20% - Accent2 2 114" xfId="13271"/>
    <cellStyle name="20% - Accent2 2 114 2" xfId="27027"/>
    <cellStyle name="20% - Accent2 2 114 2 2" xfId="54035"/>
    <cellStyle name="20% - Accent2 2 114 3" xfId="40531"/>
    <cellStyle name="20% - Accent2 2 115" xfId="13413"/>
    <cellStyle name="20% - Accent2 2 115 2" xfId="27155"/>
    <cellStyle name="20% - Accent2 2 115 2 2" xfId="54163"/>
    <cellStyle name="20% - Accent2 2 115 3" xfId="40659"/>
    <cellStyle name="20% - Accent2 2 116" xfId="13555"/>
    <cellStyle name="20% - Accent2 2 116 2" xfId="27283"/>
    <cellStyle name="20% - Accent2 2 116 2 2" xfId="54291"/>
    <cellStyle name="20% - Accent2 2 116 3" xfId="40787"/>
    <cellStyle name="20% - Accent2 2 117" xfId="13697"/>
    <cellStyle name="20% - Accent2 2 117 2" xfId="27411"/>
    <cellStyle name="20% - Accent2 2 117 2 2" xfId="54419"/>
    <cellStyle name="20% - Accent2 2 117 3" xfId="40915"/>
    <cellStyle name="20% - Accent2 2 118" xfId="13838"/>
    <cellStyle name="20% - Accent2 2 118 2" xfId="27538"/>
    <cellStyle name="20% - Accent2 2 118 2 2" xfId="54546"/>
    <cellStyle name="20% - Accent2 2 118 3" xfId="41042"/>
    <cellStyle name="20% - Accent2 2 119" xfId="13979"/>
    <cellStyle name="20% - Accent2 2 119 2" xfId="27665"/>
    <cellStyle name="20% - Accent2 2 119 2 2" xfId="54673"/>
    <cellStyle name="20% - Accent2 2 119 3" xfId="41169"/>
    <cellStyle name="20% - Accent2 2 12" xfId="1090"/>
    <cellStyle name="20% - Accent2 2 12 2" xfId="16274"/>
    <cellStyle name="20% - Accent2 2 12 2 2" xfId="43282"/>
    <cellStyle name="20% - Accent2 2 12 3" xfId="29778"/>
    <cellStyle name="20% - Accent2 2 120" xfId="14120"/>
    <cellStyle name="20% - Accent2 2 120 2" xfId="27792"/>
    <cellStyle name="20% - Accent2 2 120 2 2" xfId="54800"/>
    <cellStyle name="20% - Accent2 2 120 3" xfId="41296"/>
    <cellStyle name="20% - Accent2 2 121" xfId="14261"/>
    <cellStyle name="20% - Accent2 2 121 2" xfId="27919"/>
    <cellStyle name="20% - Accent2 2 121 2 2" xfId="54927"/>
    <cellStyle name="20% - Accent2 2 121 3" xfId="41423"/>
    <cellStyle name="20% - Accent2 2 122" xfId="14402"/>
    <cellStyle name="20% - Accent2 2 122 2" xfId="28046"/>
    <cellStyle name="20% - Accent2 2 122 2 2" xfId="55054"/>
    <cellStyle name="20% - Accent2 2 122 3" xfId="41550"/>
    <cellStyle name="20% - Accent2 2 123" xfId="14542"/>
    <cellStyle name="20% - Accent2 2 123 2" xfId="28172"/>
    <cellStyle name="20% - Accent2 2 123 2 2" xfId="55180"/>
    <cellStyle name="20% - Accent2 2 123 3" xfId="41676"/>
    <cellStyle name="20% - Accent2 2 124" xfId="14682"/>
    <cellStyle name="20% - Accent2 2 124 2" xfId="28298"/>
    <cellStyle name="20% - Accent2 2 124 2 2" xfId="55306"/>
    <cellStyle name="20% - Accent2 2 124 3" xfId="41802"/>
    <cellStyle name="20% - Accent2 2 125" xfId="14820"/>
    <cellStyle name="20% - Accent2 2 125 2" xfId="28422"/>
    <cellStyle name="20% - Accent2 2 125 2 2" xfId="55430"/>
    <cellStyle name="20% - Accent2 2 125 3" xfId="41926"/>
    <cellStyle name="20% - Accent2 2 126" xfId="14954"/>
    <cellStyle name="20% - Accent2 2 126 2" xfId="28543"/>
    <cellStyle name="20% - Accent2 2 126 2 2" xfId="55551"/>
    <cellStyle name="20% - Accent2 2 126 3" xfId="42047"/>
    <cellStyle name="20% - Accent2 2 127" xfId="15472"/>
    <cellStyle name="20% - Accent2 2 127 2" xfId="42480"/>
    <cellStyle name="20% - Accent2 2 128" xfId="28976"/>
    <cellStyle name="20% - Accent2 2 13" xfId="1196"/>
    <cellStyle name="20% - Accent2 2 13 2" xfId="16366"/>
    <cellStyle name="20% - Accent2 2 13 2 2" xfId="43374"/>
    <cellStyle name="20% - Accent2 2 13 3" xfId="29870"/>
    <cellStyle name="20% - Accent2 2 14" xfId="1302"/>
    <cellStyle name="20% - Accent2 2 14 2" xfId="16458"/>
    <cellStyle name="20% - Accent2 2 14 2 2" xfId="43466"/>
    <cellStyle name="20% - Accent2 2 14 3" xfId="29962"/>
    <cellStyle name="20% - Accent2 2 15" xfId="1408"/>
    <cellStyle name="20% - Accent2 2 15 2" xfId="16550"/>
    <cellStyle name="20% - Accent2 2 15 2 2" xfId="43558"/>
    <cellStyle name="20% - Accent2 2 15 3" xfId="30054"/>
    <cellStyle name="20% - Accent2 2 16" xfId="1514"/>
    <cellStyle name="20% - Accent2 2 16 2" xfId="16642"/>
    <cellStyle name="20% - Accent2 2 16 2 2" xfId="43650"/>
    <cellStyle name="20% - Accent2 2 16 3" xfId="30146"/>
    <cellStyle name="20% - Accent2 2 17" xfId="1620"/>
    <cellStyle name="20% - Accent2 2 17 2" xfId="16734"/>
    <cellStyle name="20% - Accent2 2 17 2 2" xfId="43742"/>
    <cellStyle name="20% - Accent2 2 17 3" xfId="30238"/>
    <cellStyle name="20% - Accent2 2 18" xfId="1726"/>
    <cellStyle name="20% - Accent2 2 18 2" xfId="16826"/>
    <cellStyle name="20% - Accent2 2 18 2 2" xfId="43834"/>
    <cellStyle name="20% - Accent2 2 18 3" xfId="30330"/>
    <cellStyle name="20% - Accent2 2 19" xfId="1832"/>
    <cellStyle name="20% - Accent2 2 19 2" xfId="16918"/>
    <cellStyle name="20% - Accent2 2 19 2 2" xfId="43926"/>
    <cellStyle name="20% - Accent2 2 19 3" xfId="30422"/>
    <cellStyle name="20% - Accent2 2 2" xfId="225"/>
    <cellStyle name="20% - Accent2 2 2 10" xfId="8928"/>
    <cellStyle name="20% - Accent2 2 2 10 2" xfId="23106"/>
    <cellStyle name="20% - Accent2 2 2 10 2 2" xfId="50114"/>
    <cellStyle name="20% - Accent2 2 2 10 3" xfId="36610"/>
    <cellStyle name="20% - Accent2 2 2 11" xfId="9070"/>
    <cellStyle name="20% - Accent2 2 2 11 2" xfId="23234"/>
    <cellStyle name="20% - Accent2 2 2 11 2 2" xfId="50242"/>
    <cellStyle name="20% - Accent2 2 2 11 3" xfId="36738"/>
    <cellStyle name="20% - Accent2 2 2 12" xfId="9212"/>
    <cellStyle name="20% - Accent2 2 2 12 2" xfId="23362"/>
    <cellStyle name="20% - Accent2 2 2 12 2 2" xfId="50370"/>
    <cellStyle name="20% - Accent2 2 2 12 3" xfId="36866"/>
    <cellStyle name="20% - Accent2 2 2 13" xfId="9354"/>
    <cellStyle name="20% - Accent2 2 2 13 2" xfId="23490"/>
    <cellStyle name="20% - Accent2 2 2 13 2 2" xfId="50498"/>
    <cellStyle name="20% - Accent2 2 2 13 3" xfId="36994"/>
    <cellStyle name="20% - Accent2 2 2 14" xfId="9496"/>
    <cellStyle name="20% - Accent2 2 2 14 2" xfId="23618"/>
    <cellStyle name="20% - Accent2 2 2 14 2 2" xfId="50626"/>
    <cellStyle name="20% - Accent2 2 2 14 3" xfId="37122"/>
    <cellStyle name="20% - Accent2 2 2 15" xfId="9638"/>
    <cellStyle name="20% - Accent2 2 2 15 2" xfId="23746"/>
    <cellStyle name="20% - Accent2 2 2 15 2 2" xfId="50754"/>
    <cellStyle name="20% - Accent2 2 2 15 3" xfId="37250"/>
    <cellStyle name="20% - Accent2 2 2 16" xfId="9780"/>
    <cellStyle name="20% - Accent2 2 2 16 2" xfId="23874"/>
    <cellStyle name="20% - Accent2 2 2 16 2 2" xfId="50882"/>
    <cellStyle name="20% - Accent2 2 2 16 3" xfId="37378"/>
    <cellStyle name="20% - Accent2 2 2 17" xfId="9922"/>
    <cellStyle name="20% - Accent2 2 2 17 2" xfId="24002"/>
    <cellStyle name="20% - Accent2 2 2 17 2 2" xfId="51010"/>
    <cellStyle name="20% - Accent2 2 2 17 3" xfId="37506"/>
    <cellStyle name="20% - Accent2 2 2 18" xfId="10064"/>
    <cellStyle name="20% - Accent2 2 2 18 2" xfId="24130"/>
    <cellStyle name="20% - Accent2 2 2 18 2 2" xfId="51138"/>
    <cellStyle name="20% - Accent2 2 2 18 3" xfId="37634"/>
    <cellStyle name="20% - Accent2 2 2 19" xfId="10206"/>
    <cellStyle name="20% - Accent2 2 2 19 2" xfId="24258"/>
    <cellStyle name="20% - Accent2 2 2 19 2 2" xfId="51266"/>
    <cellStyle name="20% - Accent2 2 2 19 3" xfId="37762"/>
    <cellStyle name="20% - Accent2 2 2 2" xfId="7792"/>
    <cellStyle name="20% - Accent2 2 2 2 2" xfId="22082"/>
    <cellStyle name="20% - Accent2 2 2 2 2 2" xfId="49090"/>
    <cellStyle name="20% - Accent2 2 2 2 3" xfId="35586"/>
    <cellStyle name="20% - Accent2 2 2 20" xfId="10348"/>
    <cellStyle name="20% - Accent2 2 2 20 2" xfId="24386"/>
    <cellStyle name="20% - Accent2 2 2 20 2 2" xfId="51394"/>
    <cellStyle name="20% - Accent2 2 2 20 3" xfId="37890"/>
    <cellStyle name="20% - Accent2 2 2 21" xfId="10490"/>
    <cellStyle name="20% - Accent2 2 2 21 2" xfId="24514"/>
    <cellStyle name="20% - Accent2 2 2 21 2 2" xfId="51522"/>
    <cellStyle name="20% - Accent2 2 2 21 3" xfId="38018"/>
    <cellStyle name="20% - Accent2 2 2 22" xfId="10632"/>
    <cellStyle name="20% - Accent2 2 2 22 2" xfId="24642"/>
    <cellStyle name="20% - Accent2 2 2 22 2 2" xfId="51650"/>
    <cellStyle name="20% - Accent2 2 2 22 3" xfId="38146"/>
    <cellStyle name="20% - Accent2 2 2 23" xfId="10774"/>
    <cellStyle name="20% - Accent2 2 2 23 2" xfId="24770"/>
    <cellStyle name="20% - Accent2 2 2 23 2 2" xfId="51778"/>
    <cellStyle name="20% - Accent2 2 2 23 3" xfId="38274"/>
    <cellStyle name="20% - Accent2 2 2 24" xfId="10916"/>
    <cellStyle name="20% - Accent2 2 2 24 2" xfId="24898"/>
    <cellStyle name="20% - Accent2 2 2 24 2 2" xfId="51906"/>
    <cellStyle name="20% - Accent2 2 2 24 3" xfId="38402"/>
    <cellStyle name="20% - Accent2 2 2 25" xfId="11058"/>
    <cellStyle name="20% - Accent2 2 2 25 2" xfId="25026"/>
    <cellStyle name="20% - Accent2 2 2 25 2 2" xfId="52034"/>
    <cellStyle name="20% - Accent2 2 2 25 3" xfId="38530"/>
    <cellStyle name="20% - Accent2 2 2 26" xfId="11200"/>
    <cellStyle name="20% - Accent2 2 2 26 2" xfId="25154"/>
    <cellStyle name="20% - Accent2 2 2 26 2 2" xfId="52162"/>
    <cellStyle name="20% - Accent2 2 2 26 3" xfId="38658"/>
    <cellStyle name="20% - Accent2 2 2 27" xfId="11342"/>
    <cellStyle name="20% - Accent2 2 2 27 2" xfId="25282"/>
    <cellStyle name="20% - Accent2 2 2 27 2 2" xfId="52290"/>
    <cellStyle name="20% - Accent2 2 2 27 3" xfId="38786"/>
    <cellStyle name="20% - Accent2 2 2 28" xfId="11484"/>
    <cellStyle name="20% - Accent2 2 2 28 2" xfId="25410"/>
    <cellStyle name="20% - Accent2 2 2 28 2 2" xfId="52418"/>
    <cellStyle name="20% - Accent2 2 2 28 3" xfId="38914"/>
    <cellStyle name="20% - Accent2 2 2 29" xfId="11626"/>
    <cellStyle name="20% - Accent2 2 2 29 2" xfId="25538"/>
    <cellStyle name="20% - Accent2 2 2 29 2 2" xfId="52546"/>
    <cellStyle name="20% - Accent2 2 2 29 3" xfId="39042"/>
    <cellStyle name="20% - Accent2 2 2 3" xfId="7934"/>
    <cellStyle name="20% - Accent2 2 2 3 2" xfId="22210"/>
    <cellStyle name="20% - Accent2 2 2 3 2 2" xfId="49218"/>
    <cellStyle name="20% - Accent2 2 2 3 3" xfId="35714"/>
    <cellStyle name="20% - Accent2 2 2 30" xfId="11768"/>
    <cellStyle name="20% - Accent2 2 2 30 2" xfId="25666"/>
    <cellStyle name="20% - Accent2 2 2 30 2 2" xfId="52674"/>
    <cellStyle name="20% - Accent2 2 2 30 3" xfId="39170"/>
    <cellStyle name="20% - Accent2 2 2 31" xfId="11910"/>
    <cellStyle name="20% - Accent2 2 2 31 2" xfId="25794"/>
    <cellStyle name="20% - Accent2 2 2 31 2 2" xfId="52802"/>
    <cellStyle name="20% - Accent2 2 2 31 3" xfId="39298"/>
    <cellStyle name="20% - Accent2 2 2 32" xfId="12052"/>
    <cellStyle name="20% - Accent2 2 2 32 2" xfId="25922"/>
    <cellStyle name="20% - Accent2 2 2 32 2 2" xfId="52930"/>
    <cellStyle name="20% - Accent2 2 2 32 3" xfId="39426"/>
    <cellStyle name="20% - Accent2 2 2 33" xfId="12194"/>
    <cellStyle name="20% - Accent2 2 2 33 2" xfId="26050"/>
    <cellStyle name="20% - Accent2 2 2 33 2 2" xfId="53058"/>
    <cellStyle name="20% - Accent2 2 2 33 3" xfId="39554"/>
    <cellStyle name="20% - Accent2 2 2 34" xfId="12336"/>
    <cellStyle name="20% - Accent2 2 2 34 2" xfId="26178"/>
    <cellStyle name="20% - Accent2 2 2 34 2 2" xfId="53186"/>
    <cellStyle name="20% - Accent2 2 2 34 3" xfId="39682"/>
    <cellStyle name="20% - Accent2 2 2 35" xfId="12478"/>
    <cellStyle name="20% - Accent2 2 2 35 2" xfId="26306"/>
    <cellStyle name="20% - Accent2 2 2 35 2 2" xfId="53314"/>
    <cellStyle name="20% - Accent2 2 2 35 3" xfId="39810"/>
    <cellStyle name="20% - Accent2 2 2 36" xfId="12620"/>
    <cellStyle name="20% - Accent2 2 2 36 2" xfId="26434"/>
    <cellStyle name="20% - Accent2 2 2 36 2 2" xfId="53442"/>
    <cellStyle name="20% - Accent2 2 2 36 3" xfId="39938"/>
    <cellStyle name="20% - Accent2 2 2 37" xfId="12762"/>
    <cellStyle name="20% - Accent2 2 2 37 2" xfId="26562"/>
    <cellStyle name="20% - Accent2 2 2 37 2 2" xfId="53570"/>
    <cellStyle name="20% - Accent2 2 2 37 3" xfId="40066"/>
    <cellStyle name="20% - Accent2 2 2 38" xfId="12904"/>
    <cellStyle name="20% - Accent2 2 2 38 2" xfId="26690"/>
    <cellStyle name="20% - Accent2 2 2 38 2 2" xfId="53698"/>
    <cellStyle name="20% - Accent2 2 2 38 3" xfId="40194"/>
    <cellStyle name="20% - Accent2 2 2 39" xfId="13046"/>
    <cellStyle name="20% - Accent2 2 2 39 2" xfId="26818"/>
    <cellStyle name="20% - Accent2 2 2 39 2 2" xfId="53826"/>
    <cellStyle name="20% - Accent2 2 2 39 3" xfId="40322"/>
    <cellStyle name="20% - Accent2 2 2 4" xfId="8076"/>
    <cellStyle name="20% - Accent2 2 2 4 2" xfId="22338"/>
    <cellStyle name="20% - Accent2 2 2 4 2 2" xfId="49346"/>
    <cellStyle name="20% - Accent2 2 2 4 3" xfId="35842"/>
    <cellStyle name="20% - Accent2 2 2 40" xfId="13188"/>
    <cellStyle name="20% - Accent2 2 2 40 2" xfId="26946"/>
    <cellStyle name="20% - Accent2 2 2 40 2 2" xfId="53954"/>
    <cellStyle name="20% - Accent2 2 2 40 3" xfId="40450"/>
    <cellStyle name="20% - Accent2 2 2 41" xfId="13330"/>
    <cellStyle name="20% - Accent2 2 2 41 2" xfId="27074"/>
    <cellStyle name="20% - Accent2 2 2 41 2 2" xfId="54082"/>
    <cellStyle name="20% - Accent2 2 2 41 3" xfId="40578"/>
    <cellStyle name="20% - Accent2 2 2 42" xfId="13472"/>
    <cellStyle name="20% - Accent2 2 2 42 2" xfId="27202"/>
    <cellStyle name="20% - Accent2 2 2 42 2 2" xfId="54210"/>
    <cellStyle name="20% - Accent2 2 2 42 3" xfId="40706"/>
    <cellStyle name="20% - Accent2 2 2 43" xfId="13614"/>
    <cellStyle name="20% - Accent2 2 2 43 2" xfId="27330"/>
    <cellStyle name="20% - Accent2 2 2 43 2 2" xfId="54338"/>
    <cellStyle name="20% - Accent2 2 2 43 3" xfId="40834"/>
    <cellStyle name="20% - Accent2 2 2 44" xfId="13756"/>
    <cellStyle name="20% - Accent2 2 2 44 2" xfId="27458"/>
    <cellStyle name="20% - Accent2 2 2 44 2 2" xfId="54466"/>
    <cellStyle name="20% - Accent2 2 2 44 3" xfId="40962"/>
    <cellStyle name="20% - Accent2 2 2 45" xfId="13897"/>
    <cellStyle name="20% - Accent2 2 2 45 2" xfId="27585"/>
    <cellStyle name="20% - Accent2 2 2 45 2 2" xfId="54593"/>
    <cellStyle name="20% - Accent2 2 2 45 3" xfId="41089"/>
    <cellStyle name="20% - Accent2 2 2 46" xfId="14038"/>
    <cellStyle name="20% - Accent2 2 2 46 2" xfId="27712"/>
    <cellStyle name="20% - Accent2 2 2 46 2 2" xfId="54720"/>
    <cellStyle name="20% - Accent2 2 2 46 3" xfId="41216"/>
    <cellStyle name="20% - Accent2 2 2 47" xfId="14179"/>
    <cellStyle name="20% - Accent2 2 2 47 2" xfId="27839"/>
    <cellStyle name="20% - Accent2 2 2 47 2 2" xfId="54847"/>
    <cellStyle name="20% - Accent2 2 2 47 3" xfId="41343"/>
    <cellStyle name="20% - Accent2 2 2 48" xfId="14320"/>
    <cellStyle name="20% - Accent2 2 2 48 2" xfId="27966"/>
    <cellStyle name="20% - Accent2 2 2 48 2 2" xfId="54974"/>
    <cellStyle name="20% - Accent2 2 2 48 3" xfId="41470"/>
    <cellStyle name="20% - Accent2 2 2 49" xfId="14460"/>
    <cellStyle name="20% - Accent2 2 2 49 2" xfId="28092"/>
    <cellStyle name="20% - Accent2 2 2 49 2 2" xfId="55100"/>
    <cellStyle name="20% - Accent2 2 2 49 3" xfId="41596"/>
    <cellStyle name="20% - Accent2 2 2 5" xfId="8218"/>
    <cellStyle name="20% - Accent2 2 2 5 2" xfId="22466"/>
    <cellStyle name="20% - Accent2 2 2 5 2 2" xfId="49474"/>
    <cellStyle name="20% - Accent2 2 2 5 3" xfId="35970"/>
    <cellStyle name="20% - Accent2 2 2 50" xfId="14600"/>
    <cellStyle name="20% - Accent2 2 2 50 2" xfId="28218"/>
    <cellStyle name="20% - Accent2 2 2 50 2 2" xfId="55226"/>
    <cellStyle name="20% - Accent2 2 2 50 3" xfId="41722"/>
    <cellStyle name="20% - Accent2 2 2 51" xfId="14739"/>
    <cellStyle name="20% - Accent2 2 2 51 2" xfId="28343"/>
    <cellStyle name="20% - Accent2 2 2 51 2 2" xfId="55351"/>
    <cellStyle name="20% - Accent2 2 2 51 3" xfId="41847"/>
    <cellStyle name="20% - Accent2 2 2 52" xfId="14874"/>
    <cellStyle name="20% - Accent2 2 2 52 2" xfId="28465"/>
    <cellStyle name="20% - Accent2 2 2 52 2 2" xfId="55473"/>
    <cellStyle name="20% - Accent2 2 2 52 3" xfId="41969"/>
    <cellStyle name="20% - Accent2 2 2 53" xfId="15008"/>
    <cellStyle name="20% - Accent2 2 2 53 2" xfId="28586"/>
    <cellStyle name="20% - Accent2 2 2 53 2 2" xfId="55594"/>
    <cellStyle name="20% - Accent2 2 2 53 3" xfId="42090"/>
    <cellStyle name="20% - Accent2 2 2 54" xfId="15136"/>
    <cellStyle name="20% - Accent2 2 2 54 2" xfId="28703"/>
    <cellStyle name="20% - Accent2 2 2 54 2 2" xfId="55711"/>
    <cellStyle name="20% - Accent2 2 2 54 3" xfId="42207"/>
    <cellStyle name="20% - Accent2 2 2 55" xfId="15257"/>
    <cellStyle name="20% - Accent2 2 2 55 2" xfId="28817"/>
    <cellStyle name="20% - Accent2 2 2 55 2 2" xfId="55825"/>
    <cellStyle name="20% - Accent2 2 2 55 3" xfId="42321"/>
    <cellStyle name="20% - Accent2 2 2 56" xfId="15555"/>
    <cellStyle name="20% - Accent2 2 2 56 2" xfId="42563"/>
    <cellStyle name="20% - Accent2 2 2 57" xfId="29059"/>
    <cellStyle name="20% - Accent2 2 2 6" xfId="8360"/>
    <cellStyle name="20% - Accent2 2 2 6 2" xfId="22594"/>
    <cellStyle name="20% - Accent2 2 2 6 2 2" xfId="49602"/>
    <cellStyle name="20% - Accent2 2 2 6 3" xfId="36098"/>
    <cellStyle name="20% - Accent2 2 2 7" xfId="8502"/>
    <cellStyle name="20% - Accent2 2 2 7 2" xfId="22722"/>
    <cellStyle name="20% - Accent2 2 2 7 2 2" xfId="49730"/>
    <cellStyle name="20% - Accent2 2 2 7 3" xfId="36226"/>
    <cellStyle name="20% - Accent2 2 2 8" xfId="8644"/>
    <cellStyle name="20% - Accent2 2 2 8 2" xfId="22850"/>
    <cellStyle name="20% - Accent2 2 2 8 2 2" xfId="49858"/>
    <cellStyle name="20% - Accent2 2 2 8 3" xfId="36354"/>
    <cellStyle name="20% - Accent2 2 2 9" xfId="8786"/>
    <cellStyle name="20% - Accent2 2 2 9 2" xfId="22978"/>
    <cellStyle name="20% - Accent2 2 2 9 2 2" xfId="49986"/>
    <cellStyle name="20% - Accent2 2 2 9 3" xfId="36482"/>
    <cellStyle name="20% - Accent2 2 20" xfId="1938"/>
    <cellStyle name="20% - Accent2 2 20 2" xfId="17010"/>
    <cellStyle name="20% - Accent2 2 20 2 2" xfId="44018"/>
    <cellStyle name="20% - Accent2 2 20 3" xfId="30514"/>
    <cellStyle name="20% - Accent2 2 21" xfId="2044"/>
    <cellStyle name="20% - Accent2 2 21 2" xfId="17102"/>
    <cellStyle name="20% - Accent2 2 21 2 2" xfId="44110"/>
    <cellStyle name="20% - Accent2 2 21 3" xfId="30606"/>
    <cellStyle name="20% - Accent2 2 22" xfId="2150"/>
    <cellStyle name="20% - Accent2 2 22 2" xfId="17194"/>
    <cellStyle name="20% - Accent2 2 22 2 2" xfId="44202"/>
    <cellStyle name="20% - Accent2 2 22 3" xfId="30698"/>
    <cellStyle name="20% - Accent2 2 23" xfId="2256"/>
    <cellStyle name="20% - Accent2 2 23 2" xfId="17286"/>
    <cellStyle name="20% - Accent2 2 23 2 2" xfId="44294"/>
    <cellStyle name="20% - Accent2 2 23 3" xfId="30790"/>
    <cellStyle name="20% - Accent2 2 24" xfId="2362"/>
    <cellStyle name="20% - Accent2 2 24 2" xfId="17378"/>
    <cellStyle name="20% - Accent2 2 24 2 2" xfId="44386"/>
    <cellStyle name="20% - Accent2 2 24 3" xfId="30882"/>
    <cellStyle name="20% - Accent2 2 25" xfId="2468"/>
    <cellStyle name="20% - Accent2 2 25 2" xfId="17470"/>
    <cellStyle name="20% - Accent2 2 25 2 2" xfId="44478"/>
    <cellStyle name="20% - Accent2 2 25 3" xfId="30974"/>
    <cellStyle name="20% - Accent2 2 26" xfId="2574"/>
    <cellStyle name="20% - Accent2 2 26 2" xfId="17562"/>
    <cellStyle name="20% - Accent2 2 26 2 2" xfId="44570"/>
    <cellStyle name="20% - Accent2 2 26 3" xfId="31066"/>
    <cellStyle name="20% - Accent2 2 27" xfId="2680"/>
    <cellStyle name="20% - Accent2 2 27 2" xfId="17654"/>
    <cellStyle name="20% - Accent2 2 27 2 2" xfId="44662"/>
    <cellStyle name="20% - Accent2 2 27 3" xfId="31158"/>
    <cellStyle name="20% - Accent2 2 28" xfId="2786"/>
    <cellStyle name="20% - Accent2 2 28 2" xfId="17746"/>
    <cellStyle name="20% - Accent2 2 28 2 2" xfId="44754"/>
    <cellStyle name="20% - Accent2 2 28 3" xfId="31250"/>
    <cellStyle name="20% - Accent2 2 29" xfId="2892"/>
    <cellStyle name="20% - Accent2 2 29 2" xfId="17838"/>
    <cellStyle name="20% - Accent2 2 29 2 2" xfId="44846"/>
    <cellStyle name="20% - Accent2 2 29 3" xfId="31342"/>
    <cellStyle name="20% - Accent2 2 3" xfId="415"/>
    <cellStyle name="20% - Accent2 2 3 10" xfId="9051"/>
    <cellStyle name="20% - Accent2 2 3 10 2" xfId="23219"/>
    <cellStyle name="20% - Accent2 2 3 10 2 2" xfId="50227"/>
    <cellStyle name="20% - Accent2 2 3 10 3" xfId="36723"/>
    <cellStyle name="20% - Accent2 2 3 11" xfId="9193"/>
    <cellStyle name="20% - Accent2 2 3 11 2" xfId="23347"/>
    <cellStyle name="20% - Accent2 2 3 11 2 2" xfId="50355"/>
    <cellStyle name="20% - Accent2 2 3 11 3" xfId="36851"/>
    <cellStyle name="20% - Accent2 2 3 12" xfId="9335"/>
    <cellStyle name="20% - Accent2 2 3 12 2" xfId="23475"/>
    <cellStyle name="20% - Accent2 2 3 12 2 2" xfId="50483"/>
    <cellStyle name="20% - Accent2 2 3 12 3" xfId="36979"/>
    <cellStyle name="20% - Accent2 2 3 13" xfId="9477"/>
    <cellStyle name="20% - Accent2 2 3 13 2" xfId="23603"/>
    <cellStyle name="20% - Accent2 2 3 13 2 2" xfId="50611"/>
    <cellStyle name="20% - Accent2 2 3 13 3" xfId="37107"/>
    <cellStyle name="20% - Accent2 2 3 14" xfId="9619"/>
    <cellStyle name="20% - Accent2 2 3 14 2" xfId="23731"/>
    <cellStyle name="20% - Accent2 2 3 14 2 2" xfId="50739"/>
    <cellStyle name="20% - Accent2 2 3 14 3" xfId="37235"/>
    <cellStyle name="20% - Accent2 2 3 15" xfId="9761"/>
    <cellStyle name="20% - Accent2 2 3 15 2" xfId="23859"/>
    <cellStyle name="20% - Accent2 2 3 15 2 2" xfId="50867"/>
    <cellStyle name="20% - Accent2 2 3 15 3" xfId="37363"/>
    <cellStyle name="20% - Accent2 2 3 16" xfId="9903"/>
    <cellStyle name="20% - Accent2 2 3 16 2" xfId="23987"/>
    <cellStyle name="20% - Accent2 2 3 16 2 2" xfId="50995"/>
    <cellStyle name="20% - Accent2 2 3 16 3" xfId="37491"/>
    <cellStyle name="20% - Accent2 2 3 17" xfId="10045"/>
    <cellStyle name="20% - Accent2 2 3 17 2" xfId="24115"/>
    <cellStyle name="20% - Accent2 2 3 17 2 2" xfId="51123"/>
    <cellStyle name="20% - Accent2 2 3 17 3" xfId="37619"/>
    <cellStyle name="20% - Accent2 2 3 18" xfId="10187"/>
    <cellStyle name="20% - Accent2 2 3 18 2" xfId="24243"/>
    <cellStyle name="20% - Accent2 2 3 18 2 2" xfId="51251"/>
    <cellStyle name="20% - Accent2 2 3 18 3" xfId="37747"/>
    <cellStyle name="20% - Accent2 2 3 19" xfId="10329"/>
    <cellStyle name="20% - Accent2 2 3 19 2" xfId="24371"/>
    <cellStyle name="20% - Accent2 2 3 19 2 2" xfId="51379"/>
    <cellStyle name="20% - Accent2 2 3 19 3" xfId="37875"/>
    <cellStyle name="20% - Accent2 2 3 2" xfId="7915"/>
    <cellStyle name="20% - Accent2 2 3 2 2" xfId="22195"/>
    <cellStyle name="20% - Accent2 2 3 2 2 2" xfId="49203"/>
    <cellStyle name="20% - Accent2 2 3 2 3" xfId="35699"/>
    <cellStyle name="20% - Accent2 2 3 20" xfId="10471"/>
    <cellStyle name="20% - Accent2 2 3 20 2" xfId="24499"/>
    <cellStyle name="20% - Accent2 2 3 20 2 2" xfId="51507"/>
    <cellStyle name="20% - Accent2 2 3 20 3" xfId="38003"/>
    <cellStyle name="20% - Accent2 2 3 21" xfId="10613"/>
    <cellStyle name="20% - Accent2 2 3 21 2" xfId="24627"/>
    <cellStyle name="20% - Accent2 2 3 21 2 2" xfId="51635"/>
    <cellStyle name="20% - Accent2 2 3 21 3" xfId="38131"/>
    <cellStyle name="20% - Accent2 2 3 22" xfId="10755"/>
    <cellStyle name="20% - Accent2 2 3 22 2" xfId="24755"/>
    <cellStyle name="20% - Accent2 2 3 22 2 2" xfId="51763"/>
    <cellStyle name="20% - Accent2 2 3 22 3" xfId="38259"/>
    <cellStyle name="20% - Accent2 2 3 23" xfId="10897"/>
    <cellStyle name="20% - Accent2 2 3 23 2" xfId="24883"/>
    <cellStyle name="20% - Accent2 2 3 23 2 2" xfId="51891"/>
    <cellStyle name="20% - Accent2 2 3 23 3" xfId="38387"/>
    <cellStyle name="20% - Accent2 2 3 24" xfId="11039"/>
    <cellStyle name="20% - Accent2 2 3 24 2" xfId="25011"/>
    <cellStyle name="20% - Accent2 2 3 24 2 2" xfId="52019"/>
    <cellStyle name="20% - Accent2 2 3 24 3" xfId="38515"/>
    <cellStyle name="20% - Accent2 2 3 25" xfId="11181"/>
    <cellStyle name="20% - Accent2 2 3 25 2" xfId="25139"/>
    <cellStyle name="20% - Accent2 2 3 25 2 2" xfId="52147"/>
    <cellStyle name="20% - Accent2 2 3 25 3" xfId="38643"/>
    <cellStyle name="20% - Accent2 2 3 26" xfId="11323"/>
    <cellStyle name="20% - Accent2 2 3 26 2" xfId="25267"/>
    <cellStyle name="20% - Accent2 2 3 26 2 2" xfId="52275"/>
    <cellStyle name="20% - Accent2 2 3 26 3" xfId="38771"/>
    <cellStyle name="20% - Accent2 2 3 27" xfId="11465"/>
    <cellStyle name="20% - Accent2 2 3 27 2" xfId="25395"/>
    <cellStyle name="20% - Accent2 2 3 27 2 2" xfId="52403"/>
    <cellStyle name="20% - Accent2 2 3 27 3" xfId="38899"/>
    <cellStyle name="20% - Accent2 2 3 28" xfId="11607"/>
    <cellStyle name="20% - Accent2 2 3 28 2" xfId="25523"/>
    <cellStyle name="20% - Accent2 2 3 28 2 2" xfId="52531"/>
    <cellStyle name="20% - Accent2 2 3 28 3" xfId="39027"/>
    <cellStyle name="20% - Accent2 2 3 29" xfId="11749"/>
    <cellStyle name="20% - Accent2 2 3 29 2" xfId="25651"/>
    <cellStyle name="20% - Accent2 2 3 29 2 2" xfId="52659"/>
    <cellStyle name="20% - Accent2 2 3 29 3" xfId="39155"/>
    <cellStyle name="20% - Accent2 2 3 3" xfId="8057"/>
    <cellStyle name="20% - Accent2 2 3 3 2" xfId="22323"/>
    <cellStyle name="20% - Accent2 2 3 3 2 2" xfId="49331"/>
    <cellStyle name="20% - Accent2 2 3 3 3" xfId="35827"/>
    <cellStyle name="20% - Accent2 2 3 30" xfId="11891"/>
    <cellStyle name="20% - Accent2 2 3 30 2" xfId="25779"/>
    <cellStyle name="20% - Accent2 2 3 30 2 2" xfId="52787"/>
    <cellStyle name="20% - Accent2 2 3 30 3" xfId="39283"/>
    <cellStyle name="20% - Accent2 2 3 31" xfId="12033"/>
    <cellStyle name="20% - Accent2 2 3 31 2" xfId="25907"/>
    <cellStyle name="20% - Accent2 2 3 31 2 2" xfId="52915"/>
    <cellStyle name="20% - Accent2 2 3 31 3" xfId="39411"/>
    <cellStyle name="20% - Accent2 2 3 32" xfId="12175"/>
    <cellStyle name="20% - Accent2 2 3 32 2" xfId="26035"/>
    <cellStyle name="20% - Accent2 2 3 32 2 2" xfId="53043"/>
    <cellStyle name="20% - Accent2 2 3 32 3" xfId="39539"/>
    <cellStyle name="20% - Accent2 2 3 33" xfId="12317"/>
    <cellStyle name="20% - Accent2 2 3 33 2" xfId="26163"/>
    <cellStyle name="20% - Accent2 2 3 33 2 2" xfId="53171"/>
    <cellStyle name="20% - Accent2 2 3 33 3" xfId="39667"/>
    <cellStyle name="20% - Accent2 2 3 34" xfId="12459"/>
    <cellStyle name="20% - Accent2 2 3 34 2" xfId="26291"/>
    <cellStyle name="20% - Accent2 2 3 34 2 2" xfId="53299"/>
    <cellStyle name="20% - Accent2 2 3 34 3" xfId="39795"/>
    <cellStyle name="20% - Accent2 2 3 35" xfId="12601"/>
    <cellStyle name="20% - Accent2 2 3 35 2" xfId="26419"/>
    <cellStyle name="20% - Accent2 2 3 35 2 2" xfId="53427"/>
    <cellStyle name="20% - Accent2 2 3 35 3" xfId="39923"/>
    <cellStyle name="20% - Accent2 2 3 36" xfId="12743"/>
    <cellStyle name="20% - Accent2 2 3 36 2" xfId="26547"/>
    <cellStyle name="20% - Accent2 2 3 36 2 2" xfId="53555"/>
    <cellStyle name="20% - Accent2 2 3 36 3" xfId="40051"/>
    <cellStyle name="20% - Accent2 2 3 37" xfId="12885"/>
    <cellStyle name="20% - Accent2 2 3 37 2" xfId="26675"/>
    <cellStyle name="20% - Accent2 2 3 37 2 2" xfId="53683"/>
    <cellStyle name="20% - Accent2 2 3 37 3" xfId="40179"/>
    <cellStyle name="20% - Accent2 2 3 38" xfId="13027"/>
    <cellStyle name="20% - Accent2 2 3 38 2" xfId="26803"/>
    <cellStyle name="20% - Accent2 2 3 38 2 2" xfId="53811"/>
    <cellStyle name="20% - Accent2 2 3 38 3" xfId="40307"/>
    <cellStyle name="20% - Accent2 2 3 39" xfId="13169"/>
    <cellStyle name="20% - Accent2 2 3 39 2" xfId="26931"/>
    <cellStyle name="20% - Accent2 2 3 39 2 2" xfId="53939"/>
    <cellStyle name="20% - Accent2 2 3 39 3" xfId="40435"/>
    <cellStyle name="20% - Accent2 2 3 4" xfId="8199"/>
    <cellStyle name="20% - Accent2 2 3 4 2" xfId="22451"/>
    <cellStyle name="20% - Accent2 2 3 4 2 2" xfId="49459"/>
    <cellStyle name="20% - Accent2 2 3 4 3" xfId="35955"/>
    <cellStyle name="20% - Accent2 2 3 40" xfId="13311"/>
    <cellStyle name="20% - Accent2 2 3 40 2" xfId="27059"/>
    <cellStyle name="20% - Accent2 2 3 40 2 2" xfId="54067"/>
    <cellStyle name="20% - Accent2 2 3 40 3" xfId="40563"/>
    <cellStyle name="20% - Accent2 2 3 41" xfId="13453"/>
    <cellStyle name="20% - Accent2 2 3 41 2" xfId="27187"/>
    <cellStyle name="20% - Accent2 2 3 41 2 2" xfId="54195"/>
    <cellStyle name="20% - Accent2 2 3 41 3" xfId="40691"/>
    <cellStyle name="20% - Accent2 2 3 42" xfId="13595"/>
    <cellStyle name="20% - Accent2 2 3 42 2" xfId="27315"/>
    <cellStyle name="20% - Accent2 2 3 42 2 2" xfId="54323"/>
    <cellStyle name="20% - Accent2 2 3 42 3" xfId="40819"/>
    <cellStyle name="20% - Accent2 2 3 43" xfId="13737"/>
    <cellStyle name="20% - Accent2 2 3 43 2" xfId="27443"/>
    <cellStyle name="20% - Accent2 2 3 43 2 2" xfId="54451"/>
    <cellStyle name="20% - Accent2 2 3 43 3" xfId="40947"/>
    <cellStyle name="20% - Accent2 2 3 44" xfId="13878"/>
    <cellStyle name="20% - Accent2 2 3 44 2" xfId="27570"/>
    <cellStyle name="20% - Accent2 2 3 44 2 2" xfId="54578"/>
    <cellStyle name="20% - Accent2 2 3 44 3" xfId="41074"/>
    <cellStyle name="20% - Accent2 2 3 45" xfId="14019"/>
    <cellStyle name="20% - Accent2 2 3 45 2" xfId="27697"/>
    <cellStyle name="20% - Accent2 2 3 45 2 2" xfId="54705"/>
    <cellStyle name="20% - Accent2 2 3 45 3" xfId="41201"/>
    <cellStyle name="20% - Accent2 2 3 46" xfId="14160"/>
    <cellStyle name="20% - Accent2 2 3 46 2" xfId="27824"/>
    <cellStyle name="20% - Accent2 2 3 46 2 2" xfId="54832"/>
    <cellStyle name="20% - Accent2 2 3 46 3" xfId="41328"/>
    <cellStyle name="20% - Accent2 2 3 47" xfId="14301"/>
    <cellStyle name="20% - Accent2 2 3 47 2" xfId="27951"/>
    <cellStyle name="20% - Accent2 2 3 47 2 2" xfId="54959"/>
    <cellStyle name="20% - Accent2 2 3 47 3" xfId="41455"/>
    <cellStyle name="20% - Accent2 2 3 48" xfId="14441"/>
    <cellStyle name="20% - Accent2 2 3 48 2" xfId="28077"/>
    <cellStyle name="20% - Accent2 2 3 48 2 2" xfId="55085"/>
    <cellStyle name="20% - Accent2 2 3 48 3" xfId="41581"/>
    <cellStyle name="20% - Accent2 2 3 49" xfId="14581"/>
    <cellStyle name="20% - Accent2 2 3 49 2" xfId="28203"/>
    <cellStyle name="20% - Accent2 2 3 49 2 2" xfId="55211"/>
    <cellStyle name="20% - Accent2 2 3 49 3" xfId="41707"/>
    <cellStyle name="20% - Accent2 2 3 5" xfId="8341"/>
    <cellStyle name="20% - Accent2 2 3 5 2" xfId="22579"/>
    <cellStyle name="20% - Accent2 2 3 5 2 2" xfId="49587"/>
    <cellStyle name="20% - Accent2 2 3 5 3" xfId="36083"/>
    <cellStyle name="20% - Accent2 2 3 50" xfId="14720"/>
    <cellStyle name="20% - Accent2 2 3 50 2" xfId="28328"/>
    <cellStyle name="20% - Accent2 2 3 50 2 2" xfId="55336"/>
    <cellStyle name="20% - Accent2 2 3 50 3" xfId="41832"/>
    <cellStyle name="20% - Accent2 2 3 51" xfId="14855"/>
    <cellStyle name="20% - Accent2 2 3 51 2" xfId="28450"/>
    <cellStyle name="20% - Accent2 2 3 51 2 2" xfId="55458"/>
    <cellStyle name="20% - Accent2 2 3 51 3" xfId="41954"/>
    <cellStyle name="20% - Accent2 2 3 52" xfId="14989"/>
    <cellStyle name="20% - Accent2 2 3 52 2" xfId="28571"/>
    <cellStyle name="20% - Accent2 2 3 52 2 2" xfId="55579"/>
    <cellStyle name="20% - Accent2 2 3 52 3" xfId="42075"/>
    <cellStyle name="20% - Accent2 2 3 53" xfId="15118"/>
    <cellStyle name="20% - Accent2 2 3 53 2" xfId="28688"/>
    <cellStyle name="20% - Accent2 2 3 53 2 2" xfId="55696"/>
    <cellStyle name="20% - Accent2 2 3 53 3" xfId="42192"/>
    <cellStyle name="20% - Accent2 2 3 54" xfId="15240"/>
    <cellStyle name="20% - Accent2 2 3 54 2" xfId="28802"/>
    <cellStyle name="20% - Accent2 2 3 54 2 2" xfId="55810"/>
    <cellStyle name="20% - Accent2 2 3 54 3" xfId="42306"/>
    <cellStyle name="20% - Accent2 2 3 55" xfId="15345"/>
    <cellStyle name="20% - Accent2 2 3 55 2" xfId="28905"/>
    <cellStyle name="20% - Accent2 2 3 55 2 2" xfId="55913"/>
    <cellStyle name="20% - Accent2 2 3 55 3" xfId="42409"/>
    <cellStyle name="20% - Accent2 2 3 56" xfId="15683"/>
    <cellStyle name="20% - Accent2 2 3 56 2" xfId="42691"/>
    <cellStyle name="20% - Accent2 2 3 57" xfId="29187"/>
    <cellStyle name="20% - Accent2 2 3 6" xfId="8483"/>
    <cellStyle name="20% - Accent2 2 3 6 2" xfId="22707"/>
    <cellStyle name="20% - Accent2 2 3 6 2 2" xfId="49715"/>
    <cellStyle name="20% - Accent2 2 3 6 3" xfId="36211"/>
    <cellStyle name="20% - Accent2 2 3 7" xfId="8625"/>
    <cellStyle name="20% - Accent2 2 3 7 2" xfId="22835"/>
    <cellStyle name="20% - Accent2 2 3 7 2 2" xfId="49843"/>
    <cellStyle name="20% - Accent2 2 3 7 3" xfId="36339"/>
    <cellStyle name="20% - Accent2 2 3 8" xfId="8767"/>
    <cellStyle name="20% - Accent2 2 3 8 2" xfId="22963"/>
    <cellStyle name="20% - Accent2 2 3 8 2 2" xfId="49971"/>
    <cellStyle name="20% - Accent2 2 3 8 3" xfId="36467"/>
    <cellStyle name="20% - Accent2 2 3 9" xfId="8909"/>
    <cellStyle name="20% - Accent2 2 3 9 2" xfId="23091"/>
    <cellStyle name="20% - Accent2 2 3 9 2 2" xfId="50099"/>
    <cellStyle name="20% - Accent2 2 3 9 3" xfId="36595"/>
    <cellStyle name="20% - Accent2 2 30" xfId="2998"/>
    <cellStyle name="20% - Accent2 2 30 2" xfId="17930"/>
    <cellStyle name="20% - Accent2 2 30 2 2" xfId="44938"/>
    <cellStyle name="20% - Accent2 2 30 3" xfId="31434"/>
    <cellStyle name="20% - Accent2 2 31" xfId="3104"/>
    <cellStyle name="20% - Accent2 2 31 2" xfId="18022"/>
    <cellStyle name="20% - Accent2 2 31 2 2" xfId="45030"/>
    <cellStyle name="20% - Accent2 2 31 3" xfId="31526"/>
    <cellStyle name="20% - Accent2 2 32" xfId="3210"/>
    <cellStyle name="20% - Accent2 2 32 2" xfId="18114"/>
    <cellStyle name="20% - Accent2 2 32 2 2" xfId="45122"/>
    <cellStyle name="20% - Accent2 2 32 3" xfId="31618"/>
    <cellStyle name="20% - Accent2 2 33" xfId="3316"/>
    <cellStyle name="20% - Accent2 2 33 2" xfId="18206"/>
    <cellStyle name="20% - Accent2 2 33 2 2" xfId="45214"/>
    <cellStyle name="20% - Accent2 2 33 3" xfId="31710"/>
    <cellStyle name="20% - Accent2 2 34" xfId="3422"/>
    <cellStyle name="20% - Accent2 2 34 2" xfId="18298"/>
    <cellStyle name="20% - Accent2 2 34 2 2" xfId="45306"/>
    <cellStyle name="20% - Accent2 2 34 3" xfId="31802"/>
    <cellStyle name="20% - Accent2 2 35" xfId="3528"/>
    <cellStyle name="20% - Accent2 2 35 2" xfId="18390"/>
    <cellStyle name="20% - Accent2 2 35 2 2" xfId="45398"/>
    <cellStyle name="20% - Accent2 2 35 3" xfId="31894"/>
    <cellStyle name="20% - Accent2 2 36" xfId="3634"/>
    <cellStyle name="20% - Accent2 2 36 2" xfId="18482"/>
    <cellStyle name="20% - Accent2 2 36 2 2" xfId="45490"/>
    <cellStyle name="20% - Accent2 2 36 3" xfId="31986"/>
    <cellStyle name="20% - Accent2 2 37" xfId="3740"/>
    <cellStyle name="20% - Accent2 2 37 2" xfId="18574"/>
    <cellStyle name="20% - Accent2 2 37 2 2" xfId="45582"/>
    <cellStyle name="20% - Accent2 2 37 3" xfId="32078"/>
    <cellStyle name="20% - Accent2 2 38" xfId="3846"/>
    <cellStyle name="20% - Accent2 2 38 2" xfId="18666"/>
    <cellStyle name="20% - Accent2 2 38 2 2" xfId="45674"/>
    <cellStyle name="20% - Accent2 2 38 3" xfId="32170"/>
    <cellStyle name="20% - Accent2 2 39" xfId="3952"/>
    <cellStyle name="20% - Accent2 2 39 2" xfId="18758"/>
    <cellStyle name="20% - Accent2 2 39 2 2" xfId="45766"/>
    <cellStyle name="20% - Accent2 2 39 3" xfId="32262"/>
    <cellStyle name="20% - Accent2 2 4" xfId="191"/>
    <cellStyle name="20% - Accent2 2 4 2" xfId="15546"/>
    <cellStyle name="20% - Accent2 2 4 2 2" xfId="42554"/>
    <cellStyle name="20% - Accent2 2 4 3" xfId="29050"/>
    <cellStyle name="20% - Accent2 2 40" xfId="4058"/>
    <cellStyle name="20% - Accent2 2 40 2" xfId="18850"/>
    <cellStyle name="20% - Accent2 2 40 2 2" xfId="45858"/>
    <cellStyle name="20% - Accent2 2 40 3" xfId="32354"/>
    <cellStyle name="20% - Accent2 2 41" xfId="4164"/>
    <cellStyle name="20% - Accent2 2 41 2" xfId="18942"/>
    <cellStyle name="20% - Accent2 2 41 2 2" xfId="45950"/>
    <cellStyle name="20% - Accent2 2 41 3" xfId="32446"/>
    <cellStyle name="20% - Accent2 2 42" xfId="4270"/>
    <cellStyle name="20% - Accent2 2 42 2" xfId="19034"/>
    <cellStyle name="20% - Accent2 2 42 2 2" xfId="46042"/>
    <cellStyle name="20% - Accent2 2 42 3" xfId="32538"/>
    <cellStyle name="20% - Accent2 2 43" xfId="4376"/>
    <cellStyle name="20% - Accent2 2 43 2" xfId="19126"/>
    <cellStyle name="20% - Accent2 2 43 2 2" xfId="46134"/>
    <cellStyle name="20% - Accent2 2 43 3" xfId="32630"/>
    <cellStyle name="20% - Accent2 2 44" xfId="4482"/>
    <cellStyle name="20% - Accent2 2 44 2" xfId="19218"/>
    <cellStyle name="20% - Accent2 2 44 2 2" xfId="46226"/>
    <cellStyle name="20% - Accent2 2 44 3" xfId="32722"/>
    <cellStyle name="20% - Accent2 2 45" xfId="4588"/>
    <cellStyle name="20% - Accent2 2 45 2" xfId="19310"/>
    <cellStyle name="20% - Accent2 2 45 2 2" xfId="46318"/>
    <cellStyle name="20% - Accent2 2 45 3" xfId="32814"/>
    <cellStyle name="20% - Accent2 2 46" xfId="4694"/>
    <cellStyle name="20% - Accent2 2 46 2" xfId="19402"/>
    <cellStyle name="20% - Accent2 2 46 2 2" xfId="46410"/>
    <cellStyle name="20% - Accent2 2 46 3" xfId="32906"/>
    <cellStyle name="20% - Accent2 2 47" xfId="4800"/>
    <cellStyle name="20% - Accent2 2 47 2" xfId="19494"/>
    <cellStyle name="20% - Accent2 2 47 2 2" xfId="46502"/>
    <cellStyle name="20% - Accent2 2 47 3" xfId="32998"/>
    <cellStyle name="20% - Accent2 2 48" xfId="4906"/>
    <cellStyle name="20% - Accent2 2 48 2" xfId="19586"/>
    <cellStyle name="20% - Accent2 2 48 2 2" xfId="46594"/>
    <cellStyle name="20% - Accent2 2 48 3" xfId="33090"/>
    <cellStyle name="20% - Accent2 2 49" xfId="5012"/>
    <cellStyle name="20% - Accent2 2 49 2" xfId="19678"/>
    <cellStyle name="20% - Accent2 2 49 2 2" xfId="46686"/>
    <cellStyle name="20% - Accent2 2 49 3" xfId="33182"/>
    <cellStyle name="20% - Accent2 2 5" xfId="460"/>
    <cellStyle name="20% - Accent2 2 5 2" xfId="15721"/>
    <cellStyle name="20% - Accent2 2 5 2 2" xfId="42729"/>
    <cellStyle name="20% - Accent2 2 5 3" xfId="29225"/>
    <cellStyle name="20% - Accent2 2 50" xfId="5118"/>
    <cellStyle name="20% - Accent2 2 50 2" xfId="19770"/>
    <cellStyle name="20% - Accent2 2 50 2 2" xfId="46778"/>
    <cellStyle name="20% - Accent2 2 50 3" xfId="33274"/>
    <cellStyle name="20% - Accent2 2 51" xfId="5224"/>
    <cellStyle name="20% - Accent2 2 51 2" xfId="19862"/>
    <cellStyle name="20% - Accent2 2 51 2 2" xfId="46870"/>
    <cellStyle name="20% - Accent2 2 51 3" xfId="33366"/>
    <cellStyle name="20% - Accent2 2 52" xfId="5330"/>
    <cellStyle name="20% - Accent2 2 52 2" xfId="19954"/>
    <cellStyle name="20% - Accent2 2 52 2 2" xfId="46962"/>
    <cellStyle name="20% - Accent2 2 52 3" xfId="33458"/>
    <cellStyle name="20% - Accent2 2 53" xfId="5436"/>
    <cellStyle name="20% - Accent2 2 53 2" xfId="20046"/>
    <cellStyle name="20% - Accent2 2 53 2 2" xfId="47054"/>
    <cellStyle name="20% - Accent2 2 53 3" xfId="33550"/>
    <cellStyle name="20% - Accent2 2 54" xfId="5542"/>
    <cellStyle name="20% - Accent2 2 54 2" xfId="20138"/>
    <cellStyle name="20% - Accent2 2 54 2 2" xfId="47146"/>
    <cellStyle name="20% - Accent2 2 54 3" xfId="33642"/>
    <cellStyle name="20% - Accent2 2 55" xfId="5648"/>
    <cellStyle name="20% - Accent2 2 55 2" xfId="20230"/>
    <cellStyle name="20% - Accent2 2 55 2 2" xfId="47238"/>
    <cellStyle name="20% - Accent2 2 55 3" xfId="33734"/>
    <cellStyle name="20% - Accent2 2 56" xfId="5754"/>
    <cellStyle name="20% - Accent2 2 56 2" xfId="20322"/>
    <cellStyle name="20% - Accent2 2 56 2 2" xfId="47330"/>
    <cellStyle name="20% - Accent2 2 56 3" xfId="33826"/>
    <cellStyle name="20% - Accent2 2 57" xfId="5860"/>
    <cellStyle name="20% - Accent2 2 57 2" xfId="20414"/>
    <cellStyle name="20% - Accent2 2 57 2 2" xfId="47422"/>
    <cellStyle name="20% - Accent2 2 57 3" xfId="33918"/>
    <cellStyle name="20% - Accent2 2 58" xfId="5966"/>
    <cellStyle name="20% - Accent2 2 58 2" xfId="20506"/>
    <cellStyle name="20% - Accent2 2 58 2 2" xfId="47514"/>
    <cellStyle name="20% - Accent2 2 58 3" xfId="34010"/>
    <cellStyle name="20% - Accent2 2 59" xfId="6072"/>
    <cellStyle name="20% - Accent2 2 59 2" xfId="20598"/>
    <cellStyle name="20% - Accent2 2 59 2 2" xfId="47606"/>
    <cellStyle name="20% - Accent2 2 59 3" xfId="34102"/>
    <cellStyle name="20% - Accent2 2 6" xfId="277"/>
    <cellStyle name="20% - Accent2 2 6 2" xfId="15586"/>
    <cellStyle name="20% - Accent2 2 6 2 2" xfId="42594"/>
    <cellStyle name="20% - Accent2 2 6 3" xfId="29090"/>
    <cellStyle name="20% - Accent2 2 60" xfId="6178"/>
    <cellStyle name="20% - Accent2 2 60 2" xfId="20690"/>
    <cellStyle name="20% - Accent2 2 60 2 2" xfId="47698"/>
    <cellStyle name="20% - Accent2 2 60 3" xfId="34194"/>
    <cellStyle name="20% - Accent2 2 61" xfId="6284"/>
    <cellStyle name="20% - Accent2 2 61 2" xfId="20782"/>
    <cellStyle name="20% - Accent2 2 61 2 2" xfId="47790"/>
    <cellStyle name="20% - Accent2 2 61 3" xfId="34286"/>
    <cellStyle name="20% - Accent2 2 62" xfId="6390"/>
    <cellStyle name="20% - Accent2 2 62 2" xfId="20874"/>
    <cellStyle name="20% - Accent2 2 62 2 2" xfId="47882"/>
    <cellStyle name="20% - Accent2 2 62 3" xfId="34378"/>
    <cellStyle name="20% - Accent2 2 63" xfId="6496"/>
    <cellStyle name="20% - Accent2 2 63 2" xfId="20966"/>
    <cellStyle name="20% - Accent2 2 63 2 2" xfId="47974"/>
    <cellStyle name="20% - Accent2 2 63 3" xfId="34470"/>
    <cellStyle name="20% - Accent2 2 64" xfId="6601"/>
    <cellStyle name="20% - Accent2 2 64 2" xfId="21057"/>
    <cellStyle name="20% - Accent2 2 64 2 2" xfId="48065"/>
    <cellStyle name="20% - Accent2 2 64 3" xfId="34561"/>
    <cellStyle name="20% - Accent2 2 65" xfId="6706"/>
    <cellStyle name="20% - Accent2 2 65 2" xfId="21148"/>
    <cellStyle name="20% - Accent2 2 65 2 2" xfId="48156"/>
    <cellStyle name="20% - Accent2 2 65 3" xfId="34652"/>
    <cellStyle name="20% - Accent2 2 66" xfId="6811"/>
    <cellStyle name="20% - Accent2 2 66 2" xfId="21239"/>
    <cellStyle name="20% - Accent2 2 66 2 2" xfId="48247"/>
    <cellStyle name="20% - Accent2 2 66 3" xfId="34743"/>
    <cellStyle name="20% - Accent2 2 67" xfId="6916"/>
    <cellStyle name="20% - Accent2 2 67 2" xfId="21330"/>
    <cellStyle name="20% - Accent2 2 67 2 2" xfId="48338"/>
    <cellStyle name="20% - Accent2 2 67 3" xfId="34834"/>
    <cellStyle name="20% - Accent2 2 68" xfId="7021"/>
    <cellStyle name="20% - Accent2 2 68 2" xfId="21421"/>
    <cellStyle name="20% - Accent2 2 68 2 2" xfId="48429"/>
    <cellStyle name="20% - Accent2 2 68 3" xfId="34925"/>
    <cellStyle name="20% - Accent2 2 69" xfId="7125"/>
    <cellStyle name="20% - Accent2 2 69 2" xfId="21511"/>
    <cellStyle name="20% - Accent2 2 69 2 2" xfId="48519"/>
    <cellStyle name="20% - Accent2 2 69 3" xfId="35015"/>
    <cellStyle name="20% - Accent2 2 7" xfId="561"/>
    <cellStyle name="20% - Accent2 2 7 2" xfId="15815"/>
    <cellStyle name="20% - Accent2 2 7 2 2" xfId="42823"/>
    <cellStyle name="20% - Accent2 2 7 3" xfId="29319"/>
    <cellStyle name="20% - Accent2 2 70" xfId="7229"/>
    <cellStyle name="20% - Accent2 2 70 2" xfId="21601"/>
    <cellStyle name="20% - Accent2 2 70 2 2" xfId="48609"/>
    <cellStyle name="20% - Accent2 2 70 3" xfId="35105"/>
    <cellStyle name="20% - Accent2 2 71" xfId="7331"/>
    <cellStyle name="20% - Accent2 2 71 2" xfId="21689"/>
    <cellStyle name="20% - Accent2 2 71 2 2" xfId="48697"/>
    <cellStyle name="20% - Accent2 2 71 3" xfId="35193"/>
    <cellStyle name="20% - Accent2 2 72" xfId="7430"/>
    <cellStyle name="20% - Accent2 2 72 2" xfId="21775"/>
    <cellStyle name="20% - Accent2 2 72 2 2" xfId="48783"/>
    <cellStyle name="20% - Accent2 2 72 3" xfId="35279"/>
    <cellStyle name="20% - Accent2 2 73" xfId="7723"/>
    <cellStyle name="20% - Accent2 2 73 2" xfId="22025"/>
    <cellStyle name="20% - Accent2 2 73 2 2" xfId="49033"/>
    <cellStyle name="20% - Accent2 2 73 3" xfId="35529"/>
    <cellStyle name="20% - Accent2 2 74" xfId="7771"/>
    <cellStyle name="20% - Accent2 2 74 2" xfId="22066"/>
    <cellStyle name="20% - Accent2 2 74 2 2" xfId="49074"/>
    <cellStyle name="20% - Accent2 2 74 3" xfId="35570"/>
    <cellStyle name="20% - Accent2 2 75" xfId="7719"/>
    <cellStyle name="20% - Accent2 2 75 2" xfId="22021"/>
    <cellStyle name="20% - Accent2 2 75 2 2" xfId="49029"/>
    <cellStyle name="20% - Accent2 2 75 3" xfId="35525"/>
    <cellStyle name="20% - Accent2 2 76" xfId="7875"/>
    <cellStyle name="20% - Accent2 2 76 2" xfId="22163"/>
    <cellStyle name="20% - Accent2 2 76 2 2" xfId="49171"/>
    <cellStyle name="20% - Accent2 2 76 3" xfId="35667"/>
    <cellStyle name="20% - Accent2 2 77" xfId="8017"/>
    <cellStyle name="20% - Accent2 2 77 2" xfId="22291"/>
    <cellStyle name="20% - Accent2 2 77 2 2" xfId="49299"/>
    <cellStyle name="20% - Accent2 2 77 3" xfId="35795"/>
    <cellStyle name="20% - Accent2 2 78" xfId="8159"/>
    <cellStyle name="20% - Accent2 2 78 2" xfId="22419"/>
    <cellStyle name="20% - Accent2 2 78 2 2" xfId="49427"/>
    <cellStyle name="20% - Accent2 2 78 3" xfId="35923"/>
    <cellStyle name="20% - Accent2 2 79" xfId="8301"/>
    <cellStyle name="20% - Accent2 2 79 2" xfId="22547"/>
    <cellStyle name="20% - Accent2 2 79 2 2" xfId="49555"/>
    <cellStyle name="20% - Accent2 2 79 3" xfId="36051"/>
    <cellStyle name="20% - Accent2 2 8" xfId="666"/>
    <cellStyle name="20% - Accent2 2 8 2" xfId="15906"/>
    <cellStyle name="20% - Accent2 2 8 2 2" xfId="42914"/>
    <cellStyle name="20% - Accent2 2 8 3" xfId="29410"/>
    <cellStyle name="20% - Accent2 2 80" xfId="8443"/>
    <cellStyle name="20% - Accent2 2 80 2" xfId="22675"/>
    <cellStyle name="20% - Accent2 2 80 2 2" xfId="49683"/>
    <cellStyle name="20% - Accent2 2 80 3" xfId="36179"/>
    <cellStyle name="20% - Accent2 2 81" xfId="8585"/>
    <cellStyle name="20% - Accent2 2 81 2" xfId="22803"/>
    <cellStyle name="20% - Accent2 2 81 2 2" xfId="49811"/>
    <cellStyle name="20% - Accent2 2 81 3" xfId="36307"/>
    <cellStyle name="20% - Accent2 2 82" xfId="8727"/>
    <cellStyle name="20% - Accent2 2 82 2" xfId="22931"/>
    <cellStyle name="20% - Accent2 2 82 2 2" xfId="49939"/>
    <cellStyle name="20% - Accent2 2 82 3" xfId="36435"/>
    <cellStyle name="20% - Accent2 2 83" xfId="8869"/>
    <cellStyle name="20% - Accent2 2 83 2" xfId="23059"/>
    <cellStyle name="20% - Accent2 2 83 2 2" xfId="50067"/>
    <cellStyle name="20% - Accent2 2 83 3" xfId="36563"/>
    <cellStyle name="20% - Accent2 2 84" xfId="9011"/>
    <cellStyle name="20% - Accent2 2 84 2" xfId="23187"/>
    <cellStyle name="20% - Accent2 2 84 2 2" xfId="50195"/>
    <cellStyle name="20% - Accent2 2 84 3" xfId="36691"/>
    <cellStyle name="20% - Accent2 2 85" xfId="9153"/>
    <cellStyle name="20% - Accent2 2 85 2" xfId="23315"/>
    <cellStyle name="20% - Accent2 2 85 2 2" xfId="50323"/>
    <cellStyle name="20% - Accent2 2 85 3" xfId="36819"/>
    <cellStyle name="20% - Accent2 2 86" xfId="9295"/>
    <cellStyle name="20% - Accent2 2 86 2" xfId="23443"/>
    <cellStyle name="20% - Accent2 2 86 2 2" xfId="50451"/>
    <cellStyle name="20% - Accent2 2 86 3" xfId="36947"/>
    <cellStyle name="20% - Accent2 2 87" xfId="9437"/>
    <cellStyle name="20% - Accent2 2 87 2" xfId="23571"/>
    <cellStyle name="20% - Accent2 2 87 2 2" xfId="50579"/>
    <cellStyle name="20% - Accent2 2 87 3" xfId="37075"/>
    <cellStyle name="20% - Accent2 2 88" xfId="9579"/>
    <cellStyle name="20% - Accent2 2 88 2" xfId="23699"/>
    <cellStyle name="20% - Accent2 2 88 2 2" xfId="50707"/>
    <cellStyle name="20% - Accent2 2 88 3" xfId="37203"/>
    <cellStyle name="20% - Accent2 2 89" xfId="9721"/>
    <cellStyle name="20% - Accent2 2 89 2" xfId="23827"/>
    <cellStyle name="20% - Accent2 2 89 2 2" xfId="50835"/>
    <cellStyle name="20% - Accent2 2 89 3" xfId="37331"/>
    <cellStyle name="20% - Accent2 2 9" xfId="772"/>
    <cellStyle name="20% - Accent2 2 9 2" xfId="15998"/>
    <cellStyle name="20% - Accent2 2 9 2 2" xfId="43006"/>
    <cellStyle name="20% - Accent2 2 9 3" xfId="29502"/>
    <cellStyle name="20% - Accent2 2 90" xfId="9863"/>
    <cellStyle name="20% - Accent2 2 90 2" xfId="23955"/>
    <cellStyle name="20% - Accent2 2 90 2 2" xfId="50963"/>
    <cellStyle name="20% - Accent2 2 90 3" xfId="37459"/>
    <cellStyle name="20% - Accent2 2 91" xfId="10005"/>
    <cellStyle name="20% - Accent2 2 91 2" xfId="24083"/>
    <cellStyle name="20% - Accent2 2 91 2 2" xfId="51091"/>
    <cellStyle name="20% - Accent2 2 91 3" xfId="37587"/>
    <cellStyle name="20% - Accent2 2 92" xfId="10147"/>
    <cellStyle name="20% - Accent2 2 92 2" xfId="24211"/>
    <cellStyle name="20% - Accent2 2 92 2 2" xfId="51219"/>
    <cellStyle name="20% - Accent2 2 92 3" xfId="37715"/>
    <cellStyle name="20% - Accent2 2 93" xfId="10289"/>
    <cellStyle name="20% - Accent2 2 93 2" xfId="24339"/>
    <cellStyle name="20% - Accent2 2 93 2 2" xfId="51347"/>
    <cellStyle name="20% - Accent2 2 93 3" xfId="37843"/>
    <cellStyle name="20% - Accent2 2 94" xfId="10431"/>
    <cellStyle name="20% - Accent2 2 94 2" xfId="24467"/>
    <cellStyle name="20% - Accent2 2 94 2 2" xfId="51475"/>
    <cellStyle name="20% - Accent2 2 94 3" xfId="37971"/>
    <cellStyle name="20% - Accent2 2 95" xfId="10573"/>
    <cellStyle name="20% - Accent2 2 95 2" xfId="24595"/>
    <cellStyle name="20% - Accent2 2 95 2 2" xfId="51603"/>
    <cellStyle name="20% - Accent2 2 95 3" xfId="38099"/>
    <cellStyle name="20% - Accent2 2 96" xfId="10715"/>
    <cellStyle name="20% - Accent2 2 96 2" xfId="24723"/>
    <cellStyle name="20% - Accent2 2 96 2 2" xfId="51731"/>
    <cellStyle name="20% - Accent2 2 96 3" xfId="38227"/>
    <cellStyle name="20% - Accent2 2 97" xfId="10857"/>
    <cellStyle name="20% - Accent2 2 97 2" xfId="24851"/>
    <cellStyle name="20% - Accent2 2 97 2 2" xfId="51859"/>
    <cellStyle name="20% - Accent2 2 97 3" xfId="38355"/>
    <cellStyle name="20% - Accent2 2 98" xfId="10999"/>
    <cellStyle name="20% - Accent2 2 98 2" xfId="24979"/>
    <cellStyle name="20% - Accent2 2 98 2 2" xfId="51987"/>
    <cellStyle name="20% - Accent2 2 98 3" xfId="38483"/>
    <cellStyle name="20% - Accent2 2 99" xfId="11141"/>
    <cellStyle name="20% - Accent2 2 99 2" xfId="25107"/>
    <cellStyle name="20% - Accent2 2 99 2 2" xfId="52115"/>
    <cellStyle name="20% - Accent2 2 99 3" xfId="38611"/>
    <cellStyle name="20% - Accent2 3" xfId="99"/>
    <cellStyle name="20% - Accent2 3 10" xfId="1126"/>
    <cellStyle name="20% - Accent2 3 10 2" xfId="16301"/>
    <cellStyle name="20% - Accent2 3 10 2 2" xfId="43309"/>
    <cellStyle name="20% - Accent2 3 10 3" xfId="29805"/>
    <cellStyle name="20% - Accent2 3 100" xfId="11603"/>
    <cellStyle name="20% - Accent2 3 100 2" xfId="25520"/>
    <cellStyle name="20% - Accent2 3 100 2 2" xfId="52528"/>
    <cellStyle name="20% - Accent2 3 100 3" xfId="39024"/>
    <cellStyle name="20% - Accent2 3 101" xfId="11745"/>
    <cellStyle name="20% - Accent2 3 101 2" xfId="25648"/>
    <cellStyle name="20% - Accent2 3 101 2 2" xfId="52656"/>
    <cellStyle name="20% - Accent2 3 101 3" xfId="39152"/>
    <cellStyle name="20% - Accent2 3 102" xfId="11887"/>
    <cellStyle name="20% - Accent2 3 102 2" xfId="25776"/>
    <cellStyle name="20% - Accent2 3 102 2 2" xfId="52784"/>
    <cellStyle name="20% - Accent2 3 102 3" xfId="39280"/>
    <cellStyle name="20% - Accent2 3 103" xfId="12029"/>
    <cellStyle name="20% - Accent2 3 103 2" xfId="25904"/>
    <cellStyle name="20% - Accent2 3 103 2 2" xfId="52912"/>
    <cellStyle name="20% - Accent2 3 103 3" xfId="39408"/>
    <cellStyle name="20% - Accent2 3 104" xfId="12171"/>
    <cellStyle name="20% - Accent2 3 104 2" xfId="26032"/>
    <cellStyle name="20% - Accent2 3 104 2 2" xfId="53040"/>
    <cellStyle name="20% - Accent2 3 104 3" xfId="39536"/>
    <cellStyle name="20% - Accent2 3 105" xfId="12313"/>
    <cellStyle name="20% - Accent2 3 105 2" xfId="26160"/>
    <cellStyle name="20% - Accent2 3 105 2 2" xfId="53168"/>
    <cellStyle name="20% - Accent2 3 105 3" xfId="39664"/>
    <cellStyle name="20% - Accent2 3 106" xfId="12455"/>
    <cellStyle name="20% - Accent2 3 106 2" xfId="26288"/>
    <cellStyle name="20% - Accent2 3 106 2 2" xfId="53296"/>
    <cellStyle name="20% - Accent2 3 106 3" xfId="39792"/>
    <cellStyle name="20% - Accent2 3 107" xfId="12597"/>
    <cellStyle name="20% - Accent2 3 107 2" xfId="26416"/>
    <cellStyle name="20% - Accent2 3 107 2 2" xfId="53424"/>
    <cellStyle name="20% - Accent2 3 107 3" xfId="39920"/>
    <cellStyle name="20% - Accent2 3 108" xfId="12739"/>
    <cellStyle name="20% - Accent2 3 108 2" xfId="26544"/>
    <cellStyle name="20% - Accent2 3 108 2 2" xfId="53552"/>
    <cellStyle name="20% - Accent2 3 108 3" xfId="40048"/>
    <cellStyle name="20% - Accent2 3 109" xfId="12881"/>
    <cellStyle name="20% - Accent2 3 109 2" xfId="26672"/>
    <cellStyle name="20% - Accent2 3 109 2 2" xfId="53680"/>
    <cellStyle name="20% - Accent2 3 109 3" xfId="40176"/>
    <cellStyle name="20% - Accent2 3 11" xfId="1232"/>
    <cellStyle name="20% - Accent2 3 11 2" xfId="16393"/>
    <cellStyle name="20% - Accent2 3 11 2 2" xfId="43401"/>
    <cellStyle name="20% - Accent2 3 11 3" xfId="29897"/>
    <cellStyle name="20% - Accent2 3 110" xfId="13023"/>
    <cellStyle name="20% - Accent2 3 110 2" xfId="26800"/>
    <cellStyle name="20% - Accent2 3 110 2 2" xfId="53808"/>
    <cellStyle name="20% - Accent2 3 110 3" xfId="40304"/>
    <cellStyle name="20% - Accent2 3 111" xfId="13165"/>
    <cellStyle name="20% - Accent2 3 111 2" xfId="26928"/>
    <cellStyle name="20% - Accent2 3 111 2 2" xfId="53936"/>
    <cellStyle name="20% - Accent2 3 111 3" xfId="40432"/>
    <cellStyle name="20% - Accent2 3 112" xfId="13307"/>
    <cellStyle name="20% - Accent2 3 112 2" xfId="27056"/>
    <cellStyle name="20% - Accent2 3 112 2 2" xfId="54064"/>
    <cellStyle name="20% - Accent2 3 112 3" xfId="40560"/>
    <cellStyle name="20% - Accent2 3 113" xfId="13449"/>
    <cellStyle name="20% - Accent2 3 113 2" xfId="27184"/>
    <cellStyle name="20% - Accent2 3 113 2 2" xfId="54192"/>
    <cellStyle name="20% - Accent2 3 113 3" xfId="40688"/>
    <cellStyle name="20% - Accent2 3 114" xfId="13591"/>
    <cellStyle name="20% - Accent2 3 114 2" xfId="27312"/>
    <cellStyle name="20% - Accent2 3 114 2 2" xfId="54320"/>
    <cellStyle name="20% - Accent2 3 114 3" xfId="40816"/>
    <cellStyle name="20% - Accent2 3 115" xfId="13733"/>
    <cellStyle name="20% - Accent2 3 115 2" xfId="27440"/>
    <cellStyle name="20% - Accent2 3 115 2 2" xfId="54448"/>
    <cellStyle name="20% - Accent2 3 115 3" xfId="40944"/>
    <cellStyle name="20% - Accent2 3 116" xfId="13874"/>
    <cellStyle name="20% - Accent2 3 116 2" xfId="27567"/>
    <cellStyle name="20% - Accent2 3 116 2 2" xfId="54575"/>
    <cellStyle name="20% - Accent2 3 116 3" xfId="41071"/>
    <cellStyle name="20% - Accent2 3 117" xfId="14015"/>
    <cellStyle name="20% - Accent2 3 117 2" xfId="27694"/>
    <cellStyle name="20% - Accent2 3 117 2 2" xfId="54702"/>
    <cellStyle name="20% - Accent2 3 117 3" xfId="41198"/>
    <cellStyle name="20% - Accent2 3 118" xfId="14156"/>
    <cellStyle name="20% - Accent2 3 118 2" xfId="27821"/>
    <cellStyle name="20% - Accent2 3 118 2 2" xfId="54829"/>
    <cellStyle name="20% - Accent2 3 118 3" xfId="41325"/>
    <cellStyle name="20% - Accent2 3 119" xfId="14297"/>
    <cellStyle name="20% - Accent2 3 119 2" xfId="27948"/>
    <cellStyle name="20% - Accent2 3 119 2 2" xfId="54956"/>
    <cellStyle name="20% - Accent2 3 119 3" xfId="41452"/>
    <cellStyle name="20% - Accent2 3 12" xfId="1338"/>
    <cellStyle name="20% - Accent2 3 12 2" xfId="16485"/>
    <cellStyle name="20% - Accent2 3 12 2 2" xfId="43493"/>
    <cellStyle name="20% - Accent2 3 12 3" xfId="29989"/>
    <cellStyle name="20% - Accent2 3 120" xfId="14437"/>
    <cellStyle name="20% - Accent2 3 120 2" xfId="28074"/>
    <cellStyle name="20% - Accent2 3 120 2 2" xfId="55082"/>
    <cellStyle name="20% - Accent2 3 120 3" xfId="41578"/>
    <cellStyle name="20% - Accent2 3 121" xfId="14577"/>
    <cellStyle name="20% - Accent2 3 121 2" xfId="28200"/>
    <cellStyle name="20% - Accent2 3 121 2 2" xfId="55208"/>
    <cellStyle name="20% - Accent2 3 121 3" xfId="41704"/>
    <cellStyle name="20% - Accent2 3 122" xfId="14716"/>
    <cellStyle name="20% - Accent2 3 122 2" xfId="28325"/>
    <cellStyle name="20% - Accent2 3 122 2 2" xfId="55333"/>
    <cellStyle name="20% - Accent2 3 122 3" xfId="41829"/>
    <cellStyle name="20% - Accent2 3 123" xfId="14851"/>
    <cellStyle name="20% - Accent2 3 123 2" xfId="28447"/>
    <cellStyle name="20% - Accent2 3 123 2 2" xfId="55455"/>
    <cellStyle name="20% - Accent2 3 123 3" xfId="41951"/>
    <cellStyle name="20% - Accent2 3 124" xfId="14985"/>
    <cellStyle name="20% - Accent2 3 124 2" xfId="28568"/>
    <cellStyle name="20% - Accent2 3 124 2 2" xfId="55576"/>
    <cellStyle name="20% - Accent2 3 124 3" xfId="42072"/>
    <cellStyle name="20% - Accent2 3 125" xfId="15114"/>
    <cellStyle name="20% - Accent2 3 125 2" xfId="28685"/>
    <cellStyle name="20% - Accent2 3 125 2 2" xfId="55693"/>
    <cellStyle name="20% - Accent2 3 125 3" xfId="42189"/>
    <cellStyle name="20% - Accent2 3 126" xfId="15466"/>
    <cellStyle name="20% - Accent2 3 126 2" xfId="42474"/>
    <cellStyle name="20% - Accent2 3 127" xfId="28970"/>
    <cellStyle name="20% - Accent2 3 13" xfId="1444"/>
    <cellStyle name="20% - Accent2 3 13 2" xfId="16577"/>
    <cellStyle name="20% - Accent2 3 13 2 2" xfId="43585"/>
    <cellStyle name="20% - Accent2 3 13 3" xfId="30081"/>
    <cellStyle name="20% - Accent2 3 14" xfId="1550"/>
    <cellStyle name="20% - Accent2 3 14 2" xfId="16669"/>
    <cellStyle name="20% - Accent2 3 14 2 2" xfId="43677"/>
    <cellStyle name="20% - Accent2 3 14 3" xfId="30173"/>
    <cellStyle name="20% - Accent2 3 15" xfId="1656"/>
    <cellStyle name="20% - Accent2 3 15 2" xfId="16761"/>
    <cellStyle name="20% - Accent2 3 15 2 2" xfId="43769"/>
    <cellStyle name="20% - Accent2 3 15 3" xfId="30265"/>
    <cellStyle name="20% - Accent2 3 16" xfId="1762"/>
    <cellStyle name="20% - Accent2 3 16 2" xfId="16853"/>
    <cellStyle name="20% - Accent2 3 16 2 2" xfId="43861"/>
    <cellStyle name="20% - Accent2 3 16 3" xfId="30357"/>
    <cellStyle name="20% - Accent2 3 17" xfId="1868"/>
    <cellStyle name="20% - Accent2 3 17 2" xfId="16945"/>
    <cellStyle name="20% - Accent2 3 17 2 2" xfId="43953"/>
    <cellStyle name="20% - Accent2 3 17 3" xfId="30449"/>
    <cellStyle name="20% - Accent2 3 18" xfId="1974"/>
    <cellStyle name="20% - Accent2 3 18 2" xfId="17037"/>
    <cellStyle name="20% - Accent2 3 18 2 2" xfId="44045"/>
    <cellStyle name="20% - Accent2 3 18 3" xfId="30541"/>
    <cellStyle name="20% - Accent2 3 19" xfId="2080"/>
    <cellStyle name="20% - Accent2 3 19 2" xfId="17129"/>
    <cellStyle name="20% - Accent2 3 19 2 2" xfId="44137"/>
    <cellStyle name="20% - Accent2 3 19 3" xfId="30633"/>
    <cellStyle name="20% - Accent2 3 2" xfId="278"/>
    <cellStyle name="20% - Accent2 3 2 2" xfId="15587"/>
    <cellStyle name="20% - Accent2 3 2 2 2" xfId="42595"/>
    <cellStyle name="20% - Accent2 3 2 3" xfId="29091"/>
    <cellStyle name="20% - Accent2 3 20" xfId="2186"/>
    <cellStyle name="20% - Accent2 3 20 2" xfId="17221"/>
    <cellStyle name="20% - Accent2 3 20 2 2" xfId="44229"/>
    <cellStyle name="20% - Accent2 3 20 3" xfId="30725"/>
    <cellStyle name="20% - Accent2 3 21" xfId="2292"/>
    <cellStyle name="20% - Accent2 3 21 2" xfId="17313"/>
    <cellStyle name="20% - Accent2 3 21 2 2" xfId="44321"/>
    <cellStyle name="20% - Accent2 3 21 3" xfId="30817"/>
    <cellStyle name="20% - Accent2 3 22" xfId="2398"/>
    <cellStyle name="20% - Accent2 3 22 2" xfId="17405"/>
    <cellStyle name="20% - Accent2 3 22 2 2" xfId="44413"/>
    <cellStyle name="20% - Accent2 3 22 3" xfId="30909"/>
    <cellStyle name="20% - Accent2 3 23" xfId="2504"/>
    <cellStyle name="20% - Accent2 3 23 2" xfId="17497"/>
    <cellStyle name="20% - Accent2 3 23 2 2" xfId="44505"/>
    <cellStyle name="20% - Accent2 3 23 3" xfId="31001"/>
    <cellStyle name="20% - Accent2 3 24" xfId="2610"/>
    <cellStyle name="20% - Accent2 3 24 2" xfId="17589"/>
    <cellStyle name="20% - Accent2 3 24 2 2" xfId="44597"/>
    <cellStyle name="20% - Accent2 3 24 3" xfId="31093"/>
    <cellStyle name="20% - Accent2 3 25" xfId="2716"/>
    <cellStyle name="20% - Accent2 3 25 2" xfId="17681"/>
    <cellStyle name="20% - Accent2 3 25 2 2" xfId="44689"/>
    <cellStyle name="20% - Accent2 3 25 3" xfId="31185"/>
    <cellStyle name="20% - Accent2 3 26" xfId="2822"/>
    <cellStyle name="20% - Accent2 3 26 2" xfId="17773"/>
    <cellStyle name="20% - Accent2 3 26 2 2" xfId="44781"/>
    <cellStyle name="20% - Accent2 3 26 3" xfId="31277"/>
    <cellStyle name="20% - Accent2 3 27" xfId="2928"/>
    <cellStyle name="20% - Accent2 3 27 2" xfId="17865"/>
    <cellStyle name="20% - Accent2 3 27 2 2" xfId="44873"/>
    <cellStyle name="20% - Accent2 3 27 3" xfId="31369"/>
    <cellStyle name="20% - Accent2 3 28" xfId="3034"/>
    <cellStyle name="20% - Accent2 3 28 2" xfId="17957"/>
    <cellStyle name="20% - Accent2 3 28 2 2" xfId="44965"/>
    <cellStyle name="20% - Accent2 3 28 3" xfId="31461"/>
    <cellStyle name="20% - Accent2 3 29" xfId="3140"/>
    <cellStyle name="20% - Accent2 3 29 2" xfId="18049"/>
    <cellStyle name="20% - Accent2 3 29 2 2" xfId="45057"/>
    <cellStyle name="20% - Accent2 3 29 3" xfId="31553"/>
    <cellStyle name="20% - Accent2 3 3" xfId="468"/>
    <cellStyle name="20% - Accent2 3 3 2" xfId="15729"/>
    <cellStyle name="20% - Accent2 3 3 2 2" xfId="42737"/>
    <cellStyle name="20% - Accent2 3 3 3" xfId="29233"/>
    <cellStyle name="20% - Accent2 3 30" xfId="3246"/>
    <cellStyle name="20% - Accent2 3 30 2" xfId="18141"/>
    <cellStyle name="20% - Accent2 3 30 2 2" xfId="45149"/>
    <cellStyle name="20% - Accent2 3 30 3" xfId="31645"/>
    <cellStyle name="20% - Accent2 3 31" xfId="3352"/>
    <cellStyle name="20% - Accent2 3 31 2" xfId="18233"/>
    <cellStyle name="20% - Accent2 3 31 2 2" xfId="45241"/>
    <cellStyle name="20% - Accent2 3 31 3" xfId="31737"/>
    <cellStyle name="20% - Accent2 3 32" xfId="3458"/>
    <cellStyle name="20% - Accent2 3 32 2" xfId="18325"/>
    <cellStyle name="20% - Accent2 3 32 2 2" xfId="45333"/>
    <cellStyle name="20% - Accent2 3 32 3" xfId="31829"/>
    <cellStyle name="20% - Accent2 3 33" xfId="3564"/>
    <cellStyle name="20% - Accent2 3 33 2" xfId="18417"/>
    <cellStyle name="20% - Accent2 3 33 2 2" xfId="45425"/>
    <cellStyle name="20% - Accent2 3 33 3" xfId="31921"/>
    <cellStyle name="20% - Accent2 3 34" xfId="3670"/>
    <cellStyle name="20% - Accent2 3 34 2" xfId="18509"/>
    <cellStyle name="20% - Accent2 3 34 2 2" xfId="45517"/>
    <cellStyle name="20% - Accent2 3 34 3" xfId="32013"/>
    <cellStyle name="20% - Accent2 3 35" xfId="3776"/>
    <cellStyle name="20% - Accent2 3 35 2" xfId="18601"/>
    <cellStyle name="20% - Accent2 3 35 2 2" xfId="45609"/>
    <cellStyle name="20% - Accent2 3 35 3" xfId="32105"/>
    <cellStyle name="20% - Accent2 3 36" xfId="3882"/>
    <cellStyle name="20% - Accent2 3 36 2" xfId="18693"/>
    <cellStyle name="20% - Accent2 3 36 2 2" xfId="45701"/>
    <cellStyle name="20% - Accent2 3 36 3" xfId="32197"/>
    <cellStyle name="20% - Accent2 3 37" xfId="3988"/>
    <cellStyle name="20% - Accent2 3 37 2" xfId="18785"/>
    <cellStyle name="20% - Accent2 3 37 2 2" xfId="45793"/>
    <cellStyle name="20% - Accent2 3 37 3" xfId="32289"/>
    <cellStyle name="20% - Accent2 3 38" xfId="4094"/>
    <cellStyle name="20% - Accent2 3 38 2" xfId="18877"/>
    <cellStyle name="20% - Accent2 3 38 2 2" xfId="45885"/>
    <cellStyle name="20% - Accent2 3 38 3" xfId="32381"/>
    <cellStyle name="20% - Accent2 3 39" xfId="4200"/>
    <cellStyle name="20% - Accent2 3 39 2" xfId="18969"/>
    <cellStyle name="20% - Accent2 3 39 2 2" xfId="45977"/>
    <cellStyle name="20% - Accent2 3 39 3" xfId="32473"/>
    <cellStyle name="20% - Accent2 3 4" xfId="290"/>
    <cellStyle name="20% - Accent2 3 4 2" xfId="15592"/>
    <cellStyle name="20% - Accent2 3 4 2 2" xfId="42600"/>
    <cellStyle name="20% - Accent2 3 4 3" xfId="29096"/>
    <cellStyle name="20% - Accent2 3 40" xfId="4306"/>
    <cellStyle name="20% - Accent2 3 40 2" xfId="19061"/>
    <cellStyle name="20% - Accent2 3 40 2 2" xfId="46069"/>
    <cellStyle name="20% - Accent2 3 40 3" xfId="32565"/>
    <cellStyle name="20% - Accent2 3 41" xfId="4412"/>
    <cellStyle name="20% - Accent2 3 41 2" xfId="19153"/>
    <cellStyle name="20% - Accent2 3 41 2 2" xfId="46161"/>
    <cellStyle name="20% - Accent2 3 41 3" xfId="32657"/>
    <cellStyle name="20% - Accent2 3 42" xfId="4518"/>
    <cellStyle name="20% - Accent2 3 42 2" xfId="19245"/>
    <cellStyle name="20% - Accent2 3 42 2 2" xfId="46253"/>
    <cellStyle name="20% - Accent2 3 42 3" xfId="32749"/>
    <cellStyle name="20% - Accent2 3 43" xfId="4624"/>
    <cellStyle name="20% - Accent2 3 43 2" xfId="19337"/>
    <cellStyle name="20% - Accent2 3 43 2 2" xfId="46345"/>
    <cellStyle name="20% - Accent2 3 43 3" xfId="32841"/>
    <cellStyle name="20% - Accent2 3 44" xfId="4730"/>
    <cellStyle name="20% - Accent2 3 44 2" xfId="19429"/>
    <cellStyle name="20% - Accent2 3 44 2 2" xfId="46437"/>
    <cellStyle name="20% - Accent2 3 44 3" xfId="32933"/>
    <cellStyle name="20% - Accent2 3 45" xfId="4836"/>
    <cellStyle name="20% - Accent2 3 45 2" xfId="19521"/>
    <cellStyle name="20% - Accent2 3 45 2 2" xfId="46529"/>
    <cellStyle name="20% - Accent2 3 45 3" xfId="33025"/>
    <cellStyle name="20% - Accent2 3 46" xfId="4942"/>
    <cellStyle name="20% - Accent2 3 46 2" xfId="19613"/>
    <cellStyle name="20% - Accent2 3 46 2 2" xfId="46621"/>
    <cellStyle name="20% - Accent2 3 46 3" xfId="33117"/>
    <cellStyle name="20% - Accent2 3 47" xfId="5048"/>
    <cellStyle name="20% - Accent2 3 47 2" xfId="19705"/>
    <cellStyle name="20% - Accent2 3 47 2 2" xfId="46713"/>
    <cellStyle name="20% - Accent2 3 47 3" xfId="33209"/>
    <cellStyle name="20% - Accent2 3 48" xfId="5154"/>
    <cellStyle name="20% - Accent2 3 48 2" xfId="19797"/>
    <cellStyle name="20% - Accent2 3 48 2 2" xfId="46805"/>
    <cellStyle name="20% - Accent2 3 48 3" xfId="33301"/>
    <cellStyle name="20% - Accent2 3 49" xfId="5260"/>
    <cellStyle name="20% - Accent2 3 49 2" xfId="19889"/>
    <cellStyle name="20% - Accent2 3 49 2 2" xfId="46897"/>
    <cellStyle name="20% - Accent2 3 49 3" xfId="33393"/>
    <cellStyle name="20% - Accent2 3 5" xfId="596"/>
    <cellStyle name="20% - Accent2 3 5 2" xfId="15841"/>
    <cellStyle name="20% - Accent2 3 5 2 2" xfId="42849"/>
    <cellStyle name="20% - Accent2 3 5 3" xfId="29345"/>
    <cellStyle name="20% - Accent2 3 50" xfId="5366"/>
    <cellStyle name="20% - Accent2 3 50 2" xfId="19981"/>
    <cellStyle name="20% - Accent2 3 50 2 2" xfId="46989"/>
    <cellStyle name="20% - Accent2 3 50 3" xfId="33485"/>
    <cellStyle name="20% - Accent2 3 51" xfId="5472"/>
    <cellStyle name="20% - Accent2 3 51 2" xfId="20073"/>
    <cellStyle name="20% - Accent2 3 51 2 2" xfId="47081"/>
    <cellStyle name="20% - Accent2 3 51 3" xfId="33577"/>
    <cellStyle name="20% - Accent2 3 52" xfId="5578"/>
    <cellStyle name="20% - Accent2 3 52 2" xfId="20165"/>
    <cellStyle name="20% - Accent2 3 52 2 2" xfId="47173"/>
    <cellStyle name="20% - Accent2 3 52 3" xfId="33669"/>
    <cellStyle name="20% - Accent2 3 53" xfId="5684"/>
    <cellStyle name="20% - Accent2 3 53 2" xfId="20257"/>
    <cellStyle name="20% - Accent2 3 53 2 2" xfId="47265"/>
    <cellStyle name="20% - Accent2 3 53 3" xfId="33761"/>
    <cellStyle name="20% - Accent2 3 54" xfId="5790"/>
    <cellStyle name="20% - Accent2 3 54 2" xfId="20349"/>
    <cellStyle name="20% - Accent2 3 54 2 2" xfId="47357"/>
    <cellStyle name="20% - Accent2 3 54 3" xfId="33853"/>
    <cellStyle name="20% - Accent2 3 55" xfId="5896"/>
    <cellStyle name="20% - Accent2 3 55 2" xfId="20441"/>
    <cellStyle name="20% - Accent2 3 55 2 2" xfId="47449"/>
    <cellStyle name="20% - Accent2 3 55 3" xfId="33945"/>
    <cellStyle name="20% - Accent2 3 56" xfId="6002"/>
    <cellStyle name="20% - Accent2 3 56 2" xfId="20533"/>
    <cellStyle name="20% - Accent2 3 56 2 2" xfId="47541"/>
    <cellStyle name="20% - Accent2 3 56 3" xfId="34037"/>
    <cellStyle name="20% - Accent2 3 57" xfId="6108"/>
    <cellStyle name="20% - Accent2 3 57 2" xfId="20625"/>
    <cellStyle name="20% - Accent2 3 57 2 2" xfId="47633"/>
    <cellStyle name="20% - Accent2 3 57 3" xfId="34129"/>
    <cellStyle name="20% - Accent2 3 58" xfId="6214"/>
    <cellStyle name="20% - Accent2 3 58 2" xfId="20717"/>
    <cellStyle name="20% - Accent2 3 58 2 2" xfId="47725"/>
    <cellStyle name="20% - Accent2 3 58 3" xfId="34221"/>
    <cellStyle name="20% - Accent2 3 59" xfId="6320"/>
    <cellStyle name="20% - Accent2 3 59 2" xfId="20809"/>
    <cellStyle name="20% - Accent2 3 59 2 2" xfId="47817"/>
    <cellStyle name="20% - Accent2 3 59 3" xfId="34313"/>
    <cellStyle name="20% - Accent2 3 6" xfId="702"/>
    <cellStyle name="20% - Accent2 3 6 2" xfId="15933"/>
    <cellStyle name="20% - Accent2 3 6 2 2" xfId="42941"/>
    <cellStyle name="20% - Accent2 3 6 3" xfId="29437"/>
    <cellStyle name="20% - Accent2 3 60" xfId="6426"/>
    <cellStyle name="20% - Accent2 3 60 2" xfId="20901"/>
    <cellStyle name="20% - Accent2 3 60 2 2" xfId="47909"/>
    <cellStyle name="20% - Accent2 3 60 3" xfId="34405"/>
    <cellStyle name="20% - Accent2 3 61" xfId="6532"/>
    <cellStyle name="20% - Accent2 3 61 2" xfId="20993"/>
    <cellStyle name="20% - Accent2 3 61 2 2" xfId="48001"/>
    <cellStyle name="20% - Accent2 3 61 3" xfId="34497"/>
    <cellStyle name="20% - Accent2 3 62" xfId="6637"/>
    <cellStyle name="20% - Accent2 3 62 2" xfId="21084"/>
    <cellStyle name="20% - Accent2 3 62 2 2" xfId="48092"/>
    <cellStyle name="20% - Accent2 3 62 3" xfId="34588"/>
    <cellStyle name="20% - Accent2 3 63" xfId="6742"/>
    <cellStyle name="20% - Accent2 3 63 2" xfId="21175"/>
    <cellStyle name="20% - Accent2 3 63 2 2" xfId="48183"/>
    <cellStyle name="20% - Accent2 3 63 3" xfId="34679"/>
    <cellStyle name="20% - Accent2 3 64" xfId="6847"/>
    <cellStyle name="20% - Accent2 3 64 2" xfId="21266"/>
    <cellStyle name="20% - Accent2 3 64 2 2" xfId="48274"/>
    <cellStyle name="20% - Accent2 3 64 3" xfId="34770"/>
    <cellStyle name="20% - Accent2 3 65" xfId="6952"/>
    <cellStyle name="20% - Accent2 3 65 2" xfId="21357"/>
    <cellStyle name="20% - Accent2 3 65 2 2" xfId="48365"/>
    <cellStyle name="20% - Accent2 3 65 3" xfId="34861"/>
    <cellStyle name="20% - Accent2 3 66" xfId="7056"/>
    <cellStyle name="20% - Accent2 3 66 2" xfId="21447"/>
    <cellStyle name="20% - Accent2 3 66 2 2" xfId="48455"/>
    <cellStyle name="20% - Accent2 3 66 3" xfId="34951"/>
    <cellStyle name="20% - Accent2 3 67" xfId="7160"/>
    <cellStyle name="20% - Accent2 3 67 2" xfId="21537"/>
    <cellStyle name="20% - Accent2 3 67 2 2" xfId="48545"/>
    <cellStyle name="20% - Accent2 3 67 3" xfId="35041"/>
    <cellStyle name="20% - Accent2 3 68" xfId="7263"/>
    <cellStyle name="20% - Accent2 3 68 2" xfId="21626"/>
    <cellStyle name="20% - Accent2 3 68 2 2" xfId="48634"/>
    <cellStyle name="20% - Accent2 3 68 3" xfId="35130"/>
    <cellStyle name="20% - Accent2 3 69" xfId="7363"/>
    <cellStyle name="20% - Accent2 3 69 2" xfId="21713"/>
    <cellStyle name="20% - Accent2 3 69 2 2" xfId="48721"/>
    <cellStyle name="20% - Accent2 3 69 3" xfId="35217"/>
    <cellStyle name="20% - Accent2 3 7" xfId="808"/>
    <cellStyle name="20% - Accent2 3 7 2" xfId="16025"/>
    <cellStyle name="20% - Accent2 3 7 2 2" xfId="43033"/>
    <cellStyle name="20% - Accent2 3 7 3" xfId="29529"/>
    <cellStyle name="20% - Accent2 3 70" xfId="7461"/>
    <cellStyle name="20% - Accent2 3 70 2" xfId="21798"/>
    <cellStyle name="20% - Accent2 3 70 2 2" xfId="48806"/>
    <cellStyle name="20% - Accent2 3 70 3" xfId="35302"/>
    <cellStyle name="20% - Accent2 3 71" xfId="7551"/>
    <cellStyle name="20% - Accent2 3 71 2" xfId="21877"/>
    <cellStyle name="20% - Accent2 3 71 2 2" xfId="48885"/>
    <cellStyle name="20% - Accent2 3 71 3" xfId="35381"/>
    <cellStyle name="20% - Accent2 3 72" xfId="7779"/>
    <cellStyle name="20% - Accent2 3 72 2" xfId="22074"/>
    <cellStyle name="20% - Accent2 3 72 2 2" xfId="49082"/>
    <cellStyle name="20% - Accent2 3 72 3" xfId="35578"/>
    <cellStyle name="20% - Accent2 3 73" xfId="7729"/>
    <cellStyle name="20% - Accent2 3 73 2" xfId="22031"/>
    <cellStyle name="20% - Accent2 3 73 2 2" xfId="49039"/>
    <cellStyle name="20% - Accent2 3 73 3" xfId="35535"/>
    <cellStyle name="20% - Accent2 3 74" xfId="7911"/>
    <cellStyle name="20% - Accent2 3 74 2" xfId="22192"/>
    <cellStyle name="20% - Accent2 3 74 2 2" xfId="49200"/>
    <cellStyle name="20% - Accent2 3 74 3" xfId="35696"/>
    <cellStyle name="20% - Accent2 3 75" xfId="8053"/>
    <cellStyle name="20% - Accent2 3 75 2" xfId="22320"/>
    <cellStyle name="20% - Accent2 3 75 2 2" xfId="49328"/>
    <cellStyle name="20% - Accent2 3 75 3" xfId="35824"/>
    <cellStyle name="20% - Accent2 3 76" xfId="8195"/>
    <cellStyle name="20% - Accent2 3 76 2" xfId="22448"/>
    <cellStyle name="20% - Accent2 3 76 2 2" xfId="49456"/>
    <cellStyle name="20% - Accent2 3 76 3" xfId="35952"/>
    <cellStyle name="20% - Accent2 3 77" xfId="8337"/>
    <cellStyle name="20% - Accent2 3 77 2" xfId="22576"/>
    <cellStyle name="20% - Accent2 3 77 2 2" xfId="49584"/>
    <cellStyle name="20% - Accent2 3 77 3" xfId="36080"/>
    <cellStyle name="20% - Accent2 3 78" xfId="8479"/>
    <cellStyle name="20% - Accent2 3 78 2" xfId="22704"/>
    <cellStyle name="20% - Accent2 3 78 2 2" xfId="49712"/>
    <cellStyle name="20% - Accent2 3 78 3" xfId="36208"/>
    <cellStyle name="20% - Accent2 3 79" xfId="8621"/>
    <cellStyle name="20% - Accent2 3 79 2" xfId="22832"/>
    <cellStyle name="20% - Accent2 3 79 2 2" xfId="49840"/>
    <cellStyle name="20% - Accent2 3 79 3" xfId="36336"/>
    <cellStyle name="20% - Accent2 3 8" xfId="914"/>
    <cellStyle name="20% - Accent2 3 8 2" xfId="16117"/>
    <cellStyle name="20% - Accent2 3 8 2 2" xfId="43125"/>
    <cellStyle name="20% - Accent2 3 8 3" xfId="29621"/>
    <cellStyle name="20% - Accent2 3 80" xfId="8763"/>
    <cellStyle name="20% - Accent2 3 80 2" xfId="22960"/>
    <cellStyle name="20% - Accent2 3 80 2 2" xfId="49968"/>
    <cellStyle name="20% - Accent2 3 80 3" xfId="36464"/>
    <cellStyle name="20% - Accent2 3 81" xfId="8905"/>
    <cellStyle name="20% - Accent2 3 81 2" xfId="23088"/>
    <cellStyle name="20% - Accent2 3 81 2 2" xfId="50096"/>
    <cellStyle name="20% - Accent2 3 81 3" xfId="36592"/>
    <cellStyle name="20% - Accent2 3 82" xfId="9047"/>
    <cellStyle name="20% - Accent2 3 82 2" xfId="23216"/>
    <cellStyle name="20% - Accent2 3 82 2 2" xfId="50224"/>
    <cellStyle name="20% - Accent2 3 82 3" xfId="36720"/>
    <cellStyle name="20% - Accent2 3 83" xfId="9189"/>
    <cellStyle name="20% - Accent2 3 83 2" xfId="23344"/>
    <cellStyle name="20% - Accent2 3 83 2 2" xfId="50352"/>
    <cellStyle name="20% - Accent2 3 83 3" xfId="36848"/>
    <cellStyle name="20% - Accent2 3 84" xfId="9331"/>
    <cellStyle name="20% - Accent2 3 84 2" xfId="23472"/>
    <cellStyle name="20% - Accent2 3 84 2 2" xfId="50480"/>
    <cellStyle name="20% - Accent2 3 84 3" xfId="36976"/>
    <cellStyle name="20% - Accent2 3 85" xfId="9473"/>
    <cellStyle name="20% - Accent2 3 85 2" xfId="23600"/>
    <cellStyle name="20% - Accent2 3 85 2 2" xfId="50608"/>
    <cellStyle name="20% - Accent2 3 85 3" xfId="37104"/>
    <cellStyle name="20% - Accent2 3 86" xfId="9615"/>
    <cellStyle name="20% - Accent2 3 86 2" xfId="23728"/>
    <cellStyle name="20% - Accent2 3 86 2 2" xfId="50736"/>
    <cellStyle name="20% - Accent2 3 86 3" xfId="37232"/>
    <cellStyle name="20% - Accent2 3 87" xfId="9757"/>
    <cellStyle name="20% - Accent2 3 87 2" xfId="23856"/>
    <cellStyle name="20% - Accent2 3 87 2 2" xfId="50864"/>
    <cellStyle name="20% - Accent2 3 87 3" xfId="37360"/>
    <cellStyle name="20% - Accent2 3 88" xfId="9899"/>
    <cellStyle name="20% - Accent2 3 88 2" xfId="23984"/>
    <cellStyle name="20% - Accent2 3 88 2 2" xfId="50992"/>
    <cellStyle name="20% - Accent2 3 88 3" xfId="37488"/>
    <cellStyle name="20% - Accent2 3 89" xfId="10041"/>
    <cellStyle name="20% - Accent2 3 89 2" xfId="24112"/>
    <cellStyle name="20% - Accent2 3 89 2 2" xfId="51120"/>
    <cellStyle name="20% - Accent2 3 89 3" xfId="37616"/>
    <cellStyle name="20% - Accent2 3 9" xfId="1020"/>
    <cellStyle name="20% - Accent2 3 9 2" xfId="16209"/>
    <cellStyle name="20% - Accent2 3 9 2 2" xfId="43217"/>
    <cellStyle name="20% - Accent2 3 9 3" xfId="29713"/>
    <cellStyle name="20% - Accent2 3 90" xfId="10183"/>
    <cellStyle name="20% - Accent2 3 90 2" xfId="24240"/>
    <cellStyle name="20% - Accent2 3 90 2 2" xfId="51248"/>
    <cellStyle name="20% - Accent2 3 90 3" xfId="37744"/>
    <cellStyle name="20% - Accent2 3 91" xfId="10325"/>
    <cellStyle name="20% - Accent2 3 91 2" xfId="24368"/>
    <cellStyle name="20% - Accent2 3 91 2 2" xfId="51376"/>
    <cellStyle name="20% - Accent2 3 91 3" xfId="37872"/>
    <cellStyle name="20% - Accent2 3 92" xfId="10467"/>
    <cellStyle name="20% - Accent2 3 92 2" xfId="24496"/>
    <cellStyle name="20% - Accent2 3 92 2 2" xfId="51504"/>
    <cellStyle name="20% - Accent2 3 92 3" xfId="38000"/>
    <cellStyle name="20% - Accent2 3 93" xfId="10609"/>
    <cellStyle name="20% - Accent2 3 93 2" xfId="24624"/>
    <cellStyle name="20% - Accent2 3 93 2 2" xfId="51632"/>
    <cellStyle name="20% - Accent2 3 93 3" xfId="38128"/>
    <cellStyle name="20% - Accent2 3 94" xfId="10751"/>
    <cellStyle name="20% - Accent2 3 94 2" xfId="24752"/>
    <cellStyle name="20% - Accent2 3 94 2 2" xfId="51760"/>
    <cellStyle name="20% - Accent2 3 94 3" xfId="38256"/>
    <cellStyle name="20% - Accent2 3 95" xfId="10893"/>
    <cellStyle name="20% - Accent2 3 95 2" xfId="24880"/>
    <cellStyle name="20% - Accent2 3 95 2 2" xfId="51888"/>
    <cellStyle name="20% - Accent2 3 95 3" xfId="38384"/>
    <cellStyle name="20% - Accent2 3 96" xfId="11035"/>
    <cellStyle name="20% - Accent2 3 96 2" xfId="25008"/>
    <cellStyle name="20% - Accent2 3 96 2 2" xfId="52016"/>
    <cellStyle name="20% - Accent2 3 96 3" xfId="38512"/>
    <cellStyle name="20% - Accent2 3 97" xfId="11177"/>
    <cellStyle name="20% - Accent2 3 97 2" xfId="25136"/>
    <cellStyle name="20% - Accent2 3 97 2 2" xfId="52144"/>
    <cellStyle name="20% - Accent2 3 97 3" xfId="38640"/>
    <cellStyle name="20% - Accent2 3 98" xfId="11319"/>
    <cellStyle name="20% - Accent2 3 98 2" xfId="25264"/>
    <cellStyle name="20% - Accent2 3 98 2 2" xfId="52272"/>
    <cellStyle name="20% - Accent2 3 98 3" xfId="38768"/>
    <cellStyle name="20% - Accent2 3 99" xfId="11461"/>
    <cellStyle name="20% - Accent2 3 99 2" xfId="25392"/>
    <cellStyle name="20% - Accent2 3 99 2 2" xfId="52400"/>
    <cellStyle name="20% - Accent2 3 99 3" xfId="38896"/>
    <cellStyle name="20% - Accent2 4" xfId="390"/>
    <cellStyle name="20% - Accent2 4 10" xfId="9027"/>
    <cellStyle name="20% - Accent2 4 10 2" xfId="23198"/>
    <cellStyle name="20% - Accent2 4 10 2 2" xfId="50206"/>
    <cellStyle name="20% - Accent2 4 10 3" xfId="36702"/>
    <cellStyle name="20% - Accent2 4 11" xfId="9169"/>
    <cellStyle name="20% - Accent2 4 11 2" xfId="23326"/>
    <cellStyle name="20% - Accent2 4 11 2 2" xfId="50334"/>
    <cellStyle name="20% - Accent2 4 11 3" xfId="36830"/>
    <cellStyle name="20% - Accent2 4 12" xfId="9311"/>
    <cellStyle name="20% - Accent2 4 12 2" xfId="23454"/>
    <cellStyle name="20% - Accent2 4 12 2 2" xfId="50462"/>
    <cellStyle name="20% - Accent2 4 12 3" xfId="36958"/>
    <cellStyle name="20% - Accent2 4 13" xfId="9453"/>
    <cellStyle name="20% - Accent2 4 13 2" xfId="23582"/>
    <cellStyle name="20% - Accent2 4 13 2 2" xfId="50590"/>
    <cellStyle name="20% - Accent2 4 13 3" xfId="37086"/>
    <cellStyle name="20% - Accent2 4 14" xfId="9595"/>
    <cellStyle name="20% - Accent2 4 14 2" xfId="23710"/>
    <cellStyle name="20% - Accent2 4 14 2 2" xfId="50718"/>
    <cellStyle name="20% - Accent2 4 14 3" xfId="37214"/>
    <cellStyle name="20% - Accent2 4 15" xfId="9737"/>
    <cellStyle name="20% - Accent2 4 15 2" xfId="23838"/>
    <cellStyle name="20% - Accent2 4 15 2 2" xfId="50846"/>
    <cellStyle name="20% - Accent2 4 15 3" xfId="37342"/>
    <cellStyle name="20% - Accent2 4 16" xfId="9879"/>
    <cellStyle name="20% - Accent2 4 16 2" xfId="23966"/>
    <cellStyle name="20% - Accent2 4 16 2 2" xfId="50974"/>
    <cellStyle name="20% - Accent2 4 16 3" xfId="37470"/>
    <cellStyle name="20% - Accent2 4 17" xfId="10021"/>
    <cellStyle name="20% - Accent2 4 17 2" xfId="24094"/>
    <cellStyle name="20% - Accent2 4 17 2 2" xfId="51102"/>
    <cellStyle name="20% - Accent2 4 17 3" xfId="37598"/>
    <cellStyle name="20% - Accent2 4 18" xfId="10163"/>
    <cellStyle name="20% - Accent2 4 18 2" xfId="24222"/>
    <cellStyle name="20% - Accent2 4 18 2 2" xfId="51230"/>
    <cellStyle name="20% - Accent2 4 18 3" xfId="37726"/>
    <cellStyle name="20% - Accent2 4 19" xfId="10305"/>
    <cellStyle name="20% - Accent2 4 19 2" xfId="24350"/>
    <cellStyle name="20% - Accent2 4 19 2 2" xfId="51358"/>
    <cellStyle name="20% - Accent2 4 19 3" xfId="37854"/>
    <cellStyle name="20% - Accent2 4 2" xfId="7891"/>
    <cellStyle name="20% - Accent2 4 2 2" xfId="22174"/>
    <cellStyle name="20% - Accent2 4 2 2 2" xfId="49182"/>
    <cellStyle name="20% - Accent2 4 2 3" xfId="35678"/>
    <cellStyle name="20% - Accent2 4 20" xfId="10447"/>
    <cellStyle name="20% - Accent2 4 20 2" xfId="24478"/>
    <cellStyle name="20% - Accent2 4 20 2 2" xfId="51486"/>
    <cellStyle name="20% - Accent2 4 20 3" xfId="37982"/>
    <cellStyle name="20% - Accent2 4 21" xfId="10589"/>
    <cellStyle name="20% - Accent2 4 21 2" xfId="24606"/>
    <cellStyle name="20% - Accent2 4 21 2 2" xfId="51614"/>
    <cellStyle name="20% - Accent2 4 21 3" xfId="38110"/>
    <cellStyle name="20% - Accent2 4 22" xfId="10731"/>
    <cellStyle name="20% - Accent2 4 22 2" xfId="24734"/>
    <cellStyle name="20% - Accent2 4 22 2 2" xfId="51742"/>
    <cellStyle name="20% - Accent2 4 22 3" xfId="38238"/>
    <cellStyle name="20% - Accent2 4 23" xfId="10873"/>
    <cellStyle name="20% - Accent2 4 23 2" xfId="24862"/>
    <cellStyle name="20% - Accent2 4 23 2 2" xfId="51870"/>
    <cellStyle name="20% - Accent2 4 23 3" xfId="38366"/>
    <cellStyle name="20% - Accent2 4 24" xfId="11015"/>
    <cellStyle name="20% - Accent2 4 24 2" xfId="24990"/>
    <cellStyle name="20% - Accent2 4 24 2 2" xfId="51998"/>
    <cellStyle name="20% - Accent2 4 24 3" xfId="38494"/>
    <cellStyle name="20% - Accent2 4 25" xfId="11157"/>
    <cellStyle name="20% - Accent2 4 25 2" xfId="25118"/>
    <cellStyle name="20% - Accent2 4 25 2 2" xfId="52126"/>
    <cellStyle name="20% - Accent2 4 25 3" xfId="38622"/>
    <cellStyle name="20% - Accent2 4 26" xfId="11299"/>
    <cellStyle name="20% - Accent2 4 26 2" xfId="25246"/>
    <cellStyle name="20% - Accent2 4 26 2 2" xfId="52254"/>
    <cellStyle name="20% - Accent2 4 26 3" xfId="38750"/>
    <cellStyle name="20% - Accent2 4 27" xfId="11441"/>
    <cellStyle name="20% - Accent2 4 27 2" xfId="25374"/>
    <cellStyle name="20% - Accent2 4 27 2 2" xfId="52382"/>
    <cellStyle name="20% - Accent2 4 27 3" xfId="38878"/>
    <cellStyle name="20% - Accent2 4 28" xfId="11583"/>
    <cellStyle name="20% - Accent2 4 28 2" xfId="25502"/>
    <cellStyle name="20% - Accent2 4 28 2 2" xfId="52510"/>
    <cellStyle name="20% - Accent2 4 28 3" xfId="39006"/>
    <cellStyle name="20% - Accent2 4 29" xfId="11725"/>
    <cellStyle name="20% - Accent2 4 29 2" xfId="25630"/>
    <cellStyle name="20% - Accent2 4 29 2 2" xfId="52638"/>
    <cellStyle name="20% - Accent2 4 29 3" xfId="39134"/>
    <cellStyle name="20% - Accent2 4 3" xfId="8033"/>
    <cellStyle name="20% - Accent2 4 3 2" xfId="22302"/>
    <cellStyle name="20% - Accent2 4 3 2 2" xfId="49310"/>
    <cellStyle name="20% - Accent2 4 3 3" xfId="35806"/>
    <cellStyle name="20% - Accent2 4 30" xfId="11867"/>
    <cellStyle name="20% - Accent2 4 30 2" xfId="25758"/>
    <cellStyle name="20% - Accent2 4 30 2 2" xfId="52766"/>
    <cellStyle name="20% - Accent2 4 30 3" xfId="39262"/>
    <cellStyle name="20% - Accent2 4 31" xfId="12009"/>
    <cellStyle name="20% - Accent2 4 31 2" xfId="25886"/>
    <cellStyle name="20% - Accent2 4 31 2 2" xfId="52894"/>
    <cellStyle name="20% - Accent2 4 31 3" xfId="39390"/>
    <cellStyle name="20% - Accent2 4 32" xfId="12151"/>
    <cellStyle name="20% - Accent2 4 32 2" xfId="26014"/>
    <cellStyle name="20% - Accent2 4 32 2 2" xfId="53022"/>
    <cellStyle name="20% - Accent2 4 32 3" xfId="39518"/>
    <cellStyle name="20% - Accent2 4 33" xfId="12293"/>
    <cellStyle name="20% - Accent2 4 33 2" xfId="26142"/>
    <cellStyle name="20% - Accent2 4 33 2 2" xfId="53150"/>
    <cellStyle name="20% - Accent2 4 33 3" xfId="39646"/>
    <cellStyle name="20% - Accent2 4 34" xfId="12435"/>
    <cellStyle name="20% - Accent2 4 34 2" xfId="26270"/>
    <cellStyle name="20% - Accent2 4 34 2 2" xfId="53278"/>
    <cellStyle name="20% - Accent2 4 34 3" xfId="39774"/>
    <cellStyle name="20% - Accent2 4 35" xfId="12577"/>
    <cellStyle name="20% - Accent2 4 35 2" xfId="26398"/>
    <cellStyle name="20% - Accent2 4 35 2 2" xfId="53406"/>
    <cellStyle name="20% - Accent2 4 35 3" xfId="39902"/>
    <cellStyle name="20% - Accent2 4 36" xfId="12719"/>
    <cellStyle name="20% - Accent2 4 36 2" xfId="26526"/>
    <cellStyle name="20% - Accent2 4 36 2 2" xfId="53534"/>
    <cellStyle name="20% - Accent2 4 36 3" xfId="40030"/>
    <cellStyle name="20% - Accent2 4 37" xfId="12861"/>
    <cellStyle name="20% - Accent2 4 37 2" xfId="26654"/>
    <cellStyle name="20% - Accent2 4 37 2 2" xfId="53662"/>
    <cellStyle name="20% - Accent2 4 37 3" xfId="40158"/>
    <cellStyle name="20% - Accent2 4 38" xfId="13003"/>
    <cellStyle name="20% - Accent2 4 38 2" xfId="26782"/>
    <cellStyle name="20% - Accent2 4 38 2 2" xfId="53790"/>
    <cellStyle name="20% - Accent2 4 38 3" xfId="40286"/>
    <cellStyle name="20% - Accent2 4 39" xfId="13145"/>
    <cellStyle name="20% - Accent2 4 39 2" xfId="26910"/>
    <cellStyle name="20% - Accent2 4 39 2 2" xfId="53918"/>
    <cellStyle name="20% - Accent2 4 39 3" xfId="40414"/>
    <cellStyle name="20% - Accent2 4 4" xfId="8175"/>
    <cellStyle name="20% - Accent2 4 4 2" xfId="22430"/>
    <cellStyle name="20% - Accent2 4 4 2 2" xfId="49438"/>
    <cellStyle name="20% - Accent2 4 4 3" xfId="35934"/>
    <cellStyle name="20% - Accent2 4 40" xfId="13287"/>
    <cellStyle name="20% - Accent2 4 40 2" xfId="27038"/>
    <cellStyle name="20% - Accent2 4 40 2 2" xfId="54046"/>
    <cellStyle name="20% - Accent2 4 40 3" xfId="40542"/>
    <cellStyle name="20% - Accent2 4 41" xfId="13429"/>
    <cellStyle name="20% - Accent2 4 41 2" xfId="27166"/>
    <cellStyle name="20% - Accent2 4 41 2 2" xfId="54174"/>
    <cellStyle name="20% - Accent2 4 41 3" xfId="40670"/>
    <cellStyle name="20% - Accent2 4 42" xfId="13571"/>
    <cellStyle name="20% - Accent2 4 42 2" xfId="27294"/>
    <cellStyle name="20% - Accent2 4 42 2 2" xfId="54302"/>
    <cellStyle name="20% - Accent2 4 42 3" xfId="40798"/>
    <cellStyle name="20% - Accent2 4 43" xfId="13713"/>
    <cellStyle name="20% - Accent2 4 43 2" xfId="27422"/>
    <cellStyle name="20% - Accent2 4 43 2 2" xfId="54430"/>
    <cellStyle name="20% - Accent2 4 43 3" xfId="40926"/>
    <cellStyle name="20% - Accent2 4 44" xfId="13854"/>
    <cellStyle name="20% - Accent2 4 44 2" xfId="27549"/>
    <cellStyle name="20% - Accent2 4 44 2 2" xfId="54557"/>
    <cellStyle name="20% - Accent2 4 44 3" xfId="41053"/>
    <cellStyle name="20% - Accent2 4 45" xfId="13995"/>
    <cellStyle name="20% - Accent2 4 45 2" xfId="27676"/>
    <cellStyle name="20% - Accent2 4 45 2 2" xfId="54684"/>
    <cellStyle name="20% - Accent2 4 45 3" xfId="41180"/>
    <cellStyle name="20% - Accent2 4 46" xfId="14136"/>
    <cellStyle name="20% - Accent2 4 46 2" xfId="27803"/>
    <cellStyle name="20% - Accent2 4 46 2 2" xfId="54811"/>
    <cellStyle name="20% - Accent2 4 46 3" xfId="41307"/>
    <cellStyle name="20% - Accent2 4 47" xfId="14277"/>
    <cellStyle name="20% - Accent2 4 47 2" xfId="27930"/>
    <cellStyle name="20% - Accent2 4 47 2 2" xfId="54938"/>
    <cellStyle name="20% - Accent2 4 47 3" xfId="41434"/>
    <cellStyle name="20% - Accent2 4 48" xfId="14418"/>
    <cellStyle name="20% - Accent2 4 48 2" xfId="28057"/>
    <cellStyle name="20% - Accent2 4 48 2 2" xfId="55065"/>
    <cellStyle name="20% - Accent2 4 48 3" xfId="41561"/>
    <cellStyle name="20% - Accent2 4 49" xfId="14558"/>
    <cellStyle name="20% - Accent2 4 49 2" xfId="28183"/>
    <cellStyle name="20% - Accent2 4 49 2 2" xfId="55191"/>
    <cellStyle name="20% - Accent2 4 49 3" xfId="41687"/>
    <cellStyle name="20% - Accent2 4 5" xfId="8317"/>
    <cellStyle name="20% - Accent2 4 5 2" xfId="22558"/>
    <cellStyle name="20% - Accent2 4 5 2 2" xfId="49566"/>
    <cellStyle name="20% - Accent2 4 5 3" xfId="36062"/>
    <cellStyle name="20% - Accent2 4 50" xfId="14697"/>
    <cellStyle name="20% - Accent2 4 50 2" xfId="28308"/>
    <cellStyle name="20% - Accent2 4 50 2 2" xfId="55316"/>
    <cellStyle name="20% - Accent2 4 50 3" xfId="41812"/>
    <cellStyle name="20% - Accent2 4 51" xfId="14832"/>
    <cellStyle name="20% - Accent2 4 51 2" xfId="28430"/>
    <cellStyle name="20% - Accent2 4 51 2 2" xfId="55438"/>
    <cellStyle name="20% - Accent2 4 51 3" xfId="41934"/>
    <cellStyle name="20% - Accent2 4 52" xfId="14966"/>
    <cellStyle name="20% - Accent2 4 52 2" xfId="28551"/>
    <cellStyle name="20% - Accent2 4 52 2 2" xfId="55559"/>
    <cellStyle name="20% - Accent2 4 52 3" xfId="42055"/>
    <cellStyle name="20% - Accent2 4 53" xfId="15098"/>
    <cellStyle name="20% - Accent2 4 53 2" xfId="28671"/>
    <cellStyle name="20% - Accent2 4 53 2 2" xfId="55679"/>
    <cellStyle name="20% - Accent2 4 53 3" xfId="42175"/>
    <cellStyle name="20% - Accent2 4 54" xfId="15223"/>
    <cellStyle name="20% - Accent2 4 54 2" xfId="28787"/>
    <cellStyle name="20% - Accent2 4 54 2 2" xfId="55795"/>
    <cellStyle name="20% - Accent2 4 54 3" xfId="42291"/>
    <cellStyle name="20% - Accent2 4 55" xfId="15333"/>
    <cellStyle name="20% - Accent2 4 55 2" xfId="28893"/>
    <cellStyle name="20% - Accent2 4 55 2 2" xfId="55901"/>
    <cellStyle name="20% - Accent2 4 55 3" xfId="42397"/>
    <cellStyle name="20% - Accent2 4 56" xfId="15671"/>
    <cellStyle name="20% - Accent2 4 56 2" xfId="42679"/>
    <cellStyle name="20% - Accent2 4 57" xfId="29175"/>
    <cellStyle name="20% - Accent2 4 6" xfId="8459"/>
    <cellStyle name="20% - Accent2 4 6 2" xfId="22686"/>
    <cellStyle name="20% - Accent2 4 6 2 2" xfId="49694"/>
    <cellStyle name="20% - Accent2 4 6 3" xfId="36190"/>
    <cellStyle name="20% - Accent2 4 7" xfId="8601"/>
    <cellStyle name="20% - Accent2 4 7 2" xfId="22814"/>
    <cellStyle name="20% - Accent2 4 7 2 2" xfId="49822"/>
    <cellStyle name="20% - Accent2 4 7 3" xfId="36318"/>
    <cellStyle name="20% - Accent2 4 8" xfId="8743"/>
    <cellStyle name="20% - Accent2 4 8 2" xfId="22942"/>
    <cellStyle name="20% - Accent2 4 8 2 2" xfId="49950"/>
    <cellStyle name="20% - Accent2 4 8 3" xfId="36446"/>
    <cellStyle name="20% - Accent2 4 9" xfId="8885"/>
    <cellStyle name="20% - Accent2 4 9 2" xfId="23070"/>
    <cellStyle name="20% - Accent2 4 9 2 2" xfId="50078"/>
    <cellStyle name="20% - Accent2 4 9 3" xfId="36574"/>
    <cellStyle name="20% - Accent2 5" xfId="15378"/>
    <cellStyle name="20% - Accent2 5 2" xfId="28919"/>
    <cellStyle name="20% - Accent2 5 2 2" xfId="55927"/>
    <cellStyle name="20% - Accent2 5 3" xfId="42423"/>
    <cellStyle name="20% - Accent2 6" xfId="15422"/>
    <cellStyle name="20% - Accent2 6 2" xfId="28935"/>
    <cellStyle name="20% - Accent2 6 2 2" xfId="55943"/>
    <cellStyle name="20% - Accent2 6 3" xfId="42439"/>
    <cellStyle name="20% - Accent2 7" xfId="15445"/>
    <cellStyle name="20% - Accent2 7 2" xfId="42453"/>
    <cellStyle name="20% - Accent2 8" xfId="28949"/>
    <cellStyle name="20% - Accent2 9" xfId="42"/>
    <cellStyle name="20% - Accent3 2" xfId="117"/>
    <cellStyle name="20% - Accent3 2 10" xfId="913"/>
    <cellStyle name="20% - Accent3 2 10 2" xfId="16116"/>
    <cellStyle name="20% - Accent3 2 10 2 2" xfId="43124"/>
    <cellStyle name="20% - Accent3 2 10 3" xfId="29620"/>
    <cellStyle name="20% - Accent3 2 100" xfId="11318"/>
    <cellStyle name="20% - Accent3 2 100 2" xfId="25263"/>
    <cellStyle name="20% - Accent3 2 100 2 2" xfId="52271"/>
    <cellStyle name="20% - Accent3 2 100 3" xfId="38767"/>
    <cellStyle name="20% - Accent3 2 101" xfId="11460"/>
    <cellStyle name="20% - Accent3 2 101 2" xfId="25391"/>
    <cellStyle name="20% - Accent3 2 101 2 2" xfId="52399"/>
    <cellStyle name="20% - Accent3 2 101 3" xfId="38895"/>
    <cellStyle name="20% - Accent3 2 102" xfId="11602"/>
    <cellStyle name="20% - Accent3 2 102 2" xfId="25519"/>
    <cellStyle name="20% - Accent3 2 102 2 2" xfId="52527"/>
    <cellStyle name="20% - Accent3 2 102 3" xfId="39023"/>
    <cellStyle name="20% - Accent3 2 103" xfId="11744"/>
    <cellStyle name="20% - Accent3 2 103 2" xfId="25647"/>
    <cellStyle name="20% - Accent3 2 103 2 2" xfId="52655"/>
    <cellStyle name="20% - Accent3 2 103 3" xfId="39151"/>
    <cellStyle name="20% - Accent3 2 104" xfId="11886"/>
    <cellStyle name="20% - Accent3 2 104 2" xfId="25775"/>
    <cellStyle name="20% - Accent3 2 104 2 2" xfId="52783"/>
    <cellStyle name="20% - Accent3 2 104 3" xfId="39279"/>
    <cellStyle name="20% - Accent3 2 105" xfId="12028"/>
    <cellStyle name="20% - Accent3 2 105 2" xfId="25903"/>
    <cellStyle name="20% - Accent3 2 105 2 2" xfId="52911"/>
    <cellStyle name="20% - Accent3 2 105 3" xfId="39407"/>
    <cellStyle name="20% - Accent3 2 106" xfId="12170"/>
    <cellStyle name="20% - Accent3 2 106 2" xfId="26031"/>
    <cellStyle name="20% - Accent3 2 106 2 2" xfId="53039"/>
    <cellStyle name="20% - Accent3 2 106 3" xfId="39535"/>
    <cellStyle name="20% - Accent3 2 107" xfId="12312"/>
    <cellStyle name="20% - Accent3 2 107 2" xfId="26159"/>
    <cellStyle name="20% - Accent3 2 107 2 2" xfId="53167"/>
    <cellStyle name="20% - Accent3 2 107 3" xfId="39663"/>
    <cellStyle name="20% - Accent3 2 108" xfId="12454"/>
    <cellStyle name="20% - Accent3 2 108 2" xfId="26287"/>
    <cellStyle name="20% - Accent3 2 108 2 2" xfId="53295"/>
    <cellStyle name="20% - Accent3 2 108 3" xfId="39791"/>
    <cellStyle name="20% - Accent3 2 109" xfId="12596"/>
    <cellStyle name="20% - Accent3 2 109 2" xfId="26415"/>
    <cellStyle name="20% - Accent3 2 109 2 2" xfId="53423"/>
    <cellStyle name="20% - Accent3 2 109 3" xfId="39919"/>
    <cellStyle name="20% - Accent3 2 11" xfId="1019"/>
    <cellStyle name="20% - Accent3 2 11 2" xfId="16208"/>
    <cellStyle name="20% - Accent3 2 11 2 2" xfId="43216"/>
    <cellStyle name="20% - Accent3 2 11 3" xfId="29712"/>
    <cellStyle name="20% - Accent3 2 110" xfId="12738"/>
    <cellStyle name="20% - Accent3 2 110 2" xfId="26543"/>
    <cellStyle name="20% - Accent3 2 110 2 2" xfId="53551"/>
    <cellStyle name="20% - Accent3 2 110 3" xfId="40047"/>
    <cellStyle name="20% - Accent3 2 111" xfId="12880"/>
    <cellStyle name="20% - Accent3 2 111 2" xfId="26671"/>
    <cellStyle name="20% - Accent3 2 111 2 2" xfId="53679"/>
    <cellStyle name="20% - Accent3 2 111 3" xfId="40175"/>
    <cellStyle name="20% - Accent3 2 112" xfId="13022"/>
    <cellStyle name="20% - Accent3 2 112 2" xfId="26799"/>
    <cellStyle name="20% - Accent3 2 112 2 2" xfId="53807"/>
    <cellStyle name="20% - Accent3 2 112 3" xfId="40303"/>
    <cellStyle name="20% - Accent3 2 113" xfId="13164"/>
    <cellStyle name="20% - Accent3 2 113 2" xfId="26927"/>
    <cellStyle name="20% - Accent3 2 113 2 2" xfId="53935"/>
    <cellStyle name="20% - Accent3 2 113 3" xfId="40431"/>
    <cellStyle name="20% - Accent3 2 114" xfId="13306"/>
    <cellStyle name="20% - Accent3 2 114 2" xfId="27055"/>
    <cellStyle name="20% - Accent3 2 114 2 2" xfId="54063"/>
    <cellStyle name="20% - Accent3 2 114 3" xfId="40559"/>
    <cellStyle name="20% - Accent3 2 115" xfId="13448"/>
    <cellStyle name="20% - Accent3 2 115 2" xfId="27183"/>
    <cellStyle name="20% - Accent3 2 115 2 2" xfId="54191"/>
    <cellStyle name="20% - Accent3 2 115 3" xfId="40687"/>
    <cellStyle name="20% - Accent3 2 116" xfId="13590"/>
    <cellStyle name="20% - Accent3 2 116 2" xfId="27311"/>
    <cellStyle name="20% - Accent3 2 116 2 2" xfId="54319"/>
    <cellStyle name="20% - Accent3 2 116 3" xfId="40815"/>
    <cellStyle name="20% - Accent3 2 117" xfId="13732"/>
    <cellStyle name="20% - Accent3 2 117 2" xfId="27439"/>
    <cellStyle name="20% - Accent3 2 117 2 2" xfId="54447"/>
    <cellStyle name="20% - Accent3 2 117 3" xfId="40943"/>
    <cellStyle name="20% - Accent3 2 118" xfId="13873"/>
    <cellStyle name="20% - Accent3 2 118 2" xfId="27566"/>
    <cellStyle name="20% - Accent3 2 118 2 2" xfId="54574"/>
    <cellStyle name="20% - Accent3 2 118 3" xfId="41070"/>
    <cellStyle name="20% - Accent3 2 119" xfId="14014"/>
    <cellStyle name="20% - Accent3 2 119 2" xfId="27693"/>
    <cellStyle name="20% - Accent3 2 119 2 2" xfId="54701"/>
    <cellStyle name="20% - Accent3 2 119 3" xfId="41197"/>
    <cellStyle name="20% - Accent3 2 12" xfId="1125"/>
    <cellStyle name="20% - Accent3 2 12 2" xfId="16300"/>
    <cellStyle name="20% - Accent3 2 12 2 2" xfId="43308"/>
    <cellStyle name="20% - Accent3 2 12 3" xfId="29804"/>
    <cellStyle name="20% - Accent3 2 120" xfId="14155"/>
    <cellStyle name="20% - Accent3 2 120 2" xfId="27820"/>
    <cellStyle name="20% - Accent3 2 120 2 2" xfId="54828"/>
    <cellStyle name="20% - Accent3 2 120 3" xfId="41324"/>
    <cellStyle name="20% - Accent3 2 121" xfId="14296"/>
    <cellStyle name="20% - Accent3 2 121 2" xfId="27947"/>
    <cellStyle name="20% - Accent3 2 121 2 2" xfId="54955"/>
    <cellStyle name="20% - Accent3 2 121 3" xfId="41451"/>
    <cellStyle name="20% - Accent3 2 122" xfId="14436"/>
    <cellStyle name="20% - Accent3 2 122 2" xfId="28073"/>
    <cellStyle name="20% - Accent3 2 122 2 2" xfId="55081"/>
    <cellStyle name="20% - Accent3 2 122 3" xfId="41577"/>
    <cellStyle name="20% - Accent3 2 123" xfId="14576"/>
    <cellStyle name="20% - Accent3 2 123 2" xfId="28199"/>
    <cellStyle name="20% - Accent3 2 123 2 2" xfId="55207"/>
    <cellStyle name="20% - Accent3 2 123 3" xfId="41703"/>
    <cellStyle name="20% - Accent3 2 124" xfId="14715"/>
    <cellStyle name="20% - Accent3 2 124 2" xfId="28324"/>
    <cellStyle name="20% - Accent3 2 124 2 2" xfId="55332"/>
    <cellStyle name="20% - Accent3 2 124 3" xfId="41828"/>
    <cellStyle name="20% - Accent3 2 125" xfId="14850"/>
    <cellStyle name="20% - Accent3 2 125 2" xfId="28446"/>
    <cellStyle name="20% - Accent3 2 125 2 2" xfId="55454"/>
    <cellStyle name="20% - Accent3 2 125 3" xfId="41950"/>
    <cellStyle name="20% - Accent3 2 126" xfId="14984"/>
    <cellStyle name="20% - Accent3 2 126 2" xfId="28567"/>
    <cellStyle name="20% - Accent3 2 126 2 2" xfId="55575"/>
    <cellStyle name="20% - Accent3 2 126 3" xfId="42071"/>
    <cellStyle name="20% - Accent3 2 127" xfId="15475"/>
    <cellStyle name="20% - Accent3 2 127 2" xfId="42483"/>
    <cellStyle name="20% - Accent3 2 128" xfId="28979"/>
    <cellStyle name="20% - Accent3 2 13" xfId="1231"/>
    <cellStyle name="20% - Accent3 2 13 2" xfId="16392"/>
    <cellStyle name="20% - Accent3 2 13 2 2" xfId="43400"/>
    <cellStyle name="20% - Accent3 2 13 3" xfId="29896"/>
    <cellStyle name="20% - Accent3 2 14" xfId="1337"/>
    <cellStyle name="20% - Accent3 2 14 2" xfId="16484"/>
    <cellStyle name="20% - Accent3 2 14 2 2" xfId="43492"/>
    <cellStyle name="20% - Accent3 2 14 3" xfId="29988"/>
    <cellStyle name="20% - Accent3 2 15" xfId="1443"/>
    <cellStyle name="20% - Accent3 2 15 2" xfId="16576"/>
    <cellStyle name="20% - Accent3 2 15 2 2" xfId="43584"/>
    <cellStyle name="20% - Accent3 2 15 3" xfId="30080"/>
    <cellStyle name="20% - Accent3 2 16" xfId="1549"/>
    <cellStyle name="20% - Accent3 2 16 2" xfId="16668"/>
    <cellStyle name="20% - Accent3 2 16 2 2" xfId="43676"/>
    <cellStyle name="20% - Accent3 2 16 3" xfId="30172"/>
    <cellStyle name="20% - Accent3 2 17" xfId="1655"/>
    <cellStyle name="20% - Accent3 2 17 2" xfId="16760"/>
    <cellStyle name="20% - Accent3 2 17 2 2" xfId="43768"/>
    <cellStyle name="20% - Accent3 2 17 3" xfId="30264"/>
    <cellStyle name="20% - Accent3 2 18" xfId="1761"/>
    <cellStyle name="20% - Accent3 2 18 2" xfId="16852"/>
    <cellStyle name="20% - Accent3 2 18 2 2" xfId="43860"/>
    <cellStyle name="20% - Accent3 2 18 3" xfId="30356"/>
    <cellStyle name="20% - Accent3 2 19" xfId="1867"/>
    <cellStyle name="20% - Accent3 2 19 2" xfId="16944"/>
    <cellStyle name="20% - Accent3 2 19 2 2" xfId="43952"/>
    <cellStyle name="20% - Accent3 2 19 3" xfId="30448"/>
    <cellStyle name="20% - Accent3 2 2" xfId="229"/>
    <cellStyle name="20% - Accent3 2 2 10" xfId="8931"/>
    <cellStyle name="20% - Accent3 2 2 10 2" xfId="23109"/>
    <cellStyle name="20% - Accent3 2 2 10 2 2" xfId="50117"/>
    <cellStyle name="20% - Accent3 2 2 10 3" xfId="36613"/>
    <cellStyle name="20% - Accent3 2 2 11" xfId="9073"/>
    <cellStyle name="20% - Accent3 2 2 11 2" xfId="23237"/>
    <cellStyle name="20% - Accent3 2 2 11 2 2" xfId="50245"/>
    <cellStyle name="20% - Accent3 2 2 11 3" xfId="36741"/>
    <cellStyle name="20% - Accent3 2 2 12" xfId="9215"/>
    <cellStyle name="20% - Accent3 2 2 12 2" xfId="23365"/>
    <cellStyle name="20% - Accent3 2 2 12 2 2" xfId="50373"/>
    <cellStyle name="20% - Accent3 2 2 12 3" xfId="36869"/>
    <cellStyle name="20% - Accent3 2 2 13" xfId="9357"/>
    <cellStyle name="20% - Accent3 2 2 13 2" xfId="23493"/>
    <cellStyle name="20% - Accent3 2 2 13 2 2" xfId="50501"/>
    <cellStyle name="20% - Accent3 2 2 13 3" xfId="36997"/>
    <cellStyle name="20% - Accent3 2 2 14" xfId="9499"/>
    <cellStyle name="20% - Accent3 2 2 14 2" xfId="23621"/>
    <cellStyle name="20% - Accent3 2 2 14 2 2" xfId="50629"/>
    <cellStyle name="20% - Accent3 2 2 14 3" xfId="37125"/>
    <cellStyle name="20% - Accent3 2 2 15" xfId="9641"/>
    <cellStyle name="20% - Accent3 2 2 15 2" xfId="23749"/>
    <cellStyle name="20% - Accent3 2 2 15 2 2" xfId="50757"/>
    <cellStyle name="20% - Accent3 2 2 15 3" xfId="37253"/>
    <cellStyle name="20% - Accent3 2 2 16" xfId="9783"/>
    <cellStyle name="20% - Accent3 2 2 16 2" xfId="23877"/>
    <cellStyle name="20% - Accent3 2 2 16 2 2" xfId="50885"/>
    <cellStyle name="20% - Accent3 2 2 16 3" xfId="37381"/>
    <cellStyle name="20% - Accent3 2 2 17" xfId="9925"/>
    <cellStyle name="20% - Accent3 2 2 17 2" xfId="24005"/>
    <cellStyle name="20% - Accent3 2 2 17 2 2" xfId="51013"/>
    <cellStyle name="20% - Accent3 2 2 17 3" xfId="37509"/>
    <cellStyle name="20% - Accent3 2 2 18" xfId="10067"/>
    <cellStyle name="20% - Accent3 2 2 18 2" xfId="24133"/>
    <cellStyle name="20% - Accent3 2 2 18 2 2" xfId="51141"/>
    <cellStyle name="20% - Accent3 2 2 18 3" xfId="37637"/>
    <cellStyle name="20% - Accent3 2 2 19" xfId="10209"/>
    <cellStyle name="20% - Accent3 2 2 19 2" xfId="24261"/>
    <cellStyle name="20% - Accent3 2 2 19 2 2" xfId="51269"/>
    <cellStyle name="20% - Accent3 2 2 19 3" xfId="37765"/>
    <cellStyle name="20% - Accent3 2 2 2" xfId="7795"/>
    <cellStyle name="20% - Accent3 2 2 2 2" xfId="22085"/>
    <cellStyle name="20% - Accent3 2 2 2 2 2" xfId="49093"/>
    <cellStyle name="20% - Accent3 2 2 2 3" xfId="35589"/>
    <cellStyle name="20% - Accent3 2 2 20" xfId="10351"/>
    <cellStyle name="20% - Accent3 2 2 20 2" xfId="24389"/>
    <cellStyle name="20% - Accent3 2 2 20 2 2" xfId="51397"/>
    <cellStyle name="20% - Accent3 2 2 20 3" xfId="37893"/>
    <cellStyle name="20% - Accent3 2 2 21" xfId="10493"/>
    <cellStyle name="20% - Accent3 2 2 21 2" xfId="24517"/>
    <cellStyle name="20% - Accent3 2 2 21 2 2" xfId="51525"/>
    <cellStyle name="20% - Accent3 2 2 21 3" xfId="38021"/>
    <cellStyle name="20% - Accent3 2 2 22" xfId="10635"/>
    <cellStyle name="20% - Accent3 2 2 22 2" xfId="24645"/>
    <cellStyle name="20% - Accent3 2 2 22 2 2" xfId="51653"/>
    <cellStyle name="20% - Accent3 2 2 22 3" xfId="38149"/>
    <cellStyle name="20% - Accent3 2 2 23" xfId="10777"/>
    <cellStyle name="20% - Accent3 2 2 23 2" xfId="24773"/>
    <cellStyle name="20% - Accent3 2 2 23 2 2" xfId="51781"/>
    <cellStyle name="20% - Accent3 2 2 23 3" xfId="38277"/>
    <cellStyle name="20% - Accent3 2 2 24" xfId="10919"/>
    <cellStyle name="20% - Accent3 2 2 24 2" xfId="24901"/>
    <cellStyle name="20% - Accent3 2 2 24 2 2" xfId="51909"/>
    <cellStyle name="20% - Accent3 2 2 24 3" xfId="38405"/>
    <cellStyle name="20% - Accent3 2 2 25" xfId="11061"/>
    <cellStyle name="20% - Accent3 2 2 25 2" xfId="25029"/>
    <cellStyle name="20% - Accent3 2 2 25 2 2" xfId="52037"/>
    <cellStyle name="20% - Accent3 2 2 25 3" xfId="38533"/>
    <cellStyle name="20% - Accent3 2 2 26" xfId="11203"/>
    <cellStyle name="20% - Accent3 2 2 26 2" xfId="25157"/>
    <cellStyle name="20% - Accent3 2 2 26 2 2" xfId="52165"/>
    <cellStyle name="20% - Accent3 2 2 26 3" xfId="38661"/>
    <cellStyle name="20% - Accent3 2 2 27" xfId="11345"/>
    <cellStyle name="20% - Accent3 2 2 27 2" xfId="25285"/>
    <cellStyle name="20% - Accent3 2 2 27 2 2" xfId="52293"/>
    <cellStyle name="20% - Accent3 2 2 27 3" xfId="38789"/>
    <cellStyle name="20% - Accent3 2 2 28" xfId="11487"/>
    <cellStyle name="20% - Accent3 2 2 28 2" xfId="25413"/>
    <cellStyle name="20% - Accent3 2 2 28 2 2" xfId="52421"/>
    <cellStyle name="20% - Accent3 2 2 28 3" xfId="38917"/>
    <cellStyle name="20% - Accent3 2 2 29" xfId="11629"/>
    <cellStyle name="20% - Accent3 2 2 29 2" xfId="25541"/>
    <cellStyle name="20% - Accent3 2 2 29 2 2" xfId="52549"/>
    <cellStyle name="20% - Accent3 2 2 29 3" xfId="39045"/>
    <cellStyle name="20% - Accent3 2 2 3" xfId="7937"/>
    <cellStyle name="20% - Accent3 2 2 3 2" xfId="22213"/>
    <cellStyle name="20% - Accent3 2 2 3 2 2" xfId="49221"/>
    <cellStyle name="20% - Accent3 2 2 3 3" xfId="35717"/>
    <cellStyle name="20% - Accent3 2 2 30" xfId="11771"/>
    <cellStyle name="20% - Accent3 2 2 30 2" xfId="25669"/>
    <cellStyle name="20% - Accent3 2 2 30 2 2" xfId="52677"/>
    <cellStyle name="20% - Accent3 2 2 30 3" xfId="39173"/>
    <cellStyle name="20% - Accent3 2 2 31" xfId="11913"/>
    <cellStyle name="20% - Accent3 2 2 31 2" xfId="25797"/>
    <cellStyle name="20% - Accent3 2 2 31 2 2" xfId="52805"/>
    <cellStyle name="20% - Accent3 2 2 31 3" xfId="39301"/>
    <cellStyle name="20% - Accent3 2 2 32" xfId="12055"/>
    <cellStyle name="20% - Accent3 2 2 32 2" xfId="25925"/>
    <cellStyle name="20% - Accent3 2 2 32 2 2" xfId="52933"/>
    <cellStyle name="20% - Accent3 2 2 32 3" xfId="39429"/>
    <cellStyle name="20% - Accent3 2 2 33" xfId="12197"/>
    <cellStyle name="20% - Accent3 2 2 33 2" xfId="26053"/>
    <cellStyle name="20% - Accent3 2 2 33 2 2" xfId="53061"/>
    <cellStyle name="20% - Accent3 2 2 33 3" xfId="39557"/>
    <cellStyle name="20% - Accent3 2 2 34" xfId="12339"/>
    <cellStyle name="20% - Accent3 2 2 34 2" xfId="26181"/>
    <cellStyle name="20% - Accent3 2 2 34 2 2" xfId="53189"/>
    <cellStyle name="20% - Accent3 2 2 34 3" xfId="39685"/>
    <cellStyle name="20% - Accent3 2 2 35" xfId="12481"/>
    <cellStyle name="20% - Accent3 2 2 35 2" xfId="26309"/>
    <cellStyle name="20% - Accent3 2 2 35 2 2" xfId="53317"/>
    <cellStyle name="20% - Accent3 2 2 35 3" xfId="39813"/>
    <cellStyle name="20% - Accent3 2 2 36" xfId="12623"/>
    <cellStyle name="20% - Accent3 2 2 36 2" xfId="26437"/>
    <cellStyle name="20% - Accent3 2 2 36 2 2" xfId="53445"/>
    <cellStyle name="20% - Accent3 2 2 36 3" xfId="39941"/>
    <cellStyle name="20% - Accent3 2 2 37" xfId="12765"/>
    <cellStyle name="20% - Accent3 2 2 37 2" xfId="26565"/>
    <cellStyle name="20% - Accent3 2 2 37 2 2" xfId="53573"/>
    <cellStyle name="20% - Accent3 2 2 37 3" xfId="40069"/>
    <cellStyle name="20% - Accent3 2 2 38" xfId="12907"/>
    <cellStyle name="20% - Accent3 2 2 38 2" xfId="26693"/>
    <cellStyle name="20% - Accent3 2 2 38 2 2" xfId="53701"/>
    <cellStyle name="20% - Accent3 2 2 38 3" xfId="40197"/>
    <cellStyle name="20% - Accent3 2 2 39" xfId="13049"/>
    <cellStyle name="20% - Accent3 2 2 39 2" xfId="26821"/>
    <cellStyle name="20% - Accent3 2 2 39 2 2" xfId="53829"/>
    <cellStyle name="20% - Accent3 2 2 39 3" xfId="40325"/>
    <cellStyle name="20% - Accent3 2 2 4" xfId="8079"/>
    <cellStyle name="20% - Accent3 2 2 4 2" xfId="22341"/>
    <cellStyle name="20% - Accent3 2 2 4 2 2" xfId="49349"/>
    <cellStyle name="20% - Accent3 2 2 4 3" xfId="35845"/>
    <cellStyle name="20% - Accent3 2 2 40" xfId="13191"/>
    <cellStyle name="20% - Accent3 2 2 40 2" xfId="26949"/>
    <cellStyle name="20% - Accent3 2 2 40 2 2" xfId="53957"/>
    <cellStyle name="20% - Accent3 2 2 40 3" xfId="40453"/>
    <cellStyle name="20% - Accent3 2 2 41" xfId="13333"/>
    <cellStyle name="20% - Accent3 2 2 41 2" xfId="27077"/>
    <cellStyle name="20% - Accent3 2 2 41 2 2" xfId="54085"/>
    <cellStyle name="20% - Accent3 2 2 41 3" xfId="40581"/>
    <cellStyle name="20% - Accent3 2 2 42" xfId="13475"/>
    <cellStyle name="20% - Accent3 2 2 42 2" xfId="27205"/>
    <cellStyle name="20% - Accent3 2 2 42 2 2" xfId="54213"/>
    <cellStyle name="20% - Accent3 2 2 42 3" xfId="40709"/>
    <cellStyle name="20% - Accent3 2 2 43" xfId="13617"/>
    <cellStyle name="20% - Accent3 2 2 43 2" xfId="27333"/>
    <cellStyle name="20% - Accent3 2 2 43 2 2" xfId="54341"/>
    <cellStyle name="20% - Accent3 2 2 43 3" xfId="40837"/>
    <cellStyle name="20% - Accent3 2 2 44" xfId="13759"/>
    <cellStyle name="20% - Accent3 2 2 44 2" xfId="27461"/>
    <cellStyle name="20% - Accent3 2 2 44 2 2" xfId="54469"/>
    <cellStyle name="20% - Accent3 2 2 44 3" xfId="40965"/>
    <cellStyle name="20% - Accent3 2 2 45" xfId="13900"/>
    <cellStyle name="20% - Accent3 2 2 45 2" xfId="27588"/>
    <cellStyle name="20% - Accent3 2 2 45 2 2" xfId="54596"/>
    <cellStyle name="20% - Accent3 2 2 45 3" xfId="41092"/>
    <cellStyle name="20% - Accent3 2 2 46" xfId="14041"/>
    <cellStyle name="20% - Accent3 2 2 46 2" xfId="27715"/>
    <cellStyle name="20% - Accent3 2 2 46 2 2" xfId="54723"/>
    <cellStyle name="20% - Accent3 2 2 46 3" xfId="41219"/>
    <cellStyle name="20% - Accent3 2 2 47" xfId="14182"/>
    <cellStyle name="20% - Accent3 2 2 47 2" xfId="27842"/>
    <cellStyle name="20% - Accent3 2 2 47 2 2" xfId="54850"/>
    <cellStyle name="20% - Accent3 2 2 47 3" xfId="41346"/>
    <cellStyle name="20% - Accent3 2 2 48" xfId="14323"/>
    <cellStyle name="20% - Accent3 2 2 48 2" xfId="27969"/>
    <cellStyle name="20% - Accent3 2 2 48 2 2" xfId="54977"/>
    <cellStyle name="20% - Accent3 2 2 48 3" xfId="41473"/>
    <cellStyle name="20% - Accent3 2 2 49" xfId="14463"/>
    <cellStyle name="20% - Accent3 2 2 49 2" xfId="28095"/>
    <cellStyle name="20% - Accent3 2 2 49 2 2" xfId="55103"/>
    <cellStyle name="20% - Accent3 2 2 49 3" xfId="41599"/>
    <cellStyle name="20% - Accent3 2 2 5" xfId="8221"/>
    <cellStyle name="20% - Accent3 2 2 5 2" xfId="22469"/>
    <cellStyle name="20% - Accent3 2 2 5 2 2" xfId="49477"/>
    <cellStyle name="20% - Accent3 2 2 5 3" xfId="35973"/>
    <cellStyle name="20% - Accent3 2 2 50" xfId="14603"/>
    <cellStyle name="20% - Accent3 2 2 50 2" xfId="28221"/>
    <cellStyle name="20% - Accent3 2 2 50 2 2" xfId="55229"/>
    <cellStyle name="20% - Accent3 2 2 50 3" xfId="41725"/>
    <cellStyle name="20% - Accent3 2 2 51" xfId="14742"/>
    <cellStyle name="20% - Accent3 2 2 51 2" xfId="28346"/>
    <cellStyle name="20% - Accent3 2 2 51 2 2" xfId="55354"/>
    <cellStyle name="20% - Accent3 2 2 51 3" xfId="41850"/>
    <cellStyle name="20% - Accent3 2 2 52" xfId="14877"/>
    <cellStyle name="20% - Accent3 2 2 52 2" xfId="28468"/>
    <cellStyle name="20% - Accent3 2 2 52 2 2" xfId="55476"/>
    <cellStyle name="20% - Accent3 2 2 52 3" xfId="41972"/>
    <cellStyle name="20% - Accent3 2 2 53" xfId="15011"/>
    <cellStyle name="20% - Accent3 2 2 53 2" xfId="28589"/>
    <cellStyle name="20% - Accent3 2 2 53 2 2" xfId="55597"/>
    <cellStyle name="20% - Accent3 2 2 53 3" xfId="42093"/>
    <cellStyle name="20% - Accent3 2 2 54" xfId="15139"/>
    <cellStyle name="20% - Accent3 2 2 54 2" xfId="28706"/>
    <cellStyle name="20% - Accent3 2 2 54 2 2" xfId="55714"/>
    <cellStyle name="20% - Accent3 2 2 54 3" xfId="42210"/>
    <cellStyle name="20% - Accent3 2 2 55" xfId="15260"/>
    <cellStyle name="20% - Accent3 2 2 55 2" xfId="28820"/>
    <cellStyle name="20% - Accent3 2 2 55 2 2" xfId="55828"/>
    <cellStyle name="20% - Accent3 2 2 55 3" xfId="42324"/>
    <cellStyle name="20% - Accent3 2 2 56" xfId="15557"/>
    <cellStyle name="20% - Accent3 2 2 56 2" xfId="42565"/>
    <cellStyle name="20% - Accent3 2 2 57" xfId="29061"/>
    <cellStyle name="20% - Accent3 2 2 6" xfId="8363"/>
    <cellStyle name="20% - Accent3 2 2 6 2" xfId="22597"/>
    <cellStyle name="20% - Accent3 2 2 6 2 2" xfId="49605"/>
    <cellStyle name="20% - Accent3 2 2 6 3" xfId="36101"/>
    <cellStyle name="20% - Accent3 2 2 7" xfId="8505"/>
    <cellStyle name="20% - Accent3 2 2 7 2" xfId="22725"/>
    <cellStyle name="20% - Accent3 2 2 7 2 2" xfId="49733"/>
    <cellStyle name="20% - Accent3 2 2 7 3" xfId="36229"/>
    <cellStyle name="20% - Accent3 2 2 8" xfId="8647"/>
    <cellStyle name="20% - Accent3 2 2 8 2" xfId="22853"/>
    <cellStyle name="20% - Accent3 2 2 8 2 2" xfId="49861"/>
    <cellStyle name="20% - Accent3 2 2 8 3" xfId="36357"/>
    <cellStyle name="20% - Accent3 2 2 9" xfId="8789"/>
    <cellStyle name="20% - Accent3 2 2 9 2" xfId="22981"/>
    <cellStyle name="20% - Accent3 2 2 9 2 2" xfId="49989"/>
    <cellStyle name="20% - Accent3 2 2 9 3" xfId="36485"/>
    <cellStyle name="20% - Accent3 2 20" xfId="1973"/>
    <cellStyle name="20% - Accent3 2 20 2" xfId="17036"/>
    <cellStyle name="20% - Accent3 2 20 2 2" xfId="44044"/>
    <cellStyle name="20% - Accent3 2 20 3" xfId="30540"/>
    <cellStyle name="20% - Accent3 2 21" xfId="2079"/>
    <cellStyle name="20% - Accent3 2 21 2" xfId="17128"/>
    <cellStyle name="20% - Accent3 2 21 2 2" xfId="44136"/>
    <cellStyle name="20% - Accent3 2 21 3" xfId="30632"/>
    <cellStyle name="20% - Accent3 2 22" xfId="2185"/>
    <cellStyle name="20% - Accent3 2 22 2" xfId="17220"/>
    <cellStyle name="20% - Accent3 2 22 2 2" xfId="44228"/>
    <cellStyle name="20% - Accent3 2 22 3" xfId="30724"/>
    <cellStyle name="20% - Accent3 2 23" xfId="2291"/>
    <cellStyle name="20% - Accent3 2 23 2" xfId="17312"/>
    <cellStyle name="20% - Accent3 2 23 2 2" xfId="44320"/>
    <cellStyle name="20% - Accent3 2 23 3" xfId="30816"/>
    <cellStyle name="20% - Accent3 2 24" xfId="2397"/>
    <cellStyle name="20% - Accent3 2 24 2" xfId="17404"/>
    <cellStyle name="20% - Accent3 2 24 2 2" xfId="44412"/>
    <cellStyle name="20% - Accent3 2 24 3" xfId="30908"/>
    <cellStyle name="20% - Accent3 2 25" xfId="2503"/>
    <cellStyle name="20% - Accent3 2 25 2" xfId="17496"/>
    <cellStyle name="20% - Accent3 2 25 2 2" xfId="44504"/>
    <cellStyle name="20% - Accent3 2 25 3" xfId="31000"/>
    <cellStyle name="20% - Accent3 2 26" xfId="2609"/>
    <cellStyle name="20% - Accent3 2 26 2" xfId="17588"/>
    <cellStyle name="20% - Accent3 2 26 2 2" xfId="44596"/>
    <cellStyle name="20% - Accent3 2 26 3" xfId="31092"/>
    <cellStyle name="20% - Accent3 2 27" xfId="2715"/>
    <cellStyle name="20% - Accent3 2 27 2" xfId="17680"/>
    <cellStyle name="20% - Accent3 2 27 2 2" xfId="44688"/>
    <cellStyle name="20% - Accent3 2 27 3" xfId="31184"/>
    <cellStyle name="20% - Accent3 2 28" xfId="2821"/>
    <cellStyle name="20% - Accent3 2 28 2" xfId="17772"/>
    <cellStyle name="20% - Accent3 2 28 2 2" xfId="44780"/>
    <cellStyle name="20% - Accent3 2 28 3" xfId="31276"/>
    <cellStyle name="20% - Accent3 2 29" xfId="2927"/>
    <cellStyle name="20% - Accent3 2 29 2" xfId="17864"/>
    <cellStyle name="20% - Accent3 2 29 2 2" xfId="44872"/>
    <cellStyle name="20% - Accent3 2 29 3" xfId="31368"/>
    <cellStyle name="20% - Accent3 2 3" xfId="417"/>
    <cellStyle name="20% - Accent3 2 3 10" xfId="9053"/>
    <cellStyle name="20% - Accent3 2 3 10 2" xfId="23221"/>
    <cellStyle name="20% - Accent3 2 3 10 2 2" xfId="50229"/>
    <cellStyle name="20% - Accent3 2 3 10 3" xfId="36725"/>
    <cellStyle name="20% - Accent3 2 3 11" xfId="9195"/>
    <cellStyle name="20% - Accent3 2 3 11 2" xfId="23349"/>
    <cellStyle name="20% - Accent3 2 3 11 2 2" xfId="50357"/>
    <cellStyle name="20% - Accent3 2 3 11 3" xfId="36853"/>
    <cellStyle name="20% - Accent3 2 3 12" xfId="9337"/>
    <cellStyle name="20% - Accent3 2 3 12 2" xfId="23477"/>
    <cellStyle name="20% - Accent3 2 3 12 2 2" xfId="50485"/>
    <cellStyle name="20% - Accent3 2 3 12 3" xfId="36981"/>
    <cellStyle name="20% - Accent3 2 3 13" xfId="9479"/>
    <cellStyle name="20% - Accent3 2 3 13 2" xfId="23605"/>
    <cellStyle name="20% - Accent3 2 3 13 2 2" xfId="50613"/>
    <cellStyle name="20% - Accent3 2 3 13 3" xfId="37109"/>
    <cellStyle name="20% - Accent3 2 3 14" xfId="9621"/>
    <cellStyle name="20% - Accent3 2 3 14 2" xfId="23733"/>
    <cellStyle name="20% - Accent3 2 3 14 2 2" xfId="50741"/>
    <cellStyle name="20% - Accent3 2 3 14 3" xfId="37237"/>
    <cellStyle name="20% - Accent3 2 3 15" xfId="9763"/>
    <cellStyle name="20% - Accent3 2 3 15 2" xfId="23861"/>
    <cellStyle name="20% - Accent3 2 3 15 2 2" xfId="50869"/>
    <cellStyle name="20% - Accent3 2 3 15 3" xfId="37365"/>
    <cellStyle name="20% - Accent3 2 3 16" xfId="9905"/>
    <cellStyle name="20% - Accent3 2 3 16 2" xfId="23989"/>
    <cellStyle name="20% - Accent3 2 3 16 2 2" xfId="50997"/>
    <cellStyle name="20% - Accent3 2 3 16 3" xfId="37493"/>
    <cellStyle name="20% - Accent3 2 3 17" xfId="10047"/>
    <cellStyle name="20% - Accent3 2 3 17 2" xfId="24117"/>
    <cellStyle name="20% - Accent3 2 3 17 2 2" xfId="51125"/>
    <cellStyle name="20% - Accent3 2 3 17 3" xfId="37621"/>
    <cellStyle name="20% - Accent3 2 3 18" xfId="10189"/>
    <cellStyle name="20% - Accent3 2 3 18 2" xfId="24245"/>
    <cellStyle name="20% - Accent3 2 3 18 2 2" xfId="51253"/>
    <cellStyle name="20% - Accent3 2 3 18 3" xfId="37749"/>
    <cellStyle name="20% - Accent3 2 3 19" xfId="10331"/>
    <cellStyle name="20% - Accent3 2 3 19 2" xfId="24373"/>
    <cellStyle name="20% - Accent3 2 3 19 2 2" xfId="51381"/>
    <cellStyle name="20% - Accent3 2 3 19 3" xfId="37877"/>
    <cellStyle name="20% - Accent3 2 3 2" xfId="7917"/>
    <cellStyle name="20% - Accent3 2 3 2 2" xfId="22197"/>
    <cellStyle name="20% - Accent3 2 3 2 2 2" xfId="49205"/>
    <cellStyle name="20% - Accent3 2 3 2 3" xfId="35701"/>
    <cellStyle name="20% - Accent3 2 3 20" xfId="10473"/>
    <cellStyle name="20% - Accent3 2 3 20 2" xfId="24501"/>
    <cellStyle name="20% - Accent3 2 3 20 2 2" xfId="51509"/>
    <cellStyle name="20% - Accent3 2 3 20 3" xfId="38005"/>
    <cellStyle name="20% - Accent3 2 3 21" xfId="10615"/>
    <cellStyle name="20% - Accent3 2 3 21 2" xfId="24629"/>
    <cellStyle name="20% - Accent3 2 3 21 2 2" xfId="51637"/>
    <cellStyle name="20% - Accent3 2 3 21 3" xfId="38133"/>
    <cellStyle name="20% - Accent3 2 3 22" xfId="10757"/>
    <cellStyle name="20% - Accent3 2 3 22 2" xfId="24757"/>
    <cellStyle name="20% - Accent3 2 3 22 2 2" xfId="51765"/>
    <cellStyle name="20% - Accent3 2 3 22 3" xfId="38261"/>
    <cellStyle name="20% - Accent3 2 3 23" xfId="10899"/>
    <cellStyle name="20% - Accent3 2 3 23 2" xfId="24885"/>
    <cellStyle name="20% - Accent3 2 3 23 2 2" xfId="51893"/>
    <cellStyle name="20% - Accent3 2 3 23 3" xfId="38389"/>
    <cellStyle name="20% - Accent3 2 3 24" xfId="11041"/>
    <cellStyle name="20% - Accent3 2 3 24 2" xfId="25013"/>
    <cellStyle name="20% - Accent3 2 3 24 2 2" xfId="52021"/>
    <cellStyle name="20% - Accent3 2 3 24 3" xfId="38517"/>
    <cellStyle name="20% - Accent3 2 3 25" xfId="11183"/>
    <cellStyle name="20% - Accent3 2 3 25 2" xfId="25141"/>
    <cellStyle name="20% - Accent3 2 3 25 2 2" xfId="52149"/>
    <cellStyle name="20% - Accent3 2 3 25 3" xfId="38645"/>
    <cellStyle name="20% - Accent3 2 3 26" xfId="11325"/>
    <cellStyle name="20% - Accent3 2 3 26 2" xfId="25269"/>
    <cellStyle name="20% - Accent3 2 3 26 2 2" xfId="52277"/>
    <cellStyle name="20% - Accent3 2 3 26 3" xfId="38773"/>
    <cellStyle name="20% - Accent3 2 3 27" xfId="11467"/>
    <cellStyle name="20% - Accent3 2 3 27 2" xfId="25397"/>
    <cellStyle name="20% - Accent3 2 3 27 2 2" xfId="52405"/>
    <cellStyle name="20% - Accent3 2 3 27 3" xfId="38901"/>
    <cellStyle name="20% - Accent3 2 3 28" xfId="11609"/>
    <cellStyle name="20% - Accent3 2 3 28 2" xfId="25525"/>
    <cellStyle name="20% - Accent3 2 3 28 2 2" xfId="52533"/>
    <cellStyle name="20% - Accent3 2 3 28 3" xfId="39029"/>
    <cellStyle name="20% - Accent3 2 3 29" xfId="11751"/>
    <cellStyle name="20% - Accent3 2 3 29 2" xfId="25653"/>
    <cellStyle name="20% - Accent3 2 3 29 2 2" xfId="52661"/>
    <cellStyle name="20% - Accent3 2 3 29 3" xfId="39157"/>
    <cellStyle name="20% - Accent3 2 3 3" xfId="8059"/>
    <cellStyle name="20% - Accent3 2 3 3 2" xfId="22325"/>
    <cellStyle name="20% - Accent3 2 3 3 2 2" xfId="49333"/>
    <cellStyle name="20% - Accent3 2 3 3 3" xfId="35829"/>
    <cellStyle name="20% - Accent3 2 3 30" xfId="11893"/>
    <cellStyle name="20% - Accent3 2 3 30 2" xfId="25781"/>
    <cellStyle name="20% - Accent3 2 3 30 2 2" xfId="52789"/>
    <cellStyle name="20% - Accent3 2 3 30 3" xfId="39285"/>
    <cellStyle name="20% - Accent3 2 3 31" xfId="12035"/>
    <cellStyle name="20% - Accent3 2 3 31 2" xfId="25909"/>
    <cellStyle name="20% - Accent3 2 3 31 2 2" xfId="52917"/>
    <cellStyle name="20% - Accent3 2 3 31 3" xfId="39413"/>
    <cellStyle name="20% - Accent3 2 3 32" xfId="12177"/>
    <cellStyle name="20% - Accent3 2 3 32 2" xfId="26037"/>
    <cellStyle name="20% - Accent3 2 3 32 2 2" xfId="53045"/>
    <cellStyle name="20% - Accent3 2 3 32 3" xfId="39541"/>
    <cellStyle name="20% - Accent3 2 3 33" xfId="12319"/>
    <cellStyle name="20% - Accent3 2 3 33 2" xfId="26165"/>
    <cellStyle name="20% - Accent3 2 3 33 2 2" xfId="53173"/>
    <cellStyle name="20% - Accent3 2 3 33 3" xfId="39669"/>
    <cellStyle name="20% - Accent3 2 3 34" xfId="12461"/>
    <cellStyle name="20% - Accent3 2 3 34 2" xfId="26293"/>
    <cellStyle name="20% - Accent3 2 3 34 2 2" xfId="53301"/>
    <cellStyle name="20% - Accent3 2 3 34 3" xfId="39797"/>
    <cellStyle name="20% - Accent3 2 3 35" xfId="12603"/>
    <cellStyle name="20% - Accent3 2 3 35 2" xfId="26421"/>
    <cellStyle name="20% - Accent3 2 3 35 2 2" xfId="53429"/>
    <cellStyle name="20% - Accent3 2 3 35 3" xfId="39925"/>
    <cellStyle name="20% - Accent3 2 3 36" xfId="12745"/>
    <cellStyle name="20% - Accent3 2 3 36 2" xfId="26549"/>
    <cellStyle name="20% - Accent3 2 3 36 2 2" xfId="53557"/>
    <cellStyle name="20% - Accent3 2 3 36 3" xfId="40053"/>
    <cellStyle name="20% - Accent3 2 3 37" xfId="12887"/>
    <cellStyle name="20% - Accent3 2 3 37 2" xfId="26677"/>
    <cellStyle name="20% - Accent3 2 3 37 2 2" xfId="53685"/>
    <cellStyle name="20% - Accent3 2 3 37 3" xfId="40181"/>
    <cellStyle name="20% - Accent3 2 3 38" xfId="13029"/>
    <cellStyle name="20% - Accent3 2 3 38 2" xfId="26805"/>
    <cellStyle name="20% - Accent3 2 3 38 2 2" xfId="53813"/>
    <cellStyle name="20% - Accent3 2 3 38 3" xfId="40309"/>
    <cellStyle name="20% - Accent3 2 3 39" xfId="13171"/>
    <cellStyle name="20% - Accent3 2 3 39 2" xfId="26933"/>
    <cellStyle name="20% - Accent3 2 3 39 2 2" xfId="53941"/>
    <cellStyle name="20% - Accent3 2 3 39 3" xfId="40437"/>
    <cellStyle name="20% - Accent3 2 3 4" xfId="8201"/>
    <cellStyle name="20% - Accent3 2 3 4 2" xfId="22453"/>
    <cellStyle name="20% - Accent3 2 3 4 2 2" xfId="49461"/>
    <cellStyle name="20% - Accent3 2 3 4 3" xfId="35957"/>
    <cellStyle name="20% - Accent3 2 3 40" xfId="13313"/>
    <cellStyle name="20% - Accent3 2 3 40 2" xfId="27061"/>
    <cellStyle name="20% - Accent3 2 3 40 2 2" xfId="54069"/>
    <cellStyle name="20% - Accent3 2 3 40 3" xfId="40565"/>
    <cellStyle name="20% - Accent3 2 3 41" xfId="13455"/>
    <cellStyle name="20% - Accent3 2 3 41 2" xfId="27189"/>
    <cellStyle name="20% - Accent3 2 3 41 2 2" xfId="54197"/>
    <cellStyle name="20% - Accent3 2 3 41 3" xfId="40693"/>
    <cellStyle name="20% - Accent3 2 3 42" xfId="13597"/>
    <cellStyle name="20% - Accent3 2 3 42 2" xfId="27317"/>
    <cellStyle name="20% - Accent3 2 3 42 2 2" xfId="54325"/>
    <cellStyle name="20% - Accent3 2 3 42 3" xfId="40821"/>
    <cellStyle name="20% - Accent3 2 3 43" xfId="13739"/>
    <cellStyle name="20% - Accent3 2 3 43 2" xfId="27445"/>
    <cellStyle name="20% - Accent3 2 3 43 2 2" xfId="54453"/>
    <cellStyle name="20% - Accent3 2 3 43 3" xfId="40949"/>
    <cellStyle name="20% - Accent3 2 3 44" xfId="13880"/>
    <cellStyle name="20% - Accent3 2 3 44 2" xfId="27572"/>
    <cellStyle name="20% - Accent3 2 3 44 2 2" xfId="54580"/>
    <cellStyle name="20% - Accent3 2 3 44 3" xfId="41076"/>
    <cellStyle name="20% - Accent3 2 3 45" xfId="14021"/>
    <cellStyle name="20% - Accent3 2 3 45 2" xfId="27699"/>
    <cellStyle name="20% - Accent3 2 3 45 2 2" xfId="54707"/>
    <cellStyle name="20% - Accent3 2 3 45 3" xfId="41203"/>
    <cellStyle name="20% - Accent3 2 3 46" xfId="14162"/>
    <cellStyle name="20% - Accent3 2 3 46 2" xfId="27826"/>
    <cellStyle name="20% - Accent3 2 3 46 2 2" xfId="54834"/>
    <cellStyle name="20% - Accent3 2 3 46 3" xfId="41330"/>
    <cellStyle name="20% - Accent3 2 3 47" xfId="14303"/>
    <cellStyle name="20% - Accent3 2 3 47 2" xfId="27953"/>
    <cellStyle name="20% - Accent3 2 3 47 2 2" xfId="54961"/>
    <cellStyle name="20% - Accent3 2 3 47 3" xfId="41457"/>
    <cellStyle name="20% - Accent3 2 3 48" xfId="14443"/>
    <cellStyle name="20% - Accent3 2 3 48 2" xfId="28079"/>
    <cellStyle name="20% - Accent3 2 3 48 2 2" xfId="55087"/>
    <cellStyle name="20% - Accent3 2 3 48 3" xfId="41583"/>
    <cellStyle name="20% - Accent3 2 3 49" xfId="14583"/>
    <cellStyle name="20% - Accent3 2 3 49 2" xfId="28205"/>
    <cellStyle name="20% - Accent3 2 3 49 2 2" xfId="55213"/>
    <cellStyle name="20% - Accent3 2 3 49 3" xfId="41709"/>
    <cellStyle name="20% - Accent3 2 3 5" xfId="8343"/>
    <cellStyle name="20% - Accent3 2 3 5 2" xfId="22581"/>
    <cellStyle name="20% - Accent3 2 3 5 2 2" xfId="49589"/>
    <cellStyle name="20% - Accent3 2 3 5 3" xfId="36085"/>
    <cellStyle name="20% - Accent3 2 3 50" xfId="14722"/>
    <cellStyle name="20% - Accent3 2 3 50 2" xfId="28330"/>
    <cellStyle name="20% - Accent3 2 3 50 2 2" xfId="55338"/>
    <cellStyle name="20% - Accent3 2 3 50 3" xfId="41834"/>
    <cellStyle name="20% - Accent3 2 3 51" xfId="14857"/>
    <cellStyle name="20% - Accent3 2 3 51 2" xfId="28452"/>
    <cellStyle name="20% - Accent3 2 3 51 2 2" xfId="55460"/>
    <cellStyle name="20% - Accent3 2 3 51 3" xfId="41956"/>
    <cellStyle name="20% - Accent3 2 3 52" xfId="14991"/>
    <cellStyle name="20% - Accent3 2 3 52 2" xfId="28573"/>
    <cellStyle name="20% - Accent3 2 3 52 2 2" xfId="55581"/>
    <cellStyle name="20% - Accent3 2 3 52 3" xfId="42077"/>
    <cellStyle name="20% - Accent3 2 3 53" xfId="15120"/>
    <cellStyle name="20% - Accent3 2 3 53 2" xfId="28690"/>
    <cellStyle name="20% - Accent3 2 3 53 2 2" xfId="55698"/>
    <cellStyle name="20% - Accent3 2 3 53 3" xfId="42194"/>
    <cellStyle name="20% - Accent3 2 3 54" xfId="15242"/>
    <cellStyle name="20% - Accent3 2 3 54 2" xfId="28804"/>
    <cellStyle name="20% - Accent3 2 3 54 2 2" xfId="55812"/>
    <cellStyle name="20% - Accent3 2 3 54 3" xfId="42308"/>
    <cellStyle name="20% - Accent3 2 3 55" xfId="15347"/>
    <cellStyle name="20% - Accent3 2 3 55 2" xfId="28907"/>
    <cellStyle name="20% - Accent3 2 3 55 2 2" xfId="55915"/>
    <cellStyle name="20% - Accent3 2 3 55 3" xfId="42411"/>
    <cellStyle name="20% - Accent3 2 3 56" xfId="15685"/>
    <cellStyle name="20% - Accent3 2 3 56 2" xfId="42693"/>
    <cellStyle name="20% - Accent3 2 3 57" xfId="29189"/>
    <cellStyle name="20% - Accent3 2 3 6" xfId="8485"/>
    <cellStyle name="20% - Accent3 2 3 6 2" xfId="22709"/>
    <cellStyle name="20% - Accent3 2 3 6 2 2" xfId="49717"/>
    <cellStyle name="20% - Accent3 2 3 6 3" xfId="36213"/>
    <cellStyle name="20% - Accent3 2 3 7" xfId="8627"/>
    <cellStyle name="20% - Accent3 2 3 7 2" xfId="22837"/>
    <cellStyle name="20% - Accent3 2 3 7 2 2" xfId="49845"/>
    <cellStyle name="20% - Accent3 2 3 7 3" xfId="36341"/>
    <cellStyle name="20% - Accent3 2 3 8" xfId="8769"/>
    <cellStyle name="20% - Accent3 2 3 8 2" xfId="22965"/>
    <cellStyle name="20% - Accent3 2 3 8 2 2" xfId="49973"/>
    <cellStyle name="20% - Accent3 2 3 8 3" xfId="36469"/>
    <cellStyle name="20% - Accent3 2 3 9" xfId="8911"/>
    <cellStyle name="20% - Accent3 2 3 9 2" xfId="23093"/>
    <cellStyle name="20% - Accent3 2 3 9 2 2" xfId="50101"/>
    <cellStyle name="20% - Accent3 2 3 9 3" xfId="36597"/>
    <cellStyle name="20% - Accent3 2 30" xfId="3033"/>
    <cellStyle name="20% - Accent3 2 30 2" xfId="17956"/>
    <cellStyle name="20% - Accent3 2 30 2 2" xfId="44964"/>
    <cellStyle name="20% - Accent3 2 30 3" xfId="31460"/>
    <cellStyle name="20% - Accent3 2 31" xfId="3139"/>
    <cellStyle name="20% - Accent3 2 31 2" xfId="18048"/>
    <cellStyle name="20% - Accent3 2 31 2 2" xfId="45056"/>
    <cellStyle name="20% - Accent3 2 31 3" xfId="31552"/>
    <cellStyle name="20% - Accent3 2 32" xfId="3245"/>
    <cellStyle name="20% - Accent3 2 32 2" xfId="18140"/>
    <cellStyle name="20% - Accent3 2 32 2 2" xfId="45148"/>
    <cellStyle name="20% - Accent3 2 32 3" xfId="31644"/>
    <cellStyle name="20% - Accent3 2 33" xfId="3351"/>
    <cellStyle name="20% - Accent3 2 33 2" xfId="18232"/>
    <cellStyle name="20% - Accent3 2 33 2 2" xfId="45240"/>
    <cellStyle name="20% - Accent3 2 33 3" xfId="31736"/>
    <cellStyle name="20% - Accent3 2 34" xfId="3457"/>
    <cellStyle name="20% - Accent3 2 34 2" xfId="18324"/>
    <cellStyle name="20% - Accent3 2 34 2 2" xfId="45332"/>
    <cellStyle name="20% - Accent3 2 34 3" xfId="31828"/>
    <cellStyle name="20% - Accent3 2 35" xfId="3563"/>
    <cellStyle name="20% - Accent3 2 35 2" xfId="18416"/>
    <cellStyle name="20% - Accent3 2 35 2 2" xfId="45424"/>
    <cellStyle name="20% - Accent3 2 35 3" xfId="31920"/>
    <cellStyle name="20% - Accent3 2 36" xfId="3669"/>
    <cellStyle name="20% - Accent3 2 36 2" xfId="18508"/>
    <cellStyle name="20% - Accent3 2 36 2 2" xfId="45516"/>
    <cellStyle name="20% - Accent3 2 36 3" xfId="32012"/>
    <cellStyle name="20% - Accent3 2 37" xfId="3775"/>
    <cellStyle name="20% - Accent3 2 37 2" xfId="18600"/>
    <cellStyle name="20% - Accent3 2 37 2 2" xfId="45608"/>
    <cellStyle name="20% - Accent3 2 37 3" xfId="32104"/>
    <cellStyle name="20% - Accent3 2 38" xfId="3881"/>
    <cellStyle name="20% - Accent3 2 38 2" xfId="18692"/>
    <cellStyle name="20% - Accent3 2 38 2 2" xfId="45700"/>
    <cellStyle name="20% - Accent3 2 38 3" xfId="32196"/>
    <cellStyle name="20% - Accent3 2 39" xfId="3987"/>
    <cellStyle name="20% - Accent3 2 39 2" xfId="18784"/>
    <cellStyle name="20% - Accent3 2 39 2 2" xfId="45792"/>
    <cellStyle name="20% - Accent3 2 39 3" xfId="32288"/>
    <cellStyle name="20% - Accent3 2 4" xfId="295"/>
    <cellStyle name="20% - Accent3 2 4 2" xfId="15597"/>
    <cellStyle name="20% - Accent3 2 4 2 2" xfId="42605"/>
    <cellStyle name="20% - Accent3 2 4 3" xfId="29101"/>
    <cellStyle name="20% - Accent3 2 40" xfId="4093"/>
    <cellStyle name="20% - Accent3 2 40 2" xfId="18876"/>
    <cellStyle name="20% - Accent3 2 40 2 2" xfId="45884"/>
    <cellStyle name="20% - Accent3 2 40 3" xfId="32380"/>
    <cellStyle name="20% - Accent3 2 41" xfId="4199"/>
    <cellStyle name="20% - Accent3 2 41 2" xfId="18968"/>
    <cellStyle name="20% - Accent3 2 41 2 2" xfId="45976"/>
    <cellStyle name="20% - Accent3 2 41 3" xfId="32472"/>
    <cellStyle name="20% - Accent3 2 42" xfId="4305"/>
    <cellStyle name="20% - Accent3 2 42 2" xfId="19060"/>
    <cellStyle name="20% - Accent3 2 42 2 2" xfId="46068"/>
    <cellStyle name="20% - Accent3 2 42 3" xfId="32564"/>
    <cellStyle name="20% - Accent3 2 43" xfId="4411"/>
    <cellStyle name="20% - Accent3 2 43 2" xfId="19152"/>
    <cellStyle name="20% - Accent3 2 43 2 2" xfId="46160"/>
    <cellStyle name="20% - Accent3 2 43 3" xfId="32656"/>
    <cellStyle name="20% - Accent3 2 44" xfId="4517"/>
    <cellStyle name="20% - Accent3 2 44 2" xfId="19244"/>
    <cellStyle name="20% - Accent3 2 44 2 2" xfId="46252"/>
    <cellStyle name="20% - Accent3 2 44 3" xfId="32748"/>
    <cellStyle name="20% - Accent3 2 45" xfId="4623"/>
    <cellStyle name="20% - Accent3 2 45 2" xfId="19336"/>
    <cellStyle name="20% - Accent3 2 45 2 2" xfId="46344"/>
    <cellStyle name="20% - Accent3 2 45 3" xfId="32840"/>
    <cellStyle name="20% - Accent3 2 46" xfId="4729"/>
    <cellStyle name="20% - Accent3 2 46 2" xfId="19428"/>
    <cellStyle name="20% - Accent3 2 46 2 2" xfId="46436"/>
    <cellStyle name="20% - Accent3 2 46 3" xfId="32932"/>
    <cellStyle name="20% - Accent3 2 47" xfId="4835"/>
    <cellStyle name="20% - Accent3 2 47 2" xfId="19520"/>
    <cellStyle name="20% - Accent3 2 47 2 2" xfId="46528"/>
    <cellStyle name="20% - Accent3 2 47 3" xfId="33024"/>
    <cellStyle name="20% - Accent3 2 48" xfId="4941"/>
    <cellStyle name="20% - Accent3 2 48 2" xfId="19612"/>
    <cellStyle name="20% - Accent3 2 48 2 2" xfId="46620"/>
    <cellStyle name="20% - Accent3 2 48 3" xfId="33116"/>
    <cellStyle name="20% - Accent3 2 49" xfId="5047"/>
    <cellStyle name="20% - Accent3 2 49 2" xfId="19704"/>
    <cellStyle name="20% - Accent3 2 49 2 2" xfId="46712"/>
    <cellStyle name="20% - Accent3 2 49 3" xfId="33208"/>
    <cellStyle name="20% - Accent3 2 5" xfId="450"/>
    <cellStyle name="20% - Accent3 2 5 2" xfId="15714"/>
    <cellStyle name="20% - Accent3 2 5 2 2" xfId="42722"/>
    <cellStyle name="20% - Accent3 2 5 3" xfId="29218"/>
    <cellStyle name="20% - Accent3 2 50" xfId="5153"/>
    <cellStyle name="20% - Accent3 2 50 2" xfId="19796"/>
    <cellStyle name="20% - Accent3 2 50 2 2" xfId="46804"/>
    <cellStyle name="20% - Accent3 2 50 3" xfId="33300"/>
    <cellStyle name="20% - Accent3 2 51" xfId="5259"/>
    <cellStyle name="20% - Accent3 2 51 2" xfId="19888"/>
    <cellStyle name="20% - Accent3 2 51 2 2" xfId="46896"/>
    <cellStyle name="20% - Accent3 2 51 3" xfId="33392"/>
    <cellStyle name="20% - Accent3 2 52" xfId="5365"/>
    <cellStyle name="20% - Accent3 2 52 2" xfId="19980"/>
    <cellStyle name="20% - Accent3 2 52 2 2" xfId="46988"/>
    <cellStyle name="20% - Accent3 2 52 3" xfId="33484"/>
    <cellStyle name="20% - Accent3 2 53" xfId="5471"/>
    <cellStyle name="20% - Accent3 2 53 2" xfId="20072"/>
    <cellStyle name="20% - Accent3 2 53 2 2" xfId="47080"/>
    <cellStyle name="20% - Accent3 2 53 3" xfId="33576"/>
    <cellStyle name="20% - Accent3 2 54" xfId="5577"/>
    <cellStyle name="20% - Accent3 2 54 2" xfId="20164"/>
    <cellStyle name="20% - Accent3 2 54 2 2" xfId="47172"/>
    <cellStyle name="20% - Accent3 2 54 3" xfId="33668"/>
    <cellStyle name="20% - Accent3 2 55" xfId="5683"/>
    <cellStyle name="20% - Accent3 2 55 2" xfId="20256"/>
    <cellStyle name="20% - Accent3 2 55 2 2" xfId="47264"/>
    <cellStyle name="20% - Accent3 2 55 3" xfId="33760"/>
    <cellStyle name="20% - Accent3 2 56" xfId="5789"/>
    <cellStyle name="20% - Accent3 2 56 2" xfId="20348"/>
    <cellStyle name="20% - Accent3 2 56 2 2" xfId="47356"/>
    <cellStyle name="20% - Accent3 2 56 3" xfId="33852"/>
    <cellStyle name="20% - Accent3 2 57" xfId="5895"/>
    <cellStyle name="20% - Accent3 2 57 2" xfId="20440"/>
    <cellStyle name="20% - Accent3 2 57 2 2" xfId="47448"/>
    <cellStyle name="20% - Accent3 2 57 3" xfId="33944"/>
    <cellStyle name="20% - Accent3 2 58" xfId="6001"/>
    <cellStyle name="20% - Accent3 2 58 2" xfId="20532"/>
    <cellStyle name="20% - Accent3 2 58 2 2" xfId="47540"/>
    <cellStyle name="20% - Accent3 2 58 3" xfId="34036"/>
    <cellStyle name="20% - Accent3 2 59" xfId="6107"/>
    <cellStyle name="20% - Accent3 2 59 2" xfId="20624"/>
    <cellStyle name="20% - Accent3 2 59 2 2" xfId="47632"/>
    <cellStyle name="20% - Accent3 2 59 3" xfId="34128"/>
    <cellStyle name="20% - Accent3 2 6" xfId="427"/>
    <cellStyle name="20% - Accent3 2 6 2" xfId="15695"/>
    <cellStyle name="20% - Accent3 2 6 2 2" xfId="42703"/>
    <cellStyle name="20% - Accent3 2 6 3" xfId="29199"/>
    <cellStyle name="20% - Accent3 2 60" xfId="6213"/>
    <cellStyle name="20% - Accent3 2 60 2" xfId="20716"/>
    <cellStyle name="20% - Accent3 2 60 2 2" xfId="47724"/>
    <cellStyle name="20% - Accent3 2 60 3" xfId="34220"/>
    <cellStyle name="20% - Accent3 2 61" xfId="6319"/>
    <cellStyle name="20% - Accent3 2 61 2" xfId="20808"/>
    <cellStyle name="20% - Accent3 2 61 2 2" xfId="47816"/>
    <cellStyle name="20% - Accent3 2 61 3" xfId="34312"/>
    <cellStyle name="20% - Accent3 2 62" xfId="6425"/>
    <cellStyle name="20% - Accent3 2 62 2" xfId="20900"/>
    <cellStyle name="20% - Accent3 2 62 2 2" xfId="47908"/>
    <cellStyle name="20% - Accent3 2 62 3" xfId="34404"/>
    <cellStyle name="20% - Accent3 2 63" xfId="6531"/>
    <cellStyle name="20% - Accent3 2 63 2" xfId="20992"/>
    <cellStyle name="20% - Accent3 2 63 2 2" xfId="48000"/>
    <cellStyle name="20% - Accent3 2 63 3" xfId="34496"/>
    <cellStyle name="20% - Accent3 2 64" xfId="6636"/>
    <cellStyle name="20% - Accent3 2 64 2" xfId="21083"/>
    <cellStyle name="20% - Accent3 2 64 2 2" xfId="48091"/>
    <cellStyle name="20% - Accent3 2 64 3" xfId="34587"/>
    <cellStyle name="20% - Accent3 2 65" xfId="6741"/>
    <cellStyle name="20% - Accent3 2 65 2" xfId="21174"/>
    <cellStyle name="20% - Accent3 2 65 2 2" xfId="48182"/>
    <cellStyle name="20% - Accent3 2 65 3" xfId="34678"/>
    <cellStyle name="20% - Accent3 2 66" xfId="6846"/>
    <cellStyle name="20% - Accent3 2 66 2" xfId="21265"/>
    <cellStyle name="20% - Accent3 2 66 2 2" xfId="48273"/>
    <cellStyle name="20% - Accent3 2 66 3" xfId="34769"/>
    <cellStyle name="20% - Accent3 2 67" xfId="6951"/>
    <cellStyle name="20% - Accent3 2 67 2" xfId="21356"/>
    <cellStyle name="20% - Accent3 2 67 2 2" xfId="48364"/>
    <cellStyle name="20% - Accent3 2 67 3" xfId="34860"/>
    <cellStyle name="20% - Accent3 2 68" xfId="7055"/>
    <cellStyle name="20% - Accent3 2 68 2" xfId="21446"/>
    <cellStyle name="20% - Accent3 2 68 2 2" xfId="48454"/>
    <cellStyle name="20% - Accent3 2 68 3" xfId="34950"/>
    <cellStyle name="20% - Accent3 2 69" xfId="7159"/>
    <cellStyle name="20% - Accent3 2 69 2" xfId="21536"/>
    <cellStyle name="20% - Accent3 2 69 2 2" xfId="48544"/>
    <cellStyle name="20% - Accent3 2 69 3" xfId="35040"/>
    <cellStyle name="20% - Accent3 2 7" xfId="595"/>
    <cellStyle name="20% - Accent3 2 7 2" xfId="15840"/>
    <cellStyle name="20% - Accent3 2 7 2 2" xfId="42848"/>
    <cellStyle name="20% - Accent3 2 7 3" xfId="29344"/>
    <cellStyle name="20% - Accent3 2 70" xfId="7262"/>
    <cellStyle name="20% - Accent3 2 70 2" xfId="21625"/>
    <cellStyle name="20% - Accent3 2 70 2 2" xfId="48633"/>
    <cellStyle name="20% - Accent3 2 70 3" xfId="35129"/>
    <cellStyle name="20% - Accent3 2 71" xfId="7362"/>
    <cellStyle name="20% - Accent3 2 71 2" xfId="21712"/>
    <cellStyle name="20% - Accent3 2 71 2 2" xfId="48720"/>
    <cellStyle name="20% - Accent3 2 71 3" xfId="35216"/>
    <cellStyle name="20% - Accent3 2 72" xfId="7460"/>
    <cellStyle name="20% - Accent3 2 72 2" xfId="21797"/>
    <cellStyle name="20% - Accent3 2 72 2 2" xfId="48805"/>
    <cellStyle name="20% - Accent3 2 72 3" xfId="35301"/>
    <cellStyle name="20% - Accent3 2 73" xfId="7727"/>
    <cellStyle name="20% - Accent3 2 73 2" xfId="22029"/>
    <cellStyle name="20% - Accent3 2 73 2 2" xfId="49037"/>
    <cellStyle name="20% - Accent3 2 73 3" xfId="35533"/>
    <cellStyle name="20% - Accent3 2 74" xfId="7761"/>
    <cellStyle name="20% - Accent3 2 74 2" xfId="22059"/>
    <cellStyle name="20% - Accent3 2 74 2 2" xfId="49067"/>
    <cellStyle name="20% - Accent3 2 74 3" xfId="35563"/>
    <cellStyle name="20% - Accent3 2 75" xfId="7738"/>
    <cellStyle name="20% - Accent3 2 75 2" xfId="22040"/>
    <cellStyle name="20% - Accent3 2 75 2 2" xfId="49048"/>
    <cellStyle name="20% - Accent3 2 75 3" xfId="35544"/>
    <cellStyle name="20% - Accent3 2 76" xfId="7910"/>
    <cellStyle name="20% - Accent3 2 76 2" xfId="22191"/>
    <cellStyle name="20% - Accent3 2 76 2 2" xfId="49199"/>
    <cellStyle name="20% - Accent3 2 76 3" xfId="35695"/>
    <cellStyle name="20% - Accent3 2 77" xfId="8052"/>
    <cellStyle name="20% - Accent3 2 77 2" xfId="22319"/>
    <cellStyle name="20% - Accent3 2 77 2 2" xfId="49327"/>
    <cellStyle name="20% - Accent3 2 77 3" xfId="35823"/>
    <cellStyle name="20% - Accent3 2 78" xfId="8194"/>
    <cellStyle name="20% - Accent3 2 78 2" xfId="22447"/>
    <cellStyle name="20% - Accent3 2 78 2 2" xfId="49455"/>
    <cellStyle name="20% - Accent3 2 78 3" xfId="35951"/>
    <cellStyle name="20% - Accent3 2 79" xfId="8336"/>
    <cellStyle name="20% - Accent3 2 79 2" xfId="22575"/>
    <cellStyle name="20% - Accent3 2 79 2 2" xfId="49583"/>
    <cellStyle name="20% - Accent3 2 79 3" xfId="36079"/>
    <cellStyle name="20% - Accent3 2 8" xfId="701"/>
    <cellStyle name="20% - Accent3 2 8 2" xfId="15932"/>
    <cellStyle name="20% - Accent3 2 8 2 2" xfId="42940"/>
    <cellStyle name="20% - Accent3 2 8 3" xfId="29436"/>
    <cellStyle name="20% - Accent3 2 80" xfId="8478"/>
    <cellStyle name="20% - Accent3 2 80 2" xfId="22703"/>
    <cellStyle name="20% - Accent3 2 80 2 2" xfId="49711"/>
    <cellStyle name="20% - Accent3 2 80 3" xfId="36207"/>
    <cellStyle name="20% - Accent3 2 81" xfId="8620"/>
    <cellStyle name="20% - Accent3 2 81 2" xfId="22831"/>
    <cellStyle name="20% - Accent3 2 81 2 2" xfId="49839"/>
    <cellStyle name="20% - Accent3 2 81 3" xfId="36335"/>
    <cellStyle name="20% - Accent3 2 82" xfId="8762"/>
    <cellStyle name="20% - Accent3 2 82 2" xfId="22959"/>
    <cellStyle name="20% - Accent3 2 82 2 2" xfId="49967"/>
    <cellStyle name="20% - Accent3 2 82 3" xfId="36463"/>
    <cellStyle name="20% - Accent3 2 83" xfId="8904"/>
    <cellStyle name="20% - Accent3 2 83 2" xfId="23087"/>
    <cellStyle name="20% - Accent3 2 83 2 2" xfId="50095"/>
    <cellStyle name="20% - Accent3 2 83 3" xfId="36591"/>
    <cellStyle name="20% - Accent3 2 84" xfId="9046"/>
    <cellStyle name="20% - Accent3 2 84 2" xfId="23215"/>
    <cellStyle name="20% - Accent3 2 84 2 2" xfId="50223"/>
    <cellStyle name="20% - Accent3 2 84 3" xfId="36719"/>
    <cellStyle name="20% - Accent3 2 85" xfId="9188"/>
    <cellStyle name="20% - Accent3 2 85 2" xfId="23343"/>
    <cellStyle name="20% - Accent3 2 85 2 2" xfId="50351"/>
    <cellStyle name="20% - Accent3 2 85 3" xfId="36847"/>
    <cellStyle name="20% - Accent3 2 86" xfId="9330"/>
    <cellStyle name="20% - Accent3 2 86 2" xfId="23471"/>
    <cellStyle name="20% - Accent3 2 86 2 2" xfId="50479"/>
    <cellStyle name="20% - Accent3 2 86 3" xfId="36975"/>
    <cellStyle name="20% - Accent3 2 87" xfId="9472"/>
    <cellStyle name="20% - Accent3 2 87 2" xfId="23599"/>
    <cellStyle name="20% - Accent3 2 87 2 2" xfId="50607"/>
    <cellStyle name="20% - Accent3 2 87 3" xfId="37103"/>
    <cellStyle name="20% - Accent3 2 88" xfId="9614"/>
    <cellStyle name="20% - Accent3 2 88 2" xfId="23727"/>
    <cellStyle name="20% - Accent3 2 88 2 2" xfId="50735"/>
    <cellStyle name="20% - Accent3 2 88 3" xfId="37231"/>
    <cellStyle name="20% - Accent3 2 89" xfId="9756"/>
    <cellStyle name="20% - Accent3 2 89 2" xfId="23855"/>
    <cellStyle name="20% - Accent3 2 89 2 2" xfId="50863"/>
    <cellStyle name="20% - Accent3 2 89 3" xfId="37359"/>
    <cellStyle name="20% - Accent3 2 9" xfId="807"/>
    <cellStyle name="20% - Accent3 2 9 2" xfId="16024"/>
    <cellStyle name="20% - Accent3 2 9 2 2" xfId="43032"/>
    <cellStyle name="20% - Accent3 2 9 3" xfId="29528"/>
    <cellStyle name="20% - Accent3 2 90" xfId="9898"/>
    <cellStyle name="20% - Accent3 2 90 2" xfId="23983"/>
    <cellStyle name="20% - Accent3 2 90 2 2" xfId="50991"/>
    <cellStyle name="20% - Accent3 2 90 3" xfId="37487"/>
    <cellStyle name="20% - Accent3 2 91" xfId="10040"/>
    <cellStyle name="20% - Accent3 2 91 2" xfId="24111"/>
    <cellStyle name="20% - Accent3 2 91 2 2" xfId="51119"/>
    <cellStyle name="20% - Accent3 2 91 3" xfId="37615"/>
    <cellStyle name="20% - Accent3 2 92" xfId="10182"/>
    <cellStyle name="20% - Accent3 2 92 2" xfId="24239"/>
    <cellStyle name="20% - Accent3 2 92 2 2" xfId="51247"/>
    <cellStyle name="20% - Accent3 2 92 3" xfId="37743"/>
    <cellStyle name="20% - Accent3 2 93" xfId="10324"/>
    <cellStyle name="20% - Accent3 2 93 2" xfId="24367"/>
    <cellStyle name="20% - Accent3 2 93 2 2" xfId="51375"/>
    <cellStyle name="20% - Accent3 2 93 3" xfId="37871"/>
    <cellStyle name="20% - Accent3 2 94" xfId="10466"/>
    <cellStyle name="20% - Accent3 2 94 2" xfId="24495"/>
    <cellStyle name="20% - Accent3 2 94 2 2" xfId="51503"/>
    <cellStyle name="20% - Accent3 2 94 3" xfId="37999"/>
    <cellStyle name="20% - Accent3 2 95" xfId="10608"/>
    <cellStyle name="20% - Accent3 2 95 2" xfId="24623"/>
    <cellStyle name="20% - Accent3 2 95 2 2" xfId="51631"/>
    <cellStyle name="20% - Accent3 2 95 3" xfId="38127"/>
    <cellStyle name="20% - Accent3 2 96" xfId="10750"/>
    <cellStyle name="20% - Accent3 2 96 2" xfId="24751"/>
    <cellStyle name="20% - Accent3 2 96 2 2" xfId="51759"/>
    <cellStyle name="20% - Accent3 2 96 3" xfId="38255"/>
    <cellStyle name="20% - Accent3 2 97" xfId="10892"/>
    <cellStyle name="20% - Accent3 2 97 2" xfId="24879"/>
    <cellStyle name="20% - Accent3 2 97 2 2" xfId="51887"/>
    <cellStyle name="20% - Accent3 2 97 3" xfId="38383"/>
    <cellStyle name="20% - Accent3 2 98" xfId="11034"/>
    <cellStyle name="20% - Accent3 2 98 2" xfId="25007"/>
    <cellStyle name="20% - Accent3 2 98 2 2" xfId="52015"/>
    <cellStyle name="20% - Accent3 2 98 3" xfId="38511"/>
    <cellStyle name="20% - Accent3 2 99" xfId="11176"/>
    <cellStyle name="20% - Accent3 2 99 2" xfId="25135"/>
    <cellStyle name="20% - Accent3 2 99 2 2" xfId="52143"/>
    <cellStyle name="20% - Accent3 2 99 3" xfId="38639"/>
    <cellStyle name="20% - Accent3 3" xfId="97"/>
    <cellStyle name="20% - Accent3 3 10" xfId="768"/>
    <cellStyle name="20% - Accent3 3 10 2" xfId="15996"/>
    <cellStyle name="20% - Accent3 3 10 2 2" xfId="43004"/>
    <cellStyle name="20% - Accent3 3 10 3" xfId="29500"/>
    <cellStyle name="20% - Accent3 3 100" xfId="11137"/>
    <cellStyle name="20% - Accent3 3 100 2" xfId="25105"/>
    <cellStyle name="20% - Accent3 3 100 2 2" xfId="52113"/>
    <cellStyle name="20% - Accent3 3 100 3" xfId="38609"/>
    <cellStyle name="20% - Accent3 3 101" xfId="11279"/>
    <cellStyle name="20% - Accent3 3 101 2" xfId="25233"/>
    <cellStyle name="20% - Accent3 3 101 2 2" xfId="52241"/>
    <cellStyle name="20% - Accent3 3 101 3" xfId="38737"/>
    <cellStyle name="20% - Accent3 3 102" xfId="11421"/>
    <cellStyle name="20% - Accent3 3 102 2" xfId="25361"/>
    <cellStyle name="20% - Accent3 3 102 2 2" xfId="52369"/>
    <cellStyle name="20% - Accent3 3 102 3" xfId="38865"/>
    <cellStyle name="20% - Accent3 3 103" xfId="11563"/>
    <cellStyle name="20% - Accent3 3 103 2" xfId="25489"/>
    <cellStyle name="20% - Accent3 3 103 2 2" xfId="52497"/>
    <cellStyle name="20% - Accent3 3 103 3" xfId="38993"/>
    <cellStyle name="20% - Accent3 3 104" xfId="11705"/>
    <cellStyle name="20% - Accent3 3 104 2" xfId="25617"/>
    <cellStyle name="20% - Accent3 3 104 2 2" xfId="52625"/>
    <cellStyle name="20% - Accent3 3 104 3" xfId="39121"/>
    <cellStyle name="20% - Accent3 3 105" xfId="11847"/>
    <cellStyle name="20% - Accent3 3 105 2" xfId="25745"/>
    <cellStyle name="20% - Accent3 3 105 2 2" xfId="52753"/>
    <cellStyle name="20% - Accent3 3 105 3" xfId="39249"/>
    <cellStyle name="20% - Accent3 3 106" xfId="11989"/>
    <cellStyle name="20% - Accent3 3 106 2" xfId="25873"/>
    <cellStyle name="20% - Accent3 3 106 2 2" xfId="52881"/>
    <cellStyle name="20% - Accent3 3 106 3" xfId="39377"/>
    <cellStyle name="20% - Accent3 3 107" xfId="12131"/>
    <cellStyle name="20% - Accent3 3 107 2" xfId="26001"/>
    <cellStyle name="20% - Accent3 3 107 2 2" xfId="53009"/>
    <cellStyle name="20% - Accent3 3 107 3" xfId="39505"/>
    <cellStyle name="20% - Accent3 3 108" xfId="12273"/>
    <cellStyle name="20% - Accent3 3 108 2" xfId="26129"/>
    <cellStyle name="20% - Accent3 3 108 2 2" xfId="53137"/>
    <cellStyle name="20% - Accent3 3 108 3" xfId="39633"/>
    <cellStyle name="20% - Accent3 3 109" xfId="12415"/>
    <cellStyle name="20% - Accent3 3 109 2" xfId="26257"/>
    <cellStyle name="20% - Accent3 3 109 2 2" xfId="53265"/>
    <cellStyle name="20% - Accent3 3 109 3" xfId="39761"/>
    <cellStyle name="20% - Accent3 3 11" xfId="874"/>
    <cellStyle name="20% - Accent3 3 11 2" xfId="16088"/>
    <cellStyle name="20% - Accent3 3 11 2 2" xfId="43096"/>
    <cellStyle name="20% - Accent3 3 11 3" xfId="29592"/>
    <cellStyle name="20% - Accent3 3 110" xfId="12557"/>
    <cellStyle name="20% - Accent3 3 110 2" xfId="26385"/>
    <cellStyle name="20% - Accent3 3 110 2 2" xfId="53393"/>
    <cellStyle name="20% - Accent3 3 110 3" xfId="39889"/>
    <cellStyle name="20% - Accent3 3 111" xfId="12699"/>
    <cellStyle name="20% - Accent3 3 111 2" xfId="26513"/>
    <cellStyle name="20% - Accent3 3 111 2 2" xfId="53521"/>
    <cellStyle name="20% - Accent3 3 111 3" xfId="40017"/>
    <cellStyle name="20% - Accent3 3 112" xfId="12841"/>
    <cellStyle name="20% - Accent3 3 112 2" xfId="26641"/>
    <cellStyle name="20% - Accent3 3 112 2 2" xfId="53649"/>
    <cellStyle name="20% - Accent3 3 112 3" xfId="40145"/>
    <cellStyle name="20% - Accent3 3 113" xfId="12983"/>
    <cellStyle name="20% - Accent3 3 113 2" xfId="26769"/>
    <cellStyle name="20% - Accent3 3 113 2 2" xfId="53777"/>
    <cellStyle name="20% - Accent3 3 113 3" xfId="40273"/>
    <cellStyle name="20% - Accent3 3 114" xfId="13125"/>
    <cellStyle name="20% - Accent3 3 114 2" xfId="26897"/>
    <cellStyle name="20% - Accent3 3 114 2 2" xfId="53905"/>
    <cellStyle name="20% - Accent3 3 114 3" xfId="40401"/>
    <cellStyle name="20% - Accent3 3 115" xfId="13267"/>
    <cellStyle name="20% - Accent3 3 115 2" xfId="27025"/>
    <cellStyle name="20% - Accent3 3 115 2 2" xfId="54033"/>
    <cellStyle name="20% - Accent3 3 115 3" xfId="40529"/>
    <cellStyle name="20% - Accent3 3 116" xfId="13409"/>
    <cellStyle name="20% - Accent3 3 116 2" xfId="27153"/>
    <cellStyle name="20% - Accent3 3 116 2 2" xfId="54161"/>
    <cellStyle name="20% - Accent3 3 116 3" xfId="40657"/>
    <cellStyle name="20% - Accent3 3 117" xfId="13551"/>
    <cellStyle name="20% - Accent3 3 117 2" xfId="27281"/>
    <cellStyle name="20% - Accent3 3 117 2 2" xfId="54289"/>
    <cellStyle name="20% - Accent3 3 117 3" xfId="40785"/>
    <cellStyle name="20% - Accent3 3 118" xfId="13693"/>
    <cellStyle name="20% - Accent3 3 118 2" xfId="27409"/>
    <cellStyle name="20% - Accent3 3 118 2 2" xfId="54417"/>
    <cellStyle name="20% - Accent3 3 118 3" xfId="40913"/>
    <cellStyle name="20% - Accent3 3 119" xfId="13834"/>
    <cellStyle name="20% - Accent3 3 119 2" xfId="27536"/>
    <cellStyle name="20% - Accent3 3 119 2 2" xfId="54544"/>
    <cellStyle name="20% - Accent3 3 119 3" xfId="41040"/>
    <cellStyle name="20% - Accent3 3 12" xfId="980"/>
    <cellStyle name="20% - Accent3 3 12 2" xfId="16180"/>
    <cellStyle name="20% - Accent3 3 12 2 2" xfId="43188"/>
    <cellStyle name="20% - Accent3 3 12 3" xfId="29684"/>
    <cellStyle name="20% - Accent3 3 120" xfId="13975"/>
    <cellStyle name="20% - Accent3 3 120 2" xfId="27663"/>
    <cellStyle name="20% - Accent3 3 120 2 2" xfId="54671"/>
    <cellStyle name="20% - Accent3 3 120 3" xfId="41167"/>
    <cellStyle name="20% - Accent3 3 121" xfId="14116"/>
    <cellStyle name="20% - Accent3 3 121 2" xfId="27790"/>
    <cellStyle name="20% - Accent3 3 121 2 2" xfId="54798"/>
    <cellStyle name="20% - Accent3 3 121 3" xfId="41294"/>
    <cellStyle name="20% - Accent3 3 122" xfId="14257"/>
    <cellStyle name="20% - Accent3 3 122 2" xfId="27917"/>
    <cellStyle name="20% - Accent3 3 122 2 2" xfId="54925"/>
    <cellStyle name="20% - Accent3 3 122 3" xfId="41421"/>
    <cellStyle name="20% - Accent3 3 123" xfId="14398"/>
    <cellStyle name="20% - Accent3 3 123 2" xfId="28044"/>
    <cellStyle name="20% - Accent3 3 123 2 2" xfId="55052"/>
    <cellStyle name="20% - Accent3 3 123 3" xfId="41548"/>
    <cellStyle name="20% - Accent3 3 124" xfId="14538"/>
    <cellStyle name="20% - Accent3 3 124 2" xfId="28170"/>
    <cellStyle name="20% - Accent3 3 124 2 2" xfId="55178"/>
    <cellStyle name="20% - Accent3 3 124 3" xfId="41674"/>
    <cellStyle name="20% - Accent3 3 125" xfId="14678"/>
    <cellStyle name="20% - Accent3 3 125 2" xfId="28296"/>
    <cellStyle name="20% - Accent3 3 125 2 2" xfId="55304"/>
    <cellStyle name="20% - Accent3 3 125 3" xfId="41800"/>
    <cellStyle name="20% - Accent3 3 126" xfId="15465"/>
    <cellStyle name="20% - Accent3 3 126 2" xfId="42473"/>
    <cellStyle name="20% - Accent3 3 127" xfId="28969"/>
    <cellStyle name="20% - Accent3 3 13" xfId="1086"/>
    <cellStyle name="20% - Accent3 3 13 2" xfId="16272"/>
    <cellStyle name="20% - Accent3 3 13 2 2" xfId="43280"/>
    <cellStyle name="20% - Accent3 3 13 3" xfId="29776"/>
    <cellStyle name="20% - Accent3 3 14" xfId="1192"/>
    <cellStyle name="20% - Accent3 3 14 2" xfId="16364"/>
    <cellStyle name="20% - Accent3 3 14 2 2" xfId="43372"/>
    <cellStyle name="20% - Accent3 3 14 3" xfId="29868"/>
    <cellStyle name="20% - Accent3 3 15" xfId="1298"/>
    <cellStyle name="20% - Accent3 3 15 2" xfId="16456"/>
    <cellStyle name="20% - Accent3 3 15 2 2" xfId="43464"/>
    <cellStyle name="20% - Accent3 3 15 3" xfId="29960"/>
    <cellStyle name="20% - Accent3 3 16" xfId="1404"/>
    <cellStyle name="20% - Accent3 3 16 2" xfId="16548"/>
    <cellStyle name="20% - Accent3 3 16 2 2" xfId="43556"/>
    <cellStyle name="20% - Accent3 3 16 3" xfId="30052"/>
    <cellStyle name="20% - Accent3 3 17" xfId="1510"/>
    <cellStyle name="20% - Accent3 3 17 2" xfId="16640"/>
    <cellStyle name="20% - Accent3 3 17 2 2" xfId="43648"/>
    <cellStyle name="20% - Accent3 3 17 3" xfId="30144"/>
    <cellStyle name="20% - Accent3 3 18" xfId="1616"/>
    <cellStyle name="20% - Accent3 3 18 2" xfId="16732"/>
    <cellStyle name="20% - Accent3 3 18 2 2" xfId="43740"/>
    <cellStyle name="20% - Accent3 3 18 3" xfId="30236"/>
    <cellStyle name="20% - Accent3 3 19" xfId="1722"/>
    <cellStyle name="20% - Accent3 3 19 2" xfId="16824"/>
    <cellStyle name="20% - Accent3 3 19 2 2" xfId="43832"/>
    <cellStyle name="20% - Accent3 3 19 3" xfId="30328"/>
    <cellStyle name="20% - Accent3 3 2" xfId="276"/>
    <cellStyle name="20% - Accent3 3 2 2" xfId="15585"/>
    <cellStyle name="20% - Accent3 3 2 2 2" xfId="42593"/>
    <cellStyle name="20% - Accent3 3 2 3" xfId="29089"/>
    <cellStyle name="20% - Accent3 3 20" xfId="1828"/>
    <cellStyle name="20% - Accent3 3 20 2" xfId="16916"/>
    <cellStyle name="20% - Accent3 3 20 2 2" xfId="43924"/>
    <cellStyle name="20% - Accent3 3 20 3" xfId="30420"/>
    <cellStyle name="20% - Accent3 3 21" xfId="1934"/>
    <cellStyle name="20% - Accent3 3 21 2" xfId="17008"/>
    <cellStyle name="20% - Accent3 3 21 2 2" xfId="44016"/>
    <cellStyle name="20% - Accent3 3 21 3" xfId="30512"/>
    <cellStyle name="20% - Accent3 3 22" xfId="2040"/>
    <cellStyle name="20% - Accent3 3 22 2" xfId="17100"/>
    <cellStyle name="20% - Accent3 3 22 2 2" xfId="44108"/>
    <cellStyle name="20% - Accent3 3 22 3" xfId="30604"/>
    <cellStyle name="20% - Accent3 3 23" xfId="2146"/>
    <cellStyle name="20% - Accent3 3 23 2" xfId="17192"/>
    <cellStyle name="20% - Accent3 3 23 2 2" xfId="44200"/>
    <cellStyle name="20% - Accent3 3 23 3" xfId="30696"/>
    <cellStyle name="20% - Accent3 3 24" xfId="2252"/>
    <cellStyle name="20% - Accent3 3 24 2" xfId="17284"/>
    <cellStyle name="20% - Accent3 3 24 2 2" xfId="44292"/>
    <cellStyle name="20% - Accent3 3 24 3" xfId="30788"/>
    <cellStyle name="20% - Accent3 3 25" xfId="2358"/>
    <cellStyle name="20% - Accent3 3 25 2" xfId="17376"/>
    <cellStyle name="20% - Accent3 3 25 2 2" xfId="44384"/>
    <cellStyle name="20% - Accent3 3 25 3" xfId="30880"/>
    <cellStyle name="20% - Accent3 3 26" xfId="2464"/>
    <cellStyle name="20% - Accent3 3 26 2" xfId="17468"/>
    <cellStyle name="20% - Accent3 3 26 2 2" xfId="44476"/>
    <cellStyle name="20% - Accent3 3 26 3" xfId="30972"/>
    <cellStyle name="20% - Accent3 3 27" xfId="2570"/>
    <cellStyle name="20% - Accent3 3 27 2" xfId="17560"/>
    <cellStyle name="20% - Accent3 3 27 2 2" xfId="44568"/>
    <cellStyle name="20% - Accent3 3 27 3" xfId="31064"/>
    <cellStyle name="20% - Accent3 3 28" xfId="2676"/>
    <cellStyle name="20% - Accent3 3 28 2" xfId="17652"/>
    <cellStyle name="20% - Accent3 3 28 2 2" xfId="44660"/>
    <cellStyle name="20% - Accent3 3 28 3" xfId="31156"/>
    <cellStyle name="20% - Accent3 3 29" xfId="2782"/>
    <cellStyle name="20% - Accent3 3 29 2" xfId="17744"/>
    <cellStyle name="20% - Accent3 3 29 2 2" xfId="44752"/>
    <cellStyle name="20% - Accent3 3 29 3" xfId="31248"/>
    <cellStyle name="20% - Accent3 3 3" xfId="466"/>
    <cellStyle name="20% - Accent3 3 3 2" xfId="15727"/>
    <cellStyle name="20% - Accent3 3 3 2 2" xfId="42735"/>
    <cellStyle name="20% - Accent3 3 3 3" xfId="29231"/>
    <cellStyle name="20% - Accent3 3 30" xfId="2888"/>
    <cellStyle name="20% - Accent3 3 30 2" xfId="17836"/>
    <cellStyle name="20% - Accent3 3 30 2 2" xfId="44844"/>
    <cellStyle name="20% - Accent3 3 30 3" xfId="31340"/>
    <cellStyle name="20% - Accent3 3 31" xfId="2994"/>
    <cellStyle name="20% - Accent3 3 31 2" xfId="17928"/>
    <cellStyle name="20% - Accent3 3 31 2 2" xfId="44936"/>
    <cellStyle name="20% - Accent3 3 31 3" xfId="31432"/>
    <cellStyle name="20% - Accent3 3 32" xfId="3100"/>
    <cellStyle name="20% - Accent3 3 32 2" xfId="18020"/>
    <cellStyle name="20% - Accent3 3 32 2 2" xfId="45028"/>
    <cellStyle name="20% - Accent3 3 32 3" xfId="31524"/>
    <cellStyle name="20% - Accent3 3 33" xfId="3206"/>
    <cellStyle name="20% - Accent3 3 33 2" xfId="18112"/>
    <cellStyle name="20% - Accent3 3 33 2 2" xfId="45120"/>
    <cellStyle name="20% - Accent3 3 33 3" xfId="31616"/>
    <cellStyle name="20% - Accent3 3 34" xfId="3312"/>
    <cellStyle name="20% - Accent3 3 34 2" xfId="18204"/>
    <cellStyle name="20% - Accent3 3 34 2 2" xfId="45212"/>
    <cellStyle name="20% - Accent3 3 34 3" xfId="31708"/>
    <cellStyle name="20% - Accent3 3 35" xfId="3418"/>
    <cellStyle name="20% - Accent3 3 35 2" xfId="18296"/>
    <cellStyle name="20% - Accent3 3 35 2 2" xfId="45304"/>
    <cellStyle name="20% - Accent3 3 35 3" xfId="31800"/>
    <cellStyle name="20% - Accent3 3 36" xfId="3524"/>
    <cellStyle name="20% - Accent3 3 36 2" xfId="18388"/>
    <cellStyle name="20% - Accent3 3 36 2 2" xfId="45396"/>
    <cellStyle name="20% - Accent3 3 36 3" xfId="31892"/>
    <cellStyle name="20% - Accent3 3 37" xfId="3630"/>
    <cellStyle name="20% - Accent3 3 37 2" xfId="18480"/>
    <cellStyle name="20% - Accent3 3 37 2 2" xfId="45488"/>
    <cellStyle name="20% - Accent3 3 37 3" xfId="31984"/>
    <cellStyle name="20% - Accent3 3 38" xfId="3736"/>
    <cellStyle name="20% - Accent3 3 38 2" xfId="18572"/>
    <cellStyle name="20% - Accent3 3 38 2 2" xfId="45580"/>
    <cellStyle name="20% - Accent3 3 38 3" xfId="32076"/>
    <cellStyle name="20% - Accent3 3 39" xfId="3842"/>
    <cellStyle name="20% - Accent3 3 39 2" xfId="18664"/>
    <cellStyle name="20% - Accent3 3 39 2 2" xfId="45672"/>
    <cellStyle name="20% - Accent3 3 39 3" xfId="32168"/>
    <cellStyle name="20% - Accent3 3 4" xfId="294"/>
    <cellStyle name="20% - Accent3 3 4 2" xfId="15596"/>
    <cellStyle name="20% - Accent3 3 4 2 2" xfId="42604"/>
    <cellStyle name="20% - Accent3 3 4 3" xfId="29100"/>
    <cellStyle name="20% - Accent3 3 40" xfId="3948"/>
    <cellStyle name="20% - Accent3 3 40 2" xfId="18756"/>
    <cellStyle name="20% - Accent3 3 40 2 2" xfId="45764"/>
    <cellStyle name="20% - Accent3 3 40 3" xfId="32260"/>
    <cellStyle name="20% - Accent3 3 41" xfId="4054"/>
    <cellStyle name="20% - Accent3 3 41 2" xfId="18848"/>
    <cellStyle name="20% - Accent3 3 41 2 2" xfId="45856"/>
    <cellStyle name="20% - Accent3 3 41 3" xfId="32352"/>
    <cellStyle name="20% - Accent3 3 42" xfId="4160"/>
    <cellStyle name="20% - Accent3 3 42 2" xfId="18940"/>
    <cellStyle name="20% - Accent3 3 42 2 2" xfId="45948"/>
    <cellStyle name="20% - Accent3 3 42 3" xfId="32444"/>
    <cellStyle name="20% - Accent3 3 43" xfId="4266"/>
    <cellStyle name="20% - Accent3 3 43 2" xfId="19032"/>
    <cellStyle name="20% - Accent3 3 43 2 2" xfId="46040"/>
    <cellStyle name="20% - Accent3 3 43 3" xfId="32536"/>
    <cellStyle name="20% - Accent3 3 44" xfId="4372"/>
    <cellStyle name="20% - Accent3 3 44 2" xfId="19124"/>
    <cellStyle name="20% - Accent3 3 44 2 2" xfId="46132"/>
    <cellStyle name="20% - Accent3 3 44 3" xfId="32628"/>
    <cellStyle name="20% - Accent3 3 45" xfId="4478"/>
    <cellStyle name="20% - Accent3 3 45 2" xfId="19216"/>
    <cellStyle name="20% - Accent3 3 45 2 2" xfId="46224"/>
    <cellStyle name="20% - Accent3 3 45 3" xfId="32720"/>
    <cellStyle name="20% - Accent3 3 46" xfId="4584"/>
    <cellStyle name="20% - Accent3 3 46 2" xfId="19308"/>
    <cellStyle name="20% - Accent3 3 46 2 2" xfId="46316"/>
    <cellStyle name="20% - Accent3 3 46 3" xfId="32812"/>
    <cellStyle name="20% - Accent3 3 47" xfId="4690"/>
    <cellStyle name="20% - Accent3 3 47 2" xfId="19400"/>
    <cellStyle name="20% - Accent3 3 47 2 2" xfId="46408"/>
    <cellStyle name="20% - Accent3 3 47 3" xfId="32904"/>
    <cellStyle name="20% - Accent3 3 48" xfId="4796"/>
    <cellStyle name="20% - Accent3 3 48 2" xfId="19492"/>
    <cellStyle name="20% - Accent3 3 48 2 2" xfId="46500"/>
    <cellStyle name="20% - Accent3 3 48 3" xfId="32996"/>
    <cellStyle name="20% - Accent3 3 49" xfId="4902"/>
    <cellStyle name="20% - Accent3 3 49 2" xfId="19584"/>
    <cellStyle name="20% - Accent3 3 49 2 2" xfId="46592"/>
    <cellStyle name="20% - Accent3 3 49 3" xfId="33088"/>
    <cellStyle name="20% - Accent3 3 5" xfId="448"/>
    <cellStyle name="20% - Accent3 3 5 2" xfId="15712"/>
    <cellStyle name="20% - Accent3 3 5 2 2" xfId="42720"/>
    <cellStyle name="20% - Accent3 3 5 3" xfId="29216"/>
    <cellStyle name="20% - Accent3 3 50" xfId="5008"/>
    <cellStyle name="20% - Accent3 3 50 2" xfId="19676"/>
    <cellStyle name="20% - Accent3 3 50 2 2" xfId="46684"/>
    <cellStyle name="20% - Accent3 3 50 3" xfId="33180"/>
    <cellStyle name="20% - Accent3 3 51" xfId="5114"/>
    <cellStyle name="20% - Accent3 3 51 2" xfId="19768"/>
    <cellStyle name="20% - Accent3 3 51 2 2" xfId="46776"/>
    <cellStyle name="20% - Accent3 3 51 3" xfId="33272"/>
    <cellStyle name="20% - Accent3 3 52" xfId="5220"/>
    <cellStyle name="20% - Accent3 3 52 2" xfId="19860"/>
    <cellStyle name="20% - Accent3 3 52 2 2" xfId="46868"/>
    <cellStyle name="20% - Accent3 3 52 3" xfId="33364"/>
    <cellStyle name="20% - Accent3 3 53" xfId="5326"/>
    <cellStyle name="20% - Accent3 3 53 2" xfId="19952"/>
    <cellStyle name="20% - Accent3 3 53 2 2" xfId="46960"/>
    <cellStyle name="20% - Accent3 3 53 3" xfId="33456"/>
    <cellStyle name="20% - Accent3 3 54" xfId="5432"/>
    <cellStyle name="20% - Accent3 3 54 2" xfId="20044"/>
    <cellStyle name="20% - Accent3 3 54 2 2" xfId="47052"/>
    <cellStyle name="20% - Accent3 3 54 3" xfId="33548"/>
    <cellStyle name="20% - Accent3 3 55" xfId="5538"/>
    <cellStyle name="20% - Accent3 3 55 2" xfId="20136"/>
    <cellStyle name="20% - Accent3 3 55 2 2" xfId="47144"/>
    <cellStyle name="20% - Accent3 3 55 3" xfId="33640"/>
    <cellStyle name="20% - Accent3 3 56" xfId="5644"/>
    <cellStyle name="20% - Accent3 3 56 2" xfId="20228"/>
    <cellStyle name="20% - Accent3 3 56 2 2" xfId="47236"/>
    <cellStyle name="20% - Accent3 3 56 3" xfId="33732"/>
    <cellStyle name="20% - Accent3 3 57" xfId="5750"/>
    <cellStyle name="20% - Accent3 3 57 2" xfId="20320"/>
    <cellStyle name="20% - Accent3 3 57 2 2" xfId="47328"/>
    <cellStyle name="20% - Accent3 3 57 3" xfId="33824"/>
    <cellStyle name="20% - Accent3 3 58" xfId="5856"/>
    <cellStyle name="20% - Accent3 3 58 2" xfId="20412"/>
    <cellStyle name="20% - Accent3 3 58 2 2" xfId="47420"/>
    <cellStyle name="20% - Accent3 3 58 3" xfId="33916"/>
    <cellStyle name="20% - Accent3 3 59" xfId="5962"/>
    <cellStyle name="20% - Accent3 3 59 2" xfId="20504"/>
    <cellStyle name="20% - Accent3 3 59 2 2" xfId="47512"/>
    <cellStyle name="20% - Accent3 3 59 3" xfId="34008"/>
    <cellStyle name="20% - Accent3 3 6" xfId="264"/>
    <cellStyle name="20% - Accent3 3 6 2" xfId="15578"/>
    <cellStyle name="20% - Accent3 3 6 2 2" xfId="42586"/>
    <cellStyle name="20% - Accent3 3 6 3" xfId="29082"/>
    <cellStyle name="20% - Accent3 3 60" xfId="6068"/>
    <cellStyle name="20% - Accent3 3 60 2" xfId="20596"/>
    <cellStyle name="20% - Accent3 3 60 2 2" xfId="47604"/>
    <cellStyle name="20% - Accent3 3 60 3" xfId="34100"/>
    <cellStyle name="20% - Accent3 3 61" xfId="6174"/>
    <cellStyle name="20% - Accent3 3 61 2" xfId="20688"/>
    <cellStyle name="20% - Accent3 3 61 2 2" xfId="47696"/>
    <cellStyle name="20% - Accent3 3 61 3" xfId="34192"/>
    <cellStyle name="20% - Accent3 3 62" xfId="6280"/>
    <cellStyle name="20% - Accent3 3 62 2" xfId="20780"/>
    <cellStyle name="20% - Accent3 3 62 2 2" xfId="47788"/>
    <cellStyle name="20% - Accent3 3 62 3" xfId="34284"/>
    <cellStyle name="20% - Accent3 3 63" xfId="6386"/>
    <cellStyle name="20% - Accent3 3 63 2" xfId="20872"/>
    <cellStyle name="20% - Accent3 3 63 2 2" xfId="47880"/>
    <cellStyle name="20% - Accent3 3 63 3" xfId="34376"/>
    <cellStyle name="20% - Accent3 3 64" xfId="6492"/>
    <cellStyle name="20% - Accent3 3 64 2" xfId="20964"/>
    <cellStyle name="20% - Accent3 3 64 2 2" xfId="47972"/>
    <cellStyle name="20% - Accent3 3 64 3" xfId="34468"/>
    <cellStyle name="20% - Accent3 3 65" xfId="6597"/>
    <cellStyle name="20% - Accent3 3 65 2" xfId="21055"/>
    <cellStyle name="20% - Accent3 3 65 2 2" xfId="48063"/>
    <cellStyle name="20% - Accent3 3 65 3" xfId="34559"/>
    <cellStyle name="20% - Accent3 3 66" xfId="6702"/>
    <cellStyle name="20% - Accent3 3 66 2" xfId="21146"/>
    <cellStyle name="20% - Accent3 3 66 2 2" xfId="48154"/>
    <cellStyle name="20% - Accent3 3 66 3" xfId="34650"/>
    <cellStyle name="20% - Accent3 3 67" xfId="6807"/>
    <cellStyle name="20% - Accent3 3 67 2" xfId="21237"/>
    <cellStyle name="20% - Accent3 3 67 2 2" xfId="48245"/>
    <cellStyle name="20% - Accent3 3 67 3" xfId="34741"/>
    <cellStyle name="20% - Accent3 3 68" xfId="6912"/>
    <cellStyle name="20% - Accent3 3 68 2" xfId="21328"/>
    <cellStyle name="20% - Accent3 3 68 2 2" xfId="48336"/>
    <cellStyle name="20% - Accent3 3 68 3" xfId="34832"/>
    <cellStyle name="20% - Accent3 3 69" xfId="7017"/>
    <cellStyle name="20% - Accent3 3 69 2" xfId="21419"/>
    <cellStyle name="20% - Accent3 3 69 2 2" xfId="48427"/>
    <cellStyle name="20% - Accent3 3 69 3" xfId="34923"/>
    <cellStyle name="20% - Accent3 3 7" xfId="202"/>
    <cellStyle name="20% - Accent3 3 7 2" xfId="15551"/>
    <cellStyle name="20% - Accent3 3 7 2 2" xfId="42559"/>
    <cellStyle name="20% - Accent3 3 7 3" xfId="29055"/>
    <cellStyle name="20% - Accent3 3 70" xfId="7121"/>
    <cellStyle name="20% - Accent3 3 70 2" xfId="21509"/>
    <cellStyle name="20% - Accent3 3 70 2 2" xfId="48517"/>
    <cellStyle name="20% - Accent3 3 70 3" xfId="35013"/>
    <cellStyle name="20% - Accent3 3 71" xfId="7225"/>
    <cellStyle name="20% - Accent3 3 71 2" xfId="21599"/>
    <cellStyle name="20% - Accent3 3 71 2 2" xfId="48607"/>
    <cellStyle name="20% - Accent3 3 71 3" xfId="35103"/>
    <cellStyle name="20% - Accent3 3 72" xfId="7777"/>
    <cellStyle name="20% - Accent3 3 72 2" xfId="22072"/>
    <cellStyle name="20% - Accent3 3 72 2 2" xfId="49080"/>
    <cellStyle name="20% - Accent3 3 72 3" xfId="35576"/>
    <cellStyle name="20% - Accent3 3 73" xfId="7733"/>
    <cellStyle name="20% - Accent3 3 73 2" xfId="22035"/>
    <cellStyle name="20% - Accent3 3 73 2 2" xfId="49043"/>
    <cellStyle name="20% - Accent3 3 73 3" xfId="35539"/>
    <cellStyle name="20% - Accent3 3 74" xfId="7759"/>
    <cellStyle name="20% - Accent3 3 74 2" xfId="22057"/>
    <cellStyle name="20% - Accent3 3 74 2 2" xfId="49065"/>
    <cellStyle name="20% - Accent3 3 74 3" xfId="35561"/>
    <cellStyle name="20% - Accent3 3 75" xfId="7710"/>
    <cellStyle name="20% - Accent3 3 75 2" xfId="22013"/>
    <cellStyle name="20% - Accent3 3 75 2 2" xfId="49021"/>
    <cellStyle name="20% - Accent3 3 75 3" xfId="35517"/>
    <cellStyle name="20% - Accent3 3 76" xfId="7703"/>
    <cellStyle name="20% - Accent3 3 76 2" xfId="22010"/>
    <cellStyle name="20% - Accent3 3 76 2 2" xfId="49018"/>
    <cellStyle name="20% - Accent3 3 76 3" xfId="35514"/>
    <cellStyle name="20% - Accent3 3 77" xfId="7871"/>
    <cellStyle name="20% - Accent3 3 77 2" xfId="22161"/>
    <cellStyle name="20% - Accent3 3 77 2 2" xfId="49169"/>
    <cellStyle name="20% - Accent3 3 77 3" xfId="35665"/>
    <cellStyle name="20% - Accent3 3 78" xfId="8013"/>
    <cellStyle name="20% - Accent3 3 78 2" xfId="22289"/>
    <cellStyle name="20% - Accent3 3 78 2 2" xfId="49297"/>
    <cellStyle name="20% - Accent3 3 78 3" xfId="35793"/>
    <cellStyle name="20% - Accent3 3 79" xfId="8155"/>
    <cellStyle name="20% - Accent3 3 79 2" xfId="22417"/>
    <cellStyle name="20% - Accent3 3 79 2 2" xfId="49425"/>
    <cellStyle name="20% - Accent3 3 79 3" xfId="35921"/>
    <cellStyle name="20% - Accent3 3 8" xfId="557"/>
    <cellStyle name="20% - Accent3 3 8 2" xfId="15813"/>
    <cellStyle name="20% - Accent3 3 8 2 2" xfId="42821"/>
    <cellStyle name="20% - Accent3 3 8 3" xfId="29317"/>
    <cellStyle name="20% - Accent3 3 80" xfId="8297"/>
    <cellStyle name="20% - Accent3 3 80 2" xfId="22545"/>
    <cellStyle name="20% - Accent3 3 80 2 2" xfId="49553"/>
    <cellStyle name="20% - Accent3 3 80 3" xfId="36049"/>
    <cellStyle name="20% - Accent3 3 81" xfId="8439"/>
    <cellStyle name="20% - Accent3 3 81 2" xfId="22673"/>
    <cellStyle name="20% - Accent3 3 81 2 2" xfId="49681"/>
    <cellStyle name="20% - Accent3 3 81 3" xfId="36177"/>
    <cellStyle name="20% - Accent3 3 82" xfId="8581"/>
    <cellStyle name="20% - Accent3 3 82 2" xfId="22801"/>
    <cellStyle name="20% - Accent3 3 82 2 2" xfId="49809"/>
    <cellStyle name="20% - Accent3 3 82 3" xfId="36305"/>
    <cellStyle name="20% - Accent3 3 83" xfId="8723"/>
    <cellStyle name="20% - Accent3 3 83 2" xfId="22929"/>
    <cellStyle name="20% - Accent3 3 83 2 2" xfId="49937"/>
    <cellStyle name="20% - Accent3 3 83 3" xfId="36433"/>
    <cellStyle name="20% - Accent3 3 84" xfId="8865"/>
    <cellStyle name="20% - Accent3 3 84 2" xfId="23057"/>
    <cellStyle name="20% - Accent3 3 84 2 2" xfId="50065"/>
    <cellStyle name="20% - Accent3 3 84 3" xfId="36561"/>
    <cellStyle name="20% - Accent3 3 85" xfId="9007"/>
    <cellStyle name="20% - Accent3 3 85 2" xfId="23185"/>
    <cellStyle name="20% - Accent3 3 85 2 2" xfId="50193"/>
    <cellStyle name="20% - Accent3 3 85 3" xfId="36689"/>
    <cellStyle name="20% - Accent3 3 86" xfId="9149"/>
    <cellStyle name="20% - Accent3 3 86 2" xfId="23313"/>
    <cellStyle name="20% - Accent3 3 86 2 2" xfId="50321"/>
    <cellStyle name="20% - Accent3 3 86 3" xfId="36817"/>
    <cellStyle name="20% - Accent3 3 87" xfId="9291"/>
    <cellStyle name="20% - Accent3 3 87 2" xfId="23441"/>
    <cellStyle name="20% - Accent3 3 87 2 2" xfId="50449"/>
    <cellStyle name="20% - Accent3 3 87 3" xfId="36945"/>
    <cellStyle name="20% - Accent3 3 88" xfId="9433"/>
    <cellStyle name="20% - Accent3 3 88 2" xfId="23569"/>
    <cellStyle name="20% - Accent3 3 88 2 2" xfId="50577"/>
    <cellStyle name="20% - Accent3 3 88 3" xfId="37073"/>
    <cellStyle name="20% - Accent3 3 89" xfId="9575"/>
    <cellStyle name="20% - Accent3 3 89 2" xfId="23697"/>
    <cellStyle name="20% - Accent3 3 89 2 2" xfId="50705"/>
    <cellStyle name="20% - Accent3 3 89 3" xfId="37201"/>
    <cellStyle name="20% - Accent3 3 9" xfId="662"/>
    <cellStyle name="20% - Accent3 3 9 2" xfId="15904"/>
    <cellStyle name="20% - Accent3 3 9 2 2" xfId="42912"/>
    <cellStyle name="20% - Accent3 3 9 3" xfId="29408"/>
    <cellStyle name="20% - Accent3 3 90" xfId="9717"/>
    <cellStyle name="20% - Accent3 3 90 2" xfId="23825"/>
    <cellStyle name="20% - Accent3 3 90 2 2" xfId="50833"/>
    <cellStyle name="20% - Accent3 3 90 3" xfId="37329"/>
    <cellStyle name="20% - Accent3 3 91" xfId="9859"/>
    <cellStyle name="20% - Accent3 3 91 2" xfId="23953"/>
    <cellStyle name="20% - Accent3 3 91 2 2" xfId="50961"/>
    <cellStyle name="20% - Accent3 3 91 3" xfId="37457"/>
    <cellStyle name="20% - Accent3 3 92" xfId="10001"/>
    <cellStyle name="20% - Accent3 3 92 2" xfId="24081"/>
    <cellStyle name="20% - Accent3 3 92 2 2" xfId="51089"/>
    <cellStyle name="20% - Accent3 3 92 3" xfId="37585"/>
    <cellStyle name="20% - Accent3 3 93" xfId="10143"/>
    <cellStyle name="20% - Accent3 3 93 2" xfId="24209"/>
    <cellStyle name="20% - Accent3 3 93 2 2" xfId="51217"/>
    <cellStyle name="20% - Accent3 3 93 3" xfId="37713"/>
    <cellStyle name="20% - Accent3 3 94" xfId="10285"/>
    <cellStyle name="20% - Accent3 3 94 2" xfId="24337"/>
    <cellStyle name="20% - Accent3 3 94 2 2" xfId="51345"/>
    <cellStyle name="20% - Accent3 3 94 3" xfId="37841"/>
    <cellStyle name="20% - Accent3 3 95" xfId="10427"/>
    <cellStyle name="20% - Accent3 3 95 2" xfId="24465"/>
    <cellStyle name="20% - Accent3 3 95 2 2" xfId="51473"/>
    <cellStyle name="20% - Accent3 3 95 3" xfId="37969"/>
    <cellStyle name="20% - Accent3 3 96" xfId="10569"/>
    <cellStyle name="20% - Accent3 3 96 2" xfId="24593"/>
    <cellStyle name="20% - Accent3 3 96 2 2" xfId="51601"/>
    <cellStyle name="20% - Accent3 3 96 3" xfId="38097"/>
    <cellStyle name="20% - Accent3 3 97" xfId="10711"/>
    <cellStyle name="20% - Accent3 3 97 2" xfId="24721"/>
    <cellStyle name="20% - Accent3 3 97 2 2" xfId="51729"/>
    <cellStyle name="20% - Accent3 3 97 3" xfId="38225"/>
    <cellStyle name="20% - Accent3 3 98" xfId="10853"/>
    <cellStyle name="20% - Accent3 3 98 2" xfId="24849"/>
    <cellStyle name="20% - Accent3 3 98 2 2" xfId="51857"/>
    <cellStyle name="20% - Accent3 3 98 3" xfId="38353"/>
    <cellStyle name="20% - Accent3 3 99" xfId="10995"/>
    <cellStyle name="20% - Accent3 3 99 2" xfId="24977"/>
    <cellStyle name="20% - Accent3 3 99 2 2" xfId="51985"/>
    <cellStyle name="20% - Accent3 3 99 3" xfId="38481"/>
    <cellStyle name="20% - Accent3 4" xfId="394"/>
    <cellStyle name="20% - Accent3 4 10" xfId="9031"/>
    <cellStyle name="20% - Accent3 4 10 2" xfId="23200"/>
    <cellStyle name="20% - Accent3 4 10 2 2" xfId="50208"/>
    <cellStyle name="20% - Accent3 4 10 3" xfId="36704"/>
    <cellStyle name="20% - Accent3 4 11" xfId="9173"/>
    <cellStyle name="20% - Accent3 4 11 2" xfId="23328"/>
    <cellStyle name="20% - Accent3 4 11 2 2" xfId="50336"/>
    <cellStyle name="20% - Accent3 4 11 3" xfId="36832"/>
    <cellStyle name="20% - Accent3 4 12" xfId="9315"/>
    <cellStyle name="20% - Accent3 4 12 2" xfId="23456"/>
    <cellStyle name="20% - Accent3 4 12 2 2" xfId="50464"/>
    <cellStyle name="20% - Accent3 4 12 3" xfId="36960"/>
    <cellStyle name="20% - Accent3 4 13" xfId="9457"/>
    <cellStyle name="20% - Accent3 4 13 2" xfId="23584"/>
    <cellStyle name="20% - Accent3 4 13 2 2" xfId="50592"/>
    <cellStyle name="20% - Accent3 4 13 3" xfId="37088"/>
    <cellStyle name="20% - Accent3 4 14" xfId="9599"/>
    <cellStyle name="20% - Accent3 4 14 2" xfId="23712"/>
    <cellStyle name="20% - Accent3 4 14 2 2" xfId="50720"/>
    <cellStyle name="20% - Accent3 4 14 3" xfId="37216"/>
    <cellStyle name="20% - Accent3 4 15" xfId="9741"/>
    <cellStyle name="20% - Accent3 4 15 2" xfId="23840"/>
    <cellStyle name="20% - Accent3 4 15 2 2" xfId="50848"/>
    <cellStyle name="20% - Accent3 4 15 3" xfId="37344"/>
    <cellStyle name="20% - Accent3 4 16" xfId="9883"/>
    <cellStyle name="20% - Accent3 4 16 2" xfId="23968"/>
    <cellStyle name="20% - Accent3 4 16 2 2" xfId="50976"/>
    <cellStyle name="20% - Accent3 4 16 3" xfId="37472"/>
    <cellStyle name="20% - Accent3 4 17" xfId="10025"/>
    <cellStyle name="20% - Accent3 4 17 2" xfId="24096"/>
    <cellStyle name="20% - Accent3 4 17 2 2" xfId="51104"/>
    <cellStyle name="20% - Accent3 4 17 3" xfId="37600"/>
    <cellStyle name="20% - Accent3 4 18" xfId="10167"/>
    <cellStyle name="20% - Accent3 4 18 2" xfId="24224"/>
    <cellStyle name="20% - Accent3 4 18 2 2" xfId="51232"/>
    <cellStyle name="20% - Accent3 4 18 3" xfId="37728"/>
    <cellStyle name="20% - Accent3 4 19" xfId="10309"/>
    <cellStyle name="20% - Accent3 4 19 2" xfId="24352"/>
    <cellStyle name="20% - Accent3 4 19 2 2" xfId="51360"/>
    <cellStyle name="20% - Accent3 4 19 3" xfId="37856"/>
    <cellStyle name="20% - Accent3 4 2" xfId="7895"/>
    <cellStyle name="20% - Accent3 4 2 2" xfId="22176"/>
    <cellStyle name="20% - Accent3 4 2 2 2" xfId="49184"/>
    <cellStyle name="20% - Accent3 4 2 3" xfId="35680"/>
    <cellStyle name="20% - Accent3 4 20" xfId="10451"/>
    <cellStyle name="20% - Accent3 4 20 2" xfId="24480"/>
    <cellStyle name="20% - Accent3 4 20 2 2" xfId="51488"/>
    <cellStyle name="20% - Accent3 4 20 3" xfId="37984"/>
    <cellStyle name="20% - Accent3 4 21" xfId="10593"/>
    <cellStyle name="20% - Accent3 4 21 2" xfId="24608"/>
    <cellStyle name="20% - Accent3 4 21 2 2" xfId="51616"/>
    <cellStyle name="20% - Accent3 4 21 3" xfId="38112"/>
    <cellStyle name="20% - Accent3 4 22" xfId="10735"/>
    <cellStyle name="20% - Accent3 4 22 2" xfId="24736"/>
    <cellStyle name="20% - Accent3 4 22 2 2" xfId="51744"/>
    <cellStyle name="20% - Accent3 4 22 3" xfId="38240"/>
    <cellStyle name="20% - Accent3 4 23" xfId="10877"/>
    <cellStyle name="20% - Accent3 4 23 2" xfId="24864"/>
    <cellStyle name="20% - Accent3 4 23 2 2" xfId="51872"/>
    <cellStyle name="20% - Accent3 4 23 3" xfId="38368"/>
    <cellStyle name="20% - Accent3 4 24" xfId="11019"/>
    <cellStyle name="20% - Accent3 4 24 2" xfId="24992"/>
    <cellStyle name="20% - Accent3 4 24 2 2" xfId="52000"/>
    <cellStyle name="20% - Accent3 4 24 3" xfId="38496"/>
    <cellStyle name="20% - Accent3 4 25" xfId="11161"/>
    <cellStyle name="20% - Accent3 4 25 2" xfId="25120"/>
    <cellStyle name="20% - Accent3 4 25 2 2" xfId="52128"/>
    <cellStyle name="20% - Accent3 4 25 3" xfId="38624"/>
    <cellStyle name="20% - Accent3 4 26" xfId="11303"/>
    <cellStyle name="20% - Accent3 4 26 2" xfId="25248"/>
    <cellStyle name="20% - Accent3 4 26 2 2" xfId="52256"/>
    <cellStyle name="20% - Accent3 4 26 3" xfId="38752"/>
    <cellStyle name="20% - Accent3 4 27" xfId="11445"/>
    <cellStyle name="20% - Accent3 4 27 2" xfId="25376"/>
    <cellStyle name="20% - Accent3 4 27 2 2" xfId="52384"/>
    <cellStyle name="20% - Accent3 4 27 3" xfId="38880"/>
    <cellStyle name="20% - Accent3 4 28" xfId="11587"/>
    <cellStyle name="20% - Accent3 4 28 2" xfId="25504"/>
    <cellStyle name="20% - Accent3 4 28 2 2" xfId="52512"/>
    <cellStyle name="20% - Accent3 4 28 3" xfId="39008"/>
    <cellStyle name="20% - Accent3 4 29" xfId="11729"/>
    <cellStyle name="20% - Accent3 4 29 2" xfId="25632"/>
    <cellStyle name="20% - Accent3 4 29 2 2" xfId="52640"/>
    <cellStyle name="20% - Accent3 4 29 3" xfId="39136"/>
    <cellStyle name="20% - Accent3 4 3" xfId="8037"/>
    <cellStyle name="20% - Accent3 4 3 2" xfId="22304"/>
    <cellStyle name="20% - Accent3 4 3 2 2" xfId="49312"/>
    <cellStyle name="20% - Accent3 4 3 3" xfId="35808"/>
    <cellStyle name="20% - Accent3 4 30" xfId="11871"/>
    <cellStyle name="20% - Accent3 4 30 2" xfId="25760"/>
    <cellStyle name="20% - Accent3 4 30 2 2" xfId="52768"/>
    <cellStyle name="20% - Accent3 4 30 3" xfId="39264"/>
    <cellStyle name="20% - Accent3 4 31" xfId="12013"/>
    <cellStyle name="20% - Accent3 4 31 2" xfId="25888"/>
    <cellStyle name="20% - Accent3 4 31 2 2" xfId="52896"/>
    <cellStyle name="20% - Accent3 4 31 3" xfId="39392"/>
    <cellStyle name="20% - Accent3 4 32" xfId="12155"/>
    <cellStyle name="20% - Accent3 4 32 2" xfId="26016"/>
    <cellStyle name="20% - Accent3 4 32 2 2" xfId="53024"/>
    <cellStyle name="20% - Accent3 4 32 3" xfId="39520"/>
    <cellStyle name="20% - Accent3 4 33" xfId="12297"/>
    <cellStyle name="20% - Accent3 4 33 2" xfId="26144"/>
    <cellStyle name="20% - Accent3 4 33 2 2" xfId="53152"/>
    <cellStyle name="20% - Accent3 4 33 3" xfId="39648"/>
    <cellStyle name="20% - Accent3 4 34" xfId="12439"/>
    <cellStyle name="20% - Accent3 4 34 2" xfId="26272"/>
    <cellStyle name="20% - Accent3 4 34 2 2" xfId="53280"/>
    <cellStyle name="20% - Accent3 4 34 3" xfId="39776"/>
    <cellStyle name="20% - Accent3 4 35" xfId="12581"/>
    <cellStyle name="20% - Accent3 4 35 2" xfId="26400"/>
    <cellStyle name="20% - Accent3 4 35 2 2" xfId="53408"/>
    <cellStyle name="20% - Accent3 4 35 3" xfId="39904"/>
    <cellStyle name="20% - Accent3 4 36" xfId="12723"/>
    <cellStyle name="20% - Accent3 4 36 2" xfId="26528"/>
    <cellStyle name="20% - Accent3 4 36 2 2" xfId="53536"/>
    <cellStyle name="20% - Accent3 4 36 3" xfId="40032"/>
    <cellStyle name="20% - Accent3 4 37" xfId="12865"/>
    <cellStyle name="20% - Accent3 4 37 2" xfId="26656"/>
    <cellStyle name="20% - Accent3 4 37 2 2" xfId="53664"/>
    <cellStyle name="20% - Accent3 4 37 3" xfId="40160"/>
    <cellStyle name="20% - Accent3 4 38" xfId="13007"/>
    <cellStyle name="20% - Accent3 4 38 2" xfId="26784"/>
    <cellStyle name="20% - Accent3 4 38 2 2" xfId="53792"/>
    <cellStyle name="20% - Accent3 4 38 3" xfId="40288"/>
    <cellStyle name="20% - Accent3 4 39" xfId="13149"/>
    <cellStyle name="20% - Accent3 4 39 2" xfId="26912"/>
    <cellStyle name="20% - Accent3 4 39 2 2" xfId="53920"/>
    <cellStyle name="20% - Accent3 4 39 3" xfId="40416"/>
    <cellStyle name="20% - Accent3 4 4" xfId="8179"/>
    <cellStyle name="20% - Accent3 4 4 2" xfId="22432"/>
    <cellStyle name="20% - Accent3 4 4 2 2" xfId="49440"/>
    <cellStyle name="20% - Accent3 4 4 3" xfId="35936"/>
    <cellStyle name="20% - Accent3 4 40" xfId="13291"/>
    <cellStyle name="20% - Accent3 4 40 2" xfId="27040"/>
    <cellStyle name="20% - Accent3 4 40 2 2" xfId="54048"/>
    <cellStyle name="20% - Accent3 4 40 3" xfId="40544"/>
    <cellStyle name="20% - Accent3 4 41" xfId="13433"/>
    <cellStyle name="20% - Accent3 4 41 2" xfId="27168"/>
    <cellStyle name="20% - Accent3 4 41 2 2" xfId="54176"/>
    <cellStyle name="20% - Accent3 4 41 3" xfId="40672"/>
    <cellStyle name="20% - Accent3 4 42" xfId="13575"/>
    <cellStyle name="20% - Accent3 4 42 2" xfId="27296"/>
    <cellStyle name="20% - Accent3 4 42 2 2" xfId="54304"/>
    <cellStyle name="20% - Accent3 4 42 3" xfId="40800"/>
    <cellStyle name="20% - Accent3 4 43" xfId="13717"/>
    <cellStyle name="20% - Accent3 4 43 2" xfId="27424"/>
    <cellStyle name="20% - Accent3 4 43 2 2" xfId="54432"/>
    <cellStyle name="20% - Accent3 4 43 3" xfId="40928"/>
    <cellStyle name="20% - Accent3 4 44" xfId="13858"/>
    <cellStyle name="20% - Accent3 4 44 2" xfId="27551"/>
    <cellStyle name="20% - Accent3 4 44 2 2" xfId="54559"/>
    <cellStyle name="20% - Accent3 4 44 3" xfId="41055"/>
    <cellStyle name="20% - Accent3 4 45" xfId="13999"/>
    <cellStyle name="20% - Accent3 4 45 2" xfId="27678"/>
    <cellStyle name="20% - Accent3 4 45 2 2" xfId="54686"/>
    <cellStyle name="20% - Accent3 4 45 3" xfId="41182"/>
    <cellStyle name="20% - Accent3 4 46" xfId="14140"/>
    <cellStyle name="20% - Accent3 4 46 2" xfId="27805"/>
    <cellStyle name="20% - Accent3 4 46 2 2" xfId="54813"/>
    <cellStyle name="20% - Accent3 4 46 3" xfId="41309"/>
    <cellStyle name="20% - Accent3 4 47" xfId="14281"/>
    <cellStyle name="20% - Accent3 4 47 2" xfId="27932"/>
    <cellStyle name="20% - Accent3 4 47 2 2" xfId="54940"/>
    <cellStyle name="20% - Accent3 4 47 3" xfId="41436"/>
    <cellStyle name="20% - Accent3 4 48" xfId="14422"/>
    <cellStyle name="20% - Accent3 4 48 2" xfId="28059"/>
    <cellStyle name="20% - Accent3 4 48 2 2" xfId="55067"/>
    <cellStyle name="20% - Accent3 4 48 3" xfId="41563"/>
    <cellStyle name="20% - Accent3 4 49" xfId="14562"/>
    <cellStyle name="20% - Accent3 4 49 2" xfId="28185"/>
    <cellStyle name="20% - Accent3 4 49 2 2" xfId="55193"/>
    <cellStyle name="20% - Accent3 4 49 3" xfId="41689"/>
    <cellStyle name="20% - Accent3 4 5" xfId="8321"/>
    <cellStyle name="20% - Accent3 4 5 2" xfId="22560"/>
    <cellStyle name="20% - Accent3 4 5 2 2" xfId="49568"/>
    <cellStyle name="20% - Accent3 4 5 3" xfId="36064"/>
    <cellStyle name="20% - Accent3 4 50" xfId="14701"/>
    <cellStyle name="20% - Accent3 4 50 2" xfId="28310"/>
    <cellStyle name="20% - Accent3 4 50 2 2" xfId="55318"/>
    <cellStyle name="20% - Accent3 4 50 3" xfId="41814"/>
    <cellStyle name="20% - Accent3 4 51" xfId="14836"/>
    <cellStyle name="20% - Accent3 4 51 2" xfId="28432"/>
    <cellStyle name="20% - Accent3 4 51 2 2" xfId="55440"/>
    <cellStyle name="20% - Accent3 4 51 3" xfId="41936"/>
    <cellStyle name="20% - Accent3 4 52" xfId="14970"/>
    <cellStyle name="20% - Accent3 4 52 2" xfId="28553"/>
    <cellStyle name="20% - Accent3 4 52 2 2" xfId="55561"/>
    <cellStyle name="20% - Accent3 4 52 3" xfId="42057"/>
    <cellStyle name="20% - Accent3 4 53" xfId="15102"/>
    <cellStyle name="20% - Accent3 4 53 2" xfId="28673"/>
    <cellStyle name="20% - Accent3 4 53 2 2" xfId="55681"/>
    <cellStyle name="20% - Accent3 4 53 3" xfId="42177"/>
    <cellStyle name="20% - Accent3 4 54" xfId="15226"/>
    <cellStyle name="20% - Accent3 4 54 2" xfId="28789"/>
    <cellStyle name="20% - Accent3 4 54 2 2" xfId="55797"/>
    <cellStyle name="20% - Accent3 4 54 3" xfId="42293"/>
    <cellStyle name="20% - Accent3 4 55" xfId="15335"/>
    <cellStyle name="20% - Accent3 4 55 2" xfId="28895"/>
    <cellStyle name="20% - Accent3 4 55 2 2" xfId="55903"/>
    <cellStyle name="20% - Accent3 4 55 3" xfId="42399"/>
    <cellStyle name="20% - Accent3 4 56" xfId="15673"/>
    <cellStyle name="20% - Accent3 4 56 2" xfId="42681"/>
    <cellStyle name="20% - Accent3 4 57" xfId="29177"/>
    <cellStyle name="20% - Accent3 4 6" xfId="8463"/>
    <cellStyle name="20% - Accent3 4 6 2" xfId="22688"/>
    <cellStyle name="20% - Accent3 4 6 2 2" xfId="49696"/>
    <cellStyle name="20% - Accent3 4 6 3" xfId="36192"/>
    <cellStyle name="20% - Accent3 4 7" xfId="8605"/>
    <cellStyle name="20% - Accent3 4 7 2" xfId="22816"/>
    <cellStyle name="20% - Accent3 4 7 2 2" xfId="49824"/>
    <cellStyle name="20% - Accent3 4 7 3" xfId="36320"/>
    <cellStyle name="20% - Accent3 4 8" xfId="8747"/>
    <cellStyle name="20% - Accent3 4 8 2" xfId="22944"/>
    <cellStyle name="20% - Accent3 4 8 2 2" xfId="49952"/>
    <cellStyle name="20% - Accent3 4 8 3" xfId="36448"/>
    <cellStyle name="20% - Accent3 4 9" xfId="8889"/>
    <cellStyle name="20% - Accent3 4 9 2" xfId="23072"/>
    <cellStyle name="20% - Accent3 4 9 2 2" xfId="50080"/>
    <cellStyle name="20% - Accent3 4 9 3" xfId="36576"/>
    <cellStyle name="20% - Accent3 5" xfId="15382"/>
    <cellStyle name="20% - Accent3 5 2" xfId="28921"/>
    <cellStyle name="20% - Accent3 5 2 2" xfId="55929"/>
    <cellStyle name="20% - Accent3 5 3" xfId="42425"/>
    <cellStyle name="20% - Accent3 6" xfId="15426"/>
    <cellStyle name="20% - Accent3 6 2" xfId="28937"/>
    <cellStyle name="20% - Accent3 6 2 2" xfId="55945"/>
    <cellStyle name="20% - Accent3 6 3" xfId="42441"/>
    <cellStyle name="20% - Accent3 7" xfId="15447"/>
    <cellStyle name="20% - Accent3 7 2" xfId="42455"/>
    <cellStyle name="20% - Accent3 8" xfId="28951"/>
    <cellStyle name="20% - Accent3 9" xfId="46"/>
    <cellStyle name="20% - Accent4 2" xfId="120"/>
    <cellStyle name="20% - Accent4 2 10" xfId="669"/>
    <cellStyle name="20% - Accent4 2 10 2" xfId="15909"/>
    <cellStyle name="20% - Accent4 2 10 2 2" xfId="42917"/>
    <cellStyle name="20% - Accent4 2 10 3" xfId="29413"/>
    <cellStyle name="20% - Accent4 2 100" xfId="11002"/>
    <cellStyle name="20% - Accent4 2 100 2" xfId="24982"/>
    <cellStyle name="20% - Accent4 2 100 2 2" xfId="51990"/>
    <cellStyle name="20% - Accent4 2 100 3" xfId="38486"/>
    <cellStyle name="20% - Accent4 2 101" xfId="11144"/>
    <cellStyle name="20% - Accent4 2 101 2" xfId="25110"/>
    <cellStyle name="20% - Accent4 2 101 2 2" xfId="52118"/>
    <cellStyle name="20% - Accent4 2 101 3" xfId="38614"/>
    <cellStyle name="20% - Accent4 2 102" xfId="11286"/>
    <cellStyle name="20% - Accent4 2 102 2" xfId="25238"/>
    <cellStyle name="20% - Accent4 2 102 2 2" xfId="52246"/>
    <cellStyle name="20% - Accent4 2 102 3" xfId="38742"/>
    <cellStyle name="20% - Accent4 2 103" xfId="11428"/>
    <cellStyle name="20% - Accent4 2 103 2" xfId="25366"/>
    <cellStyle name="20% - Accent4 2 103 2 2" xfId="52374"/>
    <cellStyle name="20% - Accent4 2 103 3" xfId="38870"/>
    <cellStyle name="20% - Accent4 2 104" xfId="11570"/>
    <cellStyle name="20% - Accent4 2 104 2" xfId="25494"/>
    <cellStyle name="20% - Accent4 2 104 2 2" xfId="52502"/>
    <cellStyle name="20% - Accent4 2 104 3" xfId="38998"/>
    <cellStyle name="20% - Accent4 2 105" xfId="11712"/>
    <cellStyle name="20% - Accent4 2 105 2" xfId="25622"/>
    <cellStyle name="20% - Accent4 2 105 2 2" xfId="52630"/>
    <cellStyle name="20% - Accent4 2 105 3" xfId="39126"/>
    <cellStyle name="20% - Accent4 2 106" xfId="11854"/>
    <cellStyle name="20% - Accent4 2 106 2" xfId="25750"/>
    <cellStyle name="20% - Accent4 2 106 2 2" xfId="52758"/>
    <cellStyle name="20% - Accent4 2 106 3" xfId="39254"/>
    <cellStyle name="20% - Accent4 2 107" xfId="11996"/>
    <cellStyle name="20% - Accent4 2 107 2" xfId="25878"/>
    <cellStyle name="20% - Accent4 2 107 2 2" xfId="52886"/>
    <cellStyle name="20% - Accent4 2 107 3" xfId="39382"/>
    <cellStyle name="20% - Accent4 2 108" xfId="12138"/>
    <cellStyle name="20% - Accent4 2 108 2" xfId="26006"/>
    <cellStyle name="20% - Accent4 2 108 2 2" xfId="53014"/>
    <cellStyle name="20% - Accent4 2 108 3" xfId="39510"/>
    <cellStyle name="20% - Accent4 2 109" xfId="12280"/>
    <cellStyle name="20% - Accent4 2 109 2" xfId="26134"/>
    <cellStyle name="20% - Accent4 2 109 2 2" xfId="53142"/>
    <cellStyle name="20% - Accent4 2 109 3" xfId="39638"/>
    <cellStyle name="20% - Accent4 2 11" xfId="775"/>
    <cellStyle name="20% - Accent4 2 11 2" xfId="16001"/>
    <cellStyle name="20% - Accent4 2 11 2 2" xfId="43009"/>
    <cellStyle name="20% - Accent4 2 11 3" xfId="29505"/>
    <cellStyle name="20% - Accent4 2 110" xfId="12422"/>
    <cellStyle name="20% - Accent4 2 110 2" xfId="26262"/>
    <cellStyle name="20% - Accent4 2 110 2 2" xfId="53270"/>
    <cellStyle name="20% - Accent4 2 110 3" xfId="39766"/>
    <cellStyle name="20% - Accent4 2 111" xfId="12564"/>
    <cellStyle name="20% - Accent4 2 111 2" xfId="26390"/>
    <cellStyle name="20% - Accent4 2 111 2 2" xfId="53398"/>
    <cellStyle name="20% - Accent4 2 111 3" xfId="39894"/>
    <cellStyle name="20% - Accent4 2 112" xfId="12706"/>
    <cellStyle name="20% - Accent4 2 112 2" xfId="26518"/>
    <cellStyle name="20% - Accent4 2 112 2 2" xfId="53526"/>
    <cellStyle name="20% - Accent4 2 112 3" xfId="40022"/>
    <cellStyle name="20% - Accent4 2 113" xfId="12848"/>
    <cellStyle name="20% - Accent4 2 113 2" xfId="26646"/>
    <cellStyle name="20% - Accent4 2 113 2 2" xfId="53654"/>
    <cellStyle name="20% - Accent4 2 113 3" xfId="40150"/>
    <cellStyle name="20% - Accent4 2 114" xfId="12990"/>
    <cellStyle name="20% - Accent4 2 114 2" xfId="26774"/>
    <cellStyle name="20% - Accent4 2 114 2 2" xfId="53782"/>
    <cellStyle name="20% - Accent4 2 114 3" xfId="40278"/>
    <cellStyle name="20% - Accent4 2 115" xfId="13132"/>
    <cellStyle name="20% - Accent4 2 115 2" xfId="26902"/>
    <cellStyle name="20% - Accent4 2 115 2 2" xfId="53910"/>
    <cellStyle name="20% - Accent4 2 115 3" xfId="40406"/>
    <cellStyle name="20% - Accent4 2 116" xfId="13274"/>
    <cellStyle name="20% - Accent4 2 116 2" xfId="27030"/>
    <cellStyle name="20% - Accent4 2 116 2 2" xfId="54038"/>
    <cellStyle name="20% - Accent4 2 116 3" xfId="40534"/>
    <cellStyle name="20% - Accent4 2 117" xfId="13416"/>
    <cellStyle name="20% - Accent4 2 117 2" xfId="27158"/>
    <cellStyle name="20% - Accent4 2 117 2 2" xfId="54166"/>
    <cellStyle name="20% - Accent4 2 117 3" xfId="40662"/>
    <cellStyle name="20% - Accent4 2 118" xfId="13558"/>
    <cellStyle name="20% - Accent4 2 118 2" xfId="27286"/>
    <cellStyle name="20% - Accent4 2 118 2 2" xfId="54294"/>
    <cellStyle name="20% - Accent4 2 118 3" xfId="40790"/>
    <cellStyle name="20% - Accent4 2 119" xfId="13700"/>
    <cellStyle name="20% - Accent4 2 119 2" xfId="27414"/>
    <cellStyle name="20% - Accent4 2 119 2 2" xfId="54422"/>
    <cellStyle name="20% - Accent4 2 119 3" xfId="40918"/>
    <cellStyle name="20% - Accent4 2 12" xfId="881"/>
    <cellStyle name="20% - Accent4 2 12 2" xfId="16093"/>
    <cellStyle name="20% - Accent4 2 12 2 2" xfId="43101"/>
    <cellStyle name="20% - Accent4 2 12 3" xfId="29597"/>
    <cellStyle name="20% - Accent4 2 120" xfId="13841"/>
    <cellStyle name="20% - Accent4 2 120 2" xfId="27541"/>
    <cellStyle name="20% - Accent4 2 120 2 2" xfId="54549"/>
    <cellStyle name="20% - Accent4 2 120 3" xfId="41045"/>
    <cellStyle name="20% - Accent4 2 121" xfId="13982"/>
    <cellStyle name="20% - Accent4 2 121 2" xfId="27668"/>
    <cellStyle name="20% - Accent4 2 121 2 2" xfId="54676"/>
    <cellStyle name="20% - Accent4 2 121 3" xfId="41172"/>
    <cellStyle name="20% - Accent4 2 122" xfId="14123"/>
    <cellStyle name="20% - Accent4 2 122 2" xfId="27795"/>
    <cellStyle name="20% - Accent4 2 122 2 2" xfId="54803"/>
    <cellStyle name="20% - Accent4 2 122 3" xfId="41299"/>
    <cellStyle name="20% - Accent4 2 123" xfId="14264"/>
    <cellStyle name="20% - Accent4 2 123 2" xfId="27922"/>
    <cellStyle name="20% - Accent4 2 123 2 2" xfId="54930"/>
    <cellStyle name="20% - Accent4 2 123 3" xfId="41426"/>
    <cellStyle name="20% - Accent4 2 124" xfId="14405"/>
    <cellStyle name="20% - Accent4 2 124 2" xfId="28049"/>
    <cellStyle name="20% - Accent4 2 124 2 2" xfId="55057"/>
    <cellStyle name="20% - Accent4 2 124 3" xfId="41553"/>
    <cellStyle name="20% - Accent4 2 125" xfId="14545"/>
    <cellStyle name="20% - Accent4 2 125 2" xfId="28175"/>
    <cellStyle name="20% - Accent4 2 125 2 2" xfId="55183"/>
    <cellStyle name="20% - Accent4 2 125 3" xfId="41679"/>
    <cellStyle name="20% - Accent4 2 126" xfId="14685"/>
    <cellStyle name="20% - Accent4 2 126 2" xfId="28301"/>
    <cellStyle name="20% - Accent4 2 126 2 2" xfId="55309"/>
    <cellStyle name="20% - Accent4 2 126 3" xfId="41805"/>
    <cellStyle name="20% - Accent4 2 127" xfId="15478"/>
    <cellStyle name="20% - Accent4 2 127 2" xfId="42486"/>
    <cellStyle name="20% - Accent4 2 128" xfId="28982"/>
    <cellStyle name="20% - Accent4 2 13" xfId="987"/>
    <cellStyle name="20% - Accent4 2 13 2" xfId="16185"/>
    <cellStyle name="20% - Accent4 2 13 2 2" xfId="43193"/>
    <cellStyle name="20% - Accent4 2 13 3" xfId="29689"/>
    <cellStyle name="20% - Accent4 2 14" xfId="1093"/>
    <cellStyle name="20% - Accent4 2 14 2" xfId="16277"/>
    <cellStyle name="20% - Accent4 2 14 2 2" xfId="43285"/>
    <cellStyle name="20% - Accent4 2 14 3" xfId="29781"/>
    <cellStyle name="20% - Accent4 2 15" xfId="1199"/>
    <cellStyle name="20% - Accent4 2 15 2" xfId="16369"/>
    <cellStyle name="20% - Accent4 2 15 2 2" xfId="43377"/>
    <cellStyle name="20% - Accent4 2 15 3" xfId="29873"/>
    <cellStyle name="20% - Accent4 2 16" xfId="1305"/>
    <cellStyle name="20% - Accent4 2 16 2" xfId="16461"/>
    <cellStyle name="20% - Accent4 2 16 2 2" xfId="43469"/>
    <cellStyle name="20% - Accent4 2 16 3" xfId="29965"/>
    <cellStyle name="20% - Accent4 2 17" xfId="1411"/>
    <cellStyle name="20% - Accent4 2 17 2" xfId="16553"/>
    <cellStyle name="20% - Accent4 2 17 2 2" xfId="43561"/>
    <cellStyle name="20% - Accent4 2 17 3" xfId="30057"/>
    <cellStyle name="20% - Accent4 2 18" xfId="1517"/>
    <cellStyle name="20% - Accent4 2 18 2" xfId="16645"/>
    <cellStyle name="20% - Accent4 2 18 2 2" xfId="43653"/>
    <cellStyle name="20% - Accent4 2 18 3" xfId="30149"/>
    <cellStyle name="20% - Accent4 2 19" xfId="1623"/>
    <cellStyle name="20% - Accent4 2 19 2" xfId="16737"/>
    <cellStyle name="20% - Accent4 2 19 2 2" xfId="43745"/>
    <cellStyle name="20% - Accent4 2 19 3" xfId="30241"/>
    <cellStyle name="20% - Accent4 2 2" xfId="233"/>
    <cellStyle name="20% - Accent4 2 2 10" xfId="8934"/>
    <cellStyle name="20% - Accent4 2 2 10 2" xfId="23112"/>
    <cellStyle name="20% - Accent4 2 2 10 2 2" xfId="50120"/>
    <cellStyle name="20% - Accent4 2 2 10 3" xfId="36616"/>
    <cellStyle name="20% - Accent4 2 2 11" xfId="9076"/>
    <cellStyle name="20% - Accent4 2 2 11 2" xfId="23240"/>
    <cellStyle name="20% - Accent4 2 2 11 2 2" xfId="50248"/>
    <cellStyle name="20% - Accent4 2 2 11 3" xfId="36744"/>
    <cellStyle name="20% - Accent4 2 2 12" xfId="9218"/>
    <cellStyle name="20% - Accent4 2 2 12 2" xfId="23368"/>
    <cellStyle name="20% - Accent4 2 2 12 2 2" xfId="50376"/>
    <cellStyle name="20% - Accent4 2 2 12 3" xfId="36872"/>
    <cellStyle name="20% - Accent4 2 2 13" xfId="9360"/>
    <cellStyle name="20% - Accent4 2 2 13 2" xfId="23496"/>
    <cellStyle name="20% - Accent4 2 2 13 2 2" xfId="50504"/>
    <cellStyle name="20% - Accent4 2 2 13 3" xfId="37000"/>
    <cellStyle name="20% - Accent4 2 2 14" xfId="9502"/>
    <cellStyle name="20% - Accent4 2 2 14 2" xfId="23624"/>
    <cellStyle name="20% - Accent4 2 2 14 2 2" xfId="50632"/>
    <cellStyle name="20% - Accent4 2 2 14 3" xfId="37128"/>
    <cellStyle name="20% - Accent4 2 2 15" xfId="9644"/>
    <cellStyle name="20% - Accent4 2 2 15 2" xfId="23752"/>
    <cellStyle name="20% - Accent4 2 2 15 2 2" xfId="50760"/>
    <cellStyle name="20% - Accent4 2 2 15 3" xfId="37256"/>
    <cellStyle name="20% - Accent4 2 2 16" xfId="9786"/>
    <cellStyle name="20% - Accent4 2 2 16 2" xfId="23880"/>
    <cellStyle name="20% - Accent4 2 2 16 2 2" xfId="50888"/>
    <cellStyle name="20% - Accent4 2 2 16 3" xfId="37384"/>
    <cellStyle name="20% - Accent4 2 2 17" xfId="9928"/>
    <cellStyle name="20% - Accent4 2 2 17 2" xfId="24008"/>
    <cellStyle name="20% - Accent4 2 2 17 2 2" xfId="51016"/>
    <cellStyle name="20% - Accent4 2 2 17 3" xfId="37512"/>
    <cellStyle name="20% - Accent4 2 2 18" xfId="10070"/>
    <cellStyle name="20% - Accent4 2 2 18 2" xfId="24136"/>
    <cellStyle name="20% - Accent4 2 2 18 2 2" xfId="51144"/>
    <cellStyle name="20% - Accent4 2 2 18 3" xfId="37640"/>
    <cellStyle name="20% - Accent4 2 2 19" xfId="10212"/>
    <cellStyle name="20% - Accent4 2 2 19 2" xfId="24264"/>
    <cellStyle name="20% - Accent4 2 2 19 2 2" xfId="51272"/>
    <cellStyle name="20% - Accent4 2 2 19 3" xfId="37768"/>
    <cellStyle name="20% - Accent4 2 2 2" xfId="7798"/>
    <cellStyle name="20% - Accent4 2 2 2 2" xfId="22088"/>
    <cellStyle name="20% - Accent4 2 2 2 2 2" xfId="49096"/>
    <cellStyle name="20% - Accent4 2 2 2 3" xfId="35592"/>
    <cellStyle name="20% - Accent4 2 2 20" xfId="10354"/>
    <cellStyle name="20% - Accent4 2 2 20 2" xfId="24392"/>
    <cellStyle name="20% - Accent4 2 2 20 2 2" xfId="51400"/>
    <cellStyle name="20% - Accent4 2 2 20 3" xfId="37896"/>
    <cellStyle name="20% - Accent4 2 2 21" xfId="10496"/>
    <cellStyle name="20% - Accent4 2 2 21 2" xfId="24520"/>
    <cellStyle name="20% - Accent4 2 2 21 2 2" xfId="51528"/>
    <cellStyle name="20% - Accent4 2 2 21 3" xfId="38024"/>
    <cellStyle name="20% - Accent4 2 2 22" xfId="10638"/>
    <cellStyle name="20% - Accent4 2 2 22 2" xfId="24648"/>
    <cellStyle name="20% - Accent4 2 2 22 2 2" xfId="51656"/>
    <cellStyle name="20% - Accent4 2 2 22 3" xfId="38152"/>
    <cellStyle name="20% - Accent4 2 2 23" xfId="10780"/>
    <cellStyle name="20% - Accent4 2 2 23 2" xfId="24776"/>
    <cellStyle name="20% - Accent4 2 2 23 2 2" xfId="51784"/>
    <cellStyle name="20% - Accent4 2 2 23 3" xfId="38280"/>
    <cellStyle name="20% - Accent4 2 2 24" xfId="10922"/>
    <cellStyle name="20% - Accent4 2 2 24 2" xfId="24904"/>
    <cellStyle name="20% - Accent4 2 2 24 2 2" xfId="51912"/>
    <cellStyle name="20% - Accent4 2 2 24 3" xfId="38408"/>
    <cellStyle name="20% - Accent4 2 2 25" xfId="11064"/>
    <cellStyle name="20% - Accent4 2 2 25 2" xfId="25032"/>
    <cellStyle name="20% - Accent4 2 2 25 2 2" xfId="52040"/>
    <cellStyle name="20% - Accent4 2 2 25 3" xfId="38536"/>
    <cellStyle name="20% - Accent4 2 2 26" xfId="11206"/>
    <cellStyle name="20% - Accent4 2 2 26 2" xfId="25160"/>
    <cellStyle name="20% - Accent4 2 2 26 2 2" xfId="52168"/>
    <cellStyle name="20% - Accent4 2 2 26 3" xfId="38664"/>
    <cellStyle name="20% - Accent4 2 2 27" xfId="11348"/>
    <cellStyle name="20% - Accent4 2 2 27 2" xfId="25288"/>
    <cellStyle name="20% - Accent4 2 2 27 2 2" xfId="52296"/>
    <cellStyle name="20% - Accent4 2 2 27 3" xfId="38792"/>
    <cellStyle name="20% - Accent4 2 2 28" xfId="11490"/>
    <cellStyle name="20% - Accent4 2 2 28 2" xfId="25416"/>
    <cellStyle name="20% - Accent4 2 2 28 2 2" xfId="52424"/>
    <cellStyle name="20% - Accent4 2 2 28 3" xfId="38920"/>
    <cellStyle name="20% - Accent4 2 2 29" xfId="11632"/>
    <cellStyle name="20% - Accent4 2 2 29 2" xfId="25544"/>
    <cellStyle name="20% - Accent4 2 2 29 2 2" xfId="52552"/>
    <cellStyle name="20% - Accent4 2 2 29 3" xfId="39048"/>
    <cellStyle name="20% - Accent4 2 2 3" xfId="7940"/>
    <cellStyle name="20% - Accent4 2 2 3 2" xfId="22216"/>
    <cellStyle name="20% - Accent4 2 2 3 2 2" xfId="49224"/>
    <cellStyle name="20% - Accent4 2 2 3 3" xfId="35720"/>
    <cellStyle name="20% - Accent4 2 2 30" xfId="11774"/>
    <cellStyle name="20% - Accent4 2 2 30 2" xfId="25672"/>
    <cellStyle name="20% - Accent4 2 2 30 2 2" xfId="52680"/>
    <cellStyle name="20% - Accent4 2 2 30 3" xfId="39176"/>
    <cellStyle name="20% - Accent4 2 2 31" xfId="11916"/>
    <cellStyle name="20% - Accent4 2 2 31 2" xfId="25800"/>
    <cellStyle name="20% - Accent4 2 2 31 2 2" xfId="52808"/>
    <cellStyle name="20% - Accent4 2 2 31 3" xfId="39304"/>
    <cellStyle name="20% - Accent4 2 2 32" xfId="12058"/>
    <cellStyle name="20% - Accent4 2 2 32 2" xfId="25928"/>
    <cellStyle name="20% - Accent4 2 2 32 2 2" xfId="52936"/>
    <cellStyle name="20% - Accent4 2 2 32 3" xfId="39432"/>
    <cellStyle name="20% - Accent4 2 2 33" xfId="12200"/>
    <cellStyle name="20% - Accent4 2 2 33 2" xfId="26056"/>
    <cellStyle name="20% - Accent4 2 2 33 2 2" xfId="53064"/>
    <cellStyle name="20% - Accent4 2 2 33 3" xfId="39560"/>
    <cellStyle name="20% - Accent4 2 2 34" xfId="12342"/>
    <cellStyle name="20% - Accent4 2 2 34 2" xfId="26184"/>
    <cellStyle name="20% - Accent4 2 2 34 2 2" xfId="53192"/>
    <cellStyle name="20% - Accent4 2 2 34 3" xfId="39688"/>
    <cellStyle name="20% - Accent4 2 2 35" xfId="12484"/>
    <cellStyle name="20% - Accent4 2 2 35 2" xfId="26312"/>
    <cellStyle name="20% - Accent4 2 2 35 2 2" xfId="53320"/>
    <cellStyle name="20% - Accent4 2 2 35 3" xfId="39816"/>
    <cellStyle name="20% - Accent4 2 2 36" xfId="12626"/>
    <cellStyle name="20% - Accent4 2 2 36 2" xfId="26440"/>
    <cellStyle name="20% - Accent4 2 2 36 2 2" xfId="53448"/>
    <cellStyle name="20% - Accent4 2 2 36 3" xfId="39944"/>
    <cellStyle name="20% - Accent4 2 2 37" xfId="12768"/>
    <cellStyle name="20% - Accent4 2 2 37 2" xfId="26568"/>
    <cellStyle name="20% - Accent4 2 2 37 2 2" xfId="53576"/>
    <cellStyle name="20% - Accent4 2 2 37 3" xfId="40072"/>
    <cellStyle name="20% - Accent4 2 2 38" xfId="12910"/>
    <cellStyle name="20% - Accent4 2 2 38 2" xfId="26696"/>
    <cellStyle name="20% - Accent4 2 2 38 2 2" xfId="53704"/>
    <cellStyle name="20% - Accent4 2 2 38 3" xfId="40200"/>
    <cellStyle name="20% - Accent4 2 2 39" xfId="13052"/>
    <cellStyle name="20% - Accent4 2 2 39 2" xfId="26824"/>
    <cellStyle name="20% - Accent4 2 2 39 2 2" xfId="53832"/>
    <cellStyle name="20% - Accent4 2 2 39 3" xfId="40328"/>
    <cellStyle name="20% - Accent4 2 2 4" xfId="8082"/>
    <cellStyle name="20% - Accent4 2 2 4 2" xfId="22344"/>
    <cellStyle name="20% - Accent4 2 2 4 2 2" xfId="49352"/>
    <cellStyle name="20% - Accent4 2 2 4 3" xfId="35848"/>
    <cellStyle name="20% - Accent4 2 2 40" xfId="13194"/>
    <cellStyle name="20% - Accent4 2 2 40 2" xfId="26952"/>
    <cellStyle name="20% - Accent4 2 2 40 2 2" xfId="53960"/>
    <cellStyle name="20% - Accent4 2 2 40 3" xfId="40456"/>
    <cellStyle name="20% - Accent4 2 2 41" xfId="13336"/>
    <cellStyle name="20% - Accent4 2 2 41 2" xfId="27080"/>
    <cellStyle name="20% - Accent4 2 2 41 2 2" xfId="54088"/>
    <cellStyle name="20% - Accent4 2 2 41 3" xfId="40584"/>
    <cellStyle name="20% - Accent4 2 2 42" xfId="13478"/>
    <cellStyle name="20% - Accent4 2 2 42 2" xfId="27208"/>
    <cellStyle name="20% - Accent4 2 2 42 2 2" xfId="54216"/>
    <cellStyle name="20% - Accent4 2 2 42 3" xfId="40712"/>
    <cellStyle name="20% - Accent4 2 2 43" xfId="13620"/>
    <cellStyle name="20% - Accent4 2 2 43 2" xfId="27336"/>
    <cellStyle name="20% - Accent4 2 2 43 2 2" xfId="54344"/>
    <cellStyle name="20% - Accent4 2 2 43 3" xfId="40840"/>
    <cellStyle name="20% - Accent4 2 2 44" xfId="13762"/>
    <cellStyle name="20% - Accent4 2 2 44 2" xfId="27464"/>
    <cellStyle name="20% - Accent4 2 2 44 2 2" xfId="54472"/>
    <cellStyle name="20% - Accent4 2 2 44 3" xfId="40968"/>
    <cellStyle name="20% - Accent4 2 2 45" xfId="13903"/>
    <cellStyle name="20% - Accent4 2 2 45 2" xfId="27591"/>
    <cellStyle name="20% - Accent4 2 2 45 2 2" xfId="54599"/>
    <cellStyle name="20% - Accent4 2 2 45 3" xfId="41095"/>
    <cellStyle name="20% - Accent4 2 2 46" xfId="14044"/>
    <cellStyle name="20% - Accent4 2 2 46 2" xfId="27718"/>
    <cellStyle name="20% - Accent4 2 2 46 2 2" xfId="54726"/>
    <cellStyle name="20% - Accent4 2 2 46 3" xfId="41222"/>
    <cellStyle name="20% - Accent4 2 2 47" xfId="14185"/>
    <cellStyle name="20% - Accent4 2 2 47 2" xfId="27845"/>
    <cellStyle name="20% - Accent4 2 2 47 2 2" xfId="54853"/>
    <cellStyle name="20% - Accent4 2 2 47 3" xfId="41349"/>
    <cellStyle name="20% - Accent4 2 2 48" xfId="14326"/>
    <cellStyle name="20% - Accent4 2 2 48 2" xfId="27972"/>
    <cellStyle name="20% - Accent4 2 2 48 2 2" xfId="54980"/>
    <cellStyle name="20% - Accent4 2 2 48 3" xfId="41476"/>
    <cellStyle name="20% - Accent4 2 2 49" xfId="14466"/>
    <cellStyle name="20% - Accent4 2 2 49 2" xfId="28098"/>
    <cellStyle name="20% - Accent4 2 2 49 2 2" xfId="55106"/>
    <cellStyle name="20% - Accent4 2 2 49 3" xfId="41602"/>
    <cellStyle name="20% - Accent4 2 2 5" xfId="8224"/>
    <cellStyle name="20% - Accent4 2 2 5 2" xfId="22472"/>
    <cellStyle name="20% - Accent4 2 2 5 2 2" xfId="49480"/>
    <cellStyle name="20% - Accent4 2 2 5 3" xfId="35976"/>
    <cellStyle name="20% - Accent4 2 2 50" xfId="14606"/>
    <cellStyle name="20% - Accent4 2 2 50 2" xfId="28224"/>
    <cellStyle name="20% - Accent4 2 2 50 2 2" xfId="55232"/>
    <cellStyle name="20% - Accent4 2 2 50 3" xfId="41728"/>
    <cellStyle name="20% - Accent4 2 2 51" xfId="14745"/>
    <cellStyle name="20% - Accent4 2 2 51 2" xfId="28349"/>
    <cellStyle name="20% - Accent4 2 2 51 2 2" xfId="55357"/>
    <cellStyle name="20% - Accent4 2 2 51 3" xfId="41853"/>
    <cellStyle name="20% - Accent4 2 2 52" xfId="14880"/>
    <cellStyle name="20% - Accent4 2 2 52 2" xfId="28471"/>
    <cellStyle name="20% - Accent4 2 2 52 2 2" xfId="55479"/>
    <cellStyle name="20% - Accent4 2 2 52 3" xfId="41975"/>
    <cellStyle name="20% - Accent4 2 2 53" xfId="15014"/>
    <cellStyle name="20% - Accent4 2 2 53 2" xfId="28592"/>
    <cellStyle name="20% - Accent4 2 2 53 2 2" xfId="55600"/>
    <cellStyle name="20% - Accent4 2 2 53 3" xfId="42096"/>
    <cellStyle name="20% - Accent4 2 2 54" xfId="15142"/>
    <cellStyle name="20% - Accent4 2 2 54 2" xfId="28709"/>
    <cellStyle name="20% - Accent4 2 2 54 2 2" xfId="55717"/>
    <cellStyle name="20% - Accent4 2 2 54 3" xfId="42213"/>
    <cellStyle name="20% - Accent4 2 2 55" xfId="15263"/>
    <cellStyle name="20% - Accent4 2 2 55 2" xfId="28823"/>
    <cellStyle name="20% - Accent4 2 2 55 2 2" xfId="55831"/>
    <cellStyle name="20% - Accent4 2 2 55 3" xfId="42327"/>
    <cellStyle name="20% - Accent4 2 2 56" xfId="15559"/>
    <cellStyle name="20% - Accent4 2 2 56 2" xfId="42567"/>
    <cellStyle name="20% - Accent4 2 2 57" xfId="29063"/>
    <cellStyle name="20% - Accent4 2 2 6" xfId="8366"/>
    <cellStyle name="20% - Accent4 2 2 6 2" xfId="22600"/>
    <cellStyle name="20% - Accent4 2 2 6 2 2" xfId="49608"/>
    <cellStyle name="20% - Accent4 2 2 6 3" xfId="36104"/>
    <cellStyle name="20% - Accent4 2 2 7" xfId="8508"/>
    <cellStyle name="20% - Accent4 2 2 7 2" xfId="22728"/>
    <cellStyle name="20% - Accent4 2 2 7 2 2" xfId="49736"/>
    <cellStyle name="20% - Accent4 2 2 7 3" xfId="36232"/>
    <cellStyle name="20% - Accent4 2 2 8" xfId="8650"/>
    <cellStyle name="20% - Accent4 2 2 8 2" xfId="22856"/>
    <cellStyle name="20% - Accent4 2 2 8 2 2" xfId="49864"/>
    <cellStyle name="20% - Accent4 2 2 8 3" xfId="36360"/>
    <cellStyle name="20% - Accent4 2 2 9" xfId="8792"/>
    <cellStyle name="20% - Accent4 2 2 9 2" xfId="22984"/>
    <cellStyle name="20% - Accent4 2 2 9 2 2" xfId="49992"/>
    <cellStyle name="20% - Accent4 2 2 9 3" xfId="36488"/>
    <cellStyle name="20% - Accent4 2 20" xfId="1729"/>
    <cellStyle name="20% - Accent4 2 20 2" xfId="16829"/>
    <cellStyle name="20% - Accent4 2 20 2 2" xfId="43837"/>
    <cellStyle name="20% - Accent4 2 20 3" xfId="30333"/>
    <cellStyle name="20% - Accent4 2 21" xfId="1835"/>
    <cellStyle name="20% - Accent4 2 21 2" xfId="16921"/>
    <cellStyle name="20% - Accent4 2 21 2 2" xfId="43929"/>
    <cellStyle name="20% - Accent4 2 21 3" xfId="30425"/>
    <cellStyle name="20% - Accent4 2 22" xfId="1941"/>
    <cellStyle name="20% - Accent4 2 22 2" xfId="17013"/>
    <cellStyle name="20% - Accent4 2 22 2 2" xfId="44021"/>
    <cellStyle name="20% - Accent4 2 22 3" xfId="30517"/>
    <cellStyle name="20% - Accent4 2 23" xfId="2047"/>
    <cellStyle name="20% - Accent4 2 23 2" xfId="17105"/>
    <cellStyle name="20% - Accent4 2 23 2 2" xfId="44113"/>
    <cellStyle name="20% - Accent4 2 23 3" xfId="30609"/>
    <cellStyle name="20% - Accent4 2 24" xfId="2153"/>
    <cellStyle name="20% - Accent4 2 24 2" xfId="17197"/>
    <cellStyle name="20% - Accent4 2 24 2 2" xfId="44205"/>
    <cellStyle name="20% - Accent4 2 24 3" xfId="30701"/>
    <cellStyle name="20% - Accent4 2 25" xfId="2259"/>
    <cellStyle name="20% - Accent4 2 25 2" xfId="17289"/>
    <cellStyle name="20% - Accent4 2 25 2 2" xfId="44297"/>
    <cellStyle name="20% - Accent4 2 25 3" xfId="30793"/>
    <cellStyle name="20% - Accent4 2 26" xfId="2365"/>
    <cellStyle name="20% - Accent4 2 26 2" xfId="17381"/>
    <cellStyle name="20% - Accent4 2 26 2 2" xfId="44389"/>
    <cellStyle name="20% - Accent4 2 26 3" xfId="30885"/>
    <cellStyle name="20% - Accent4 2 27" xfId="2471"/>
    <cellStyle name="20% - Accent4 2 27 2" xfId="17473"/>
    <cellStyle name="20% - Accent4 2 27 2 2" xfId="44481"/>
    <cellStyle name="20% - Accent4 2 27 3" xfId="30977"/>
    <cellStyle name="20% - Accent4 2 28" xfId="2577"/>
    <cellStyle name="20% - Accent4 2 28 2" xfId="17565"/>
    <cellStyle name="20% - Accent4 2 28 2 2" xfId="44573"/>
    <cellStyle name="20% - Accent4 2 28 3" xfId="31069"/>
    <cellStyle name="20% - Accent4 2 29" xfId="2683"/>
    <cellStyle name="20% - Accent4 2 29 2" xfId="17657"/>
    <cellStyle name="20% - Accent4 2 29 2 2" xfId="44665"/>
    <cellStyle name="20% - Accent4 2 29 3" xfId="31161"/>
    <cellStyle name="20% - Accent4 2 3" xfId="419"/>
    <cellStyle name="20% - Accent4 2 3 10" xfId="9055"/>
    <cellStyle name="20% - Accent4 2 3 10 2" xfId="23223"/>
    <cellStyle name="20% - Accent4 2 3 10 2 2" xfId="50231"/>
    <cellStyle name="20% - Accent4 2 3 10 3" xfId="36727"/>
    <cellStyle name="20% - Accent4 2 3 11" xfId="9197"/>
    <cellStyle name="20% - Accent4 2 3 11 2" xfId="23351"/>
    <cellStyle name="20% - Accent4 2 3 11 2 2" xfId="50359"/>
    <cellStyle name="20% - Accent4 2 3 11 3" xfId="36855"/>
    <cellStyle name="20% - Accent4 2 3 12" xfId="9339"/>
    <cellStyle name="20% - Accent4 2 3 12 2" xfId="23479"/>
    <cellStyle name="20% - Accent4 2 3 12 2 2" xfId="50487"/>
    <cellStyle name="20% - Accent4 2 3 12 3" xfId="36983"/>
    <cellStyle name="20% - Accent4 2 3 13" xfId="9481"/>
    <cellStyle name="20% - Accent4 2 3 13 2" xfId="23607"/>
    <cellStyle name="20% - Accent4 2 3 13 2 2" xfId="50615"/>
    <cellStyle name="20% - Accent4 2 3 13 3" xfId="37111"/>
    <cellStyle name="20% - Accent4 2 3 14" xfId="9623"/>
    <cellStyle name="20% - Accent4 2 3 14 2" xfId="23735"/>
    <cellStyle name="20% - Accent4 2 3 14 2 2" xfId="50743"/>
    <cellStyle name="20% - Accent4 2 3 14 3" xfId="37239"/>
    <cellStyle name="20% - Accent4 2 3 15" xfId="9765"/>
    <cellStyle name="20% - Accent4 2 3 15 2" xfId="23863"/>
    <cellStyle name="20% - Accent4 2 3 15 2 2" xfId="50871"/>
    <cellStyle name="20% - Accent4 2 3 15 3" xfId="37367"/>
    <cellStyle name="20% - Accent4 2 3 16" xfId="9907"/>
    <cellStyle name="20% - Accent4 2 3 16 2" xfId="23991"/>
    <cellStyle name="20% - Accent4 2 3 16 2 2" xfId="50999"/>
    <cellStyle name="20% - Accent4 2 3 16 3" xfId="37495"/>
    <cellStyle name="20% - Accent4 2 3 17" xfId="10049"/>
    <cellStyle name="20% - Accent4 2 3 17 2" xfId="24119"/>
    <cellStyle name="20% - Accent4 2 3 17 2 2" xfId="51127"/>
    <cellStyle name="20% - Accent4 2 3 17 3" xfId="37623"/>
    <cellStyle name="20% - Accent4 2 3 18" xfId="10191"/>
    <cellStyle name="20% - Accent4 2 3 18 2" xfId="24247"/>
    <cellStyle name="20% - Accent4 2 3 18 2 2" xfId="51255"/>
    <cellStyle name="20% - Accent4 2 3 18 3" xfId="37751"/>
    <cellStyle name="20% - Accent4 2 3 19" xfId="10333"/>
    <cellStyle name="20% - Accent4 2 3 19 2" xfId="24375"/>
    <cellStyle name="20% - Accent4 2 3 19 2 2" xfId="51383"/>
    <cellStyle name="20% - Accent4 2 3 19 3" xfId="37879"/>
    <cellStyle name="20% - Accent4 2 3 2" xfId="7919"/>
    <cellStyle name="20% - Accent4 2 3 2 2" xfId="22199"/>
    <cellStyle name="20% - Accent4 2 3 2 2 2" xfId="49207"/>
    <cellStyle name="20% - Accent4 2 3 2 3" xfId="35703"/>
    <cellStyle name="20% - Accent4 2 3 20" xfId="10475"/>
    <cellStyle name="20% - Accent4 2 3 20 2" xfId="24503"/>
    <cellStyle name="20% - Accent4 2 3 20 2 2" xfId="51511"/>
    <cellStyle name="20% - Accent4 2 3 20 3" xfId="38007"/>
    <cellStyle name="20% - Accent4 2 3 21" xfId="10617"/>
    <cellStyle name="20% - Accent4 2 3 21 2" xfId="24631"/>
    <cellStyle name="20% - Accent4 2 3 21 2 2" xfId="51639"/>
    <cellStyle name="20% - Accent4 2 3 21 3" xfId="38135"/>
    <cellStyle name="20% - Accent4 2 3 22" xfId="10759"/>
    <cellStyle name="20% - Accent4 2 3 22 2" xfId="24759"/>
    <cellStyle name="20% - Accent4 2 3 22 2 2" xfId="51767"/>
    <cellStyle name="20% - Accent4 2 3 22 3" xfId="38263"/>
    <cellStyle name="20% - Accent4 2 3 23" xfId="10901"/>
    <cellStyle name="20% - Accent4 2 3 23 2" xfId="24887"/>
    <cellStyle name="20% - Accent4 2 3 23 2 2" xfId="51895"/>
    <cellStyle name="20% - Accent4 2 3 23 3" xfId="38391"/>
    <cellStyle name="20% - Accent4 2 3 24" xfId="11043"/>
    <cellStyle name="20% - Accent4 2 3 24 2" xfId="25015"/>
    <cellStyle name="20% - Accent4 2 3 24 2 2" xfId="52023"/>
    <cellStyle name="20% - Accent4 2 3 24 3" xfId="38519"/>
    <cellStyle name="20% - Accent4 2 3 25" xfId="11185"/>
    <cellStyle name="20% - Accent4 2 3 25 2" xfId="25143"/>
    <cellStyle name="20% - Accent4 2 3 25 2 2" xfId="52151"/>
    <cellStyle name="20% - Accent4 2 3 25 3" xfId="38647"/>
    <cellStyle name="20% - Accent4 2 3 26" xfId="11327"/>
    <cellStyle name="20% - Accent4 2 3 26 2" xfId="25271"/>
    <cellStyle name="20% - Accent4 2 3 26 2 2" xfId="52279"/>
    <cellStyle name="20% - Accent4 2 3 26 3" xfId="38775"/>
    <cellStyle name="20% - Accent4 2 3 27" xfId="11469"/>
    <cellStyle name="20% - Accent4 2 3 27 2" xfId="25399"/>
    <cellStyle name="20% - Accent4 2 3 27 2 2" xfId="52407"/>
    <cellStyle name="20% - Accent4 2 3 27 3" xfId="38903"/>
    <cellStyle name="20% - Accent4 2 3 28" xfId="11611"/>
    <cellStyle name="20% - Accent4 2 3 28 2" xfId="25527"/>
    <cellStyle name="20% - Accent4 2 3 28 2 2" xfId="52535"/>
    <cellStyle name="20% - Accent4 2 3 28 3" xfId="39031"/>
    <cellStyle name="20% - Accent4 2 3 29" xfId="11753"/>
    <cellStyle name="20% - Accent4 2 3 29 2" xfId="25655"/>
    <cellStyle name="20% - Accent4 2 3 29 2 2" xfId="52663"/>
    <cellStyle name="20% - Accent4 2 3 29 3" xfId="39159"/>
    <cellStyle name="20% - Accent4 2 3 3" xfId="8061"/>
    <cellStyle name="20% - Accent4 2 3 3 2" xfId="22327"/>
    <cellStyle name="20% - Accent4 2 3 3 2 2" xfId="49335"/>
    <cellStyle name="20% - Accent4 2 3 3 3" xfId="35831"/>
    <cellStyle name="20% - Accent4 2 3 30" xfId="11895"/>
    <cellStyle name="20% - Accent4 2 3 30 2" xfId="25783"/>
    <cellStyle name="20% - Accent4 2 3 30 2 2" xfId="52791"/>
    <cellStyle name="20% - Accent4 2 3 30 3" xfId="39287"/>
    <cellStyle name="20% - Accent4 2 3 31" xfId="12037"/>
    <cellStyle name="20% - Accent4 2 3 31 2" xfId="25911"/>
    <cellStyle name="20% - Accent4 2 3 31 2 2" xfId="52919"/>
    <cellStyle name="20% - Accent4 2 3 31 3" xfId="39415"/>
    <cellStyle name="20% - Accent4 2 3 32" xfId="12179"/>
    <cellStyle name="20% - Accent4 2 3 32 2" xfId="26039"/>
    <cellStyle name="20% - Accent4 2 3 32 2 2" xfId="53047"/>
    <cellStyle name="20% - Accent4 2 3 32 3" xfId="39543"/>
    <cellStyle name="20% - Accent4 2 3 33" xfId="12321"/>
    <cellStyle name="20% - Accent4 2 3 33 2" xfId="26167"/>
    <cellStyle name="20% - Accent4 2 3 33 2 2" xfId="53175"/>
    <cellStyle name="20% - Accent4 2 3 33 3" xfId="39671"/>
    <cellStyle name="20% - Accent4 2 3 34" xfId="12463"/>
    <cellStyle name="20% - Accent4 2 3 34 2" xfId="26295"/>
    <cellStyle name="20% - Accent4 2 3 34 2 2" xfId="53303"/>
    <cellStyle name="20% - Accent4 2 3 34 3" xfId="39799"/>
    <cellStyle name="20% - Accent4 2 3 35" xfId="12605"/>
    <cellStyle name="20% - Accent4 2 3 35 2" xfId="26423"/>
    <cellStyle name="20% - Accent4 2 3 35 2 2" xfId="53431"/>
    <cellStyle name="20% - Accent4 2 3 35 3" xfId="39927"/>
    <cellStyle name="20% - Accent4 2 3 36" xfId="12747"/>
    <cellStyle name="20% - Accent4 2 3 36 2" xfId="26551"/>
    <cellStyle name="20% - Accent4 2 3 36 2 2" xfId="53559"/>
    <cellStyle name="20% - Accent4 2 3 36 3" xfId="40055"/>
    <cellStyle name="20% - Accent4 2 3 37" xfId="12889"/>
    <cellStyle name="20% - Accent4 2 3 37 2" xfId="26679"/>
    <cellStyle name="20% - Accent4 2 3 37 2 2" xfId="53687"/>
    <cellStyle name="20% - Accent4 2 3 37 3" xfId="40183"/>
    <cellStyle name="20% - Accent4 2 3 38" xfId="13031"/>
    <cellStyle name="20% - Accent4 2 3 38 2" xfId="26807"/>
    <cellStyle name="20% - Accent4 2 3 38 2 2" xfId="53815"/>
    <cellStyle name="20% - Accent4 2 3 38 3" xfId="40311"/>
    <cellStyle name="20% - Accent4 2 3 39" xfId="13173"/>
    <cellStyle name="20% - Accent4 2 3 39 2" xfId="26935"/>
    <cellStyle name="20% - Accent4 2 3 39 2 2" xfId="53943"/>
    <cellStyle name="20% - Accent4 2 3 39 3" xfId="40439"/>
    <cellStyle name="20% - Accent4 2 3 4" xfId="8203"/>
    <cellStyle name="20% - Accent4 2 3 4 2" xfId="22455"/>
    <cellStyle name="20% - Accent4 2 3 4 2 2" xfId="49463"/>
    <cellStyle name="20% - Accent4 2 3 4 3" xfId="35959"/>
    <cellStyle name="20% - Accent4 2 3 40" xfId="13315"/>
    <cellStyle name="20% - Accent4 2 3 40 2" xfId="27063"/>
    <cellStyle name="20% - Accent4 2 3 40 2 2" xfId="54071"/>
    <cellStyle name="20% - Accent4 2 3 40 3" xfId="40567"/>
    <cellStyle name="20% - Accent4 2 3 41" xfId="13457"/>
    <cellStyle name="20% - Accent4 2 3 41 2" xfId="27191"/>
    <cellStyle name="20% - Accent4 2 3 41 2 2" xfId="54199"/>
    <cellStyle name="20% - Accent4 2 3 41 3" xfId="40695"/>
    <cellStyle name="20% - Accent4 2 3 42" xfId="13599"/>
    <cellStyle name="20% - Accent4 2 3 42 2" xfId="27319"/>
    <cellStyle name="20% - Accent4 2 3 42 2 2" xfId="54327"/>
    <cellStyle name="20% - Accent4 2 3 42 3" xfId="40823"/>
    <cellStyle name="20% - Accent4 2 3 43" xfId="13741"/>
    <cellStyle name="20% - Accent4 2 3 43 2" xfId="27447"/>
    <cellStyle name="20% - Accent4 2 3 43 2 2" xfId="54455"/>
    <cellStyle name="20% - Accent4 2 3 43 3" xfId="40951"/>
    <cellStyle name="20% - Accent4 2 3 44" xfId="13882"/>
    <cellStyle name="20% - Accent4 2 3 44 2" xfId="27574"/>
    <cellStyle name="20% - Accent4 2 3 44 2 2" xfId="54582"/>
    <cellStyle name="20% - Accent4 2 3 44 3" xfId="41078"/>
    <cellStyle name="20% - Accent4 2 3 45" xfId="14023"/>
    <cellStyle name="20% - Accent4 2 3 45 2" xfId="27701"/>
    <cellStyle name="20% - Accent4 2 3 45 2 2" xfId="54709"/>
    <cellStyle name="20% - Accent4 2 3 45 3" xfId="41205"/>
    <cellStyle name="20% - Accent4 2 3 46" xfId="14164"/>
    <cellStyle name="20% - Accent4 2 3 46 2" xfId="27828"/>
    <cellStyle name="20% - Accent4 2 3 46 2 2" xfId="54836"/>
    <cellStyle name="20% - Accent4 2 3 46 3" xfId="41332"/>
    <cellStyle name="20% - Accent4 2 3 47" xfId="14305"/>
    <cellStyle name="20% - Accent4 2 3 47 2" xfId="27955"/>
    <cellStyle name="20% - Accent4 2 3 47 2 2" xfId="54963"/>
    <cellStyle name="20% - Accent4 2 3 47 3" xfId="41459"/>
    <cellStyle name="20% - Accent4 2 3 48" xfId="14445"/>
    <cellStyle name="20% - Accent4 2 3 48 2" xfId="28081"/>
    <cellStyle name="20% - Accent4 2 3 48 2 2" xfId="55089"/>
    <cellStyle name="20% - Accent4 2 3 48 3" xfId="41585"/>
    <cellStyle name="20% - Accent4 2 3 49" xfId="14585"/>
    <cellStyle name="20% - Accent4 2 3 49 2" xfId="28207"/>
    <cellStyle name="20% - Accent4 2 3 49 2 2" xfId="55215"/>
    <cellStyle name="20% - Accent4 2 3 49 3" xfId="41711"/>
    <cellStyle name="20% - Accent4 2 3 5" xfId="8345"/>
    <cellStyle name="20% - Accent4 2 3 5 2" xfId="22583"/>
    <cellStyle name="20% - Accent4 2 3 5 2 2" xfId="49591"/>
    <cellStyle name="20% - Accent4 2 3 5 3" xfId="36087"/>
    <cellStyle name="20% - Accent4 2 3 50" xfId="14724"/>
    <cellStyle name="20% - Accent4 2 3 50 2" xfId="28332"/>
    <cellStyle name="20% - Accent4 2 3 50 2 2" xfId="55340"/>
    <cellStyle name="20% - Accent4 2 3 50 3" xfId="41836"/>
    <cellStyle name="20% - Accent4 2 3 51" xfId="14859"/>
    <cellStyle name="20% - Accent4 2 3 51 2" xfId="28454"/>
    <cellStyle name="20% - Accent4 2 3 51 2 2" xfId="55462"/>
    <cellStyle name="20% - Accent4 2 3 51 3" xfId="41958"/>
    <cellStyle name="20% - Accent4 2 3 52" xfId="14993"/>
    <cellStyle name="20% - Accent4 2 3 52 2" xfId="28575"/>
    <cellStyle name="20% - Accent4 2 3 52 2 2" xfId="55583"/>
    <cellStyle name="20% - Accent4 2 3 52 3" xfId="42079"/>
    <cellStyle name="20% - Accent4 2 3 53" xfId="15122"/>
    <cellStyle name="20% - Accent4 2 3 53 2" xfId="28692"/>
    <cellStyle name="20% - Accent4 2 3 53 2 2" xfId="55700"/>
    <cellStyle name="20% - Accent4 2 3 53 3" xfId="42196"/>
    <cellStyle name="20% - Accent4 2 3 54" xfId="15244"/>
    <cellStyle name="20% - Accent4 2 3 54 2" xfId="28806"/>
    <cellStyle name="20% - Accent4 2 3 54 2 2" xfId="55814"/>
    <cellStyle name="20% - Accent4 2 3 54 3" xfId="42310"/>
    <cellStyle name="20% - Accent4 2 3 55" xfId="15349"/>
    <cellStyle name="20% - Accent4 2 3 55 2" xfId="28909"/>
    <cellStyle name="20% - Accent4 2 3 55 2 2" xfId="55917"/>
    <cellStyle name="20% - Accent4 2 3 55 3" xfId="42413"/>
    <cellStyle name="20% - Accent4 2 3 56" xfId="15687"/>
    <cellStyle name="20% - Accent4 2 3 56 2" xfId="42695"/>
    <cellStyle name="20% - Accent4 2 3 57" xfId="29191"/>
    <cellStyle name="20% - Accent4 2 3 6" xfId="8487"/>
    <cellStyle name="20% - Accent4 2 3 6 2" xfId="22711"/>
    <cellStyle name="20% - Accent4 2 3 6 2 2" xfId="49719"/>
    <cellStyle name="20% - Accent4 2 3 6 3" xfId="36215"/>
    <cellStyle name="20% - Accent4 2 3 7" xfId="8629"/>
    <cellStyle name="20% - Accent4 2 3 7 2" xfId="22839"/>
    <cellStyle name="20% - Accent4 2 3 7 2 2" xfId="49847"/>
    <cellStyle name="20% - Accent4 2 3 7 3" xfId="36343"/>
    <cellStyle name="20% - Accent4 2 3 8" xfId="8771"/>
    <cellStyle name="20% - Accent4 2 3 8 2" xfId="22967"/>
    <cellStyle name="20% - Accent4 2 3 8 2 2" xfId="49975"/>
    <cellStyle name="20% - Accent4 2 3 8 3" xfId="36471"/>
    <cellStyle name="20% - Accent4 2 3 9" xfId="8913"/>
    <cellStyle name="20% - Accent4 2 3 9 2" xfId="23095"/>
    <cellStyle name="20% - Accent4 2 3 9 2 2" xfId="50103"/>
    <cellStyle name="20% - Accent4 2 3 9 3" xfId="36599"/>
    <cellStyle name="20% - Accent4 2 30" xfId="2789"/>
    <cellStyle name="20% - Accent4 2 30 2" xfId="17749"/>
    <cellStyle name="20% - Accent4 2 30 2 2" xfId="44757"/>
    <cellStyle name="20% - Accent4 2 30 3" xfId="31253"/>
    <cellStyle name="20% - Accent4 2 31" xfId="2895"/>
    <cellStyle name="20% - Accent4 2 31 2" xfId="17841"/>
    <cellStyle name="20% - Accent4 2 31 2 2" xfId="44849"/>
    <cellStyle name="20% - Accent4 2 31 3" xfId="31345"/>
    <cellStyle name="20% - Accent4 2 32" xfId="3001"/>
    <cellStyle name="20% - Accent4 2 32 2" xfId="17933"/>
    <cellStyle name="20% - Accent4 2 32 2 2" xfId="44941"/>
    <cellStyle name="20% - Accent4 2 32 3" xfId="31437"/>
    <cellStyle name="20% - Accent4 2 33" xfId="3107"/>
    <cellStyle name="20% - Accent4 2 33 2" xfId="18025"/>
    <cellStyle name="20% - Accent4 2 33 2 2" xfId="45033"/>
    <cellStyle name="20% - Accent4 2 33 3" xfId="31529"/>
    <cellStyle name="20% - Accent4 2 34" xfId="3213"/>
    <cellStyle name="20% - Accent4 2 34 2" xfId="18117"/>
    <cellStyle name="20% - Accent4 2 34 2 2" xfId="45125"/>
    <cellStyle name="20% - Accent4 2 34 3" xfId="31621"/>
    <cellStyle name="20% - Accent4 2 35" xfId="3319"/>
    <cellStyle name="20% - Accent4 2 35 2" xfId="18209"/>
    <cellStyle name="20% - Accent4 2 35 2 2" xfId="45217"/>
    <cellStyle name="20% - Accent4 2 35 3" xfId="31713"/>
    <cellStyle name="20% - Accent4 2 36" xfId="3425"/>
    <cellStyle name="20% - Accent4 2 36 2" xfId="18301"/>
    <cellStyle name="20% - Accent4 2 36 2 2" xfId="45309"/>
    <cellStyle name="20% - Accent4 2 36 3" xfId="31805"/>
    <cellStyle name="20% - Accent4 2 37" xfId="3531"/>
    <cellStyle name="20% - Accent4 2 37 2" xfId="18393"/>
    <cellStyle name="20% - Accent4 2 37 2 2" xfId="45401"/>
    <cellStyle name="20% - Accent4 2 37 3" xfId="31897"/>
    <cellStyle name="20% - Accent4 2 38" xfId="3637"/>
    <cellStyle name="20% - Accent4 2 38 2" xfId="18485"/>
    <cellStyle name="20% - Accent4 2 38 2 2" xfId="45493"/>
    <cellStyle name="20% - Accent4 2 38 3" xfId="31989"/>
    <cellStyle name="20% - Accent4 2 39" xfId="3743"/>
    <cellStyle name="20% - Accent4 2 39 2" xfId="18577"/>
    <cellStyle name="20% - Accent4 2 39 2 2" xfId="45585"/>
    <cellStyle name="20% - Accent4 2 39 3" xfId="32081"/>
    <cellStyle name="20% - Accent4 2 4" xfId="299"/>
    <cellStyle name="20% - Accent4 2 4 2" xfId="15601"/>
    <cellStyle name="20% - Accent4 2 4 2 2" xfId="42609"/>
    <cellStyle name="20% - Accent4 2 4 3" xfId="29105"/>
    <cellStyle name="20% - Accent4 2 40" xfId="3849"/>
    <cellStyle name="20% - Accent4 2 40 2" xfId="18669"/>
    <cellStyle name="20% - Accent4 2 40 2 2" xfId="45677"/>
    <cellStyle name="20% - Accent4 2 40 3" xfId="32173"/>
    <cellStyle name="20% - Accent4 2 41" xfId="3955"/>
    <cellStyle name="20% - Accent4 2 41 2" xfId="18761"/>
    <cellStyle name="20% - Accent4 2 41 2 2" xfId="45769"/>
    <cellStyle name="20% - Accent4 2 41 3" xfId="32265"/>
    <cellStyle name="20% - Accent4 2 42" xfId="4061"/>
    <cellStyle name="20% - Accent4 2 42 2" xfId="18853"/>
    <cellStyle name="20% - Accent4 2 42 2 2" xfId="45861"/>
    <cellStyle name="20% - Accent4 2 42 3" xfId="32357"/>
    <cellStyle name="20% - Accent4 2 43" xfId="4167"/>
    <cellStyle name="20% - Accent4 2 43 2" xfId="18945"/>
    <cellStyle name="20% - Accent4 2 43 2 2" xfId="45953"/>
    <cellStyle name="20% - Accent4 2 43 3" xfId="32449"/>
    <cellStyle name="20% - Accent4 2 44" xfId="4273"/>
    <cellStyle name="20% - Accent4 2 44 2" xfId="19037"/>
    <cellStyle name="20% - Accent4 2 44 2 2" xfId="46045"/>
    <cellStyle name="20% - Accent4 2 44 3" xfId="32541"/>
    <cellStyle name="20% - Accent4 2 45" xfId="4379"/>
    <cellStyle name="20% - Accent4 2 45 2" xfId="19129"/>
    <cellStyle name="20% - Accent4 2 45 2 2" xfId="46137"/>
    <cellStyle name="20% - Accent4 2 45 3" xfId="32633"/>
    <cellStyle name="20% - Accent4 2 46" xfId="4485"/>
    <cellStyle name="20% - Accent4 2 46 2" xfId="19221"/>
    <cellStyle name="20% - Accent4 2 46 2 2" xfId="46229"/>
    <cellStyle name="20% - Accent4 2 46 3" xfId="32725"/>
    <cellStyle name="20% - Accent4 2 47" xfId="4591"/>
    <cellStyle name="20% - Accent4 2 47 2" xfId="19313"/>
    <cellStyle name="20% - Accent4 2 47 2 2" xfId="46321"/>
    <cellStyle name="20% - Accent4 2 47 3" xfId="32817"/>
    <cellStyle name="20% - Accent4 2 48" xfId="4697"/>
    <cellStyle name="20% - Accent4 2 48 2" xfId="19405"/>
    <cellStyle name="20% - Accent4 2 48 2 2" xfId="46413"/>
    <cellStyle name="20% - Accent4 2 48 3" xfId="32909"/>
    <cellStyle name="20% - Accent4 2 49" xfId="4803"/>
    <cellStyle name="20% - Accent4 2 49 2" xfId="19497"/>
    <cellStyle name="20% - Accent4 2 49 2 2" xfId="46505"/>
    <cellStyle name="20% - Accent4 2 49 3" xfId="33001"/>
    <cellStyle name="20% - Accent4 2 5" xfId="444"/>
    <cellStyle name="20% - Accent4 2 5 2" xfId="15708"/>
    <cellStyle name="20% - Accent4 2 5 2 2" xfId="42716"/>
    <cellStyle name="20% - Accent4 2 5 3" xfId="29212"/>
    <cellStyle name="20% - Accent4 2 50" xfId="4909"/>
    <cellStyle name="20% - Accent4 2 50 2" xfId="19589"/>
    <cellStyle name="20% - Accent4 2 50 2 2" xfId="46597"/>
    <cellStyle name="20% - Accent4 2 50 3" xfId="33093"/>
    <cellStyle name="20% - Accent4 2 51" xfId="5015"/>
    <cellStyle name="20% - Accent4 2 51 2" xfId="19681"/>
    <cellStyle name="20% - Accent4 2 51 2 2" xfId="46689"/>
    <cellStyle name="20% - Accent4 2 51 3" xfId="33185"/>
    <cellStyle name="20% - Accent4 2 52" xfId="5121"/>
    <cellStyle name="20% - Accent4 2 52 2" xfId="19773"/>
    <cellStyle name="20% - Accent4 2 52 2 2" xfId="46781"/>
    <cellStyle name="20% - Accent4 2 52 3" xfId="33277"/>
    <cellStyle name="20% - Accent4 2 53" xfId="5227"/>
    <cellStyle name="20% - Accent4 2 53 2" xfId="19865"/>
    <cellStyle name="20% - Accent4 2 53 2 2" xfId="46873"/>
    <cellStyle name="20% - Accent4 2 53 3" xfId="33369"/>
    <cellStyle name="20% - Accent4 2 54" xfId="5333"/>
    <cellStyle name="20% - Accent4 2 54 2" xfId="19957"/>
    <cellStyle name="20% - Accent4 2 54 2 2" xfId="46965"/>
    <cellStyle name="20% - Accent4 2 54 3" xfId="33461"/>
    <cellStyle name="20% - Accent4 2 55" xfId="5439"/>
    <cellStyle name="20% - Accent4 2 55 2" xfId="20049"/>
    <cellStyle name="20% - Accent4 2 55 2 2" xfId="47057"/>
    <cellStyle name="20% - Accent4 2 55 3" xfId="33553"/>
    <cellStyle name="20% - Accent4 2 56" xfId="5545"/>
    <cellStyle name="20% - Accent4 2 56 2" xfId="20141"/>
    <cellStyle name="20% - Accent4 2 56 2 2" xfId="47149"/>
    <cellStyle name="20% - Accent4 2 56 3" xfId="33645"/>
    <cellStyle name="20% - Accent4 2 57" xfId="5651"/>
    <cellStyle name="20% - Accent4 2 57 2" xfId="20233"/>
    <cellStyle name="20% - Accent4 2 57 2 2" xfId="47241"/>
    <cellStyle name="20% - Accent4 2 57 3" xfId="33737"/>
    <cellStyle name="20% - Accent4 2 58" xfId="5757"/>
    <cellStyle name="20% - Accent4 2 58 2" xfId="20325"/>
    <cellStyle name="20% - Accent4 2 58 2 2" xfId="47333"/>
    <cellStyle name="20% - Accent4 2 58 3" xfId="33829"/>
    <cellStyle name="20% - Accent4 2 59" xfId="5863"/>
    <cellStyle name="20% - Accent4 2 59 2" xfId="20417"/>
    <cellStyle name="20% - Accent4 2 59 2 2" xfId="47425"/>
    <cellStyle name="20% - Accent4 2 59 3" xfId="33921"/>
    <cellStyle name="20% - Accent4 2 6" xfId="196"/>
    <cellStyle name="20% - Accent4 2 6 2" xfId="15550"/>
    <cellStyle name="20% - Accent4 2 6 2 2" xfId="42558"/>
    <cellStyle name="20% - Accent4 2 6 3" xfId="29054"/>
    <cellStyle name="20% - Accent4 2 60" xfId="5969"/>
    <cellStyle name="20% - Accent4 2 60 2" xfId="20509"/>
    <cellStyle name="20% - Accent4 2 60 2 2" xfId="47517"/>
    <cellStyle name="20% - Accent4 2 60 3" xfId="34013"/>
    <cellStyle name="20% - Accent4 2 61" xfId="6075"/>
    <cellStyle name="20% - Accent4 2 61 2" xfId="20601"/>
    <cellStyle name="20% - Accent4 2 61 2 2" xfId="47609"/>
    <cellStyle name="20% - Accent4 2 61 3" xfId="34105"/>
    <cellStyle name="20% - Accent4 2 62" xfId="6181"/>
    <cellStyle name="20% - Accent4 2 62 2" xfId="20693"/>
    <cellStyle name="20% - Accent4 2 62 2 2" xfId="47701"/>
    <cellStyle name="20% - Accent4 2 62 3" xfId="34197"/>
    <cellStyle name="20% - Accent4 2 63" xfId="6287"/>
    <cellStyle name="20% - Accent4 2 63 2" xfId="20785"/>
    <cellStyle name="20% - Accent4 2 63 2 2" xfId="47793"/>
    <cellStyle name="20% - Accent4 2 63 3" xfId="34289"/>
    <cellStyle name="20% - Accent4 2 64" xfId="6393"/>
    <cellStyle name="20% - Accent4 2 64 2" xfId="20877"/>
    <cellStyle name="20% - Accent4 2 64 2 2" xfId="47885"/>
    <cellStyle name="20% - Accent4 2 64 3" xfId="34381"/>
    <cellStyle name="20% - Accent4 2 65" xfId="6499"/>
    <cellStyle name="20% - Accent4 2 65 2" xfId="20969"/>
    <cellStyle name="20% - Accent4 2 65 2 2" xfId="47977"/>
    <cellStyle name="20% - Accent4 2 65 3" xfId="34473"/>
    <cellStyle name="20% - Accent4 2 66" xfId="6604"/>
    <cellStyle name="20% - Accent4 2 66 2" xfId="21060"/>
    <cellStyle name="20% - Accent4 2 66 2 2" xfId="48068"/>
    <cellStyle name="20% - Accent4 2 66 3" xfId="34564"/>
    <cellStyle name="20% - Accent4 2 67" xfId="6709"/>
    <cellStyle name="20% - Accent4 2 67 2" xfId="21151"/>
    <cellStyle name="20% - Accent4 2 67 2 2" xfId="48159"/>
    <cellStyle name="20% - Accent4 2 67 3" xfId="34655"/>
    <cellStyle name="20% - Accent4 2 68" xfId="6814"/>
    <cellStyle name="20% - Accent4 2 68 2" xfId="21242"/>
    <cellStyle name="20% - Accent4 2 68 2 2" xfId="48250"/>
    <cellStyle name="20% - Accent4 2 68 3" xfId="34746"/>
    <cellStyle name="20% - Accent4 2 69" xfId="6919"/>
    <cellStyle name="20% - Accent4 2 69 2" xfId="21333"/>
    <cellStyle name="20% - Accent4 2 69 2 2" xfId="48341"/>
    <cellStyle name="20% - Accent4 2 69 3" xfId="34837"/>
    <cellStyle name="20% - Accent4 2 7" xfId="255"/>
    <cellStyle name="20% - Accent4 2 7 2" xfId="15570"/>
    <cellStyle name="20% - Accent4 2 7 2 2" xfId="42578"/>
    <cellStyle name="20% - Accent4 2 7 3" xfId="29074"/>
    <cellStyle name="20% - Accent4 2 70" xfId="7024"/>
    <cellStyle name="20% - Accent4 2 70 2" xfId="21424"/>
    <cellStyle name="20% - Accent4 2 70 2 2" xfId="48432"/>
    <cellStyle name="20% - Accent4 2 70 3" xfId="34928"/>
    <cellStyle name="20% - Accent4 2 71" xfId="7128"/>
    <cellStyle name="20% - Accent4 2 71 2" xfId="21514"/>
    <cellStyle name="20% - Accent4 2 71 2 2" xfId="48522"/>
    <cellStyle name="20% - Accent4 2 71 3" xfId="35018"/>
    <cellStyle name="20% - Accent4 2 72" xfId="7232"/>
    <cellStyle name="20% - Accent4 2 72 2" xfId="21604"/>
    <cellStyle name="20% - Accent4 2 72 2 2" xfId="48612"/>
    <cellStyle name="20% - Accent4 2 72 3" xfId="35108"/>
    <cellStyle name="20% - Accent4 2 73" xfId="7731"/>
    <cellStyle name="20% - Accent4 2 73 2" xfId="22033"/>
    <cellStyle name="20% - Accent4 2 73 2 2" xfId="49041"/>
    <cellStyle name="20% - Accent4 2 73 3" xfId="35537"/>
    <cellStyle name="20% - Accent4 2 74" xfId="7755"/>
    <cellStyle name="20% - Accent4 2 74 2" xfId="22053"/>
    <cellStyle name="20% - Accent4 2 74 2 2" xfId="49061"/>
    <cellStyle name="20% - Accent4 2 74 3" xfId="35557"/>
    <cellStyle name="20% - Accent4 2 75" xfId="7716"/>
    <cellStyle name="20% - Accent4 2 75 2" xfId="22018"/>
    <cellStyle name="20% - Accent4 2 75 2 2" xfId="49026"/>
    <cellStyle name="20% - Accent4 2 75 3" xfId="35522"/>
    <cellStyle name="20% - Accent4 2 76" xfId="7712"/>
    <cellStyle name="20% - Accent4 2 76 2" xfId="22015"/>
    <cellStyle name="20% - Accent4 2 76 2 2" xfId="49023"/>
    <cellStyle name="20% - Accent4 2 76 3" xfId="35519"/>
    <cellStyle name="20% - Accent4 2 77" xfId="7711"/>
    <cellStyle name="20% - Accent4 2 77 2" xfId="22014"/>
    <cellStyle name="20% - Accent4 2 77 2 2" xfId="49022"/>
    <cellStyle name="20% - Accent4 2 77 3" xfId="35518"/>
    <cellStyle name="20% - Accent4 2 78" xfId="7878"/>
    <cellStyle name="20% - Accent4 2 78 2" xfId="22166"/>
    <cellStyle name="20% - Accent4 2 78 2 2" xfId="49174"/>
    <cellStyle name="20% - Accent4 2 78 3" xfId="35670"/>
    <cellStyle name="20% - Accent4 2 79" xfId="8020"/>
    <cellStyle name="20% - Accent4 2 79 2" xfId="22294"/>
    <cellStyle name="20% - Accent4 2 79 2 2" xfId="49302"/>
    <cellStyle name="20% - Accent4 2 79 3" xfId="35798"/>
    <cellStyle name="20% - Accent4 2 8" xfId="261"/>
    <cellStyle name="20% - Accent4 2 8 2" xfId="15576"/>
    <cellStyle name="20% - Accent4 2 8 2 2" xfId="42584"/>
    <cellStyle name="20% - Accent4 2 8 3" xfId="29080"/>
    <cellStyle name="20% - Accent4 2 80" xfId="8162"/>
    <cellStyle name="20% - Accent4 2 80 2" xfId="22422"/>
    <cellStyle name="20% - Accent4 2 80 2 2" xfId="49430"/>
    <cellStyle name="20% - Accent4 2 80 3" xfId="35926"/>
    <cellStyle name="20% - Accent4 2 81" xfId="8304"/>
    <cellStyle name="20% - Accent4 2 81 2" xfId="22550"/>
    <cellStyle name="20% - Accent4 2 81 2 2" xfId="49558"/>
    <cellStyle name="20% - Accent4 2 81 3" xfId="36054"/>
    <cellStyle name="20% - Accent4 2 82" xfId="8446"/>
    <cellStyle name="20% - Accent4 2 82 2" xfId="22678"/>
    <cellStyle name="20% - Accent4 2 82 2 2" xfId="49686"/>
    <cellStyle name="20% - Accent4 2 82 3" xfId="36182"/>
    <cellStyle name="20% - Accent4 2 83" xfId="8588"/>
    <cellStyle name="20% - Accent4 2 83 2" xfId="22806"/>
    <cellStyle name="20% - Accent4 2 83 2 2" xfId="49814"/>
    <cellStyle name="20% - Accent4 2 83 3" xfId="36310"/>
    <cellStyle name="20% - Accent4 2 84" xfId="8730"/>
    <cellStyle name="20% - Accent4 2 84 2" xfId="22934"/>
    <cellStyle name="20% - Accent4 2 84 2 2" xfId="49942"/>
    <cellStyle name="20% - Accent4 2 84 3" xfId="36438"/>
    <cellStyle name="20% - Accent4 2 85" xfId="8872"/>
    <cellStyle name="20% - Accent4 2 85 2" xfId="23062"/>
    <cellStyle name="20% - Accent4 2 85 2 2" xfId="50070"/>
    <cellStyle name="20% - Accent4 2 85 3" xfId="36566"/>
    <cellStyle name="20% - Accent4 2 86" xfId="9014"/>
    <cellStyle name="20% - Accent4 2 86 2" xfId="23190"/>
    <cellStyle name="20% - Accent4 2 86 2 2" xfId="50198"/>
    <cellStyle name="20% - Accent4 2 86 3" xfId="36694"/>
    <cellStyle name="20% - Accent4 2 87" xfId="9156"/>
    <cellStyle name="20% - Accent4 2 87 2" xfId="23318"/>
    <cellStyle name="20% - Accent4 2 87 2 2" xfId="50326"/>
    <cellStyle name="20% - Accent4 2 87 3" xfId="36822"/>
    <cellStyle name="20% - Accent4 2 88" xfId="9298"/>
    <cellStyle name="20% - Accent4 2 88 2" xfId="23446"/>
    <cellStyle name="20% - Accent4 2 88 2 2" xfId="50454"/>
    <cellStyle name="20% - Accent4 2 88 3" xfId="36950"/>
    <cellStyle name="20% - Accent4 2 89" xfId="9440"/>
    <cellStyle name="20% - Accent4 2 89 2" xfId="23574"/>
    <cellStyle name="20% - Accent4 2 89 2 2" xfId="50582"/>
    <cellStyle name="20% - Accent4 2 89 3" xfId="37078"/>
    <cellStyle name="20% - Accent4 2 9" xfId="564"/>
    <cellStyle name="20% - Accent4 2 9 2" xfId="15818"/>
    <cellStyle name="20% - Accent4 2 9 2 2" xfId="42826"/>
    <cellStyle name="20% - Accent4 2 9 3" xfId="29322"/>
    <cellStyle name="20% - Accent4 2 90" xfId="9582"/>
    <cellStyle name="20% - Accent4 2 90 2" xfId="23702"/>
    <cellStyle name="20% - Accent4 2 90 2 2" xfId="50710"/>
    <cellStyle name="20% - Accent4 2 90 3" xfId="37206"/>
    <cellStyle name="20% - Accent4 2 91" xfId="9724"/>
    <cellStyle name="20% - Accent4 2 91 2" xfId="23830"/>
    <cellStyle name="20% - Accent4 2 91 2 2" xfId="50838"/>
    <cellStyle name="20% - Accent4 2 91 3" xfId="37334"/>
    <cellStyle name="20% - Accent4 2 92" xfId="9866"/>
    <cellStyle name="20% - Accent4 2 92 2" xfId="23958"/>
    <cellStyle name="20% - Accent4 2 92 2 2" xfId="50966"/>
    <cellStyle name="20% - Accent4 2 92 3" xfId="37462"/>
    <cellStyle name="20% - Accent4 2 93" xfId="10008"/>
    <cellStyle name="20% - Accent4 2 93 2" xfId="24086"/>
    <cellStyle name="20% - Accent4 2 93 2 2" xfId="51094"/>
    <cellStyle name="20% - Accent4 2 93 3" xfId="37590"/>
    <cellStyle name="20% - Accent4 2 94" xfId="10150"/>
    <cellStyle name="20% - Accent4 2 94 2" xfId="24214"/>
    <cellStyle name="20% - Accent4 2 94 2 2" xfId="51222"/>
    <cellStyle name="20% - Accent4 2 94 3" xfId="37718"/>
    <cellStyle name="20% - Accent4 2 95" xfId="10292"/>
    <cellStyle name="20% - Accent4 2 95 2" xfId="24342"/>
    <cellStyle name="20% - Accent4 2 95 2 2" xfId="51350"/>
    <cellStyle name="20% - Accent4 2 95 3" xfId="37846"/>
    <cellStyle name="20% - Accent4 2 96" xfId="10434"/>
    <cellStyle name="20% - Accent4 2 96 2" xfId="24470"/>
    <cellStyle name="20% - Accent4 2 96 2 2" xfId="51478"/>
    <cellStyle name="20% - Accent4 2 96 3" xfId="37974"/>
    <cellStyle name="20% - Accent4 2 97" xfId="10576"/>
    <cellStyle name="20% - Accent4 2 97 2" xfId="24598"/>
    <cellStyle name="20% - Accent4 2 97 2 2" xfId="51606"/>
    <cellStyle name="20% - Accent4 2 97 3" xfId="38102"/>
    <cellStyle name="20% - Accent4 2 98" xfId="10718"/>
    <cellStyle name="20% - Accent4 2 98 2" xfId="24726"/>
    <cellStyle name="20% - Accent4 2 98 2 2" xfId="51734"/>
    <cellStyle name="20% - Accent4 2 98 3" xfId="38230"/>
    <cellStyle name="20% - Accent4 2 99" xfId="10860"/>
    <cellStyle name="20% - Accent4 2 99 2" xfId="24854"/>
    <cellStyle name="20% - Accent4 2 99 2 2" xfId="51862"/>
    <cellStyle name="20% - Accent4 2 99 3" xfId="38358"/>
    <cellStyle name="20% - Accent4 3" xfId="109"/>
    <cellStyle name="20% - Accent4 3 10" xfId="1137"/>
    <cellStyle name="20% - Accent4 3 10 2" xfId="16310"/>
    <cellStyle name="20% - Accent4 3 10 2 2" xfId="43318"/>
    <cellStyle name="20% - Accent4 3 10 3" xfId="29814"/>
    <cellStyle name="20% - Accent4 3 100" xfId="11763"/>
    <cellStyle name="20% - Accent4 3 100 2" xfId="25662"/>
    <cellStyle name="20% - Accent4 3 100 2 2" xfId="52670"/>
    <cellStyle name="20% - Accent4 3 100 3" xfId="39166"/>
    <cellStyle name="20% - Accent4 3 101" xfId="11905"/>
    <cellStyle name="20% - Accent4 3 101 2" xfId="25790"/>
    <cellStyle name="20% - Accent4 3 101 2 2" xfId="52798"/>
    <cellStyle name="20% - Accent4 3 101 3" xfId="39294"/>
    <cellStyle name="20% - Accent4 3 102" xfId="12047"/>
    <cellStyle name="20% - Accent4 3 102 2" xfId="25918"/>
    <cellStyle name="20% - Accent4 3 102 2 2" xfId="52926"/>
    <cellStyle name="20% - Accent4 3 102 3" xfId="39422"/>
    <cellStyle name="20% - Accent4 3 103" xfId="12189"/>
    <cellStyle name="20% - Accent4 3 103 2" xfId="26046"/>
    <cellStyle name="20% - Accent4 3 103 2 2" xfId="53054"/>
    <cellStyle name="20% - Accent4 3 103 3" xfId="39550"/>
    <cellStyle name="20% - Accent4 3 104" xfId="12331"/>
    <cellStyle name="20% - Accent4 3 104 2" xfId="26174"/>
    <cellStyle name="20% - Accent4 3 104 2 2" xfId="53182"/>
    <cellStyle name="20% - Accent4 3 104 3" xfId="39678"/>
    <cellStyle name="20% - Accent4 3 105" xfId="12473"/>
    <cellStyle name="20% - Accent4 3 105 2" xfId="26302"/>
    <cellStyle name="20% - Accent4 3 105 2 2" xfId="53310"/>
    <cellStyle name="20% - Accent4 3 105 3" xfId="39806"/>
    <cellStyle name="20% - Accent4 3 106" xfId="12615"/>
    <cellStyle name="20% - Accent4 3 106 2" xfId="26430"/>
    <cellStyle name="20% - Accent4 3 106 2 2" xfId="53438"/>
    <cellStyle name="20% - Accent4 3 106 3" xfId="39934"/>
    <cellStyle name="20% - Accent4 3 107" xfId="12757"/>
    <cellStyle name="20% - Accent4 3 107 2" xfId="26558"/>
    <cellStyle name="20% - Accent4 3 107 2 2" xfId="53566"/>
    <cellStyle name="20% - Accent4 3 107 3" xfId="40062"/>
    <cellStyle name="20% - Accent4 3 108" xfId="12899"/>
    <cellStyle name="20% - Accent4 3 108 2" xfId="26686"/>
    <cellStyle name="20% - Accent4 3 108 2 2" xfId="53694"/>
    <cellStyle name="20% - Accent4 3 108 3" xfId="40190"/>
    <cellStyle name="20% - Accent4 3 109" xfId="13041"/>
    <cellStyle name="20% - Accent4 3 109 2" xfId="26814"/>
    <cellStyle name="20% - Accent4 3 109 2 2" xfId="53822"/>
    <cellStyle name="20% - Accent4 3 109 3" xfId="40318"/>
    <cellStyle name="20% - Accent4 3 11" xfId="1243"/>
    <cellStyle name="20% - Accent4 3 11 2" xfId="16402"/>
    <cellStyle name="20% - Accent4 3 11 2 2" xfId="43410"/>
    <cellStyle name="20% - Accent4 3 11 3" xfId="29906"/>
    <cellStyle name="20% - Accent4 3 110" xfId="13183"/>
    <cellStyle name="20% - Accent4 3 110 2" xfId="26942"/>
    <cellStyle name="20% - Accent4 3 110 2 2" xfId="53950"/>
    <cellStyle name="20% - Accent4 3 110 3" xfId="40446"/>
    <cellStyle name="20% - Accent4 3 111" xfId="13325"/>
    <cellStyle name="20% - Accent4 3 111 2" xfId="27070"/>
    <cellStyle name="20% - Accent4 3 111 2 2" xfId="54078"/>
    <cellStyle name="20% - Accent4 3 111 3" xfId="40574"/>
    <cellStyle name="20% - Accent4 3 112" xfId="13467"/>
    <cellStyle name="20% - Accent4 3 112 2" xfId="27198"/>
    <cellStyle name="20% - Accent4 3 112 2 2" xfId="54206"/>
    <cellStyle name="20% - Accent4 3 112 3" xfId="40702"/>
    <cellStyle name="20% - Accent4 3 113" xfId="13609"/>
    <cellStyle name="20% - Accent4 3 113 2" xfId="27326"/>
    <cellStyle name="20% - Accent4 3 113 2 2" xfId="54334"/>
    <cellStyle name="20% - Accent4 3 113 3" xfId="40830"/>
    <cellStyle name="20% - Accent4 3 114" xfId="13751"/>
    <cellStyle name="20% - Accent4 3 114 2" xfId="27454"/>
    <cellStyle name="20% - Accent4 3 114 2 2" xfId="54462"/>
    <cellStyle name="20% - Accent4 3 114 3" xfId="40958"/>
    <cellStyle name="20% - Accent4 3 115" xfId="13892"/>
    <cellStyle name="20% - Accent4 3 115 2" xfId="27581"/>
    <cellStyle name="20% - Accent4 3 115 2 2" xfId="54589"/>
    <cellStyle name="20% - Accent4 3 115 3" xfId="41085"/>
    <cellStyle name="20% - Accent4 3 116" xfId="14033"/>
    <cellStyle name="20% - Accent4 3 116 2" xfId="27708"/>
    <cellStyle name="20% - Accent4 3 116 2 2" xfId="54716"/>
    <cellStyle name="20% - Accent4 3 116 3" xfId="41212"/>
    <cellStyle name="20% - Accent4 3 117" xfId="14174"/>
    <cellStyle name="20% - Accent4 3 117 2" xfId="27835"/>
    <cellStyle name="20% - Accent4 3 117 2 2" xfId="54843"/>
    <cellStyle name="20% - Accent4 3 117 3" xfId="41339"/>
    <cellStyle name="20% - Accent4 3 118" xfId="14315"/>
    <cellStyle name="20% - Accent4 3 118 2" xfId="27962"/>
    <cellStyle name="20% - Accent4 3 118 2 2" xfId="54970"/>
    <cellStyle name="20% - Accent4 3 118 3" xfId="41466"/>
    <cellStyle name="20% - Accent4 3 119" xfId="14455"/>
    <cellStyle name="20% - Accent4 3 119 2" xfId="28088"/>
    <cellStyle name="20% - Accent4 3 119 2 2" xfId="55096"/>
    <cellStyle name="20% - Accent4 3 119 3" xfId="41592"/>
    <cellStyle name="20% - Accent4 3 12" xfId="1349"/>
    <cellStyle name="20% - Accent4 3 12 2" xfId="16494"/>
    <cellStyle name="20% - Accent4 3 12 2 2" xfId="43502"/>
    <cellStyle name="20% - Accent4 3 12 3" xfId="29998"/>
    <cellStyle name="20% - Accent4 3 120" xfId="14595"/>
    <cellStyle name="20% - Accent4 3 120 2" xfId="28214"/>
    <cellStyle name="20% - Accent4 3 120 2 2" xfId="55222"/>
    <cellStyle name="20% - Accent4 3 120 3" xfId="41718"/>
    <cellStyle name="20% - Accent4 3 121" xfId="14734"/>
    <cellStyle name="20% - Accent4 3 121 2" xfId="28339"/>
    <cellStyle name="20% - Accent4 3 121 2 2" xfId="55347"/>
    <cellStyle name="20% - Accent4 3 121 3" xfId="41843"/>
    <cellStyle name="20% - Accent4 3 122" xfId="14869"/>
    <cellStyle name="20% - Accent4 3 122 2" xfId="28461"/>
    <cellStyle name="20% - Accent4 3 122 2 2" xfId="55469"/>
    <cellStyle name="20% - Accent4 3 122 3" xfId="41965"/>
    <cellStyle name="20% - Accent4 3 123" xfId="15003"/>
    <cellStyle name="20% - Accent4 3 123 2" xfId="28582"/>
    <cellStyle name="20% - Accent4 3 123 2 2" xfId="55590"/>
    <cellStyle name="20% - Accent4 3 123 3" xfId="42086"/>
    <cellStyle name="20% - Accent4 3 124" xfId="15132"/>
    <cellStyle name="20% - Accent4 3 124 2" xfId="28699"/>
    <cellStyle name="20% - Accent4 3 124 2 2" xfId="55707"/>
    <cellStyle name="20% - Accent4 3 124 3" xfId="42203"/>
    <cellStyle name="20% - Accent4 3 125" xfId="15253"/>
    <cellStyle name="20% - Accent4 3 125 2" xfId="28813"/>
    <cellStyle name="20% - Accent4 3 125 2 2" xfId="55821"/>
    <cellStyle name="20% - Accent4 3 125 3" xfId="42317"/>
    <cellStyle name="20% - Accent4 3 126" xfId="15468"/>
    <cellStyle name="20% - Accent4 3 126 2" xfId="42476"/>
    <cellStyle name="20% - Accent4 3 127" xfId="28972"/>
    <cellStyle name="20% - Accent4 3 13" xfId="1455"/>
    <cellStyle name="20% - Accent4 3 13 2" xfId="16586"/>
    <cellStyle name="20% - Accent4 3 13 2 2" xfId="43594"/>
    <cellStyle name="20% - Accent4 3 13 3" xfId="30090"/>
    <cellStyle name="20% - Accent4 3 14" xfId="1561"/>
    <cellStyle name="20% - Accent4 3 14 2" xfId="16678"/>
    <cellStyle name="20% - Accent4 3 14 2 2" xfId="43686"/>
    <cellStyle name="20% - Accent4 3 14 3" xfId="30182"/>
    <cellStyle name="20% - Accent4 3 15" xfId="1667"/>
    <cellStyle name="20% - Accent4 3 15 2" xfId="16770"/>
    <cellStyle name="20% - Accent4 3 15 2 2" xfId="43778"/>
    <cellStyle name="20% - Accent4 3 15 3" xfId="30274"/>
    <cellStyle name="20% - Accent4 3 16" xfId="1773"/>
    <cellStyle name="20% - Accent4 3 16 2" xfId="16862"/>
    <cellStyle name="20% - Accent4 3 16 2 2" xfId="43870"/>
    <cellStyle name="20% - Accent4 3 16 3" xfId="30366"/>
    <cellStyle name="20% - Accent4 3 17" xfId="1879"/>
    <cellStyle name="20% - Accent4 3 17 2" xfId="16954"/>
    <cellStyle name="20% - Accent4 3 17 2 2" xfId="43962"/>
    <cellStyle name="20% - Accent4 3 17 3" xfId="30458"/>
    <cellStyle name="20% - Accent4 3 18" xfId="1985"/>
    <cellStyle name="20% - Accent4 3 18 2" xfId="17046"/>
    <cellStyle name="20% - Accent4 3 18 2 2" xfId="44054"/>
    <cellStyle name="20% - Accent4 3 18 3" xfId="30550"/>
    <cellStyle name="20% - Accent4 3 19" xfId="2091"/>
    <cellStyle name="20% - Accent4 3 19 2" xfId="17138"/>
    <cellStyle name="20% - Accent4 3 19 2 2" xfId="44146"/>
    <cellStyle name="20% - Accent4 3 19 3" xfId="30642"/>
    <cellStyle name="20% - Accent4 3 2" xfId="286"/>
    <cellStyle name="20% - Accent4 3 2 2" xfId="15589"/>
    <cellStyle name="20% - Accent4 3 2 2 2" xfId="42597"/>
    <cellStyle name="20% - Accent4 3 2 3" xfId="29093"/>
    <cellStyle name="20% - Accent4 3 20" xfId="2197"/>
    <cellStyle name="20% - Accent4 3 20 2" xfId="17230"/>
    <cellStyle name="20% - Accent4 3 20 2 2" xfId="44238"/>
    <cellStyle name="20% - Accent4 3 20 3" xfId="30734"/>
    <cellStyle name="20% - Accent4 3 21" xfId="2303"/>
    <cellStyle name="20% - Accent4 3 21 2" xfId="17322"/>
    <cellStyle name="20% - Accent4 3 21 2 2" xfId="44330"/>
    <cellStyle name="20% - Accent4 3 21 3" xfId="30826"/>
    <cellStyle name="20% - Accent4 3 22" xfId="2409"/>
    <cellStyle name="20% - Accent4 3 22 2" xfId="17414"/>
    <cellStyle name="20% - Accent4 3 22 2 2" xfId="44422"/>
    <cellStyle name="20% - Accent4 3 22 3" xfId="30918"/>
    <cellStyle name="20% - Accent4 3 23" xfId="2515"/>
    <cellStyle name="20% - Accent4 3 23 2" xfId="17506"/>
    <cellStyle name="20% - Accent4 3 23 2 2" xfId="44514"/>
    <cellStyle name="20% - Accent4 3 23 3" xfId="31010"/>
    <cellStyle name="20% - Accent4 3 24" xfId="2621"/>
    <cellStyle name="20% - Accent4 3 24 2" xfId="17598"/>
    <cellStyle name="20% - Accent4 3 24 2 2" xfId="44606"/>
    <cellStyle name="20% - Accent4 3 24 3" xfId="31102"/>
    <cellStyle name="20% - Accent4 3 25" xfId="2727"/>
    <cellStyle name="20% - Accent4 3 25 2" xfId="17690"/>
    <cellStyle name="20% - Accent4 3 25 2 2" xfId="44698"/>
    <cellStyle name="20% - Accent4 3 25 3" xfId="31194"/>
    <cellStyle name="20% - Accent4 3 26" xfId="2833"/>
    <cellStyle name="20% - Accent4 3 26 2" xfId="17782"/>
    <cellStyle name="20% - Accent4 3 26 2 2" xfId="44790"/>
    <cellStyle name="20% - Accent4 3 26 3" xfId="31286"/>
    <cellStyle name="20% - Accent4 3 27" xfId="2939"/>
    <cellStyle name="20% - Accent4 3 27 2" xfId="17874"/>
    <cellStyle name="20% - Accent4 3 27 2 2" xfId="44882"/>
    <cellStyle name="20% - Accent4 3 27 3" xfId="31378"/>
    <cellStyle name="20% - Accent4 3 28" xfId="3045"/>
    <cellStyle name="20% - Accent4 3 28 2" xfId="17966"/>
    <cellStyle name="20% - Accent4 3 28 2 2" xfId="44974"/>
    <cellStyle name="20% - Accent4 3 28 3" xfId="31470"/>
    <cellStyle name="20% - Accent4 3 29" xfId="3151"/>
    <cellStyle name="20% - Accent4 3 29 2" xfId="18058"/>
    <cellStyle name="20% - Accent4 3 29 2 2" xfId="45066"/>
    <cellStyle name="20% - Accent4 3 29 3" xfId="31562"/>
    <cellStyle name="20% - Accent4 3 3" xfId="476"/>
    <cellStyle name="20% - Accent4 3 3 2" xfId="15733"/>
    <cellStyle name="20% - Accent4 3 3 2 2" xfId="42741"/>
    <cellStyle name="20% - Accent4 3 3 3" xfId="29237"/>
    <cellStyle name="20% - Accent4 3 30" xfId="3257"/>
    <cellStyle name="20% - Accent4 3 30 2" xfId="18150"/>
    <cellStyle name="20% - Accent4 3 30 2 2" xfId="45158"/>
    <cellStyle name="20% - Accent4 3 30 3" xfId="31654"/>
    <cellStyle name="20% - Accent4 3 31" xfId="3363"/>
    <cellStyle name="20% - Accent4 3 31 2" xfId="18242"/>
    <cellStyle name="20% - Accent4 3 31 2 2" xfId="45250"/>
    <cellStyle name="20% - Accent4 3 31 3" xfId="31746"/>
    <cellStyle name="20% - Accent4 3 32" xfId="3469"/>
    <cellStyle name="20% - Accent4 3 32 2" xfId="18334"/>
    <cellStyle name="20% - Accent4 3 32 2 2" xfId="45342"/>
    <cellStyle name="20% - Accent4 3 32 3" xfId="31838"/>
    <cellStyle name="20% - Accent4 3 33" xfId="3575"/>
    <cellStyle name="20% - Accent4 3 33 2" xfId="18426"/>
    <cellStyle name="20% - Accent4 3 33 2 2" xfId="45434"/>
    <cellStyle name="20% - Accent4 3 33 3" xfId="31930"/>
    <cellStyle name="20% - Accent4 3 34" xfId="3681"/>
    <cellStyle name="20% - Accent4 3 34 2" xfId="18518"/>
    <cellStyle name="20% - Accent4 3 34 2 2" xfId="45526"/>
    <cellStyle name="20% - Accent4 3 34 3" xfId="32022"/>
    <cellStyle name="20% - Accent4 3 35" xfId="3787"/>
    <cellStyle name="20% - Accent4 3 35 2" xfId="18610"/>
    <cellStyle name="20% - Accent4 3 35 2 2" xfId="45618"/>
    <cellStyle name="20% - Accent4 3 35 3" xfId="32114"/>
    <cellStyle name="20% - Accent4 3 36" xfId="3893"/>
    <cellStyle name="20% - Accent4 3 36 2" xfId="18702"/>
    <cellStyle name="20% - Accent4 3 36 2 2" xfId="45710"/>
    <cellStyle name="20% - Accent4 3 36 3" xfId="32206"/>
    <cellStyle name="20% - Accent4 3 37" xfId="3999"/>
    <cellStyle name="20% - Accent4 3 37 2" xfId="18794"/>
    <cellStyle name="20% - Accent4 3 37 2 2" xfId="45802"/>
    <cellStyle name="20% - Accent4 3 37 3" xfId="32298"/>
    <cellStyle name="20% - Accent4 3 38" xfId="4105"/>
    <cellStyle name="20% - Accent4 3 38 2" xfId="18886"/>
    <cellStyle name="20% - Accent4 3 38 2 2" xfId="45894"/>
    <cellStyle name="20% - Accent4 3 38 3" xfId="32390"/>
    <cellStyle name="20% - Accent4 3 39" xfId="4211"/>
    <cellStyle name="20% - Accent4 3 39 2" xfId="18978"/>
    <cellStyle name="20% - Accent4 3 39 2 2" xfId="45986"/>
    <cellStyle name="20% - Accent4 3 39 3" xfId="32482"/>
    <cellStyle name="20% - Accent4 3 4" xfId="488"/>
    <cellStyle name="20% - Accent4 3 4 2" xfId="15744"/>
    <cellStyle name="20% - Accent4 3 4 2 2" xfId="42752"/>
    <cellStyle name="20% - Accent4 3 4 3" xfId="29248"/>
    <cellStyle name="20% - Accent4 3 40" xfId="4317"/>
    <cellStyle name="20% - Accent4 3 40 2" xfId="19070"/>
    <cellStyle name="20% - Accent4 3 40 2 2" xfId="46078"/>
    <cellStyle name="20% - Accent4 3 40 3" xfId="32574"/>
    <cellStyle name="20% - Accent4 3 41" xfId="4423"/>
    <cellStyle name="20% - Accent4 3 41 2" xfId="19162"/>
    <cellStyle name="20% - Accent4 3 41 2 2" xfId="46170"/>
    <cellStyle name="20% - Accent4 3 41 3" xfId="32666"/>
    <cellStyle name="20% - Accent4 3 42" xfId="4529"/>
    <cellStyle name="20% - Accent4 3 42 2" xfId="19254"/>
    <cellStyle name="20% - Accent4 3 42 2 2" xfId="46262"/>
    <cellStyle name="20% - Accent4 3 42 3" xfId="32758"/>
    <cellStyle name="20% - Accent4 3 43" xfId="4635"/>
    <cellStyle name="20% - Accent4 3 43 2" xfId="19346"/>
    <cellStyle name="20% - Accent4 3 43 2 2" xfId="46354"/>
    <cellStyle name="20% - Accent4 3 43 3" xfId="32850"/>
    <cellStyle name="20% - Accent4 3 44" xfId="4741"/>
    <cellStyle name="20% - Accent4 3 44 2" xfId="19438"/>
    <cellStyle name="20% - Accent4 3 44 2 2" xfId="46446"/>
    <cellStyle name="20% - Accent4 3 44 3" xfId="32942"/>
    <cellStyle name="20% - Accent4 3 45" xfId="4847"/>
    <cellStyle name="20% - Accent4 3 45 2" xfId="19530"/>
    <cellStyle name="20% - Accent4 3 45 2 2" xfId="46538"/>
    <cellStyle name="20% - Accent4 3 45 3" xfId="33034"/>
    <cellStyle name="20% - Accent4 3 46" xfId="4953"/>
    <cellStyle name="20% - Accent4 3 46 2" xfId="19622"/>
    <cellStyle name="20% - Accent4 3 46 2 2" xfId="46630"/>
    <cellStyle name="20% - Accent4 3 46 3" xfId="33126"/>
    <cellStyle name="20% - Accent4 3 47" xfId="5059"/>
    <cellStyle name="20% - Accent4 3 47 2" xfId="19714"/>
    <cellStyle name="20% - Accent4 3 47 2 2" xfId="46722"/>
    <cellStyle name="20% - Accent4 3 47 3" xfId="33218"/>
    <cellStyle name="20% - Accent4 3 48" xfId="5165"/>
    <cellStyle name="20% - Accent4 3 48 2" xfId="19806"/>
    <cellStyle name="20% - Accent4 3 48 2 2" xfId="46814"/>
    <cellStyle name="20% - Accent4 3 48 3" xfId="33310"/>
    <cellStyle name="20% - Accent4 3 49" xfId="5271"/>
    <cellStyle name="20% - Accent4 3 49 2" xfId="19898"/>
    <cellStyle name="20% - Accent4 3 49 2 2" xfId="46906"/>
    <cellStyle name="20% - Accent4 3 49 3" xfId="33402"/>
    <cellStyle name="20% - Accent4 3 5" xfId="607"/>
    <cellStyle name="20% - Accent4 3 5 2" xfId="15850"/>
    <cellStyle name="20% - Accent4 3 5 2 2" xfId="42858"/>
    <cellStyle name="20% - Accent4 3 5 3" xfId="29354"/>
    <cellStyle name="20% - Accent4 3 50" xfId="5377"/>
    <cellStyle name="20% - Accent4 3 50 2" xfId="19990"/>
    <cellStyle name="20% - Accent4 3 50 2 2" xfId="46998"/>
    <cellStyle name="20% - Accent4 3 50 3" xfId="33494"/>
    <cellStyle name="20% - Accent4 3 51" xfId="5483"/>
    <cellStyle name="20% - Accent4 3 51 2" xfId="20082"/>
    <cellStyle name="20% - Accent4 3 51 2 2" xfId="47090"/>
    <cellStyle name="20% - Accent4 3 51 3" xfId="33586"/>
    <cellStyle name="20% - Accent4 3 52" xfId="5589"/>
    <cellStyle name="20% - Accent4 3 52 2" xfId="20174"/>
    <cellStyle name="20% - Accent4 3 52 2 2" xfId="47182"/>
    <cellStyle name="20% - Accent4 3 52 3" xfId="33678"/>
    <cellStyle name="20% - Accent4 3 53" xfId="5695"/>
    <cellStyle name="20% - Accent4 3 53 2" xfId="20266"/>
    <cellStyle name="20% - Accent4 3 53 2 2" xfId="47274"/>
    <cellStyle name="20% - Accent4 3 53 3" xfId="33770"/>
    <cellStyle name="20% - Accent4 3 54" xfId="5801"/>
    <cellStyle name="20% - Accent4 3 54 2" xfId="20358"/>
    <cellStyle name="20% - Accent4 3 54 2 2" xfId="47366"/>
    <cellStyle name="20% - Accent4 3 54 3" xfId="33862"/>
    <cellStyle name="20% - Accent4 3 55" xfId="5907"/>
    <cellStyle name="20% - Accent4 3 55 2" xfId="20450"/>
    <cellStyle name="20% - Accent4 3 55 2 2" xfId="47458"/>
    <cellStyle name="20% - Accent4 3 55 3" xfId="33954"/>
    <cellStyle name="20% - Accent4 3 56" xfId="6013"/>
    <cellStyle name="20% - Accent4 3 56 2" xfId="20542"/>
    <cellStyle name="20% - Accent4 3 56 2 2" xfId="47550"/>
    <cellStyle name="20% - Accent4 3 56 3" xfId="34046"/>
    <cellStyle name="20% - Accent4 3 57" xfId="6119"/>
    <cellStyle name="20% - Accent4 3 57 2" xfId="20634"/>
    <cellStyle name="20% - Accent4 3 57 2 2" xfId="47642"/>
    <cellStyle name="20% - Accent4 3 57 3" xfId="34138"/>
    <cellStyle name="20% - Accent4 3 58" xfId="6225"/>
    <cellStyle name="20% - Accent4 3 58 2" xfId="20726"/>
    <cellStyle name="20% - Accent4 3 58 2 2" xfId="47734"/>
    <cellStyle name="20% - Accent4 3 58 3" xfId="34230"/>
    <cellStyle name="20% - Accent4 3 59" xfId="6331"/>
    <cellStyle name="20% - Accent4 3 59 2" xfId="20818"/>
    <cellStyle name="20% - Accent4 3 59 2 2" xfId="47826"/>
    <cellStyle name="20% - Accent4 3 59 3" xfId="34322"/>
    <cellStyle name="20% - Accent4 3 6" xfId="713"/>
    <cellStyle name="20% - Accent4 3 6 2" xfId="15942"/>
    <cellStyle name="20% - Accent4 3 6 2 2" xfId="42950"/>
    <cellStyle name="20% - Accent4 3 6 3" xfId="29446"/>
    <cellStyle name="20% - Accent4 3 60" xfId="6437"/>
    <cellStyle name="20% - Accent4 3 60 2" xfId="20910"/>
    <cellStyle name="20% - Accent4 3 60 2 2" xfId="47918"/>
    <cellStyle name="20% - Accent4 3 60 3" xfId="34414"/>
    <cellStyle name="20% - Accent4 3 61" xfId="6543"/>
    <cellStyle name="20% - Accent4 3 61 2" xfId="21002"/>
    <cellStyle name="20% - Accent4 3 61 2 2" xfId="48010"/>
    <cellStyle name="20% - Accent4 3 61 3" xfId="34506"/>
    <cellStyle name="20% - Accent4 3 62" xfId="6648"/>
    <cellStyle name="20% - Accent4 3 62 2" xfId="21093"/>
    <cellStyle name="20% - Accent4 3 62 2 2" xfId="48101"/>
    <cellStyle name="20% - Accent4 3 62 3" xfId="34597"/>
    <cellStyle name="20% - Accent4 3 63" xfId="6753"/>
    <cellStyle name="20% - Accent4 3 63 2" xfId="21184"/>
    <cellStyle name="20% - Accent4 3 63 2 2" xfId="48192"/>
    <cellStyle name="20% - Accent4 3 63 3" xfId="34688"/>
    <cellStyle name="20% - Accent4 3 64" xfId="6858"/>
    <cellStyle name="20% - Accent4 3 64 2" xfId="21275"/>
    <cellStyle name="20% - Accent4 3 64 2 2" xfId="48283"/>
    <cellStyle name="20% - Accent4 3 64 3" xfId="34779"/>
    <cellStyle name="20% - Accent4 3 65" xfId="6963"/>
    <cellStyle name="20% - Accent4 3 65 2" xfId="21366"/>
    <cellStyle name="20% - Accent4 3 65 2 2" xfId="48374"/>
    <cellStyle name="20% - Accent4 3 65 3" xfId="34870"/>
    <cellStyle name="20% - Accent4 3 66" xfId="7067"/>
    <cellStyle name="20% - Accent4 3 66 2" xfId="21456"/>
    <cellStyle name="20% - Accent4 3 66 2 2" xfId="48464"/>
    <cellStyle name="20% - Accent4 3 66 3" xfId="34960"/>
    <cellStyle name="20% - Accent4 3 67" xfId="7171"/>
    <cellStyle name="20% - Accent4 3 67 2" xfId="21546"/>
    <cellStyle name="20% - Accent4 3 67 2 2" xfId="48554"/>
    <cellStyle name="20% - Accent4 3 67 3" xfId="35050"/>
    <cellStyle name="20% - Accent4 3 68" xfId="7274"/>
    <cellStyle name="20% - Accent4 3 68 2" xfId="21635"/>
    <cellStyle name="20% - Accent4 3 68 2 2" xfId="48643"/>
    <cellStyle name="20% - Accent4 3 68 3" xfId="35139"/>
    <cellStyle name="20% - Accent4 3 69" xfId="7374"/>
    <cellStyle name="20% - Accent4 3 69 2" xfId="21722"/>
    <cellStyle name="20% - Accent4 3 69 2 2" xfId="48730"/>
    <cellStyle name="20% - Accent4 3 69 3" xfId="35226"/>
    <cellStyle name="20% - Accent4 3 7" xfId="819"/>
    <cellStyle name="20% - Accent4 3 7 2" xfId="16034"/>
    <cellStyle name="20% - Accent4 3 7 2 2" xfId="43042"/>
    <cellStyle name="20% - Accent4 3 7 3" xfId="29538"/>
    <cellStyle name="20% - Accent4 3 70" xfId="7472"/>
    <cellStyle name="20% - Accent4 3 70 2" xfId="21807"/>
    <cellStyle name="20% - Accent4 3 70 2 2" xfId="48815"/>
    <cellStyle name="20% - Accent4 3 70 3" xfId="35311"/>
    <cellStyle name="20% - Accent4 3 71" xfId="7561"/>
    <cellStyle name="20% - Accent4 3 71 2" xfId="21885"/>
    <cellStyle name="20% - Accent4 3 71 2 2" xfId="48893"/>
    <cellStyle name="20% - Accent4 3 71 3" xfId="35389"/>
    <cellStyle name="20% - Accent4 3 72" xfId="7787"/>
    <cellStyle name="20% - Accent4 3 72 2" xfId="22078"/>
    <cellStyle name="20% - Accent4 3 72 2 2" xfId="49086"/>
    <cellStyle name="20% - Accent4 3 72 3" xfId="35582"/>
    <cellStyle name="20% - Accent4 3 73" xfId="7929"/>
    <cellStyle name="20% - Accent4 3 73 2" xfId="22206"/>
    <cellStyle name="20% - Accent4 3 73 2 2" xfId="49214"/>
    <cellStyle name="20% - Accent4 3 73 3" xfId="35710"/>
    <cellStyle name="20% - Accent4 3 74" xfId="8071"/>
    <cellStyle name="20% - Accent4 3 74 2" xfId="22334"/>
    <cellStyle name="20% - Accent4 3 74 2 2" xfId="49342"/>
    <cellStyle name="20% - Accent4 3 74 3" xfId="35838"/>
    <cellStyle name="20% - Accent4 3 75" xfId="8213"/>
    <cellStyle name="20% - Accent4 3 75 2" xfId="22462"/>
    <cellStyle name="20% - Accent4 3 75 2 2" xfId="49470"/>
    <cellStyle name="20% - Accent4 3 75 3" xfId="35966"/>
    <cellStyle name="20% - Accent4 3 76" xfId="8355"/>
    <cellStyle name="20% - Accent4 3 76 2" xfId="22590"/>
    <cellStyle name="20% - Accent4 3 76 2 2" xfId="49598"/>
    <cellStyle name="20% - Accent4 3 76 3" xfId="36094"/>
    <cellStyle name="20% - Accent4 3 77" xfId="8497"/>
    <cellStyle name="20% - Accent4 3 77 2" xfId="22718"/>
    <cellStyle name="20% - Accent4 3 77 2 2" xfId="49726"/>
    <cellStyle name="20% - Accent4 3 77 3" xfId="36222"/>
    <cellStyle name="20% - Accent4 3 78" xfId="8639"/>
    <cellStyle name="20% - Accent4 3 78 2" xfId="22846"/>
    <cellStyle name="20% - Accent4 3 78 2 2" xfId="49854"/>
    <cellStyle name="20% - Accent4 3 78 3" xfId="36350"/>
    <cellStyle name="20% - Accent4 3 79" xfId="8781"/>
    <cellStyle name="20% - Accent4 3 79 2" xfId="22974"/>
    <cellStyle name="20% - Accent4 3 79 2 2" xfId="49982"/>
    <cellStyle name="20% - Accent4 3 79 3" xfId="36478"/>
    <cellStyle name="20% - Accent4 3 8" xfId="925"/>
    <cellStyle name="20% - Accent4 3 8 2" xfId="16126"/>
    <cellStyle name="20% - Accent4 3 8 2 2" xfId="43134"/>
    <cellStyle name="20% - Accent4 3 8 3" xfId="29630"/>
    <cellStyle name="20% - Accent4 3 80" xfId="8923"/>
    <cellStyle name="20% - Accent4 3 80 2" xfId="23102"/>
    <cellStyle name="20% - Accent4 3 80 2 2" xfId="50110"/>
    <cellStyle name="20% - Accent4 3 80 3" xfId="36606"/>
    <cellStyle name="20% - Accent4 3 81" xfId="9065"/>
    <cellStyle name="20% - Accent4 3 81 2" xfId="23230"/>
    <cellStyle name="20% - Accent4 3 81 2 2" xfId="50238"/>
    <cellStyle name="20% - Accent4 3 81 3" xfId="36734"/>
    <cellStyle name="20% - Accent4 3 82" xfId="9207"/>
    <cellStyle name="20% - Accent4 3 82 2" xfId="23358"/>
    <cellStyle name="20% - Accent4 3 82 2 2" xfId="50366"/>
    <cellStyle name="20% - Accent4 3 82 3" xfId="36862"/>
    <cellStyle name="20% - Accent4 3 83" xfId="9349"/>
    <cellStyle name="20% - Accent4 3 83 2" xfId="23486"/>
    <cellStyle name="20% - Accent4 3 83 2 2" xfId="50494"/>
    <cellStyle name="20% - Accent4 3 83 3" xfId="36990"/>
    <cellStyle name="20% - Accent4 3 84" xfId="9491"/>
    <cellStyle name="20% - Accent4 3 84 2" xfId="23614"/>
    <cellStyle name="20% - Accent4 3 84 2 2" xfId="50622"/>
    <cellStyle name="20% - Accent4 3 84 3" xfId="37118"/>
    <cellStyle name="20% - Accent4 3 85" xfId="9633"/>
    <cellStyle name="20% - Accent4 3 85 2" xfId="23742"/>
    <cellStyle name="20% - Accent4 3 85 2 2" xfId="50750"/>
    <cellStyle name="20% - Accent4 3 85 3" xfId="37246"/>
    <cellStyle name="20% - Accent4 3 86" xfId="9775"/>
    <cellStyle name="20% - Accent4 3 86 2" xfId="23870"/>
    <cellStyle name="20% - Accent4 3 86 2 2" xfId="50878"/>
    <cellStyle name="20% - Accent4 3 86 3" xfId="37374"/>
    <cellStyle name="20% - Accent4 3 87" xfId="9917"/>
    <cellStyle name="20% - Accent4 3 87 2" xfId="23998"/>
    <cellStyle name="20% - Accent4 3 87 2 2" xfId="51006"/>
    <cellStyle name="20% - Accent4 3 87 3" xfId="37502"/>
    <cellStyle name="20% - Accent4 3 88" xfId="10059"/>
    <cellStyle name="20% - Accent4 3 88 2" xfId="24126"/>
    <cellStyle name="20% - Accent4 3 88 2 2" xfId="51134"/>
    <cellStyle name="20% - Accent4 3 88 3" xfId="37630"/>
    <cellStyle name="20% - Accent4 3 89" xfId="10201"/>
    <cellStyle name="20% - Accent4 3 89 2" xfId="24254"/>
    <cellStyle name="20% - Accent4 3 89 2 2" xfId="51262"/>
    <cellStyle name="20% - Accent4 3 89 3" xfId="37758"/>
    <cellStyle name="20% - Accent4 3 9" xfId="1031"/>
    <cellStyle name="20% - Accent4 3 9 2" xfId="16218"/>
    <cellStyle name="20% - Accent4 3 9 2 2" xfId="43226"/>
    <cellStyle name="20% - Accent4 3 9 3" xfId="29722"/>
    <cellStyle name="20% - Accent4 3 90" xfId="10343"/>
    <cellStyle name="20% - Accent4 3 90 2" xfId="24382"/>
    <cellStyle name="20% - Accent4 3 90 2 2" xfId="51390"/>
    <cellStyle name="20% - Accent4 3 90 3" xfId="37886"/>
    <cellStyle name="20% - Accent4 3 91" xfId="10485"/>
    <cellStyle name="20% - Accent4 3 91 2" xfId="24510"/>
    <cellStyle name="20% - Accent4 3 91 2 2" xfId="51518"/>
    <cellStyle name="20% - Accent4 3 91 3" xfId="38014"/>
    <cellStyle name="20% - Accent4 3 92" xfId="10627"/>
    <cellStyle name="20% - Accent4 3 92 2" xfId="24638"/>
    <cellStyle name="20% - Accent4 3 92 2 2" xfId="51646"/>
    <cellStyle name="20% - Accent4 3 92 3" xfId="38142"/>
    <cellStyle name="20% - Accent4 3 93" xfId="10769"/>
    <cellStyle name="20% - Accent4 3 93 2" xfId="24766"/>
    <cellStyle name="20% - Accent4 3 93 2 2" xfId="51774"/>
    <cellStyle name="20% - Accent4 3 93 3" xfId="38270"/>
    <cellStyle name="20% - Accent4 3 94" xfId="10911"/>
    <cellStyle name="20% - Accent4 3 94 2" xfId="24894"/>
    <cellStyle name="20% - Accent4 3 94 2 2" xfId="51902"/>
    <cellStyle name="20% - Accent4 3 94 3" xfId="38398"/>
    <cellStyle name="20% - Accent4 3 95" xfId="11053"/>
    <cellStyle name="20% - Accent4 3 95 2" xfId="25022"/>
    <cellStyle name="20% - Accent4 3 95 2 2" xfId="52030"/>
    <cellStyle name="20% - Accent4 3 95 3" xfId="38526"/>
    <cellStyle name="20% - Accent4 3 96" xfId="11195"/>
    <cellStyle name="20% - Accent4 3 96 2" xfId="25150"/>
    <cellStyle name="20% - Accent4 3 96 2 2" xfId="52158"/>
    <cellStyle name="20% - Accent4 3 96 3" xfId="38654"/>
    <cellStyle name="20% - Accent4 3 97" xfId="11337"/>
    <cellStyle name="20% - Accent4 3 97 2" xfId="25278"/>
    <cellStyle name="20% - Accent4 3 97 2 2" xfId="52286"/>
    <cellStyle name="20% - Accent4 3 97 3" xfId="38782"/>
    <cellStyle name="20% - Accent4 3 98" xfId="11479"/>
    <cellStyle name="20% - Accent4 3 98 2" xfId="25406"/>
    <cellStyle name="20% - Accent4 3 98 2 2" xfId="52414"/>
    <cellStyle name="20% - Accent4 3 98 3" xfId="38910"/>
    <cellStyle name="20% - Accent4 3 99" xfId="11621"/>
    <cellStyle name="20% - Accent4 3 99 2" xfId="25534"/>
    <cellStyle name="20% - Accent4 3 99 2 2" xfId="52542"/>
    <cellStyle name="20% - Accent4 3 99 3" xfId="39038"/>
    <cellStyle name="20% - Accent4 4" xfId="398"/>
    <cellStyle name="20% - Accent4 4 10" xfId="9035"/>
    <cellStyle name="20% - Accent4 4 10 2" xfId="23204"/>
    <cellStyle name="20% - Accent4 4 10 2 2" xfId="50212"/>
    <cellStyle name="20% - Accent4 4 10 3" xfId="36708"/>
    <cellStyle name="20% - Accent4 4 11" xfId="9177"/>
    <cellStyle name="20% - Accent4 4 11 2" xfId="23332"/>
    <cellStyle name="20% - Accent4 4 11 2 2" xfId="50340"/>
    <cellStyle name="20% - Accent4 4 11 3" xfId="36836"/>
    <cellStyle name="20% - Accent4 4 12" xfId="9319"/>
    <cellStyle name="20% - Accent4 4 12 2" xfId="23460"/>
    <cellStyle name="20% - Accent4 4 12 2 2" xfId="50468"/>
    <cellStyle name="20% - Accent4 4 12 3" xfId="36964"/>
    <cellStyle name="20% - Accent4 4 13" xfId="9461"/>
    <cellStyle name="20% - Accent4 4 13 2" xfId="23588"/>
    <cellStyle name="20% - Accent4 4 13 2 2" xfId="50596"/>
    <cellStyle name="20% - Accent4 4 13 3" xfId="37092"/>
    <cellStyle name="20% - Accent4 4 14" xfId="9603"/>
    <cellStyle name="20% - Accent4 4 14 2" xfId="23716"/>
    <cellStyle name="20% - Accent4 4 14 2 2" xfId="50724"/>
    <cellStyle name="20% - Accent4 4 14 3" xfId="37220"/>
    <cellStyle name="20% - Accent4 4 15" xfId="9745"/>
    <cellStyle name="20% - Accent4 4 15 2" xfId="23844"/>
    <cellStyle name="20% - Accent4 4 15 2 2" xfId="50852"/>
    <cellStyle name="20% - Accent4 4 15 3" xfId="37348"/>
    <cellStyle name="20% - Accent4 4 16" xfId="9887"/>
    <cellStyle name="20% - Accent4 4 16 2" xfId="23972"/>
    <cellStyle name="20% - Accent4 4 16 2 2" xfId="50980"/>
    <cellStyle name="20% - Accent4 4 16 3" xfId="37476"/>
    <cellStyle name="20% - Accent4 4 17" xfId="10029"/>
    <cellStyle name="20% - Accent4 4 17 2" xfId="24100"/>
    <cellStyle name="20% - Accent4 4 17 2 2" xfId="51108"/>
    <cellStyle name="20% - Accent4 4 17 3" xfId="37604"/>
    <cellStyle name="20% - Accent4 4 18" xfId="10171"/>
    <cellStyle name="20% - Accent4 4 18 2" xfId="24228"/>
    <cellStyle name="20% - Accent4 4 18 2 2" xfId="51236"/>
    <cellStyle name="20% - Accent4 4 18 3" xfId="37732"/>
    <cellStyle name="20% - Accent4 4 19" xfId="10313"/>
    <cellStyle name="20% - Accent4 4 19 2" xfId="24356"/>
    <cellStyle name="20% - Accent4 4 19 2 2" xfId="51364"/>
    <cellStyle name="20% - Accent4 4 19 3" xfId="37860"/>
    <cellStyle name="20% - Accent4 4 2" xfId="7899"/>
    <cellStyle name="20% - Accent4 4 2 2" xfId="22180"/>
    <cellStyle name="20% - Accent4 4 2 2 2" xfId="49188"/>
    <cellStyle name="20% - Accent4 4 2 3" xfId="35684"/>
    <cellStyle name="20% - Accent4 4 20" xfId="10455"/>
    <cellStyle name="20% - Accent4 4 20 2" xfId="24484"/>
    <cellStyle name="20% - Accent4 4 20 2 2" xfId="51492"/>
    <cellStyle name="20% - Accent4 4 20 3" xfId="37988"/>
    <cellStyle name="20% - Accent4 4 21" xfId="10597"/>
    <cellStyle name="20% - Accent4 4 21 2" xfId="24612"/>
    <cellStyle name="20% - Accent4 4 21 2 2" xfId="51620"/>
    <cellStyle name="20% - Accent4 4 21 3" xfId="38116"/>
    <cellStyle name="20% - Accent4 4 22" xfId="10739"/>
    <cellStyle name="20% - Accent4 4 22 2" xfId="24740"/>
    <cellStyle name="20% - Accent4 4 22 2 2" xfId="51748"/>
    <cellStyle name="20% - Accent4 4 22 3" xfId="38244"/>
    <cellStyle name="20% - Accent4 4 23" xfId="10881"/>
    <cellStyle name="20% - Accent4 4 23 2" xfId="24868"/>
    <cellStyle name="20% - Accent4 4 23 2 2" xfId="51876"/>
    <cellStyle name="20% - Accent4 4 23 3" xfId="38372"/>
    <cellStyle name="20% - Accent4 4 24" xfId="11023"/>
    <cellStyle name="20% - Accent4 4 24 2" xfId="24996"/>
    <cellStyle name="20% - Accent4 4 24 2 2" xfId="52004"/>
    <cellStyle name="20% - Accent4 4 24 3" xfId="38500"/>
    <cellStyle name="20% - Accent4 4 25" xfId="11165"/>
    <cellStyle name="20% - Accent4 4 25 2" xfId="25124"/>
    <cellStyle name="20% - Accent4 4 25 2 2" xfId="52132"/>
    <cellStyle name="20% - Accent4 4 25 3" xfId="38628"/>
    <cellStyle name="20% - Accent4 4 26" xfId="11307"/>
    <cellStyle name="20% - Accent4 4 26 2" xfId="25252"/>
    <cellStyle name="20% - Accent4 4 26 2 2" xfId="52260"/>
    <cellStyle name="20% - Accent4 4 26 3" xfId="38756"/>
    <cellStyle name="20% - Accent4 4 27" xfId="11449"/>
    <cellStyle name="20% - Accent4 4 27 2" xfId="25380"/>
    <cellStyle name="20% - Accent4 4 27 2 2" xfId="52388"/>
    <cellStyle name="20% - Accent4 4 27 3" xfId="38884"/>
    <cellStyle name="20% - Accent4 4 28" xfId="11591"/>
    <cellStyle name="20% - Accent4 4 28 2" xfId="25508"/>
    <cellStyle name="20% - Accent4 4 28 2 2" xfId="52516"/>
    <cellStyle name="20% - Accent4 4 28 3" xfId="39012"/>
    <cellStyle name="20% - Accent4 4 29" xfId="11733"/>
    <cellStyle name="20% - Accent4 4 29 2" xfId="25636"/>
    <cellStyle name="20% - Accent4 4 29 2 2" xfId="52644"/>
    <cellStyle name="20% - Accent4 4 29 3" xfId="39140"/>
    <cellStyle name="20% - Accent4 4 3" xfId="8041"/>
    <cellStyle name="20% - Accent4 4 3 2" xfId="22308"/>
    <cellStyle name="20% - Accent4 4 3 2 2" xfId="49316"/>
    <cellStyle name="20% - Accent4 4 3 3" xfId="35812"/>
    <cellStyle name="20% - Accent4 4 30" xfId="11875"/>
    <cellStyle name="20% - Accent4 4 30 2" xfId="25764"/>
    <cellStyle name="20% - Accent4 4 30 2 2" xfId="52772"/>
    <cellStyle name="20% - Accent4 4 30 3" xfId="39268"/>
    <cellStyle name="20% - Accent4 4 31" xfId="12017"/>
    <cellStyle name="20% - Accent4 4 31 2" xfId="25892"/>
    <cellStyle name="20% - Accent4 4 31 2 2" xfId="52900"/>
    <cellStyle name="20% - Accent4 4 31 3" xfId="39396"/>
    <cellStyle name="20% - Accent4 4 32" xfId="12159"/>
    <cellStyle name="20% - Accent4 4 32 2" xfId="26020"/>
    <cellStyle name="20% - Accent4 4 32 2 2" xfId="53028"/>
    <cellStyle name="20% - Accent4 4 32 3" xfId="39524"/>
    <cellStyle name="20% - Accent4 4 33" xfId="12301"/>
    <cellStyle name="20% - Accent4 4 33 2" xfId="26148"/>
    <cellStyle name="20% - Accent4 4 33 2 2" xfId="53156"/>
    <cellStyle name="20% - Accent4 4 33 3" xfId="39652"/>
    <cellStyle name="20% - Accent4 4 34" xfId="12443"/>
    <cellStyle name="20% - Accent4 4 34 2" xfId="26276"/>
    <cellStyle name="20% - Accent4 4 34 2 2" xfId="53284"/>
    <cellStyle name="20% - Accent4 4 34 3" xfId="39780"/>
    <cellStyle name="20% - Accent4 4 35" xfId="12585"/>
    <cellStyle name="20% - Accent4 4 35 2" xfId="26404"/>
    <cellStyle name="20% - Accent4 4 35 2 2" xfId="53412"/>
    <cellStyle name="20% - Accent4 4 35 3" xfId="39908"/>
    <cellStyle name="20% - Accent4 4 36" xfId="12727"/>
    <cellStyle name="20% - Accent4 4 36 2" xfId="26532"/>
    <cellStyle name="20% - Accent4 4 36 2 2" xfId="53540"/>
    <cellStyle name="20% - Accent4 4 36 3" xfId="40036"/>
    <cellStyle name="20% - Accent4 4 37" xfId="12869"/>
    <cellStyle name="20% - Accent4 4 37 2" xfId="26660"/>
    <cellStyle name="20% - Accent4 4 37 2 2" xfId="53668"/>
    <cellStyle name="20% - Accent4 4 37 3" xfId="40164"/>
    <cellStyle name="20% - Accent4 4 38" xfId="13011"/>
    <cellStyle name="20% - Accent4 4 38 2" xfId="26788"/>
    <cellStyle name="20% - Accent4 4 38 2 2" xfId="53796"/>
    <cellStyle name="20% - Accent4 4 38 3" xfId="40292"/>
    <cellStyle name="20% - Accent4 4 39" xfId="13153"/>
    <cellStyle name="20% - Accent4 4 39 2" xfId="26916"/>
    <cellStyle name="20% - Accent4 4 39 2 2" xfId="53924"/>
    <cellStyle name="20% - Accent4 4 39 3" xfId="40420"/>
    <cellStyle name="20% - Accent4 4 4" xfId="8183"/>
    <cellStyle name="20% - Accent4 4 4 2" xfId="22436"/>
    <cellStyle name="20% - Accent4 4 4 2 2" xfId="49444"/>
    <cellStyle name="20% - Accent4 4 4 3" xfId="35940"/>
    <cellStyle name="20% - Accent4 4 40" xfId="13295"/>
    <cellStyle name="20% - Accent4 4 40 2" xfId="27044"/>
    <cellStyle name="20% - Accent4 4 40 2 2" xfId="54052"/>
    <cellStyle name="20% - Accent4 4 40 3" xfId="40548"/>
    <cellStyle name="20% - Accent4 4 41" xfId="13437"/>
    <cellStyle name="20% - Accent4 4 41 2" xfId="27172"/>
    <cellStyle name="20% - Accent4 4 41 2 2" xfId="54180"/>
    <cellStyle name="20% - Accent4 4 41 3" xfId="40676"/>
    <cellStyle name="20% - Accent4 4 42" xfId="13579"/>
    <cellStyle name="20% - Accent4 4 42 2" xfId="27300"/>
    <cellStyle name="20% - Accent4 4 42 2 2" xfId="54308"/>
    <cellStyle name="20% - Accent4 4 42 3" xfId="40804"/>
    <cellStyle name="20% - Accent4 4 43" xfId="13721"/>
    <cellStyle name="20% - Accent4 4 43 2" xfId="27428"/>
    <cellStyle name="20% - Accent4 4 43 2 2" xfId="54436"/>
    <cellStyle name="20% - Accent4 4 43 3" xfId="40932"/>
    <cellStyle name="20% - Accent4 4 44" xfId="13862"/>
    <cellStyle name="20% - Accent4 4 44 2" xfId="27555"/>
    <cellStyle name="20% - Accent4 4 44 2 2" xfId="54563"/>
    <cellStyle name="20% - Accent4 4 44 3" xfId="41059"/>
    <cellStyle name="20% - Accent4 4 45" xfId="14003"/>
    <cellStyle name="20% - Accent4 4 45 2" xfId="27682"/>
    <cellStyle name="20% - Accent4 4 45 2 2" xfId="54690"/>
    <cellStyle name="20% - Accent4 4 45 3" xfId="41186"/>
    <cellStyle name="20% - Accent4 4 46" xfId="14144"/>
    <cellStyle name="20% - Accent4 4 46 2" xfId="27809"/>
    <cellStyle name="20% - Accent4 4 46 2 2" xfId="54817"/>
    <cellStyle name="20% - Accent4 4 46 3" xfId="41313"/>
    <cellStyle name="20% - Accent4 4 47" xfId="14285"/>
    <cellStyle name="20% - Accent4 4 47 2" xfId="27936"/>
    <cellStyle name="20% - Accent4 4 47 2 2" xfId="54944"/>
    <cellStyle name="20% - Accent4 4 47 3" xfId="41440"/>
    <cellStyle name="20% - Accent4 4 48" xfId="14426"/>
    <cellStyle name="20% - Accent4 4 48 2" xfId="28063"/>
    <cellStyle name="20% - Accent4 4 48 2 2" xfId="55071"/>
    <cellStyle name="20% - Accent4 4 48 3" xfId="41567"/>
    <cellStyle name="20% - Accent4 4 49" xfId="14566"/>
    <cellStyle name="20% - Accent4 4 49 2" xfId="28189"/>
    <cellStyle name="20% - Accent4 4 49 2 2" xfId="55197"/>
    <cellStyle name="20% - Accent4 4 49 3" xfId="41693"/>
    <cellStyle name="20% - Accent4 4 5" xfId="8325"/>
    <cellStyle name="20% - Accent4 4 5 2" xfId="22564"/>
    <cellStyle name="20% - Accent4 4 5 2 2" xfId="49572"/>
    <cellStyle name="20% - Accent4 4 5 3" xfId="36068"/>
    <cellStyle name="20% - Accent4 4 50" xfId="14705"/>
    <cellStyle name="20% - Accent4 4 50 2" xfId="28314"/>
    <cellStyle name="20% - Accent4 4 50 2 2" xfId="55322"/>
    <cellStyle name="20% - Accent4 4 50 3" xfId="41818"/>
    <cellStyle name="20% - Accent4 4 51" xfId="14840"/>
    <cellStyle name="20% - Accent4 4 51 2" xfId="28436"/>
    <cellStyle name="20% - Accent4 4 51 2 2" xfId="55444"/>
    <cellStyle name="20% - Accent4 4 51 3" xfId="41940"/>
    <cellStyle name="20% - Accent4 4 52" xfId="14974"/>
    <cellStyle name="20% - Accent4 4 52 2" xfId="28557"/>
    <cellStyle name="20% - Accent4 4 52 2 2" xfId="55565"/>
    <cellStyle name="20% - Accent4 4 52 3" xfId="42061"/>
    <cellStyle name="20% - Accent4 4 53" xfId="15105"/>
    <cellStyle name="20% - Accent4 4 53 2" xfId="28676"/>
    <cellStyle name="20% - Accent4 4 53 2 2" xfId="55684"/>
    <cellStyle name="20% - Accent4 4 53 3" xfId="42180"/>
    <cellStyle name="20% - Accent4 4 54" xfId="15228"/>
    <cellStyle name="20% - Accent4 4 54 2" xfId="28791"/>
    <cellStyle name="20% - Accent4 4 54 2 2" xfId="55799"/>
    <cellStyle name="20% - Accent4 4 54 3" xfId="42295"/>
    <cellStyle name="20% - Accent4 4 55" xfId="15337"/>
    <cellStyle name="20% - Accent4 4 55 2" xfId="28897"/>
    <cellStyle name="20% - Accent4 4 55 2 2" xfId="55905"/>
    <cellStyle name="20% - Accent4 4 55 3" xfId="42401"/>
    <cellStyle name="20% - Accent4 4 56" xfId="15675"/>
    <cellStyle name="20% - Accent4 4 56 2" xfId="42683"/>
    <cellStyle name="20% - Accent4 4 57" xfId="29179"/>
    <cellStyle name="20% - Accent4 4 6" xfId="8467"/>
    <cellStyle name="20% - Accent4 4 6 2" xfId="22692"/>
    <cellStyle name="20% - Accent4 4 6 2 2" xfId="49700"/>
    <cellStyle name="20% - Accent4 4 6 3" xfId="36196"/>
    <cellStyle name="20% - Accent4 4 7" xfId="8609"/>
    <cellStyle name="20% - Accent4 4 7 2" xfId="22820"/>
    <cellStyle name="20% - Accent4 4 7 2 2" xfId="49828"/>
    <cellStyle name="20% - Accent4 4 7 3" xfId="36324"/>
    <cellStyle name="20% - Accent4 4 8" xfId="8751"/>
    <cellStyle name="20% - Accent4 4 8 2" xfId="22948"/>
    <cellStyle name="20% - Accent4 4 8 2 2" xfId="49956"/>
    <cellStyle name="20% - Accent4 4 8 3" xfId="36452"/>
    <cellStyle name="20% - Accent4 4 9" xfId="8893"/>
    <cellStyle name="20% - Accent4 4 9 2" xfId="23076"/>
    <cellStyle name="20% - Accent4 4 9 2 2" xfId="50084"/>
    <cellStyle name="20% - Accent4 4 9 3" xfId="36580"/>
    <cellStyle name="20% - Accent4 5" xfId="15386"/>
    <cellStyle name="20% - Accent4 5 2" xfId="28923"/>
    <cellStyle name="20% - Accent4 5 2 2" xfId="55931"/>
    <cellStyle name="20% - Accent4 5 3" xfId="42427"/>
    <cellStyle name="20% - Accent4 6" xfId="15430"/>
    <cellStyle name="20% - Accent4 6 2" xfId="28939"/>
    <cellStyle name="20% - Accent4 6 2 2" xfId="55947"/>
    <cellStyle name="20% - Accent4 6 3" xfId="42443"/>
    <cellStyle name="20% - Accent4 7" xfId="15449"/>
    <cellStyle name="20% - Accent4 7 2" xfId="42457"/>
    <cellStyle name="20% - Accent4 8" xfId="28953"/>
    <cellStyle name="20% - Accent4 9" xfId="50"/>
    <cellStyle name="20% - Accent5 2" xfId="122"/>
    <cellStyle name="20% - Accent5 2 10" xfId="916"/>
    <cellStyle name="20% - Accent5 2 10 2" xfId="16118"/>
    <cellStyle name="20% - Accent5 2 10 2 2" xfId="43126"/>
    <cellStyle name="20% - Accent5 2 10 3" xfId="29622"/>
    <cellStyle name="20% - Accent5 2 100" xfId="11366"/>
    <cellStyle name="20% - Accent5 2 100 2" xfId="25306"/>
    <cellStyle name="20% - Accent5 2 100 2 2" xfId="52314"/>
    <cellStyle name="20% - Accent5 2 100 3" xfId="38810"/>
    <cellStyle name="20% - Accent5 2 101" xfId="11508"/>
    <cellStyle name="20% - Accent5 2 101 2" xfId="25434"/>
    <cellStyle name="20% - Accent5 2 101 2 2" xfId="52442"/>
    <cellStyle name="20% - Accent5 2 101 3" xfId="38938"/>
    <cellStyle name="20% - Accent5 2 102" xfId="11650"/>
    <cellStyle name="20% - Accent5 2 102 2" xfId="25562"/>
    <cellStyle name="20% - Accent5 2 102 2 2" xfId="52570"/>
    <cellStyle name="20% - Accent5 2 102 3" xfId="39066"/>
    <cellStyle name="20% - Accent5 2 103" xfId="11792"/>
    <cellStyle name="20% - Accent5 2 103 2" xfId="25690"/>
    <cellStyle name="20% - Accent5 2 103 2 2" xfId="52698"/>
    <cellStyle name="20% - Accent5 2 103 3" xfId="39194"/>
    <cellStyle name="20% - Accent5 2 104" xfId="11934"/>
    <cellStyle name="20% - Accent5 2 104 2" xfId="25818"/>
    <cellStyle name="20% - Accent5 2 104 2 2" xfId="52826"/>
    <cellStyle name="20% - Accent5 2 104 3" xfId="39322"/>
    <cellStyle name="20% - Accent5 2 105" xfId="12076"/>
    <cellStyle name="20% - Accent5 2 105 2" xfId="25946"/>
    <cellStyle name="20% - Accent5 2 105 2 2" xfId="52954"/>
    <cellStyle name="20% - Accent5 2 105 3" xfId="39450"/>
    <cellStyle name="20% - Accent5 2 106" xfId="12218"/>
    <cellStyle name="20% - Accent5 2 106 2" xfId="26074"/>
    <cellStyle name="20% - Accent5 2 106 2 2" xfId="53082"/>
    <cellStyle name="20% - Accent5 2 106 3" xfId="39578"/>
    <cellStyle name="20% - Accent5 2 107" xfId="12360"/>
    <cellStyle name="20% - Accent5 2 107 2" xfId="26202"/>
    <cellStyle name="20% - Accent5 2 107 2 2" xfId="53210"/>
    <cellStyle name="20% - Accent5 2 107 3" xfId="39706"/>
    <cellStyle name="20% - Accent5 2 108" xfId="12502"/>
    <cellStyle name="20% - Accent5 2 108 2" xfId="26330"/>
    <cellStyle name="20% - Accent5 2 108 2 2" xfId="53338"/>
    <cellStyle name="20% - Accent5 2 108 3" xfId="39834"/>
    <cellStyle name="20% - Accent5 2 109" xfId="12644"/>
    <cellStyle name="20% - Accent5 2 109 2" xfId="26458"/>
    <cellStyle name="20% - Accent5 2 109 2 2" xfId="53466"/>
    <cellStyle name="20% - Accent5 2 109 3" xfId="39962"/>
    <cellStyle name="20% - Accent5 2 11" xfId="1022"/>
    <cellStyle name="20% - Accent5 2 11 2" xfId="16210"/>
    <cellStyle name="20% - Accent5 2 11 2 2" xfId="43218"/>
    <cellStyle name="20% - Accent5 2 11 3" xfId="29714"/>
    <cellStyle name="20% - Accent5 2 110" xfId="12786"/>
    <cellStyle name="20% - Accent5 2 110 2" xfId="26586"/>
    <cellStyle name="20% - Accent5 2 110 2 2" xfId="53594"/>
    <cellStyle name="20% - Accent5 2 110 3" xfId="40090"/>
    <cellStyle name="20% - Accent5 2 111" xfId="12928"/>
    <cellStyle name="20% - Accent5 2 111 2" xfId="26714"/>
    <cellStyle name="20% - Accent5 2 111 2 2" xfId="53722"/>
    <cellStyle name="20% - Accent5 2 111 3" xfId="40218"/>
    <cellStyle name="20% - Accent5 2 112" xfId="13070"/>
    <cellStyle name="20% - Accent5 2 112 2" xfId="26842"/>
    <cellStyle name="20% - Accent5 2 112 2 2" xfId="53850"/>
    <cellStyle name="20% - Accent5 2 112 3" xfId="40346"/>
    <cellStyle name="20% - Accent5 2 113" xfId="13212"/>
    <cellStyle name="20% - Accent5 2 113 2" xfId="26970"/>
    <cellStyle name="20% - Accent5 2 113 2 2" xfId="53978"/>
    <cellStyle name="20% - Accent5 2 113 3" xfId="40474"/>
    <cellStyle name="20% - Accent5 2 114" xfId="13354"/>
    <cellStyle name="20% - Accent5 2 114 2" xfId="27098"/>
    <cellStyle name="20% - Accent5 2 114 2 2" xfId="54106"/>
    <cellStyle name="20% - Accent5 2 114 3" xfId="40602"/>
    <cellStyle name="20% - Accent5 2 115" xfId="13496"/>
    <cellStyle name="20% - Accent5 2 115 2" xfId="27226"/>
    <cellStyle name="20% - Accent5 2 115 2 2" xfId="54234"/>
    <cellStyle name="20% - Accent5 2 115 3" xfId="40730"/>
    <cellStyle name="20% - Accent5 2 116" xfId="13638"/>
    <cellStyle name="20% - Accent5 2 116 2" xfId="27354"/>
    <cellStyle name="20% - Accent5 2 116 2 2" xfId="54362"/>
    <cellStyle name="20% - Accent5 2 116 3" xfId="40858"/>
    <cellStyle name="20% - Accent5 2 117" xfId="13780"/>
    <cellStyle name="20% - Accent5 2 117 2" xfId="27482"/>
    <cellStyle name="20% - Accent5 2 117 2 2" xfId="54490"/>
    <cellStyle name="20% - Accent5 2 117 3" xfId="40986"/>
    <cellStyle name="20% - Accent5 2 118" xfId="13921"/>
    <cellStyle name="20% - Accent5 2 118 2" xfId="27609"/>
    <cellStyle name="20% - Accent5 2 118 2 2" xfId="54617"/>
    <cellStyle name="20% - Accent5 2 118 3" xfId="41113"/>
    <cellStyle name="20% - Accent5 2 119" xfId="14062"/>
    <cellStyle name="20% - Accent5 2 119 2" xfId="27736"/>
    <cellStyle name="20% - Accent5 2 119 2 2" xfId="54744"/>
    <cellStyle name="20% - Accent5 2 119 3" xfId="41240"/>
    <cellStyle name="20% - Accent5 2 12" xfId="1128"/>
    <cellStyle name="20% - Accent5 2 12 2" xfId="16302"/>
    <cellStyle name="20% - Accent5 2 12 2 2" xfId="43310"/>
    <cellStyle name="20% - Accent5 2 12 3" xfId="29806"/>
    <cellStyle name="20% - Accent5 2 120" xfId="14203"/>
    <cellStyle name="20% - Accent5 2 120 2" xfId="27863"/>
    <cellStyle name="20% - Accent5 2 120 2 2" xfId="54871"/>
    <cellStyle name="20% - Accent5 2 120 3" xfId="41367"/>
    <cellStyle name="20% - Accent5 2 121" xfId="14344"/>
    <cellStyle name="20% - Accent5 2 121 2" xfId="27990"/>
    <cellStyle name="20% - Accent5 2 121 2 2" xfId="54998"/>
    <cellStyle name="20% - Accent5 2 121 3" xfId="41494"/>
    <cellStyle name="20% - Accent5 2 122" xfId="14484"/>
    <cellStyle name="20% - Accent5 2 122 2" xfId="28116"/>
    <cellStyle name="20% - Accent5 2 122 2 2" xfId="55124"/>
    <cellStyle name="20% - Accent5 2 122 3" xfId="41620"/>
    <cellStyle name="20% - Accent5 2 123" xfId="14624"/>
    <cellStyle name="20% - Accent5 2 123 2" xfId="28242"/>
    <cellStyle name="20% - Accent5 2 123 2 2" xfId="55250"/>
    <cellStyle name="20% - Accent5 2 123 3" xfId="41746"/>
    <cellStyle name="20% - Accent5 2 124" xfId="14763"/>
    <cellStyle name="20% - Accent5 2 124 2" xfId="28367"/>
    <cellStyle name="20% - Accent5 2 124 2 2" xfId="55375"/>
    <cellStyle name="20% - Accent5 2 124 3" xfId="41871"/>
    <cellStyle name="20% - Accent5 2 125" xfId="14898"/>
    <cellStyle name="20% - Accent5 2 125 2" xfId="28489"/>
    <cellStyle name="20% - Accent5 2 125 2 2" xfId="55497"/>
    <cellStyle name="20% - Accent5 2 125 3" xfId="41993"/>
    <cellStyle name="20% - Accent5 2 126" xfId="15032"/>
    <cellStyle name="20% - Accent5 2 126 2" xfId="28610"/>
    <cellStyle name="20% - Accent5 2 126 2 2" xfId="55618"/>
    <cellStyle name="20% - Accent5 2 126 3" xfId="42114"/>
    <cellStyle name="20% - Accent5 2 127" xfId="15480"/>
    <cellStyle name="20% - Accent5 2 127 2" xfId="42488"/>
    <cellStyle name="20% - Accent5 2 128" xfId="28984"/>
    <cellStyle name="20% - Accent5 2 13" xfId="1234"/>
    <cellStyle name="20% - Accent5 2 13 2" xfId="16394"/>
    <cellStyle name="20% - Accent5 2 13 2 2" xfId="43402"/>
    <cellStyle name="20% - Accent5 2 13 3" xfId="29898"/>
    <cellStyle name="20% - Accent5 2 14" xfId="1340"/>
    <cellStyle name="20% - Accent5 2 14 2" xfId="16486"/>
    <cellStyle name="20% - Accent5 2 14 2 2" xfId="43494"/>
    <cellStyle name="20% - Accent5 2 14 3" xfId="29990"/>
    <cellStyle name="20% - Accent5 2 15" xfId="1446"/>
    <cellStyle name="20% - Accent5 2 15 2" xfId="16578"/>
    <cellStyle name="20% - Accent5 2 15 2 2" xfId="43586"/>
    <cellStyle name="20% - Accent5 2 15 3" xfId="30082"/>
    <cellStyle name="20% - Accent5 2 16" xfId="1552"/>
    <cellStyle name="20% - Accent5 2 16 2" xfId="16670"/>
    <cellStyle name="20% - Accent5 2 16 2 2" xfId="43678"/>
    <cellStyle name="20% - Accent5 2 16 3" xfId="30174"/>
    <cellStyle name="20% - Accent5 2 17" xfId="1658"/>
    <cellStyle name="20% - Accent5 2 17 2" xfId="16762"/>
    <cellStyle name="20% - Accent5 2 17 2 2" xfId="43770"/>
    <cellStyle name="20% - Accent5 2 17 3" xfId="30266"/>
    <cellStyle name="20% - Accent5 2 18" xfId="1764"/>
    <cellStyle name="20% - Accent5 2 18 2" xfId="16854"/>
    <cellStyle name="20% - Accent5 2 18 2 2" xfId="43862"/>
    <cellStyle name="20% - Accent5 2 18 3" xfId="30358"/>
    <cellStyle name="20% - Accent5 2 19" xfId="1870"/>
    <cellStyle name="20% - Accent5 2 19 2" xfId="16946"/>
    <cellStyle name="20% - Accent5 2 19 2 2" xfId="43954"/>
    <cellStyle name="20% - Accent5 2 19 3" xfId="30450"/>
    <cellStyle name="20% - Accent5 2 2" xfId="237"/>
    <cellStyle name="20% - Accent5 2 2 10" xfId="8936"/>
    <cellStyle name="20% - Accent5 2 2 10 2" xfId="23114"/>
    <cellStyle name="20% - Accent5 2 2 10 2 2" xfId="50122"/>
    <cellStyle name="20% - Accent5 2 2 10 3" xfId="36618"/>
    <cellStyle name="20% - Accent5 2 2 11" xfId="9078"/>
    <cellStyle name="20% - Accent5 2 2 11 2" xfId="23242"/>
    <cellStyle name="20% - Accent5 2 2 11 2 2" xfId="50250"/>
    <cellStyle name="20% - Accent5 2 2 11 3" xfId="36746"/>
    <cellStyle name="20% - Accent5 2 2 12" xfId="9220"/>
    <cellStyle name="20% - Accent5 2 2 12 2" xfId="23370"/>
    <cellStyle name="20% - Accent5 2 2 12 2 2" xfId="50378"/>
    <cellStyle name="20% - Accent5 2 2 12 3" xfId="36874"/>
    <cellStyle name="20% - Accent5 2 2 13" xfId="9362"/>
    <cellStyle name="20% - Accent5 2 2 13 2" xfId="23498"/>
    <cellStyle name="20% - Accent5 2 2 13 2 2" xfId="50506"/>
    <cellStyle name="20% - Accent5 2 2 13 3" xfId="37002"/>
    <cellStyle name="20% - Accent5 2 2 14" xfId="9504"/>
    <cellStyle name="20% - Accent5 2 2 14 2" xfId="23626"/>
    <cellStyle name="20% - Accent5 2 2 14 2 2" xfId="50634"/>
    <cellStyle name="20% - Accent5 2 2 14 3" xfId="37130"/>
    <cellStyle name="20% - Accent5 2 2 15" xfId="9646"/>
    <cellStyle name="20% - Accent5 2 2 15 2" xfId="23754"/>
    <cellStyle name="20% - Accent5 2 2 15 2 2" xfId="50762"/>
    <cellStyle name="20% - Accent5 2 2 15 3" xfId="37258"/>
    <cellStyle name="20% - Accent5 2 2 16" xfId="9788"/>
    <cellStyle name="20% - Accent5 2 2 16 2" xfId="23882"/>
    <cellStyle name="20% - Accent5 2 2 16 2 2" xfId="50890"/>
    <cellStyle name="20% - Accent5 2 2 16 3" xfId="37386"/>
    <cellStyle name="20% - Accent5 2 2 17" xfId="9930"/>
    <cellStyle name="20% - Accent5 2 2 17 2" xfId="24010"/>
    <cellStyle name="20% - Accent5 2 2 17 2 2" xfId="51018"/>
    <cellStyle name="20% - Accent5 2 2 17 3" xfId="37514"/>
    <cellStyle name="20% - Accent5 2 2 18" xfId="10072"/>
    <cellStyle name="20% - Accent5 2 2 18 2" xfId="24138"/>
    <cellStyle name="20% - Accent5 2 2 18 2 2" xfId="51146"/>
    <cellStyle name="20% - Accent5 2 2 18 3" xfId="37642"/>
    <cellStyle name="20% - Accent5 2 2 19" xfId="10214"/>
    <cellStyle name="20% - Accent5 2 2 19 2" xfId="24266"/>
    <cellStyle name="20% - Accent5 2 2 19 2 2" xfId="51274"/>
    <cellStyle name="20% - Accent5 2 2 19 3" xfId="37770"/>
    <cellStyle name="20% - Accent5 2 2 2" xfId="7800"/>
    <cellStyle name="20% - Accent5 2 2 2 2" xfId="22090"/>
    <cellStyle name="20% - Accent5 2 2 2 2 2" xfId="49098"/>
    <cellStyle name="20% - Accent5 2 2 2 3" xfId="35594"/>
    <cellStyle name="20% - Accent5 2 2 20" xfId="10356"/>
    <cellStyle name="20% - Accent5 2 2 20 2" xfId="24394"/>
    <cellStyle name="20% - Accent5 2 2 20 2 2" xfId="51402"/>
    <cellStyle name="20% - Accent5 2 2 20 3" xfId="37898"/>
    <cellStyle name="20% - Accent5 2 2 21" xfId="10498"/>
    <cellStyle name="20% - Accent5 2 2 21 2" xfId="24522"/>
    <cellStyle name="20% - Accent5 2 2 21 2 2" xfId="51530"/>
    <cellStyle name="20% - Accent5 2 2 21 3" xfId="38026"/>
    <cellStyle name="20% - Accent5 2 2 22" xfId="10640"/>
    <cellStyle name="20% - Accent5 2 2 22 2" xfId="24650"/>
    <cellStyle name="20% - Accent5 2 2 22 2 2" xfId="51658"/>
    <cellStyle name="20% - Accent5 2 2 22 3" xfId="38154"/>
    <cellStyle name="20% - Accent5 2 2 23" xfId="10782"/>
    <cellStyle name="20% - Accent5 2 2 23 2" xfId="24778"/>
    <cellStyle name="20% - Accent5 2 2 23 2 2" xfId="51786"/>
    <cellStyle name="20% - Accent5 2 2 23 3" xfId="38282"/>
    <cellStyle name="20% - Accent5 2 2 24" xfId="10924"/>
    <cellStyle name="20% - Accent5 2 2 24 2" xfId="24906"/>
    <cellStyle name="20% - Accent5 2 2 24 2 2" xfId="51914"/>
    <cellStyle name="20% - Accent5 2 2 24 3" xfId="38410"/>
    <cellStyle name="20% - Accent5 2 2 25" xfId="11066"/>
    <cellStyle name="20% - Accent5 2 2 25 2" xfId="25034"/>
    <cellStyle name="20% - Accent5 2 2 25 2 2" xfId="52042"/>
    <cellStyle name="20% - Accent5 2 2 25 3" xfId="38538"/>
    <cellStyle name="20% - Accent5 2 2 26" xfId="11208"/>
    <cellStyle name="20% - Accent5 2 2 26 2" xfId="25162"/>
    <cellStyle name="20% - Accent5 2 2 26 2 2" xfId="52170"/>
    <cellStyle name="20% - Accent5 2 2 26 3" xfId="38666"/>
    <cellStyle name="20% - Accent5 2 2 27" xfId="11350"/>
    <cellStyle name="20% - Accent5 2 2 27 2" xfId="25290"/>
    <cellStyle name="20% - Accent5 2 2 27 2 2" xfId="52298"/>
    <cellStyle name="20% - Accent5 2 2 27 3" xfId="38794"/>
    <cellStyle name="20% - Accent5 2 2 28" xfId="11492"/>
    <cellStyle name="20% - Accent5 2 2 28 2" xfId="25418"/>
    <cellStyle name="20% - Accent5 2 2 28 2 2" xfId="52426"/>
    <cellStyle name="20% - Accent5 2 2 28 3" xfId="38922"/>
    <cellStyle name="20% - Accent5 2 2 29" xfId="11634"/>
    <cellStyle name="20% - Accent5 2 2 29 2" xfId="25546"/>
    <cellStyle name="20% - Accent5 2 2 29 2 2" xfId="52554"/>
    <cellStyle name="20% - Accent5 2 2 29 3" xfId="39050"/>
    <cellStyle name="20% - Accent5 2 2 3" xfId="7942"/>
    <cellStyle name="20% - Accent5 2 2 3 2" xfId="22218"/>
    <cellStyle name="20% - Accent5 2 2 3 2 2" xfId="49226"/>
    <cellStyle name="20% - Accent5 2 2 3 3" xfId="35722"/>
    <cellStyle name="20% - Accent5 2 2 30" xfId="11776"/>
    <cellStyle name="20% - Accent5 2 2 30 2" xfId="25674"/>
    <cellStyle name="20% - Accent5 2 2 30 2 2" xfId="52682"/>
    <cellStyle name="20% - Accent5 2 2 30 3" xfId="39178"/>
    <cellStyle name="20% - Accent5 2 2 31" xfId="11918"/>
    <cellStyle name="20% - Accent5 2 2 31 2" xfId="25802"/>
    <cellStyle name="20% - Accent5 2 2 31 2 2" xfId="52810"/>
    <cellStyle name="20% - Accent5 2 2 31 3" xfId="39306"/>
    <cellStyle name="20% - Accent5 2 2 32" xfId="12060"/>
    <cellStyle name="20% - Accent5 2 2 32 2" xfId="25930"/>
    <cellStyle name="20% - Accent5 2 2 32 2 2" xfId="52938"/>
    <cellStyle name="20% - Accent5 2 2 32 3" xfId="39434"/>
    <cellStyle name="20% - Accent5 2 2 33" xfId="12202"/>
    <cellStyle name="20% - Accent5 2 2 33 2" xfId="26058"/>
    <cellStyle name="20% - Accent5 2 2 33 2 2" xfId="53066"/>
    <cellStyle name="20% - Accent5 2 2 33 3" xfId="39562"/>
    <cellStyle name="20% - Accent5 2 2 34" xfId="12344"/>
    <cellStyle name="20% - Accent5 2 2 34 2" xfId="26186"/>
    <cellStyle name="20% - Accent5 2 2 34 2 2" xfId="53194"/>
    <cellStyle name="20% - Accent5 2 2 34 3" xfId="39690"/>
    <cellStyle name="20% - Accent5 2 2 35" xfId="12486"/>
    <cellStyle name="20% - Accent5 2 2 35 2" xfId="26314"/>
    <cellStyle name="20% - Accent5 2 2 35 2 2" xfId="53322"/>
    <cellStyle name="20% - Accent5 2 2 35 3" xfId="39818"/>
    <cellStyle name="20% - Accent5 2 2 36" xfId="12628"/>
    <cellStyle name="20% - Accent5 2 2 36 2" xfId="26442"/>
    <cellStyle name="20% - Accent5 2 2 36 2 2" xfId="53450"/>
    <cellStyle name="20% - Accent5 2 2 36 3" xfId="39946"/>
    <cellStyle name="20% - Accent5 2 2 37" xfId="12770"/>
    <cellStyle name="20% - Accent5 2 2 37 2" xfId="26570"/>
    <cellStyle name="20% - Accent5 2 2 37 2 2" xfId="53578"/>
    <cellStyle name="20% - Accent5 2 2 37 3" xfId="40074"/>
    <cellStyle name="20% - Accent5 2 2 38" xfId="12912"/>
    <cellStyle name="20% - Accent5 2 2 38 2" xfId="26698"/>
    <cellStyle name="20% - Accent5 2 2 38 2 2" xfId="53706"/>
    <cellStyle name="20% - Accent5 2 2 38 3" xfId="40202"/>
    <cellStyle name="20% - Accent5 2 2 39" xfId="13054"/>
    <cellStyle name="20% - Accent5 2 2 39 2" xfId="26826"/>
    <cellStyle name="20% - Accent5 2 2 39 2 2" xfId="53834"/>
    <cellStyle name="20% - Accent5 2 2 39 3" xfId="40330"/>
    <cellStyle name="20% - Accent5 2 2 4" xfId="8084"/>
    <cellStyle name="20% - Accent5 2 2 4 2" xfId="22346"/>
    <cellStyle name="20% - Accent5 2 2 4 2 2" xfId="49354"/>
    <cellStyle name="20% - Accent5 2 2 4 3" xfId="35850"/>
    <cellStyle name="20% - Accent5 2 2 40" xfId="13196"/>
    <cellStyle name="20% - Accent5 2 2 40 2" xfId="26954"/>
    <cellStyle name="20% - Accent5 2 2 40 2 2" xfId="53962"/>
    <cellStyle name="20% - Accent5 2 2 40 3" xfId="40458"/>
    <cellStyle name="20% - Accent5 2 2 41" xfId="13338"/>
    <cellStyle name="20% - Accent5 2 2 41 2" xfId="27082"/>
    <cellStyle name="20% - Accent5 2 2 41 2 2" xfId="54090"/>
    <cellStyle name="20% - Accent5 2 2 41 3" xfId="40586"/>
    <cellStyle name="20% - Accent5 2 2 42" xfId="13480"/>
    <cellStyle name="20% - Accent5 2 2 42 2" xfId="27210"/>
    <cellStyle name="20% - Accent5 2 2 42 2 2" xfId="54218"/>
    <cellStyle name="20% - Accent5 2 2 42 3" xfId="40714"/>
    <cellStyle name="20% - Accent5 2 2 43" xfId="13622"/>
    <cellStyle name="20% - Accent5 2 2 43 2" xfId="27338"/>
    <cellStyle name="20% - Accent5 2 2 43 2 2" xfId="54346"/>
    <cellStyle name="20% - Accent5 2 2 43 3" xfId="40842"/>
    <cellStyle name="20% - Accent5 2 2 44" xfId="13764"/>
    <cellStyle name="20% - Accent5 2 2 44 2" xfId="27466"/>
    <cellStyle name="20% - Accent5 2 2 44 2 2" xfId="54474"/>
    <cellStyle name="20% - Accent5 2 2 44 3" xfId="40970"/>
    <cellStyle name="20% - Accent5 2 2 45" xfId="13905"/>
    <cellStyle name="20% - Accent5 2 2 45 2" xfId="27593"/>
    <cellStyle name="20% - Accent5 2 2 45 2 2" xfId="54601"/>
    <cellStyle name="20% - Accent5 2 2 45 3" xfId="41097"/>
    <cellStyle name="20% - Accent5 2 2 46" xfId="14046"/>
    <cellStyle name="20% - Accent5 2 2 46 2" xfId="27720"/>
    <cellStyle name="20% - Accent5 2 2 46 2 2" xfId="54728"/>
    <cellStyle name="20% - Accent5 2 2 46 3" xfId="41224"/>
    <cellStyle name="20% - Accent5 2 2 47" xfId="14187"/>
    <cellStyle name="20% - Accent5 2 2 47 2" xfId="27847"/>
    <cellStyle name="20% - Accent5 2 2 47 2 2" xfId="54855"/>
    <cellStyle name="20% - Accent5 2 2 47 3" xfId="41351"/>
    <cellStyle name="20% - Accent5 2 2 48" xfId="14328"/>
    <cellStyle name="20% - Accent5 2 2 48 2" xfId="27974"/>
    <cellStyle name="20% - Accent5 2 2 48 2 2" xfId="54982"/>
    <cellStyle name="20% - Accent5 2 2 48 3" xfId="41478"/>
    <cellStyle name="20% - Accent5 2 2 49" xfId="14468"/>
    <cellStyle name="20% - Accent5 2 2 49 2" xfId="28100"/>
    <cellStyle name="20% - Accent5 2 2 49 2 2" xfId="55108"/>
    <cellStyle name="20% - Accent5 2 2 49 3" xfId="41604"/>
    <cellStyle name="20% - Accent5 2 2 5" xfId="8226"/>
    <cellStyle name="20% - Accent5 2 2 5 2" xfId="22474"/>
    <cellStyle name="20% - Accent5 2 2 5 2 2" xfId="49482"/>
    <cellStyle name="20% - Accent5 2 2 5 3" xfId="35978"/>
    <cellStyle name="20% - Accent5 2 2 50" xfId="14608"/>
    <cellStyle name="20% - Accent5 2 2 50 2" xfId="28226"/>
    <cellStyle name="20% - Accent5 2 2 50 2 2" xfId="55234"/>
    <cellStyle name="20% - Accent5 2 2 50 3" xfId="41730"/>
    <cellStyle name="20% - Accent5 2 2 51" xfId="14747"/>
    <cellStyle name="20% - Accent5 2 2 51 2" xfId="28351"/>
    <cellStyle name="20% - Accent5 2 2 51 2 2" xfId="55359"/>
    <cellStyle name="20% - Accent5 2 2 51 3" xfId="41855"/>
    <cellStyle name="20% - Accent5 2 2 52" xfId="14882"/>
    <cellStyle name="20% - Accent5 2 2 52 2" xfId="28473"/>
    <cellStyle name="20% - Accent5 2 2 52 2 2" xfId="55481"/>
    <cellStyle name="20% - Accent5 2 2 52 3" xfId="41977"/>
    <cellStyle name="20% - Accent5 2 2 53" xfId="15016"/>
    <cellStyle name="20% - Accent5 2 2 53 2" xfId="28594"/>
    <cellStyle name="20% - Accent5 2 2 53 2 2" xfId="55602"/>
    <cellStyle name="20% - Accent5 2 2 53 3" xfId="42098"/>
    <cellStyle name="20% - Accent5 2 2 54" xfId="15144"/>
    <cellStyle name="20% - Accent5 2 2 54 2" xfId="28711"/>
    <cellStyle name="20% - Accent5 2 2 54 2 2" xfId="55719"/>
    <cellStyle name="20% - Accent5 2 2 54 3" xfId="42215"/>
    <cellStyle name="20% - Accent5 2 2 55" xfId="15265"/>
    <cellStyle name="20% - Accent5 2 2 55 2" xfId="28825"/>
    <cellStyle name="20% - Accent5 2 2 55 2 2" xfId="55833"/>
    <cellStyle name="20% - Accent5 2 2 55 3" xfId="42329"/>
    <cellStyle name="20% - Accent5 2 2 56" xfId="15561"/>
    <cellStyle name="20% - Accent5 2 2 56 2" xfId="42569"/>
    <cellStyle name="20% - Accent5 2 2 57" xfId="29065"/>
    <cellStyle name="20% - Accent5 2 2 6" xfId="8368"/>
    <cellStyle name="20% - Accent5 2 2 6 2" xfId="22602"/>
    <cellStyle name="20% - Accent5 2 2 6 2 2" xfId="49610"/>
    <cellStyle name="20% - Accent5 2 2 6 3" xfId="36106"/>
    <cellStyle name="20% - Accent5 2 2 7" xfId="8510"/>
    <cellStyle name="20% - Accent5 2 2 7 2" xfId="22730"/>
    <cellStyle name="20% - Accent5 2 2 7 2 2" xfId="49738"/>
    <cellStyle name="20% - Accent5 2 2 7 3" xfId="36234"/>
    <cellStyle name="20% - Accent5 2 2 8" xfId="8652"/>
    <cellStyle name="20% - Accent5 2 2 8 2" xfId="22858"/>
    <cellStyle name="20% - Accent5 2 2 8 2 2" xfId="49866"/>
    <cellStyle name="20% - Accent5 2 2 8 3" xfId="36362"/>
    <cellStyle name="20% - Accent5 2 2 9" xfId="8794"/>
    <cellStyle name="20% - Accent5 2 2 9 2" xfId="22986"/>
    <cellStyle name="20% - Accent5 2 2 9 2 2" xfId="49994"/>
    <cellStyle name="20% - Accent5 2 2 9 3" xfId="36490"/>
    <cellStyle name="20% - Accent5 2 20" xfId="1976"/>
    <cellStyle name="20% - Accent5 2 20 2" xfId="17038"/>
    <cellStyle name="20% - Accent5 2 20 2 2" xfId="44046"/>
    <cellStyle name="20% - Accent5 2 20 3" xfId="30542"/>
    <cellStyle name="20% - Accent5 2 21" xfId="2082"/>
    <cellStyle name="20% - Accent5 2 21 2" xfId="17130"/>
    <cellStyle name="20% - Accent5 2 21 2 2" xfId="44138"/>
    <cellStyle name="20% - Accent5 2 21 3" xfId="30634"/>
    <cellStyle name="20% - Accent5 2 22" xfId="2188"/>
    <cellStyle name="20% - Accent5 2 22 2" xfId="17222"/>
    <cellStyle name="20% - Accent5 2 22 2 2" xfId="44230"/>
    <cellStyle name="20% - Accent5 2 22 3" xfId="30726"/>
    <cellStyle name="20% - Accent5 2 23" xfId="2294"/>
    <cellStyle name="20% - Accent5 2 23 2" xfId="17314"/>
    <cellStyle name="20% - Accent5 2 23 2 2" xfId="44322"/>
    <cellStyle name="20% - Accent5 2 23 3" xfId="30818"/>
    <cellStyle name="20% - Accent5 2 24" xfId="2400"/>
    <cellStyle name="20% - Accent5 2 24 2" xfId="17406"/>
    <cellStyle name="20% - Accent5 2 24 2 2" xfId="44414"/>
    <cellStyle name="20% - Accent5 2 24 3" xfId="30910"/>
    <cellStyle name="20% - Accent5 2 25" xfId="2506"/>
    <cellStyle name="20% - Accent5 2 25 2" xfId="17498"/>
    <cellStyle name="20% - Accent5 2 25 2 2" xfId="44506"/>
    <cellStyle name="20% - Accent5 2 25 3" xfId="31002"/>
    <cellStyle name="20% - Accent5 2 26" xfId="2612"/>
    <cellStyle name="20% - Accent5 2 26 2" xfId="17590"/>
    <cellStyle name="20% - Accent5 2 26 2 2" xfId="44598"/>
    <cellStyle name="20% - Accent5 2 26 3" xfId="31094"/>
    <cellStyle name="20% - Accent5 2 27" xfId="2718"/>
    <cellStyle name="20% - Accent5 2 27 2" xfId="17682"/>
    <cellStyle name="20% - Accent5 2 27 2 2" xfId="44690"/>
    <cellStyle name="20% - Accent5 2 27 3" xfId="31186"/>
    <cellStyle name="20% - Accent5 2 28" xfId="2824"/>
    <cellStyle name="20% - Accent5 2 28 2" xfId="17774"/>
    <cellStyle name="20% - Accent5 2 28 2 2" xfId="44782"/>
    <cellStyle name="20% - Accent5 2 28 3" xfId="31278"/>
    <cellStyle name="20% - Accent5 2 29" xfId="2930"/>
    <cellStyle name="20% - Accent5 2 29 2" xfId="17866"/>
    <cellStyle name="20% - Accent5 2 29 2 2" xfId="44874"/>
    <cellStyle name="20% - Accent5 2 29 3" xfId="31370"/>
    <cellStyle name="20% - Accent5 2 3" xfId="421"/>
    <cellStyle name="20% - Accent5 2 3 10" xfId="9057"/>
    <cellStyle name="20% - Accent5 2 3 10 2" xfId="23225"/>
    <cellStyle name="20% - Accent5 2 3 10 2 2" xfId="50233"/>
    <cellStyle name="20% - Accent5 2 3 10 3" xfId="36729"/>
    <cellStyle name="20% - Accent5 2 3 11" xfId="9199"/>
    <cellStyle name="20% - Accent5 2 3 11 2" xfId="23353"/>
    <cellStyle name="20% - Accent5 2 3 11 2 2" xfId="50361"/>
    <cellStyle name="20% - Accent5 2 3 11 3" xfId="36857"/>
    <cellStyle name="20% - Accent5 2 3 12" xfId="9341"/>
    <cellStyle name="20% - Accent5 2 3 12 2" xfId="23481"/>
    <cellStyle name="20% - Accent5 2 3 12 2 2" xfId="50489"/>
    <cellStyle name="20% - Accent5 2 3 12 3" xfId="36985"/>
    <cellStyle name="20% - Accent5 2 3 13" xfId="9483"/>
    <cellStyle name="20% - Accent5 2 3 13 2" xfId="23609"/>
    <cellStyle name="20% - Accent5 2 3 13 2 2" xfId="50617"/>
    <cellStyle name="20% - Accent5 2 3 13 3" xfId="37113"/>
    <cellStyle name="20% - Accent5 2 3 14" xfId="9625"/>
    <cellStyle name="20% - Accent5 2 3 14 2" xfId="23737"/>
    <cellStyle name="20% - Accent5 2 3 14 2 2" xfId="50745"/>
    <cellStyle name="20% - Accent5 2 3 14 3" xfId="37241"/>
    <cellStyle name="20% - Accent5 2 3 15" xfId="9767"/>
    <cellStyle name="20% - Accent5 2 3 15 2" xfId="23865"/>
    <cellStyle name="20% - Accent5 2 3 15 2 2" xfId="50873"/>
    <cellStyle name="20% - Accent5 2 3 15 3" xfId="37369"/>
    <cellStyle name="20% - Accent5 2 3 16" xfId="9909"/>
    <cellStyle name="20% - Accent5 2 3 16 2" xfId="23993"/>
    <cellStyle name="20% - Accent5 2 3 16 2 2" xfId="51001"/>
    <cellStyle name="20% - Accent5 2 3 16 3" xfId="37497"/>
    <cellStyle name="20% - Accent5 2 3 17" xfId="10051"/>
    <cellStyle name="20% - Accent5 2 3 17 2" xfId="24121"/>
    <cellStyle name="20% - Accent5 2 3 17 2 2" xfId="51129"/>
    <cellStyle name="20% - Accent5 2 3 17 3" xfId="37625"/>
    <cellStyle name="20% - Accent5 2 3 18" xfId="10193"/>
    <cellStyle name="20% - Accent5 2 3 18 2" xfId="24249"/>
    <cellStyle name="20% - Accent5 2 3 18 2 2" xfId="51257"/>
    <cellStyle name="20% - Accent5 2 3 18 3" xfId="37753"/>
    <cellStyle name="20% - Accent5 2 3 19" xfId="10335"/>
    <cellStyle name="20% - Accent5 2 3 19 2" xfId="24377"/>
    <cellStyle name="20% - Accent5 2 3 19 2 2" xfId="51385"/>
    <cellStyle name="20% - Accent5 2 3 19 3" xfId="37881"/>
    <cellStyle name="20% - Accent5 2 3 2" xfId="7921"/>
    <cellStyle name="20% - Accent5 2 3 2 2" xfId="22201"/>
    <cellStyle name="20% - Accent5 2 3 2 2 2" xfId="49209"/>
    <cellStyle name="20% - Accent5 2 3 2 3" xfId="35705"/>
    <cellStyle name="20% - Accent5 2 3 20" xfId="10477"/>
    <cellStyle name="20% - Accent5 2 3 20 2" xfId="24505"/>
    <cellStyle name="20% - Accent5 2 3 20 2 2" xfId="51513"/>
    <cellStyle name="20% - Accent5 2 3 20 3" xfId="38009"/>
    <cellStyle name="20% - Accent5 2 3 21" xfId="10619"/>
    <cellStyle name="20% - Accent5 2 3 21 2" xfId="24633"/>
    <cellStyle name="20% - Accent5 2 3 21 2 2" xfId="51641"/>
    <cellStyle name="20% - Accent5 2 3 21 3" xfId="38137"/>
    <cellStyle name="20% - Accent5 2 3 22" xfId="10761"/>
    <cellStyle name="20% - Accent5 2 3 22 2" xfId="24761"/>
    <cellStyle name="20% - Accent5 2 3 22 2 2" xfId="51769"/>
    <cellStyle name="20% - Accent5 2 3 22 3" xfId="38265"/>
    <cellStyle name="20% - Accent5 2 3 23" xfId="10903"/>
    <cellStyle name="20% - Accent5 2 3 23 2" xfId="24889"/>
    <cellStyle name="20% - Accent5 2 3 23 2 2" xfId="51897"/>
    <cellStyle name="20% - Accent5 2 3 23 3" xfId="38393"/>
    <cellStyle name="20% - Accent5 2 3 24" xfId="11045"/>
    <cellStyle name="20% - Accent5 2 3 24 2" xfId="25017"/>
    <cellStyle name="20% - Accent5 2 3 24 2 2" xfId="52025"/>
    <cellStyle name="20% - Accent5 2 3 24 3" xfId="38521"/>
    <cellStyle name="20% - Accent5 2 3 25" xfId="11187"/>
    <cellStyle name="20% - Accent5 2 3 25 2" xfId="25145"/>
    <cellStyle name="20% - Accent5 2 3 25 2 2" xfId="52153"/>
    <cellStyle name="20% - Accent5 2 3 25 3" xfId="38649"/>
    <cellStyle name="20% - Accent5 2 3 26" xfId="11329"/>
    <cellStyle name="20% - Accent5 2 3 26 2" xfId="25273"/>
    <cellStyle name="20% - Accent5 2 3 26 2 2" xfId="52281"/>
    <cellStyle name="20% - Accent5 2 3 26 3" xfId="38777"/>
    <cellStyle name="20% - Accent5 2 3 27" xfId="11471"/>
    <cellStyle name="20% - Accent5 2 3 27 2" xfId="25401"/>
    <cellStyle name="20% - Accent5 2 3 27 2 2" xfId="52409"/>
    <cellStyle name="20% - Accent5 2 3 27 3" xfId="38905"/>
    <cellStyle name="20% - Accent5 2 3 28" xfId="11613"/>
    <cellStyle name="20% - Accent5 2 3 28 2" xfId="25529"/>
    <cellStyle name="20% - Accent5 2 3 28 2 2" xfId="52537"/>
    <cellStyle name="20% - Accent5 2 3 28 3" xfId="39033"/>
    <cellStyle name="20% - Accent5 2 3 29" xfId="11755"/>
    <cellStyle name="20% - Accent5 2 3 29 2" xfId="25657"/>
    <cellStyle name="20% - Accent5 2 3 29 2 2" xfId="52665"/>
    <cellStyle name="20% - Accent5 2 3 29 3" xfId="39161"/>
    <cellStyle name="20% - Accent5 2 3 3" xfId="8063"/>
    <cellStyle name="20% - Accent5 2 3 3 2" xfId="22329"/>
    <cellStyle name="20% - Accent5 2 3 3 2 2" xfId="49337"/>
    <cellStyle name="20% - Accent5 2 3 3 3" xfId="35833"/>
    <cellStyle name="20% - Accent5 2 3 30" xfId="11897"/>
    <cellStyle name="20% - Accent5 2 3 30 2" xfId="25785"/>
    <cellStyle name="20% - Accent5 2 3 30 2 2" xfId="52793"/>
    <cellStyle name="20% - Accent5 2 3 30 3" xfId="39289"/>
    <cellStyle name="20% - Accent5 2 3 31" xfId="12039"/>
    <cellStyle name="20% - Accent5 2 3 31 2" xfId="25913"/>
    <cellStyle name="20% - Accent5 2 3 31 2 2" xfId="52921"/>
    <cellStyle name="20% - Accent5 2 3 31 3" xfId="39417"/>
    <cellStyle name="20% - Accent5 2 3 32" xfId="12181"/>
    <cellStyle name="20% - Accent5 2 3 32 2" xfId="26041"/>
    <cellStyle name="20% - Accent5 2 3 32 2 2" xfId="53049"/>
    <cellStyle name="20% - Accent5 2 3 32 3" xfId="39545"/>
    <cellStyle name="20% - Accent5 2 3 33" xfId="12323"/>
    <cellStyle name="20% - Accent5 2 3 33 2" xfId="26169"/>
    <cellStyle name="20% - Accent5 2 3 33 2 2" xfId="53177"/>
    <cellStyle name="20% - Accent5 2 3 33 3" xfId="39673"/>
    <cellStyle name="20% - Accent5 2 3 34" xfId="12465"/>
    <cellStyle name="20% - Accent5 2 3 34 2" xfId="26297"/>
    <cellStyle name="20% - Accent5 2 3 34 2 2" xfId="53305"/>
    <cellStyle name="20% - Accent5 2 3 34 3" xfId="39801"/>
    <cellStyle name="20% - Accent5 2 3 35" xfId="12607"/>
    <cellStyle name="20% - Accent5 2 3 35 2" xfId="26425"/>
    <cellStyle name="20% - Accent5 2 3 35 2 2" xfId="53433"/>
    <cellStyle name="20% - Accent5 2 3 35 3" xfId="39929"/>
    <cellStyle name="20% - Accent5 2 3 36" xfId="12749"/>
    <cellStyle name="20% - Accent5 2 3 36 2" xfId="26553"/>
    <cellStyle name="20% - Accent5 2 3 36 2 2" xfId="53561"/>
    <cellStyle name="20% - Accent5 2 3 36 3" xfId="40057"/>
    <cellStyle name="20% - Accent5 2 3 37" xfId="12891"/>
    <cellStyle name="20% - Accent5 2 3 37 2" xfId="26681"/>
    <cellStyle name="20% - Accent5 2 3 37 2 2" xfId="53689"/>
    <cellStyle name="20% - Accent5 2 3 37 3" xfId="40185"/>
    <cellStyle name="20% - Accent5 2 3 38" xfId="13033"/>
    <cellStyle name="20% - Accent5 2 3 38 2" xfId="26809"/>
    <cellStyle name="20% - Accent5 2 3 38 2 2" xfId="53817"/>
    <cellStyle name="20% - Accent5 2 3 38 3" xfId="40313"/>
    <cellStyle name="20% - Accent5 2 3 39" xfId="13175"/>
    <cellStyle name="20% - Accent5 2 3 39 2" xfId="26937"/>
    <cellStyle name="20% - Accent5 2 3 39 2 2" xfId="53945"/>
    <cellStyle name="20% - Accent5 2 3 39 3" xfId="40441"/>
    <cellStyle name="20% - Accent5 2 3 4" xfId="8205"/>
    <cellStyle name="20% - Accent5 2 3 4 2" xfId="22457"/>
    <cellStyle name="20% - Accent5 2 3 4 2 2" xfId="49465"/>
    <cellStyle name="20% - Accent5 2 3 4 3" xfId="35961"/>
    <cellStyle name="20% - Accent5 2 3 40" xfId="13317"/>
    <cellStyle name="20% - Accent5 2 3 40 2" xfId="27065"/>
    <cellStyle name="20% - Accent5 2 3 40 2 2" xfId="54073"/>
    <cellStyle name="20% - Accent5 2 3 40 3" xfId="40569"/>
    <cellStyle name="20% - Accent5 2 3 41" xfId="13459"/>
    <cellStyle name="20% - Accent5 2 3 41 2" xfId="27193"/>
    <cellStyle name="20% - Accent5 2 3 41 2 2" xfId="54201"/>
    <cellStyle name="20% - Accent5 2 3 41 3" xfId="40697"/>
    <cellStyle name="20% - Accent5 2 3 42" xfId="13601"/>
    <cellStyle name="20% - Accent5 2 3 42 2" xfId="27321"/>
    <cellStyle name="20% - Accent5 2 3 42 2 2" xfId="54329"/>
    <cellStyle name="20% - Accent5 2 3 42 3" xfId="40825"/>
    <cellStyle name="20% - Accent5 2 3 43" xfId="13743"/>
    <cellStyle name="20% - Accent5 2 3 43 2" xfId="27449"/>
    <cellStyle name="20% - Accent5 2 3 43 2 2" xfId="54457"/>
    <cellStyle name="20% - Accent5 2 3 43 3" xfId="40953"/>
    <cellStyle name="20% - Accent5 2 3 44" xfId="13884"/>
    <cellStyle name="20% - Accent5 2 3 44 2" xfId="27576"/>
    <cellStyle name="20% - Accent5 2 3 44 2 2" xfId="54584"/>
    <cellStyle name="20% - Accent5 2 3 44 3" xfId="41080"/>
    <cellStyle name="20% - Accent5 2 3 45" xfId="14025"/>
    <cellStyle name="20% - Accent5 2 3 45 2" xfId="27703"/>
    <cellStyle name="20% - Accent5 2 3 45 2 2" xfId="54711"/>
    <cellStyle name="20% - Accent5 2 3 45 3" xfId="41207"/>
    <cellStyle name="20% - Accent5 2 3 46" xfId="14166"/>
    <cellStyle name="20% - Accent5 2 3 46 2" xfId="27830"/>
    <cellStyle name="20% - Accent5 2 3 46 2 2" xfId="54838"/>
    <cellStyle name="20% - Accent5 2 3 46 3" xfId="41334"/>
    <cellStyle name="20% - Accent5 2 3 47" xfId="14307"/>
    <cellStyle name="20% - Accent5 2 3 47 2" xfId="27957"/>
    <cellStyle name="20% - Accent5 2 3 47 2 2" xfId="54965"/>
    <cellStyle name="20% - Accent5 2 3 47 3" xfId="41461"/>
    <cellStyle name="20% - Accent5 2 3 48" xfId="14447"/>
    <cellStyle name="20% - Accent5 2 3 48 2" xfId="28083"/>
    <cellStyle name="20% - Accent5 2 3 48 2 2" xfId="55091"/>
    <cellStyle name="20% - Accent5 2 3 48 3" xfId="41587"/>
    <cellStyle name="20% - Accent5 2 3 49" xfId="14587"/>
    <cellStyle name="20% - Accent5 2 3 49 2" xfId="28209"/>
    <cellStyle name="20% - Accent5 2 3 49 2 2" xfId="55217"/>
    <cellStyle name="20% - Accent5 2 3 49 3" xfId="41713"/>
    <cellStyle name="20% - Accent5 2 3 5" xfId="8347"/>
    <cellStyle name="20% - Accent5 2 3 5 2" xfId="22585"/>
    <cellStyle name="20% - Accent5 2 3 5 2 2" xfId="49593"/>
    <cellStyle name="20% - Accent5 2 3 5 3" xfId="36089"/>
    <cellStyle name="20% - Accent5 2 3 50" xfId="14726"/>
    <cellStyle name="20% - Accent5 2 3 50 2" xfId="28334"/>
    <cellStyle name="20% - Accent5 2 3 50 2 2" xfId="55342"/>
    <cellStyle name="20% - Accent5 2 3 50 3" xfId="41838"/>
    <cellStyle name="20% - Accent5 2 3 51" xfId="14861"/>
    <cellStyle name="20% - Accent5 2 3 51 2" xfId="28456"/>
    <cellStyle name="20% - Accent5 2 3 51 2 2" xfId="55464"/>
    <cellStyle name="20% - Accent5 2 3 51 3" xfId="41960"/>
    <cellStyle name="20% - Accent5 2 3 52" xfId="14995"/>
    <cellStyle name="20% - Accent5 2 3 52 2" xfId="28577"/>
    <cellStyle name="20% - Accent5 2 3 52 2 2" xfId="55585"/>
    <cellStyle name="20% - Accent5 2 3 52 3" xfId="42081"/>
    <cellStyle name="20% - Accent5 2 3 53" xfId="15124"/>
    <cellStyle name="20% - Accent5 2 3 53 2" xfId="28694"/>
    <cellStyle name="20% - Accent5 2 3 53 2 2" xfId="55702"/>
    <cellStyle name="20% - Accent5 2 3 53 3" xfId="42198"/>
    <cellStyle name="20% - Accent5 2 3 54" xfId="15246"/>
    <cellStyle name="20% - Accent5 2 3 54 2" xfId="28808"/>
    <cellStyle name="20% - Accent5 2 3 54 2 2" xfId="55816"/>
    <cellStyle name="20% - Accent5 2 3 54 3" xfId="42312"/>
    <cellStyle name="20% - Accent5 2 3 55" xfId="15351"/>
    <cellStyle name="20% - Accent5 2 3 55 2" xfId="28911"/>
    <cellStyle name="20% - Accent5 2 3 55 2 2" xfId="55919"/>
    <cellStyle name="20% - Accent5 2 3 55 3" xfId="42415"/>
    <cellStyle name="20% - Accent5 2 3 56" xfId="15689"/>
    <cellStyle name="20% - Accent5 2 3 56 2" xfId="42697"/>
    <cellStyle name="20% - Accent5 2 3 57" xfId="29193"/>
    <cellStyle name="20% - Accent5 2 3 6" xfId="8489"/>
    <cellStyle name="20% - Accent5 2 3 6 2" xfId="22713"/>
    <cellStyle name="20% - Accent5 2 3 6 2 2" xfId="49721"/>
    <cellStyle name="20% - Accent5 2 3 6 3" xfId="36217"/>
    <cellStyle name="20% - Accent5 2 3 7" xfId="8631"/>
    <cellStyle name="20% - Accent5 2 3 7 2" xfId="22841"/>
    <cellStyle name="20% - Accent5 2 3 7 2 2" xfId="49849"/>
    <cellStyle name="20% - Accent5 2 3 7 3" xfId="36345"/>
    <cellStyle name="20% - Accent5 2 3 8" xfId="8773"/>
    <cellStyle name="20% - Accent5 2 3 8 2" xfId="22969"/>
    <cellStyle name="20% - Accent5 2 3 8 2 2" xfId="49977"/>
    <cellStyle name="20% - Accent5 2 3 8 3" xfId="36473"/>
    <cellStyle name="20% - Accent5 2 3 9" xfId="8915"/>
    <cellStyle name="20% - Accent5 2 3 9 2" xfId="23097"/>
    <cellStyle name="20% - Accent5 2 3 9 2 2" xfId="50105"/>
    <cellStyle name="20% - Accent5 2 3 9 3" xfId="36601"/>
    <cellStyle name="20% - Accent5 2 30" xfId="3036"/>
    <cellStyle name="20% - Accent5 2 30 2" xfId="17958"/>
    <cellStyle name="20% - Accent5 2 30 2 2" xfId="44966"/>
    <cellStyle name="20% - Accent5 2 30 3" xfId="31462"/>
    <cellStyle name="20% - Accent5 2 31" xfId="3142"/>
    <cellStyle name="20% - Accent5 2 31 2" xfId="18050"/>
    <cellStyle name="20% - Accent5 2 31 2 2" xfId="45058"/>
    <cellStyle name="20% - Accent5 2 31 3" xfId="31554"/>
    <cellStyle name="20% - Accent5 2 32" xfId="3248"/>
    <cellStyle name="20% - Accent5 2 32 2" xfId="18142"/>
    <cellStyle name="20% - Accent5 2 32 2 2" xfId="45150"/>
    <cellStyle name="20% - Accent5 2 32 3" xfId="31646"/>
    <cellStyle name="20% - Accent5 2 33" xfId="3354"/>
    <cellStyle name="20% - Accent5 2 33 2" xfId="18234"/>
    <cellStyle name="20% - Accent5 2 33 2 2" xfId="45242"/>
    <cellStyle name="20% - Accent5 2 33 3" xfId="31738"/>
    <cellStyle name="20% - Accent5 2 34" xfId="3460"/>
    <cellStyle name="20% - Accent5 2 34 2" xfId="18326"/>
    <cellStyle name="20% - Accent5 2 34 2 2" xfId="45334"/>
    <cellStyle name="20% - Accent5 2 34 3" xfId="31830"/>
    <cellStyle name="20% - Accent5 2 35" xfId="3566"/>
    <cellStyle name="20% - Accent5 2 35 2" xfId="18418"/>
    <cellStyle name="20% - Accent5 2 35 2 2" xfId="45426"/>
    <cellStyle name="20% - Accent5 2 35 3" xfId="31922"/>
    <cellStyle name="20% - Accent5 2 36" xfId="3672"/>
    <cellStyle name="20% - Accent5 2 36 2" xfId="18510"/>
    <cellStyle name="20% - Accent5 2 36 2 2" xfId="45518"/>
    <cellStyle name="20% - Accent5 2 36 3" xfId="32014"/>
    <cellStyle name="20% - Accent5 2 37" xfId="3778"/>
    <cellStyle name="20% - Accent5 2 37 2" xfId="18602"/>
    <cellStyle name="20% - Accent5 2 37 2 2" xfId="45610"/>
    <cellStyle name="20% - Accent5 2 37 3" xfId="32106"/>
    <cellStyle name="20% - Accent5 2 38" xfId="3884"/>
    <cellStyle name="20% - Accent5 2 38 2" xfId="18694"/>
    <cellStyle name="20% - Accent5 2 38 2 2" xfId="45702"/>
    <cellStyle name="20% - Accent5 2 38 3" xfId="32198"/>
    <cellStyle name="20% - Accent5 2 39" xfId="3990"/>
    <cellStyle name="20% - Accent5 2 39 2" xfId="18786"/>
    <cellStyle name="20% - Accent5 2 39 2 2" xfId="45794"/>
    <cellStyle name="20% - Accent5 2 39 3" xfId="32290"/>
    <cellStyle name="20% - Accent5 2 4" xfId="289"/>
    <cellStyle name="20% - Accent5 2 4 2" xfId="15591"/>
    <cellStyle name="20% - Accent5 2 4 2 2" xfId="42599"/>
    <cellStyle name="20% - Accent5 2 4 3" xfId="29095"/>
    <cellStyle name="20% - Accent5 2 40" xfId="4096"/>
    <cellStyle name="20% - Accent5 2 40 2" xfId="18878"/>
    <cellStyle name="20% - Accent5 2 40 2 2" xfId="45886"/>
    <cellStyle name="20% - Accent5 2 40 3" xfId="32382"/>
    <cellStyle name="20% - Accent5 2 41" xfId="4202"/>
    <cellStyle name="20% - Accent5 2 41 2" xfId="18970"/>
    <cellStyle name="20% - Accent5 2 41 2 2" xfId="45978"/>
    <cellStyle name="20% - Accent5 2 41 3" xfId="32474"/>
    <cellStyle name="20% - Accent5 2 42" xfId="4308"/>
    <cellStyle name="20% - Accent5 2 42 2" xfId="19062"/>
    <cellStyle name="20% - Accent5 2 42 2 2" xfId="46070"/>
    <cellStyle name="20% - Accent5 2 42 3" xfId="32566"/>
    <cellStyle name="20% - Accent5 2 43" xfId="4414"/>
    <cellStyle name="20% - Accent5 2 43 2" xfId="19154"/>
    <cellStyle name="20% - Accent5 2 43 2 2" xfId="46162"/>
    <cellStyle name="20% - Accent5 2 43 3" xfId="32658"/>
    <cellStyle name="20% - Accent5 2 44" xfId="4520"/>
    <cellStyle name="20% - Accent5 2 44 2" xfId="19246"/>
    <cellStyle name="20% - Accent5 2 44 2 2" xfId="46254"/>
    <cellStyle name="20% - Accent5 2 44 3" xfId="32750"/>
    <cellStyle name="20% - Accent5 2 45" xfId="4626"/>
    <cellStyle name="20% - Accent5 2 45 2" xfId="19338"/>
    <cellStyle name="20% - Accent5 2 45 2 2" xfId="46346"/>
    <cellStyle name="20% - Accent5 2 45 3" xfId="32842"/>
    <cellStyle name="20% - Accent5 2 46" xfId="4732"/>
    <cellStyle name="20% - Accent5 2 46 2" xfId="19430"/>
    <cellStyle name="20% - Accent5 2 46 2 2" xfId="46438"/>
    <cellStyle name="20% - Accent5 2 46 3" xfId="32934"/>
    <cellStyle name="20% - Accent5 2 47" xfId="4838"/>
    <cellStyle name="20% - Accent5 2 47 2" xfId="19522"/>
    <cellStyle name="20% - Accent5 2 47 2 2" xfId="46530"/>
    <cellStyle name="20% - Accent5 2 47 3" xfId="33026"/>
    <cellStyle name="20% - Accent5 2 48" xfId="4944"/>
    <cellStyle name="20% - Accent5 2 48 2" xfId="19614"/>
    <cellStyle name="20% - Accent5 2 48 2 2" xfId="46622"/>
    <cellStyle name="20% - Accent5 2 48 3" xfId="33118"/>
    <cellStyle name="20% - Accent5 2 49" xfId="5050"/>
    <cellStyle name="20% - Accent5 2 49 2" xfId="19706"/>
    <cellStyle name="20% - Accent5 2 49 2 2" xfId="46714"/>
    <cellStyle name="20% - Accent5 2 49 3" xfId="33210"/>
    <cellStyle name="20% - Accent5 2 5" xfId="441"/>
    <cellStyle name="20% - Accent5 2 5 2" xfId="15705"/>
    <cellStyle name="20% - Accent5 2 5 2 2" xfId="42713"/>
    <cellStyle name="20% - Accent5 2 5 3" xfId="29209"/>
    <cellStyle name="20% - Accent5 2 50" xfId="5156"/>
    <cellStyle name="20% - Accent5 2 50 2" xfId="19798"/>
    <cellStyle name="20% - Accent5 2 50 2 2" xfId="46806"/>
    <cellStyle name="20% - Accent5 2 50 3" xfId="33302"/>
    <cellStyle name="20% - Accent5 2 51" xfId="5262"/>
    <cellStyle name="20% - Accent5 2 51 2" xfId="19890"/>
    <cellStyle name="20% - Accent5 2 51 2 2" xfId="46898"/>
    <cellStyle name="20% - Accent5 2 51 3" xfId="33394"/>
    <cellStyle name="20% - Accent5 2 52" xfId="5368"/>
    <cellStyle name="20% - Accent5 2 52 2" xfId="19982"/>
    <cellStyle name="20% - Accent5 2 52 2 2" xfId="46990"/>
    <cellStyle name="20% - Accent5 2 52 3" xfId="33486"/>
    <cellStyle name="20% - Accent5 2 53" xfId="5474"/>
    <cellStyle name="20% - Accent5 2 53 2" xfId="20074"/>
    <cellStyle name="20% - Accent5 2 53 2 2" xfId="47082"/>
    <cellStyle name="20% - Accent5 2 53 3" xfId="33578"/>
    <cellStyle name="20% - Accent5 2 54" xfId="5580"/>
    <cellStyle name="20% - Accent5 2 54 2" xfId="20166"/>
    <cellStyle name="20% - Accent5 2 54 2 2" xfId="47174"/>
    <cellStyle name="20% - Accent5 2 54 3" xfId="33670"/>
    <cellStyle name="20% - Accent5 2 55" xfId="5686"/>
    <cellStyle name="20% - Accent5 2 55 2" xfId="20258"/>
    <cellStyle name="20% - Accent5 2 55 2 2" xfId="47266"/>
    <cellStyle name="20% - Accent5 2 55 3" xfId="33762"/>
    <cellStyle name="20% - Accent5 2 56" xfId="5792"/>
    <cellStyle name="20% - Accent5 2 56 2" xfId="20350"/>
    <cellStyle name="20% - Accent5 2 56 2 2" xfId="47358"/>
    <cellStyle name="20% - Accent5 2 56 3" xfId="33854"/>
    <cellStyle name="20% - Accent5 2 57" xfId="5898"/>
    <cellStyle name="20% - Accent5 2 57 2" xfId="20442"/>
    <cellStyle name="20% - Accent5 2 57 2 2" xfId="47450"/>
    <cellStyle name="20% - Accent5 2 57 3" xfId="33946"/>
    <cellStyle name="20% - Accent5 2 58" xfId="6004"/>
    <cellStyle name="20% - Accent5 2 58 2" xfId="20534"/>
    <cellStyle name="20% - Accent5 2 58 2 2" xfId="47542"/>
    <cellStyle name="20% - Accent5 2 58 3" xfId="34038"/>
    <cellStyle name="20% - Accent5 2 59" xfId="6110"/>
    <cellStyle name="20% - Accent5 2 59 2" xfId="20626"/>
    <cellStyle name="20% - Accent5 2 59 2 2" xfId="47634"/>
    <cellStyle name="20% - Accent5 2 59 3" xfId="34130"/>
    <cellStyle name="20% - Accent5 2 6" xfId="502"/>
    <cellStyle name="20% - Accent5 2 6 2" xfId="15758"/>
    <cellStyle name="20% - Accent5 2 6 2 2" xfId="42766"/>
    <cellStyle name="20% - Accent5 2 6 3" xfId="29262"/>
    <cellStyle name="20% - Accent5 2 60" xfId="6216"/>
    <cellStyle name="20% - Accent5 2 60 2" xfId="20718"/>
    <cellStyle name="20% - Accent5 2 60 2 2" xfId="47726"/>
    <cellStyle name="20% - Accent5 2 60 3" xfId="34222"/>
    <cellStyle name="20% - Accent5 2 61" xfId="6322"/>
    <cellStyle name="20% - Accent5 2 61 2" xfId="20810"/>
    <cellStyle name="20% - Accent5 2 61 2 2" xfId="47818"/>
    <cellStyle name="20% - Accent5 2 61 3" xfId="34314"/>
    <cellStyle name="20% - Accent5 2 62" xfId="6428"/>
    <cellStyle name="20% - Accent5 2 62 2" xfId="20902"/>
    <cellStyle name="20% - Accent5 2 62 2 2" xfId="47910"/>
    <cellStyle name="20% - Accent5 2 62 3" xfId="34406"/>
    <cellStyle name="20% - Accent5 2 63" xfId="6534"/>
    <cellStyle name="20% - Accent5 2 63 2" xfId="20994"/>
    <cellStyle name="20% - Accent5 2 63 2 2" xfId="48002"/>
    <cellStyle name="20% - Accent5 2 63 3" xfId="34498"/>
    <cellStyle name="20% - Accent5 2 64" xfId="6639"/>
    <cellStyle name="20% - Accent5 2 64 2" xfId="21085"/>
    <cellStyle name="20% - Accent5 2 64 2 2" xfId="48093"/>
    <cellStyle name="20% - Accent5 2 64 3" xfId="34589"/>
    <cellStyle name="20% - Accent5 2 65" xfId="6744"/>
    <cellStyle name="20% - Accent5 2 65 2" xfId="21176"/>
    <cellStyle name="20% - Accent5 2 65 2 2" xfId="48184"/>
    <cellStyle name="20% - Accent5 2 65 3" xfId="34680"/>
    <cellStyle name="20% - Accent5 2 66" xfId="6849"/>
    <cellStyle name="20% - Accent5 2 66 2" xfId="21267"/>
    <cellStyle name="20% - Accent5 2 66 2 2" xfId="48275"/>
    <cellStyle name="20% - Accent5 2 66 3" xfId="34771"/>
    <cellStyle name="20% - Accent5 2 67" xfId="6954"/>
    <cellStyle name="20% - Accent5 2 67 2" xfId="21358"/>
    <cellStyle name="20% - Accent5 2 67 2 2" xfId="48366"/>
    <cellStyle name="20% - Accent5 2 67 3" xfId="34862"/>
    <cellStyle name="20% - Accent5 2 68" xfId="7058"/>
    <cellStyle name="20% - Accent5 2 68 2" xfId="21448"/>
    <cellStyle name="20% - Accent5 2 68 2 2" xfId="48456"/>
    <cellStyle name="20% - Accent5 2 68 3" xfId="34952"/>
    <cellStyle name="20% - Accent5 2 69" xfId="7162"/>
    <cellStyle name="20% - Accent5 2 69 2" xfId="21538"/>
    <cellStyle name="20% - Accent5 2 69 2 2" xfId="48546"/>
    <cellStyle name="20% - Accent5 2 69 3" xfId="35042"/>
    <cellStyle name="20% - Accent5 2 7" xfId="598"/>
    <cellStyle name="20% - Accent5 2 7 2" xfId="15842"/>
    <cellStyle name="20% - Accent5 2 7 2 2" xfId="42850"/>
    <cellStyle name="20% - Accent5 2 7 3" xfId="29346"/>
    <cellStyle name="20% - Accent5 2 70" xfId="7265"/>
    <cellStyle name="20% - Accent5 2 70 2" xfId="21627"/>
    <cellStyle name="20% - Accent5 2 70 2 2" xfId="48635"/>
    <cellStyle name="20% - Accent5 2 70 3" xfId="35131"/>
    <cellStyle name="20% - Accent5 2 71" xfId="7365"/>
    <cellStyle name="20% - Accent5 2 71 2" xfId="21714"/>
    <cellStyle name="20% - Accent5 2 71 2 2" xfId="48722"/>
    <cellStyle name="20% - Accent5 2 71 3" xfId="35218"/>
    <cellStyle name="20% - Accent5 2 72" xfId="7463"/>
    <cellStyle name="20% - Accent5 2 72 2" xfId="21799"/>
    <cellStyle name="20% - Accent5 2 72 2 2" xfId="48807"/>
    <cellStyle name="20% - Accent5 2 72 3" xfId="35303"/>
    <cellStyle name="20% - Accent5 2 73" xfId="7735"/>
    <cellStyle name="20% - Accent5 2 73 2" xfId="22037"/>
    <cellStyle name="20% - Accent5 2 73 2 2" xfId="49045"/>
    <cellStyle name="20% - Accent5 2 73 3" xfId="35541"/>
    <cellStyle name="20% - Accent5 2 74" xfId="7752"/>
    <cellStyle name="20% - Accent5 2 74 2" xfId="22050"/>
    <cellStyle name="20% - Accent5 2 74 2 2" xfId="49058"/>
    <cellStyle name="20% - Accent5 2 74 3" xfId="35554"/>
    <cellStyle name="20% - Accent5 2 75" xfId="7816"/>
    <cellStyle name="20% - Accent5 2 75 2" xfId="22106"/>
    <cellStyle name="20% - Accent5 2 75 2 2" xfId="49114"/>
    <cellStyle name="20% - Accent5 2 75 3" xfId="35610"/>
    <cellStyle name="20% - Accent5 2 76" xfId="7958"/>
    <cellStyle name="20% - Accent5 2 76 2" xfId="22234"/>
    <cellStyle name="20% - Accent5 2 76 2 2" xfId="49242"/>
    <cellStyle name="20% - Accent5 2 76 3" xfId="35738"/>
    <cellStyle name="20% - Accent5 2 77" xfId="8100"/>
    <cellStyle name="20% - Accent5 2 77 2" xfId="22362"/>
    <cellStyle name="20% - Accent5 2 77 2 2" xfId="49370"/>
    <cellStyle name="20% - Accent5 2 77 3" xfId="35866"/>
    <cellStyle name="20% - Accent5 2 78" xfId="8242"/>
    <cellStyle name="20% - Accent5 2 78 2" xfId="22490"/>
    <cellStyle name="20% - Accent5 2 78 2 2" xfId="49498"/>
    <cellStyle name="20% - Accent5 2 78 3" xfId="35994"/>
    <cellStyle name="20% - Accent5 2 79" xfId="8384"/>
    <cellStyle name="20% - Accent5 2 79 2" xfId="22618"/>
    <cellStyle name="20% - Accent5 2 79 2 2" xfId="49626"/>
    <cellStyle name="20% - Accent5 2 79 3" xfId="36122"/>
    <cellStyle name="20% - Accent5 2 8" xfId="704"/>
    <cellStyle name="20% - Accent5 2 8 2" xfId="15934"/>
    <cellStyle name="20% - Accent5 2 8 2 2" xfId="42942"/>
    <cellStyle name="20% - Accent5 2 8 3" xfId="29438"/>
    <cellStyle name="20% - Accent5 2 80" xfId="8526"/>
    <cellStyle name="20% - Accent5 2 80 2" xfId="22746"/>
    <cellStyle name="20% - Accent5 2 80 2 2" xfId="49754"/>
    <cellStyle name="20% - Accent5 2 80 3" xfId="36250"/>
    <cellStyle name="20% - Accent5 2 81" xfId="8668"/>
    <cellStyle name="20% - Accent5 2 81 2" xfId="22874"/>
    <cellStyle name="20% - Accent5 2 81 2 2" xfId="49882"/>
    <cellStyle name="20% - Accent5 2 81 3" xfId="36378"/>
    <cellStyle name="20% - Accent5 2 82" xfId="8810"/>
    <cellStyle name="20% - Accent5 2 82 2" xfId="23002"/>
    <cellStyle name="20% - Accent5 2 82 2 2" xfId="50010"/>
    <cellStyle name="20% - Accent5 2 82 3" xfId="36506"/>
    <cellStyle name="20% - Accent5 2 83" xfId="8952"/>
    <cellStyle name="20% - Accent5 2 83 2" xfId="23130"/>
    <cellStyle name="20% - Accent5 2 83 2 2" xfId="50138"/>
    <cellStyle name="20% - Accent5 2 83 3" xfId="36634"/>
    <cellStyle name="20% - Accent5 2 84" xfId="9094"/>
    <cellStyle name="20% - Accent5 2 84 2" xfId="23258"/>
    <cellStyle name="20% - Accent5 2 84 2 2" xfId="50266"/>
    <cellStyle name="20% - Accent5 2 84 3" xfId="36762"/>
    <cellStyle name="20% - Accent5 2 85" xfId="9236"/>
    <cellStyle name="20% - Accent5 2 85 2" xfId="23386"/>
    <cellStyle name="20% - Accent5 2 85 2 2" xfId="50394"/>
    <cellStyle name="20% - Accent5 2 85 3" xfId="36890"/>
    <cellStyle name="20% - Accent5 2 86" xfId="9378"/>
    <cellStyle name="20% - Accent5 2 86 2" xfId="23514"/>
    <cellStyle name="20% - Accent5 2 86 2 2" xfId="50522"/>
    <cellStyle name="20% - Accent5 2 86 3" xfId="37018"/>
    <cellStyle name="20% - Accent5 2 87" xfId="9520"/>
    <cellStyle name="20% - Accent5 2 87 2" xfId="23642"/>
    <cellStyle name="20% - Accent5 2 87 2 2" xfId="50650"/>
    <cellStyle name="20% - Accent5 2 87 3" xfId="37146"/>
    <cellStyle name="20% - Accent5 2 88" xfId="9662"/>
    <cellStyle name="20% - Accent5 2 88 2" xfId="23770"/>
    <cellStyle name="20% - Accent5 2 88 2 2" xfId="50778"/>
    <cellStyle name="20% - Accent5 2 88 3" xfId="37274"/>
    <cellStyle name="20% - Accent5 2 89" xfId="9804"/>
    <cellStyle name="20% - Accent5 2 89 2" xfId="23898"/>
    <cellStyle name="20% - Accent5 2 89 2 2" xfId="50906"/>
    <cellStyle name="20% - Accent5 2 89 3" xfId="37402"/>
    <cellStyle name="20% - Accent5 2 9" xfId="810"/>
    <cellStyle name="20% - Accent5 2 9 2" xfId="16026"/>
    <cellStyle name="20% - Accent5 2 9 2 2" xfId="43034"/>
    <cellStyle name="20% - Accent5 2 9 3" xfId="29530"/>
    <cellStyle name="20% - Accent5 2 90" xfId="9946"/>
    <cellStyle name="20% - Accent5 2 90 2" xfId="24026"/>
    <cellStyle name="20% - Accent5 2 90 2 2" xfId="51034"/>
    <cellStyle name="20% - Accent5 2 90 3" xfId="37530"/>
    <cellStyle name="20% - Accent5 2 91" xfId="10088"/>
    <cellStyle name="20% - Accent5 2 91 2" xfId="24154"/>
    <cellStyle name="20% - Accent5 2 91 2 2" xfId="51162"/>
    <cellStyle name="20% - Accent5 2 91 3" xfId="37658"/>
    <cellStyle name="20% - Accent5 2 92" xfId="10230"/>
    <cellStyle name="20% - Accent5 2 92 2" xfId="24282"/>
    <cellStyle name="20% - Accent5 2 92 2 2" xfId="51290"/>
    <cellStyle name="20% - Accent5 2 92 3" xfId="37786"/>
    <cellStyle name="20% - Accent5 2 93" xfId="10372"/>
    <cellStyle name="20% - Accent5 2 93 2" xfId="24410"/>
    <cellStyle name="20% - Accent5 2 93 2 2" xfId="51418"/>
    <cellStyle name="20% - Accent5 2 93 3" xfId="37914"/>
    <cellStyle name="20% - Accent5 2 94" xfId="10514"/>
    <cellStyle name="20% - Accent5 2 94 2" xfId="24538"/>
    <cellStyle name="20% - Accent5 2 94 2 2" xfId="51546"/>
    <cellStyle name="20% - Accent5 2 94 3" xfId="38042"/>
    <cellStyle name="20% - Accent5 2 95" xfId="10656"/>
    <cellStyle name="20% - Accent5 2 95 2" xfId="24666"/>
    <cellStyle name="20% - Accent5 2 95 2 2" xfId="51674"/>
    <cellStyle name="20% - Accent5 2 95 3" xfId="38170"/>
    <cellStyle name="20% - Accent5 2 96" xfId="10798"/>
    <cellStyle name="20% - Accent5 2 96 2" xfId="24794"/>
    <cellStyle name="20% - Accent5 2 96 2 2" xfId="51802"/>
    <cellStyle name="20% - Accent5 2 96 3" xfId="38298"/>
    <cellStyle name="20% - Accent5 2 97" xfId="10940"/>
    <cellStyle name="20% - Accent5 2 97 2" xfId="24922"/>
    <cellStyle name="20% - Accent5 2 97 2 2" xfId="51930"/>
    <cellStyle name="20% - Accent5 2 97 3" xfId="38426"/>
    <cellStyle name="20% - Accent5 2 98" xfId="11082"/>
    <cellStyle name="20% - Accent5 2 98 2" xfId="25050"/>
    <cellStyle name="20% - Accent5 2 98 2 2" xfId="52058"/>
    <cellStyle name="20% - Accent5 2 98 3" xfId="38554"/>
    <cellStyle name="20% - Accent5 2 99" xfId="11224"/>
    <cellStyle name="20% - Accent5 2 99 2" xfId="25178"/>
    <cellStyle name="20% - Accent5 2 99 2 2" xfId="52186"/>
    <cellStyle name="20% - Accent5 2 99 3" xfId="38682"/>
    <cellStyle name="20% - Accent5 3" xfId="119"/>
    <cellStyle name="20% - Accent5 3 10" xfId="1209"/>
    <cellStyle name="20% - Accent5 3 10 2" xfId="16375"/>
    <cellStyle name="20% - Accent5 3 10 2 2" xfId="43383"/>
    <cellStyle name="20% - Accent5 3 10 3" xfId="29879"/>
    <cellStyle name="20% - Accent5 3 100" xfId="11773"/>
    <cellStyle name="20% - Accent5 3 100 2" xfId="25671"/>
    <cellStyle name="20% - Accent5 3 100 2 2" xfId="52679"/>
    <cellStyle name="20% - Accent5 3 100 3" xfId="39175"/>
    <cellStyle name="20% - Accent5 3 101" xfId="11915"/>
    <cellStyle name="20% - Accent5 3 101 2" xfId="25799"/>
    <cellStyle name="20% - Accent5 3 101 2 2" xfId="52807"/>
    <cellStyle name="20% - Accent5 3 101 3" xfId="39303"/>
    <cellStyle name="20% - Accent5 3 102" xfId="12057"/>
    <cellStyle name="20% - Accent5 3 102 2" xfId="25927"/>
    <cellStyle name="20% - Accent5 3 102 2 2" xfId="52935"/>
    <cellStyle name="20% - Accent5 3 102 3" xfId="39431"/>
    <cellStyle name="20% - Accent5 3 103" xfId="12199"/>
    <cellStyle name="20% - Accent5 3 103 2" xfId="26055"/>
    <cellStyle name="20% - Accent5 3 103 2 2" xfId="53063"/>
    <cellStyle name="20% - Accent5 3 103 3" xfId="39559"/>
    <cellStyle name="20% - Accent5 3 104" xfId="12341"/>
    <cellStyle name="20% - Accent5 3 104 2" xfId="26183"/>
    <cellStyle name="20% - Accent5 3 104 2 2" xfId="53191"/>
    <cellStyle name="20% - Accent5 3 104 3" xfId="39687"/>
    <cellStyle name="20% - Accent5 3 105" xfId="12483"/>
    <cellStyle name="20% - Accent5 3 105 2" xfId="26311"/>
    <cellStyle name="20% - Accent5 3 105 2 2" xfId="53319"/>
    <cellStyle name="20% - Accent5 3 105 3" xfId="39815"/>
    <cellStyle name="20% - Accent5 3 106" xfId="12625"/>
    <cellStyle name="20% - Accent5 3 106 2" xfId="26439"/>
    <cellStyle name="20% - Accent5 3 106 2 2" xfId="53447"/>
    <cellStyle name="20% - Accent5 3 106 3" xfId="39943"/>
    <cellStyle name="20% - Accent5 3 107" xfId="12767"/>
    <cellStyle name="20% - Accent5 3 107 2" xfId="26567"/>
    <cellStyle name="20% - Accent5 3 107 2 2" xfId="53575"/>
    <cellStyle name="20% - Accent5 3 107 3" xfId="40071"/>
    <cellStyle name="20% - Accent5 3 108" xfId="12909"/>
    <cellStyle name="20% - Accent5 3 108 2" xfId="26695"/>
    <cellStyle name="20% - Accent5 3 108 2 2" xfId="53703"/>
    <cellStyle name="20% - Accent5 3 108 3" xfId="40199"/>
    <cellStyle name="20% - Accent5 3 109" xfId="13051"/>
    <cellStyle name="20% - Accent5 3 109 2" xfId="26823"/>
    <cellStyle name="20% - Accent5 3 109 2 2" xfId="53831"/>
    <cellStyle name="20% - Accent5 3 109 3" xfId="40327"/>
    <cellStyle name="20% - Accent5 3 11" xfId="1315"/>
    <cellStyle name="20% - Accent5 3 11 2" xfId="16467"/>
    <cellStyle name="20% - Accent5 3 11 2 2" xfId="43475"/>
    <cellStyle name="20% - Accent5 3 11 3" xfId="29971"/>
    <cellStyle name="20% - Accent5 3 110" xfId="13193"/>
    <cellStyle name="20% - Accent5 3 110 2" xfId="26951"/>
    <cellStyle name="20% - Accent5 3 110 2 2" xfId="53959"/>
    <cellStyle name="20% - Accent5 3 110 3" xfId="40455"/>
    <cellStyle name="20% - Accent5 3 111" xfId="13335"/>
    <cellStyle name="20% - Accent5 3 111 2" xfId="27079"/>
    <cellStyle name="20% - Accent5 3 111 2 2" xfId="54087"/>
    <cellStyle name="20% - Accent5 3 111 3" xfId="40583"/>
    <cellStyle name="20% - Accent5 3 112" xfId="13477"/>
    <cellStyle name="20% - Accent5 3 112 2" xfId="27207"/>
    <cellStyle name="20% - Accent5 3 112 2 2" xfId="54215"/>
    <cellStyle name="20% - Accent5 3 112 3" xfId="40711"/>
    <cellStyle name="20% - Accent5 3 113" xfId="13619"/>
    <cellStyle name="20% - Accent5 3 113 2" xfId="27335"/>
    <cellStyle name="20% - Accent5 3 113 2 2" xfId="54343"/>
    <cellStyle name="20% - Accent5 3 113 3" xfId="40839"/>
    <cellStyle name="20% - Accent5 3 114" xfId="13761"/>
    <cellStyle name="20% - Accent5 3 114 2" xfId="27463"/>
    <cellStyle name="20% - Accent5 3 114 2 2" xfId="54471"/>
    <cellStyle name="20% - Accent5 3 114 3" xfId="40967"/>
    <cellStyle name="20% - Accent5 3 115" xfId="13902"/>
    <cellStyle name="20% - Accent5 3 115 2" xfId="27590"/>
    <cellStyle name="20% - Accent5 3 115 2 2" xfId="54598"/>
    <cellStyle name="20% - Accent5 3 115 3" xfId="41094"/>
    <cellStyle name="20% - Accent5 3 116" xfId="14043"/>
    <cellStyle name="20% - Accent5 3 116 2" xfId="27717"/>
    <cellStyle name="20% - Accent5 3 116 2 2" xfId="54725"/>
    <cellStyle name="20% - Accent5 3 116 3" xfId="41221"/>
    <cellStyle name="20% - Accent5 3 117" xfId="14184"/>
    <cellStyle name="20% - Accent5 3 117 2" xfId="27844"/>
    <cellStyle name="20% - Accent5 3 117 2 2" xfId="54852"/>
    <cellStyle name="20% - Accent5 3 117 3" xfId="41348"/>
    <cellStyle name="20% - Accent5 3 118" xfId="14325"/>
    <cellStyle name="20% - Accent5 3 118 2" xfId="27971"/>
    <cellStyle name="20% - Accent5 3 118 2 2" xfId="54979"/>
    <cellStyle name="20% - Accent5 3 118 3" xfId="41475"/>
    <cellStyle name="20% - Accent5 3 119" xfId="14465"/>
    <cellStyle name="20% - Accent5 3 119 2" xfId="28097"/>
    <cellStyle name="20% - Accent5 3 119 2 2" xfId="55105"/>
    <cellStyle name="20% - Accent5 3 119 3" xfId="41601"/>
    <cellStyle name="20% - Accent5 3 12" xfId="1421"/>
    <cellStyle name="20% - Accent5 3 12 2" xfId="16559"/>
    <cellStyle name="20% - Accent5 3 12 2 2" xfId="43567"/>
    <cellStyle name="20% - Accent5 3 12 3" xfId="30063"/>
    <cellStyle name="20% - Accent5 3 120" xfId="14605"/>
    <cellStyle name="20% - Accent5 3 120 2" xfId="28223"/>
    <cellStyle name="20% - Accent5 3 120 2 2" xfId="55231"/>
    <cellStyle name="20% - Accent5 3 120 3" xfId="41727"/>
    <cellStyle name="20% - Accent5 3 121" xfId="14744"/>
    <cellStyle name="20% - Accent5 3 121 2" xfId="28348"/>
    <cellStyle name="20% - Accent5 3 121 2 2" xfId="55356"/>
    <cellStyle name="20% - Accent5 3 121 3" xfId="41852"/>
    <cellStyle name="20% - Accent5 3 122" xfId="14879"/>
    <cellStyle name="20% - Accent5 3 122 2" xfId="28470"/>
    <cellStyle name="20% - Accent5 3 122 2 2" xfId="55478"/>
    <cellStyle name="20% - Accent5 3 122 3" xfId="41974"/>
    <cellStyle name="20% - Accent5 3 123" xfId="15013"/>
    <cellStyle name="20% - Accent5 3 123 2" xfId="28591"/>
    <cellStyle name="20% - Accent5 3 123 2 2" xfId="55599"/>
    <cellStyle name="20% - Accent5 3 123 3" xfId="42095"/>
    <cellStyle name="20% - Accent5 3 124" xfId="15141"/>
    <cellStyle name="20% - Accent5 3 124 2" xfId="28708"/>
    <cellStyle name="20% - Accent5 3 124 2 2" xfId="55716"/>
    <cellStyle name="20% - Accent5 3 124 3" xfId="42212"/>
    <cellStyle name="20% - Accent5 3 125" xfId="15262"/>
    <cellStyle name="20% - Accent5 3 125 2" xfId="28822"/>
    <cellStyle name="20% - Accent5 3 125 2 2" xfId="55830"/>
    <cellStyle name="20% - Accent5 3 125 3" xfId="42326"/>
    <cellStyle name="20% - Accent5 3 126" xfId="15477"/>
    <cellStyle name="20% - Accent5 3 126 2" xfId="42485"/>
    <cellStyle name="20% - Accent5 3 127" xfId="28981"/>
    <cellStyle name="20% - Accent5 3 13" xfId="1527"/>
    <cellStyle name="20% - Accent5 3 13 2" xfId="16651"/>
    <cellStyle name="20% - Accent5 3 13 2 2" xfId="43659"/>
    <cellStyle name="20% - Accent5 3 13 3" xfId="30155"/>
    <cellStyle name="20% - Accent5 3 14" xfId="1633"/>
    <cellStyle name="20% - Accent5 3 14 2" xfId="16743"/>
    <cellStyle name="20% - Accent5 3 14 2 2" xfId="43751"/>
    <cellStyle name="20% - Accent5 3 14 3" xfId="30247"/>
    <cellStyle name="20% - Accent5 3 15" xfId="1739"/>
    <cellStyle name="20% - Accent5 3 15 2" xfId="16835"/>
    <cellStyle name="20% - Accent5 3 15 2 2" xfId="43843"/>
    <cellStyle name="20% - Accent5 3 15 3" xfId="30339"/>
    <cellStyle name="20% - Accent5 3 16" xfId="1845"/>
    <cellStyle name="20% - Accent5 3 16 2" xfId="16927"/>
    <cellStyle name="20% - Accent5 3 16 2 2" xfId="43935"/>
    <cellStyle name="20% - Accent5 3 16 3" xfId="30431"/>
    <cellStyle name="20% - Accent5 3 17" xfId="1951"/>
    <cellStyle name="20% - Accent5 3 17 2" xfId="17019"/>
    <cellStyle name="20% - Accent5 3 17 2 2" xfId="44027"/>
    <cellStyle name="20% - Accent5 3 17 3" xfId="30523"/>
    <cellStyle name="20% - Accent5 3 18" xfId="2057"/>
    <cellStyle name="20% - Accent5 3 18 2" xfId="17111"/>
    <cellStyle name="20% - Accent5 3 18 2 2" xfId="44119"/>
    <cellStyle name="20% - Accent5 3 18 3" xfId="30615"/>
    <cellStyle name="20% - Accent5 3 19" xfId="2163"/>
    <cellStyle name="20% - Accent5 3 19 2" xfId="17203"/>
    <cellStyle name="20% - Accent5 3 19 2 2" xfId="44211"/>
    <cellStyle name="20% - Accent5 3 19 3" xfId="30707"/>
    <cellStyle name="20% - Accent5 3 2" xfId="296"/>
    <cellStyle name="20% - Accent5 3 2 2" xfId="15598"/>
    <cellStyle name="20% - Accent5 3 2 2 2" xfId="42606"/>
    <cellStyle name="20% - Accent5 3 2 3" xfId="29102"/>
    <cellStyle name="20% - Accent5 3 20" xfId="2269"/>
    <cellStyle name="20% - Accent5 3 20 2" xfId="17295"/>
    <cellStyle name="20% - Accent5 3 20 2 2" xfId="44303"/>
    <cellStyle name="20% - Accent5 3 20 3" xfId="30799"/>
    <cellStyle name="20% - Accent5 3 21" xfId="2375"/>
    <cellStyle name="20% - Accent5 3 21 2" xfId="17387"/>
    <cellStyle name="20% - Accent5 3 21 2 2" xfId="44395"/>
    <cellStyle name="20% - Accent5 3 21 3" xfId="30891"/>
    <cellStyle name="20% - Accent5 3 22" xfId="2481"/>
    <cellStyle name="20% - Accent5 3 22 2" xfId="17479"/>
    <cellStyle name="20% - Accent5 3 22 2 2" xfId="44487"/>
    <cellStyle name="20% - Accent5 3 22 3" xfId="30983"/>
    <cellStyle name="20% - Accent5 3 23" xfId="2587"/>
    <cellStyle name="20% - Accent5 3 23 2" xfId="17571"/>
    <cellStyle name="20% - Accent5 3 23 2 2" xfId="44579"/>
    <cellStyle name="20% - Accent5 3 23 3" xfId="31075"/>
    <cellStyle name="20% - Accent5 3 24" xfId="2693"/>
    <cellStyle name="20% - Accent5 3 24 2" xfId="17663"/>
    <cellStyle name="20% - Accent5 3 24 2 2" xfId="44671"/>
    <cellStyle name="20% - Accent5 3 24 3" xfId="31167"/>
    <cellStyle name="20% - Accent5 3 25" xfId="2799"/>
    <cellStyle name="20% - Accent5 3 25 2" xfId="17755"/>
    <cellStyle name="20% - Accent5 3 25 2 2" xfId="44763"/>
    <cellStyle name="20% - Accent5 3 25 3" xfId="31259"/>
    <cellStyle name="20% - Accent5 3 26" xfId="2905"/>
    <cellStyle name="20% - Accent5 3 26 2" xfId="17847"/>
    <cellStyle name="20% - Accent5 3 26 2 2" xfId="44855"/>
    <cellStyle name="20% - Accent5 3 26 3" xfId="31351"/>
    <cellStyle name="20% - Accent5 3 27" xfId="3011"/>
    <cellStyle name="20% - Accent5 3 27 2" xfId="17939"/>
    <cellStyle name="20% - Accent5 3 27 2 2" xfId="44947"/>
    <cellStyle name="20% - Accent5 3 27 3" xfId="31443"/>
    <cellStyle name="20% - Accent5 3 28" xfId="3117"/>
    <cellStyle name="20% - Accent5 3 28 2" xfId="18031"/>
    <cellStyle name="20% - Accent5 3 28 2 2" xfId="45039"/>
    <cellStyle name="20% - Accent5 3 28 3" xfId="31535"/>
    <cellStyle name="20% - Accent5 3 29" xfId="3223"/>
    <cellStyle name="20% - Accent5 3 29 2" xfId="18123"/>
    <cellStyle name="20% - Accent5 3 29 2 2" xfId="45131"/>
    <cellStyle name="20% - Accent5 3 29 3" xfId="31627"/>
    <cellStyle name="20% - Accent5 3 3" xfId="484"/>
    <cellStyle name="20% - Accent5 3 3 2" xfId="15740"/>
    <cellStyle name="20% - Accent5 3 3 2 2" xfId="42748"/>
    <cellStyle name="20% - Accent5 3 3 3" xfId="29244"/>
    <cellStyle name="20% - Accent5 3 30" xfId="3329"/>
    <cellStyle name="20% - Accent5 3 30 2" xfId="18215"/>
    <cellStyle name="20% - Accent5 3 30 2 2" xfId="45223"/>
    <cellStyle name="20% - Accent5 3 30 3" xfId="31719"/>
    <cellStyle name="20% - Accent5 3 31" xfId="3435"/>
    <cellStyle name="20% - Accent5 3 31 2" xfId="18307"/>
    <cellStyle name="20% - Accent5 3 31 2 2" xfId="45315"/>
    <cellStyle name="20% - Accent5 3 31 3" xfId="31811"/>
    <cellStyle name="20% - Accent5 3 32" xfId="3541"/>
    <cellStyle name="20% - Accent5 3 32 2" xfId="18399"/>
    <cellStyle name="20% - Accent5 3 32 2 2" xfId="45407"/>
    <cellStyle name="20% - Accent5 3 32 3" xfId="31903"/>
    <cellStyle name="20% - Accent5 3 33" xfId="3647"/>
    <cellStyle name="20% - Accent5 3 33 2" xfId="18491"/>
    <cellStyle name="20% - Accent5 3 33 2 2" xfId="45499"/>
    <cellStyle name="20% - Accent5 3 33 3" xfId="31995"/>
    <cellStyle name="20% - Accent5 3 34" xfId="3753"/>
    <cellStyle name="20% - Accent5 3 34 2" xfId="18583"/>
    <cellStyle name="20% - Accent5 3 34 2 2" xfId="45591"/>
    <cellStyle name="20% - Accent5 3 34 3" xfId="32087"/>
    <cellStyle name="20% - Accent5 3 35" xfId="3859"/>
    <cellStyle name="20% - Accent5 3 35 2" xfId="18675"/>
    <cellStyle name="20% - Accent5 3 35 2 2" xfId="45683"/>
    <cellStyle name="20% - Accent5 3 35 3" xfId="32179"/>
    <cellStyle name="20% - Accent5 3 36" xfId="3965"/>
    <cellStyle name="20% - Accent5 3 36 2" xfId="18767"/>
    <cellStyle name="20% - Accent5 3 36 2 2" xfId="45775"/>
    <cellStyle name="20% - Accent5 3 36 3" xfId="32271"/>
    <cellStyle name="20% - Accent5 3 37" xfId="4071"/>
    <cellStyle name="20% - Accent5 3 37 2" xfId="18859"/>
    <cellStyle name="20% - Accent5 3 37 2 2" xfId="45867"/>
    <cellStyle name="20% - Accent5 3 37 3" xfId="32363"/>
    <cellStyle name="20% - Accent5 3 38" xfId="4177"/>
    <cellStyle name="20% - Accent5 3 38 2" xfId="18951"/>
    <cellStyle name="20% - Accent5 3 38 2 2" xfId="45959"/>
    <cellStyle name="20% - Accent5 3 38 3" xfId="32455"/>
    <cellStyle name="20% - Accent5 3 39" xfId="4283"/>
    <cellStyle name="20% - Accent5 3 39 2" xfId="19043"/>
    <cellStyle name="20% - Accent5 3 39 2 2" xfId="46051"/>
    <cellStyle name="20% - Accent5 3 39 3" xfId="32547"/>
    <cellStyle name="20% - Accent5 3 4" xfId="573"/>
    <cellStyle name="20% - Accent5 3 4 2" xfId="15823"/>
    <cellStyle name="20% - Accent5 3 4 2 2" xfId="42831"/>
    <cellStyle name="20% - Accent5 3 4 3" xfId="29327"/>
    <cellStyle name="20% - Accent5 3 40" xfId="4389"/>
    <cellStyle name="20% - Accent5 3 40 2" xfId="19135"/>
    <cellStyle name="20% - Accent5 3 40 2 2" xfId="46143"/>
    <cellStyle name="20% - Accent5 3 40 3" xfId="32639"/>
    <cellStyle name="20% - Accent5 3 41" xfId="4495"/>
    <cellStyle name="20% - Accent5 3 41 2" xfId="19227"/>
    <cellStyle name="20% - Accent5 3 41 2 2" xfId="46235"/>
    <cellStyle name="20% - Accent5 3 41 3" xfId="32731"/>
    <cellStyle name="20% - Accent5 3 42" xfId="4601"/>
    <cellStyle name="20% - Accent5 3 42 2" xfId="19319"/>
    <cellStyle name="20% - Accent5 3 42 2 2" xfId="46327"/>
    <cellStyle name="20% - Accent5 3 42 3" xfId="32823"/>
    <cellStyle name="20% - Accent5 3 43" xfId="4707"/>
    <cellStyle name="20% - Accent5 3 43 2" xfId="19411"/>
    <cellStyle name="20% - Accent5 3 43 2 2" xfId="46419"/>
    <cellStyle name="20% - Accent5 3 43 3" xfId="32915"/>
    <cellStyle name="20% - Accent5 3 44" xfId="4813"/>
    <cellStyle name="20% - Accent5 3 44 2" xfId="19503"/>
    <cellStyle name="20% - Accent5 3 44 2 2" xfId="46511"/>
    <cellStyle name="20% - Accent5 3 44 3" xfId="33007"/>
    <cellStyle name="20% - Accent5 3 45" xfId="4919"/>
    <cellStyle name="20% - Accent5 3 45 2" xfId="19595"/>
    <cellStyle name="20% - Accent5 3 45 2 2" xfId="46603"/>
    <cellStyle name="20% - Accent5 3 45 3" xfId="33099"/>
    <cellStyle name="20% - Accent5 3 46" xfId="5025"/>
    <cellStyle name="20% - Accent5 3 46 2" xfId="19687"/>
    <cellStyle name="20% - Accent5 3 46 2 2" xfId="46695"/>
    <cellStyle name="20% - Accent5 3 46 3" xfId="33191"/>
    <cellStyle name="20% - Accent5 3 47" xfId="5131"/>
    <cellStyle name="20% - Accent5 3 47 2" xfId="19779"/>
    <cellStyle name="20% - Accent5 3 47 2 2" xfId="46787"/>
    <cellStyle name="20% - Accent5 3 47 3" xfId="33283"/>
    <cellStyle name="20% - Accent5 3 48" xfId="5237"/>
    <cellStyle name="20% - Accent5 3 48 2" xfId="19871"/>
    <cellStyle name="20% - Accent5 3 48 2 2" xfId="46879"/>
    <cellStyle name="20% - Accent5 3 48 3" xfId="33375"/>
    <cellStyle name="20% - Accent5 3 49" xfId="5343"/>
    <cellStyle name="20% - Accent5 3 49 2" xfId="19963"/>
    <cellStyle name="20% - Accent5 3 49 2 2" xfId="46971"/>
    <cellStyle name="20% - Accent5 3 49 3" xfId="33467"/>
    <cellStyle name="20% - Accent5 3 5" xfId="679"/>
    <cellStyle name="20% - Accent5 3 5 2" xfId="15915"/>
    <cellStyle name="20% - Accent5 3 5 2 2" xfId="42923"/>
    <cellStyle name="20% - Accent5 3 5 3" xfId="29419"/>
    <cellStyle name="20% - Accent5 3 50" xfId="5449"/>
    <cellStyle name="20% - Accent5 3 50 2" xfId="20055"/>
    <cellStyle name="20% - Accent5 3 50 2 2" xfId="47063"/>
    <cellStyle name="20% - Accent5 3 50 3" xfId="33559"/>
    <cellStyle name="20% - Accent5 3 51" xfId="5555"/>
    <cellStyle name="20% - Accent5 3 51 2" xfId="20147"/>
    <cellStyle name="20% - Accent5 3 51 2 2" xfId="47155"/>
    <cellStyle name="20% - Accent5 3 51 3" xfId="33651"/>
    <cellStyle name="20% - Accent5 3 52" xfId="5661"/>
    <cellStyle name="20% - Accent5 3 52 2" xfId="20239"/>
    <cellStyle name="20% - Accent5 3 52 2 2" xfId="47247"/>
    <cellStyle name="20% - Accent5 3 52 3" xfId="33743"/>
    <cellStyle name="20% - Accent5 3 53" xfId="5767"/>
    <cellStyle name="20% - Accent5 3 53 2" xfId="20331"/>
    <cellStyle name="20% - Accent5 3 53 2 2" xfId="47339"/>
    <cellStyle name="20% - Accent5 3 53 3" xfId="33835"/>
    <cellStyle name="20% - Accent5 3 54" xfId="5873"/>
    <cellStyle name="20% - Accent5 3 54 2" xfId="20423"/>
    <cellStyle name="20% - Accent5 3 54 2 2" xfId="47431"/>
    <cellStyle name="20% - Accent5 3 54 3" xfId="33927"/>
    <cellStyle name="20% - Accent5 3 55" xfId="5979"/>
    <cellStyle name="20% - Accent5 3 55 2" xfId="20515"/>
    <cellStyle name="20% - Accent5 3 55 2 2" xfId="47523"/>
    <cellStyle name="20% - Accent5 3 55 3" xfId="34019"/>
    <cellStyle name="20% - Accent5 3 56" xfId="6085"/>
    <cellStyle name="20% - Accent5 3 56 2" xfId="20607"/>
    <cellStyle name="20% - Accent5 3 56 2 2" xfId="47615"/>
    <cellStyle name="20% - Accent5 3 56 3" xfId="34111"/>
    <cellStyle name="20% - Accent5 3 57" xfId="6191"/>
    <cellStyle name="20% - Accent5 3 57 2" xfId="20699"/>
    <cellStyle name="20% - Accent5 3 57 2 2" xfId="47707"/>
    <cellStyle name="20% - Accent5 3 57 3" xfId="34203"/>
    <cellStyle name="20% - Accent5 3 58" xfId="6297"/>
    <cellStyle name="20% - Accent5 3 58 2" xfId="20791"/>
    <cellStyle name="20% - Accent5 3 58 2 2" xfId="47799"/>
    <cellStyle name="20% - Accent5 3 58 3" xfId="34295"/>
    <cellStyle name="20% - Accent5 3 59" xfId="6403"/>
    <cellStyle name="20% - Accent5 3 59 2" xfId="20883"/>
    <cellStyle name="20% - Accent5 3 59 2 2" xfId="47891"/>
    <cellStyle name="20% - Accent5 3 59 3" xfId="34387"/>
    <cellStyle name="20% - Accent5 3 6" xfId="785"/>
    <cellStyle name="20% - Accent5 3 6 2" xfId="16007"/>
    <cellStyle name="20% - Accent5 3 6 2 2" xfId="43015"/>
    <cellStyle name="20% - Accent5 3 6 3" xfId="29511"/>
    <cellStyle name="20% - Accent5 3 60" xfId="6509"/>
    <cellStyle name="20% - Accent5 3 60 2" xfId="20975"/>
    <cellStyle name="20% - Accent5 3 60 2 2" xfId="47983"/>
    <cellStyle name="20% - Accent5 3 60 3" xfId="34479"/>
    <cellStyle name="20% - Accent5 3 61" xfId="6614"/>
    <cellStyle name="20% - Accent5 3 61 2" xfId="21066"/>
    <cellStyle name="20% - Accent5 3 61 2 2" xfId="48074"/>
    <cellStyle name="20% - Accent5 3 61 3" xfId="34570"/>
    <cellStyle name="20% - Accent5 3 62" xfId="6719"/>
    <cellStyle name="20% - Accent5 3 62 2" xfId="21157"/>
    <cellStyle name="20% - Accent5 3 62 2 2" xfId="48165"/>
    <cellStyle name="20% - Accent5 3 62 3" xfId="34661"/>
    <cellStyle name="20% - Accent5 3 63" xfId="6824"/>
    <cellStyle name="20% - Accent5 3 63 2" xfId="21248"/>
    <cellStyle name="20% - Accent5 3 63 2 2" xfId="48256"/>
    <cellStyle name="20% - Accent5 3 63 3" xfId="34752"/>
    <cellStyle name="20% - Accent5 3 64" xfId="6929"/>
    <cellStyle name="20% - Accent5 3 64 2" xfId="21339"/>
    <cellStyle name="20% - Accent5 3 64 2 2" xfId="48347"/>
    <cellStyle name="20% - Accent5 3 64 3" xfId="34843"/>
    <cellStyle name="20% - Accent5 3 65" xfId="7034"/>
    <cellStyle name="20% - Accent5 3 65 2" xfId="21430"/>
    <cellStyle name="20% - Accent5 3 65 2 2" xfId="48438"/>
    <cellStyle name="20% - Accent5 3 65 3" xfId="34934"/>
    <cellStyle name="20% - Accent5 3 66" xfId="7138"/>
    <cellStyle name="20% - Accent5 3 66 2" xfId="21520"/>
    <cellStyle name="20% - Accent5 3 66 2 2" xfId="48528"/>
    <cellStyle name="20% - Accent5 3 66 3" xfId="35024"/>
    <cellStyle name="20% - Accent5 3 67" xfId="7242"/>
    <cellStyle name="20% - Accent5 3 67 2" xfId="21610"/>
    <cellStyle name="20% - Accent5 3 67 2 2" xfId="48618"/>
    <cellStyle name="20% - Accent5 3 67 3" xfId="35114"/>
    <cellStyle name="20% - Accent5 3 68" xfId="7342"/>
    <cellStyle name="20% - Accent5 3 68 2" xfId="21697"/>
    <cellStyle name="20% - Accent5 3 68 2 2" xfId="48705"/>
    <cellStyle name="20% - Accent5 3 68 3" xfId="35201"/>
    <cellStyle name="20% - Accent5 3 69" xfId="7441"/>
    <cellStyle name="20% - Accent5 3 69 2" xfId="21783"/>
    <cellStyle name="20% - Accent5 3 69 2 2" xfId="48791"/>
    <cellStyle name="20% - Accent5 3 69 3" xfId="35287"/>
    <cellStyle name="20% - Accent5 3 7" xfId="891"/>
    <cellStyle name="20% - Accent5 3 7 2" xfId="16099"/>
    <cellStyle name="20% - Accent5 3 7 2 2" xfId="43107"/>
    <cellStyle name="20% - Accent5 3 7 3" xfId="29603"/>
    <cellStyle name="20% - Accent5 3 70" xfId="7536"/>
    <cellStyle name="20% - Accent5 3 70 2" xfId="21865"/>
    <cellStyle name="20% - Accent5 3 70 2 2" xfId="48873"/>
    <cellStyle name="20% - Accent5 3 70 3" xfId="35369"/>
    <cellStyle name="20% - Accent5 3 71" xfId="7622"/>
    <cellStyle name="20% - Accent5 3 71 2" xfId="21942"/>
    <cellStyle name="20% - Accent5 3 71 2 2" xfId="48950"/>
    <cellStyle name="20% - Accent5 3 71 3" xfId="35446"/>
    <cellStyle name="20% - Accent5 3 72" xfId="7797"/>
    <cellStyle name="20% - Accent5 3 72 2" xfId="22087"/>
    <cellStyle name="20% - Accent5 3 72 2 2" xfId="49095"/>
    <cellStyle name="20% - Accent5 3 72 3" xfId="35591"/>
    <cellStyle name="20% - Accent5 3 73" xfId="7939"/>
    <cellStyle name="20% - Accent5 3 73 2" xfId="22215"/>
    <cellStyle name="20% - Accent5 3 73 2 2" xfId="49223"/>
    <cellStyle name="20% - Accent5 3 73 3" xfId="35719"/>
    <cellStyle name="20% - Accent5 3 74" xfId="8081"/>
    <cellStyle name="20% - Accent5 3 74 2" xfId="22343"/>
    <cellStyle name="20% - Accent5 3 74 2 2" xfId="49351"/>
    <cellStyle name="20% - Accent5 3 74 3" xfId="35847"/>
    <cellStyle name="20% - Accent5 3 75" xfId="8223"/>
    <cellStyle name="20% - Accent5 3 75 2" xfId="22471"/>
    <cellStyle name="20% - Accent5 3 75 2 2" xfId="49479"/>
    <cellStyle name="20% - Accent5 3 75 3" xfId="35975"/>
    <cellStyle name="20% - Accent5 3 76" xfId="8365"/>
    <cellStyle name="20% - Accent5 3 76 2" xfId="22599"/>
    <cellStyle name="20% - Accent5 3 76 2 2" xfId="49607"/>
    <cellStyle name="20% - Accent5 3 76 3" xfId="36103"/>
    <cellStyle name="20% - Accent5 3 77" xfId="8507"/>
    <cellStyle name="20% - Accent5 3 77 2" xfId="22727"/>
    <cellStyle name="20% - Accent5 3 77 2 2" xfId="49735"/>
    <cellStyle name="20% - Accent5 3 77 3" xfId="36231"/>
    <cellStyle name="20% - Accent5 3 78" xfId="8649"/>
    <cellStyle name="20% - Accent5 3 78 2" xfId="22855"/>
    <cellStyle name="20% - Accent5 3 78 2 2" xfId="49863"/>
    <cellStyle name="20% - Accent5 3 78 3" xfId="36359"/>
    <cellStyle name="20% - Accent5 3 79" xfId="8791"/>
    <cellStyle name="20% - Accent5 3 79 2" xfId="22983"/>
    <cellStyle name="20% - Accent5 3 79 2 2" xfId="49991"/>
    <cellStyle name="20% - Accent5 3 79 3" xfId="36487"/>
    <cellStyle name="20% - Accent5 3 8" xfId="997"/>
    <cellStyle name="20% - Accent5 3 8 2" xfId="16191"/>
    <cellStyle name="20% - Accent5 3 8 2 2" xfId="43199"/>
    <cellStyle name="20% - Accent5 3 8 3" xfId="29695"/>
    <cellStyle name="20% - Accent5 3 80" xfId="8933"/>
    <cellStyle name="20% - Accent5 3 80 2" xfId="23111"/>
    <cellStyle name="20% - Accent5 3 80 2 2" xfId="50119"/>
    <cellStyle name="20% - Accent5 3 80 3" xfId="36615"/>
    <cellStyle name="20% - Accent5 3 81" xfId="9075"/>
    <cellStyle name="20% - Accent5 3 81 2" xfId="23239"/>
    <cellStyle name="20% - Accent5 3 81 2 2" xfId="50247"/>
    <cellStyle name="20% - Accent5 3 81 3" xfId="36743"/>
    <cellStyle name="20% - Accent5 3 82" xfId="9217"/>
    <cellStyle name="20% - Accent5 3 82 2" xfId="23367"/>
    <cellStyle name="20% - Accent5 3 82 2 2" xfId="50375"/>
    <cellStyle name="20% - Accent5 3 82 3" xfId="36871"/>
    <cellStyle name="20% - Accent5 3 83" xfId="9359"/>
    <cellStyle name="20% - Accent5 3 83 2" xfId="23495"/>
    <cellStyle name="20% - Accent5 3 83 2 2" xfId="50503"/>
    <cellStyle name="20% - Accent5 3 83 3" xfId="36999"/>
    <cellStyle name="20% - Accent5 3 84" xfId="9501"/>
    <cellStyle name="20% - Accent5 3 84 2" xfId="23623"/>
    <cellStyle name="20% - Accent5 3 84 2 2" xfId="50631"/>
    <cellStyle name="20% - Accent5 3 84 3" xfId="37127"/>
    <cellStyle name="20% - Accent5 3 85" xfId="9643"/>
    <cellStyle name="20% - Accent5 3 85 2" xfId="23751"/>
    <cellStyle name="20% - Accent5 3 85 2 2" xfId="50759"/>
    <cellStyle name="20% - Accent5 3 85 3" xfId="37255"/>
    <cellStyle name="20% - Accent5 3 86" xfId="9785"/>
    <cellStyle name="20% - Accent5 3 86 2" xfId="23879"/>
    <cellStyle name="20% - Accent5 3 86 2 2" xfId="50887"/>
    <cellStyle name="20% - Accent5 3 86 3" xfId="37383"/>
    <cellStyle name="20% - Accent5 3 87" xfId="9927"/>
    <cellStyle name="20% - Accent5 3 87 2" xfId="24007"/>
    <cellStyle name="20% - Accent5 3 87 2 2" xfId="51015"/>
    <cellStyle name="20% - Accent5 3 87 3" xfId="37511"/>
    <cellStyle name="20% - Accent5 3 88" xfId="10069"/>
    <cellStyle name="20% - Accent5 3 88 2" xfId="24135"/>
    <cellStyle name="20% - Accent5 3 88 2 2" xfId="51143"/>
    <cellStyle name="20% - Accent5 3 88 3" xfId="37639"/>
    <cellStyle name="20% - Accent5 3 89" xfId="10211"/>
    <cellStyle name="20% - Accent5 3 89 2" xfId="24263"/>
    <cellStyle name="20% - Accent5 3 89 2 2" xfId="51271"/>
    <cellStyle name="20% - Accent5 3 89 3" xfId="37767"/>
    <cellStyle name="20% - Accent5 3 9" xfId="1103"/>
    <cellStyle name="20% - Accent5 3 9 2" xfId="16283"/>
    <cellStyle name="20% - Accent5 3 9 2 2" xfId="43291"/>
    <cellStyle name="20% - Accent5 3 9 3" xfId="29787"/>
    <cellStyle name="20% - Accent5 3 90" xfId="10353"/>
    <cellStyle name="20% - Accent5 3 90 2" xfId="24391"/>
    <cellStyle name="20% - Accent5 3 90 2 2" xfId="51399"/>
    <cellStyle name="20% - Accent5 3 90 3" xfId="37895"/>
    <cellStyle name="20% - Accent5 3 91" xfId="10495"/>
    <cellStyle name="20% - Accent5 3 91 2" xfId="24519"/>
    <cellStyle name="20% - Accent5 3 91 2 2" xfId="51527"/>
    <cellStyle name="20% - Accent5 3 91 3" xfId="38023"/>
    <cellStyle name="20% - Accent5 3 92" xfId="10637"/>
    <cellStyle name="20% - Accent5 3 92 2" xfId="24647"/>
    <cellStyle name="20% - Accent5 3 92 2 2" xfId="51655"/>
    <cellStyle name="20% - Accent5 3 92 3" xfId="38151"/>
    <cellStyle name="20% - Accent5 3 93" xfId="10779"/>
    <cellStyle name="20% - Accent5 3 93 2" xfId="24775"/>
    <cellStyle name="20% - Accent5 3 93 2 2" xfId="51783"/>
    <cellStyle name="20% - Accent5 3 93 3" xfId="38279"/>
    <cellStyle name="20% - Accent5 3 94" xfId="10921"/>
    <cellStyle name="20% - Accent5 3 94 2" xfId="24903"/>
    <cellStyle name="20% - Accent5 3 94 2 2" xfId="51911"/>
    <cellStyle name="20% - Accent5 3 94 3" xfId="38407"/>
    <cellStyle name="20% - Accent5 3 95" xfId="11063"/>
    <cellStyle name="20% - Accent5 3 95 2" xfId="25031"/>
    <cellStyle name="20% - Accent5 3 95 2 2" xfId="52039"/>
    <cellStyle name="20% - Accent5 3 95 3" xfId="38535"/>
    <cellStyle name="20% - Accent5 3 96" xfId="11205"/>
    <cellStyle name="20% - Accent5 3 96 2" xfId="25159"/>
    <cellStyle name="20% - Accent5 3 96 2 2" xfId="52167"/>
    <cellStyle name="20% - Accent5 3 96 3" xfId="38663"/>
    <cellStyle name="20% - Accent5 3 97" xfId="11347"/>
    <cellStyle name="20% - Accent5 3 97 2" xfId="25287"/>
    <cellStyle name="20% - Accent5 3 97 2 2" xfId="52295"/>
    <cellStyle name="20% - Accent5 3 97 3" xfId="38791"/>
    <cellStyle name="20% - Accent5 3 98" xfId="11489"/>
    <cellStyle name="20% - Accent5 3 98 2" xfId="25415"/>
    <cellStyle name="20% - Accent5 3 98 2 2" xfId="52423"/>
    <cellStyle name="20% - Accent5 3 98 3" xfId="38919"/>
    <cellStyle name="20% - Accent5 3 99" xfId="11631"/>
    <cellStyle name="20% - Accent5 3 99 2" xfId="25543"/>
    <cellStyle name="20% - Accent5 3 99 2 2" xfId="52551"/>
    <cellStyle name="20% - Accent5 3 99 3" xfId="39047"/>
    <cellStyle name="20% - Accent5 4" xfId="402"/>
    <cellStyle name="20% - Accent5 4 10" xfId="9039"/>
    <cellStyle name="20% - Accent5 4 10 2" xfId="23208"/>
    <cellStyle name="20% - Accent5 4 10 2 2" xfId="50216"/>
    <cellStyle name="20% - Accent5 4 10 3" xfId="36712"/>
    <cellStyle name="20% - Accent5 4 11" xfId="9181"/>
    <cellStyle name="20% - Accent5 4 11 2" xfId="23336"/>
    <cellStyle name="20% - Accent5 4 11 2 2" xfId="50344"/>
    <cellStyle name="20% - Accent5 4 11 3" xfId="36840"/>
    <cellStyle name="20% - Accent5 4 12" xfId="9323"/>
    <cellStyle name="20% - Accent5 4 12 2" xfId="23464"/>
    <cellStyle name="20% - Accent5 4 12 2 2" xfId="50472"/>
    <cellStyle name="20% - Accent5 4 12 3" xfId="36968"/>
    <cellStyle name="20% - Accent5 4 13" xfId="9465"/>
    <cellStyle name="20% - Accent5 4 13 2" xfId="23592"/>
    <cellStyle name="20% - Accent5 4 13 2 2" xfId="50600"/>
    <cellStyle name="20% - Accent5 4 13 3" xfId="37096"/>
    <cellStyle name="20% - Accent5 4 14" xfId="9607"/>
    <cellStyle name="20% - Accent5 4 14 2" xfId="23720"/>
    <cellStyle name="20% - Accent5 4 14 2 2" xfId="50728"/>
    <cellStyle name="20% - Accent5 4 14 3" xfId="37224"/>
    <cellStyle name="20% - Accent5 4 15" xfId="9749"/>
    <cellStyle name="20% - Accent5 4 15 2" xfId="23848"/>
    <cellStyle name="20% - Accent5 4 15 2 2" xfId="50856"/>
    <cellStyle name="20% - Accent5 4 15 3" xfId="37352"/>
    <cellStyle name="20% - Accent5 4 16" xfId="9891"/>
    <cellStyle name="20% - Accent5 4 16 2" xfId="23976"/>
    <cellStyle name="20% - Accent5 4 16 2 2" xfId="50984"/>
    <cellStyle name="20% - Accent5 4 16 3" xfId="37480"/>
    <cellStyle name="20% - Accent5 4 17" xfId="10033"/>
    <cellStyle name="20% - Accent5 4 17 2" xfId="24104"/>
    <cellStyle name="20% - Accent5 4 17 2 2" xfId="51112"/>
    <cellStyle name="20% - Accent5 4 17 3" xfId="37608"/>
    <cellStyle name="20% - Accent5 4 18" xfId="10175"/>
    <cellStyle name="20% - Accent5 4 18 2" xfId="24232"/>
    <cellStyle name="20% - Accent5 4 18 2 2" xfId="51240"/>
    <cellStyle name="20% - Accent5 4 18 3" xfId="37736"/>
    <cellStyle name="20% - Accent5 4 19" xfId="10317"/>
    <cellStyle name="20% - Accent5 4 19 2" xfId="24360"/>
    <cellStyle name="20% - Accent5 4 19 2 2" xfId="51368"/>
    <cellStyle name="20% - Accent5 4 19 3" xfId="37864"/>
    <cellStyle name="20% - Accent5 4 2" xfId="7903"/>
    <cellStyle name="20% - Accent5 4 2 2" xfId="22184"/>
    <cellStyle name="20% - Accent5 4 2 2 2" xfId="49192"/>
    <cellStyle name="20% - Accent5 4 2 3" xfId="35688"/>
    <cellStyle name="20% - Accent5 4 20" xfId="10459"/>
    <cellStyle name="20% - Accent5 4 20 2" xfId="24488"/>
    <cellStyle name="20% - Accent5 4 20 2 2" xfId="51496"/>
    <cellStyle name="20% - Accent5 4 20 3" xfId="37992"/>
    <cellStyle name="20% - Accent5 4 21" xfId="10601"/>
    <cellStyle name="20% - Accent5 4 21 2" xfId="24616"/>
    <cellStyle name="20% - Accent5 4 21 2 2" xfId="51624"/>
    <cellStyle name="20% - Accent5 4 21 3" xfId="38120"/>
    <cellStyle name="20% - Accent5 4 22" xfId="10743"/>
    <cellStyle name="20% - Accent5 4 22 2" xfId="24744"/>
    <cellStyle name="20% - Accent5 4 22 2 2" xfId="51752"/>
    <cellStyle name="20% - Accent5 4 22 3" xfId="38248"/>
    <cellStyle name="20% - Accent5 4 23" xfId="10885"/>
    <cellStyle name="20% - Accent5 4 23 2" xfId="24872"/>
    <cellStyle name="20% - Accent5 4 23 2 2" xfId="51880"/>
    <cellStyle name="20% - Accent5 4 23 3" xfId="38376"/>
    <cellStyle name="20% - Accent5 4 24" xfId="11027"/>
    <cellStyle name="20% - Accent5 4 24 2" xfId="25000"/>
    <cellStyle name="20% - Accent5 4 24 2 2" xfId="52008"/>
    <cellStyle name="20% - Accent5 4 24 3" xfId="38504"/>
    <cellStyle name="20% - Accent5 4 25" xfId="11169"/>
    <cellStyle name="20% - Accent5 4 25 2" xfId="25128"/>
    <cellStyle name="20% - Accent5 4 25 2 2" xfId="52136"/>
    <cellStyle name="20% - Accent5 4 25 3" xfId="38632"/>
    <cellStyle name="20% - Accent5 4 26" xfId="11311"/>
    <cellStyle name="20% - Accent5 4 26 2" xfId="25256"/>
    <cellStyle name="20% - Accent5 4 26 2 2" xfId="52264"/>
    <cellStyle name="20% - Accent5 4 26 3" xfId="38760"/>
    <cellStyle name="20% - Accent5 4 27" xfId="11453"/>
    <cellStyle name="20% - Accent5 4 27 2" xfId="25384"/>
    <cellStyle name="20% - Accent5 4 27 2 2" xfId="52392"/>
    <cellStyle name="20% - Accent5 4 27 3" xfId="38888"/>
    <cellStyle name="20% - Accent5 4 28" xfId="11595"/>
    <cellStyle name="20% - Accent5 4 28 2" xfId="25512"/>
    <cellStyle name="20% - Accent5 4 28 2 2" xfId="52520"/>
    <cellStyle name="20% - Accent5 4 28 3" xfId="39016"/>
    <cellStyle name="20% - Accent5 4 29" xfId="11737"/>
    <cellStyle name="20% - Accent5 4 29 2" xfId="25640"/>
    <cellStyle name="20% - Accent5 4 29 2 2" xfId="52648"/>
    <cellStyle name="20% - Accent5 4 29 3" xfId="39144"/>
    <cellStyle name="20% - Accent5 4 3" xfId="8045"/>
    <cellStyle name="20% - Accent5 4 3 2" xfId="22312"/>
    <cellStyle name="20% - Accent5 4 3 2 2" xfId="49320"/>
    <cellStyle name="20% - Accent5 4 3 3" xfId="35816"/>
    <cellStyle name="20% - Accent5 4 30" xfId="11879"/>
    <cellStyle name="20% - Accent5 4 30 2" xfId="25768"/>
    <cellStyle name="20% - Accent5 4 30 2 2" xfId="52776"/>
    <cellStyle name="20% - Accent5 4 30 3" xfId="39272"/>
    <cellStyle name="20% - Accent5 4 31" xfId="12021"/>
    <cellStyle name="20% - Accent5 4 31 2" xfId="25896"/>
    <cellStyle name="20% - Accent5 4 31 2 2" xfId="52904"/>
    <cellStyle name="20% - Accent5 4 31 3" xfId="39400"/>
    <cellStyle name="20% - Accent5 4 32" xfId="12163"/>
    <cellStyle name="20% - Accent5 4 32 2" xfId="26024"/>
    <cellStyle name="20% - Accent5 4 32 2 2" xfId="53032"/>
    <cellStyle name="20% - Accent5 4 32 3" xfId="39528"/>
    <cellStyle name="20% - Accent5 4 33" xfId="12305"/>
    <cellStyle name="20% - Accent5 4 33 2" xfId="26152"/>
    <cellStyle name="20% - Accent5 4 33 2 2" xfId="53160"/>
    <cellStyle name="20% - Accent5 4 33 3" xfId="39656"/>
    <cellStyle name="20% - Accent5 4 34" xfId="12447"/>
    <cellStyle name="20% - Accent5 4 34 2" xfId="26280"/>
    <cellStyle name="20% - Accent5 4 34 2 2" xfId="53288"/>
    <cellStyle name="20% - Accent5 4 34 3" xfId="39784"/>
    <cellStyle name="20% - Accent5 4 35" xfId="12589"/>
    <cellStyle name="20% - Accent5 4 35 2" xfId="26408"/>
    <cellStyle name="20% - Accent5 4 35 2 2" xfId="53416"/>
    <cellStyle name="20% - Accent5 4 35 3" xfId="39912"/>
    <cellStyle name="20% - Accent5 4 36" xfId="12731"/>
    <cellStyle name="20% - Accent5 4 36 2" xfId="26536"/>
    <cellStyle name="20% - Accent5 4 36 2 2" xfId="53544"/>
    <cellStyle name="20% - Accent5 4 36 3" xfId="40040"/>
    <cellStyle name="20% - Accent5 4 37" xfId="12873"/>
    <cellStyle name="20% - Accent5 4 37 2" xfId="26664"/>
    <cellStyle name="20% - Accent5 4 37 2 2" xfId="53672"/>
    <cellStyle name="20% - Accent5 4 37 3" xfId="40168"/>
    <cellStyle name="20% - Accent5 4 38" xfId="13015"/>
    <cellStyle name="20% - Accent5 4 38 2" xfId="26792"/>
    <cellStyle name="20% - Accent5 4 38 2 2" xfId="53800"/>
    <cellStyle name="20% - Accent5 4 38 3" xfId="40296"/>
    <cellStyle name="20% - Accent5 4 39" xfId="13157"/>
    <cellStyle name="20% - Accent5 4 39 2" xfId="26920"/>
    <cellStyle name="20% - Accent5 4 39 2 2" xfId="53928"/>
    <cellStyle name="20% - Accent5 4 39 3" xfId="40424"/>
    <cellStyle name="20% - Accent5 4 4" xfId="8187"/>
    <cellStyle name="20% - Accent5 4 4 2" xfId="22440"/>
    <cellStyle name="20% - Accent5 4 4 2 2" xfId="49448"/>
    <cellStyle name="20% - Accent5 4 4 3" xfId="35944"/>
    <cellStyle name="20% - Accent5 4 40" xfId="13299"/>
    <cellStyle name="20% - Accent5 4 40 2" xfId="27048"/>
    <cellStyle name="20% - Accent5 4 40 2 2" xfId="54056"/>
    <cellStyle name="20% - Accent5 4 40 3" xfId="40552"/>
    <cellStyle name="20% - Accent5 4 41" xfId="13441"/>
    <cellStyle name="20% - Accent5 4 41 2" xfId="27176"/>
    <cellStyle name="20% - Accent5 4 41 2 2" xfId="54184"/>
    <cellStyle name="20% - Accent5 4 41 3" xfId="40680"/>
    <cellStyle name="20% - Accent5 4 42" xfId="13583"/>
    <cellStyle name="20% - Accent5 4 42 2" xfId="27304"/>
    <cellStyle name="20% - Accent5 4 42 2 2" xfId="54312"/>
    <cellStyle name="20% - Accent5 4 42 3" xfId="40808"/>
    <cellStyle name="20% - Accent5 4 43" xfId="13725"/>
    <cellStyle name="20% - Accent5 4 43 2" xfId="27432"/>
    <cellStyle name="20% - Accent5 4 43 2 2" xfId="54440"/>
    <cellStyle name="20% - Accent5 4 43 3" xfId="40936"/>
    <cellStyle name="20% - Accent5 4 44" xfId="13866"/>
    <cellStyle name="20% - Accent5 4 44 2" xfId="27559"/>
    <cellStyle name="20% - Accent5 4 44 2 2" xfId="54567"/>
    <cellStyle name="20% - Accent5 4 44 3" xfId="41063"/>
    <cellStyle name="20% - Accent5 4 45" xfId="14007"/>
    <cellStyle name="20% - Accent5 4 45 2" xfId="27686"/>
    <cellStyle name="20% - Accent5 4 45 2 2" xfId="54694"/>
    <cellStyle name="20% - Accent5 4 45 3" xfId="41190"/>
    <cellStyle name="20% - Accent5 4 46" xfId="14148"/>
    <cellStyle name="20% - Accent5 4 46 2" xfId="27813"/>
    <cellStyle name="20% - Accent5 4 46 2 2" xfId="54821"/>
    <cellStyle name="20% - Accent5 4 46 3" xfId="41317"/>
    <cellStyle name="20% - Accent5 4 47" xfId="14289"/>
    <cellStyle name="20% - Accent5 4 47 2" xfId="27940"/>
    <cellStyle name="20% - Accent5 4 47 2 2" xfId="54948"/>
    <cellStyle name="20% - Accent5 4 47 3" xfId="41444"/>
    <cellStyle name="20% - Accent5 4 48" xfId="14429"/>
    <cellStyle name="20% - Accent5 4 48 2" xfId="28066"/>
    <cellStyle name="20% - Accent5 4 48 2 2" xfId="55074"/>
    <cellStyle name="20% - Accent5 4 48 3" xfId="41570"/>
    <cellStyle name="20% - Accent5 4 49" xfId="14569"/>
    <cellStyle name="20% - Accent5 4 49 2" xfId="28192"/>
    <cellStyle name="20% - Accent5 4 49 2 2" xfId="55200"/>
    <cellStyle name="20% - Accent5 4 49 3" xfId="41696"/>
    <cellStyle name="20% - Accent5 4 5" xfId="8329"/>
    <cellStyle name="20% - Accent5 4 5 2" xfId="22568"/>
    <cellStyle name="20% - Accent5 4 5 2 2" xfId="49576"/>
    <cellStyle name="20% - Accent5 4 5 3" xfId="36072"/>
    <cellStyle name="20% - Accent5 4 50" xfId="14708"/>
    <cellStyle name="20% - Accent5 4 50 2" xfId="28317"/>
    <cellStyle name="20% - Accent5 4 50 2 2" xfId="55325"/>
    <cellStyle name="20% - Accent5 4 50 3" xfId="41821"/>
    <cellStyle name="20% - Accent5 4 51" xfId="14843"/>
    <cellStyle name="20% - Accent5 4 51 2" xfId="28439"/>
    <cellStyle name="20% - Accent5 4 51 2 2" xfId="55447"/>
    <cellStyle name="20% - Accent5 4 51 3" xfId="41943"/>
    <cellStyle name="20% - Accent5 4 52" xfId="14977"/>
    <cellStyle name="20% - Accent5 4 52 2" xfId="28560"/>
    <cellStyle name="20% - Accent5 4 52 2 2" xfId="55568"/>
    <cellStyle name="20% - Accent5 4 52 3" xfId="42064"/>
    <cellStyle name="20% - Accent5 4 53" xfId="15108"/>
    <cellStyle name="20% - Accent5 4 53 2" xfId="28679"/>
    <cellStyle name="20% - Accent5 4 53 2 2" xfId="55687"/>
    <cellStyle name="20% - Accent5 4 53 3" xfId="42183"/>
    <cellStyle name="20% - Accent5 4 54" xfId="15231"/>
    <cellStyle name="20% - Accent5 4 54 2" xfId="28794"/>
    <cellStyle name="20% - Accent5 4 54 2 2" xfId="55802"/>
    <cellStyle name="20% - Accent5 4 54 3" xfId="42298"/>
    <cellStyle name="20% - Accent5 4 55" xfId="15339"/>
    <cellStyle name="20% - Accent5 4 55 2" xfId="28899"/>
    <cellStyle name="20% - Accent5 4 55 2 2" xfId="55907"/>
    <cellStyle name="20% - Accent5 4 55 3" xfId="42403"/>
    <cellStyle name="20% - Accent5 4 56" xfId="15677"/>
    <cellStyle name="20% - Accent5 4 56 2" xfId="42685"/>
    <cellStyle name="20% - Accent5 4 57" xfId="29181"/>
    <cellStyle name="20% - Accent5 4 6" xfId="8471"/>
    <cellStyle name="20% - Accent5 4 6 2" xfId="22696"/>
    <cellStyle name="20% - Accent5 4 6 2 2" xfId="49704"/>
    <cellStyle name="20% - Accent5 4 6 3" xfId="36200"/>
    <cellStyle name="20% - Accent5 4 7" xfId="8613"/>
    <cellStyle name="20% - Accent5 4 7 2" xfId="22824"/>
    <cellStyle name="20% - Accent5 4 7 2 2" xfId="49832"/>
    <cellStyle name="20% - Accent5 4 7 3" xfId="36328"/>
    <cellStyle name="20% - Accent5 4 8" xfId="8755"/>
    <cellStyle name="20% - Accent5 4 8 2" xfId="22952"/>
    <cellStyle name="20% - Accent5 4 8 2 2" xfId="49960"/>
    <cellStyle name="20% - Accent5 4 8 3" xfId="36456"/>
    <cellStyle name="20% - Accent5 4 9" xfId="8897"/>
    <cellStyle name="20% - Accent5 4 9 2" xfId="23080"/>
    <cellStyle name="20% - Accent5 4 9 2 2" xfId="50088"/>
    <cellStyle name="20% - Accent5 4 9 3" xfId="36584"/>
    <cellStyle name="20% - Accent5 5" xfId="15390"/>
    <cellStyle name="20% - Accent5 5 2" xfId="28925"/>
    <cellStyle name="20% - Accent5 5 2 2" xfId="55933"/>
    <cellStyle name="20% - Accent5 5 3" xfId="42429"/>
    <cellStyle name="20% - Accent5 6" xfId="15434"/>
    <cellStyle name="20% - Accent5 6 2" xfId="28941"/>
    <cellStyle name="20% - Accent5 6 2 2" xfId="55949"/>
    <cellStyle name="20% - Accent5 6 3" xfId="42445"/>
    <cellStyle name="20% - Accent5 7" xfId="15451"/>
    <cellStyle name="20% - Accent5 7 2" xfId="42459"/>
    <cellStyle name="20% - Accent5 8" xfId="28955"/>
    <cellStyle name="20% - Accent5 9" xfId="54"/>
    <cellStyle name="20% - Accent6 2" xfId="125"/>
    <cellStyle name="20% - Accent6 2 10" xfId="1084"/>
    <cellStyle name="20% - Accent6 2 10 2" xfId="16270"/>
    <cellStyle name="20% - Accent6 2 10 2 2" xfId="43278"/>
    <cellStyle name="20% - Accent6 2 10 3" xfId="29774"/>
    <cellStyle name="20% - Accent6 2 100" xfId="11561"/>
    <cellStyle name="20% - Accent6 2 100 2" xfId="25487"/>
    <cellStyle name="20% - Accent6 2 100 2 2" xfId="52495"/>
    <cellStyle name="20% - Accent6 2 100 3" xfId="38991"/>
    <cellStyle name="20% - Accent6 2 101" xfId="11703"/>
    <cellStyle name="20% - Accent6 2 101 2" xfId="25615"/>
    <cellStyle name="20% - Accent6 2 101 2 2" xfId="52623"/>
    <cellStyle name="20% - Accent6 2 101 3" xfId="39119"/>
    <cellStyle name="20% - Accent6 2 102" xfId="11845"/>
    <cellStyle name="20% - Accent6 2 102 2" xfId="25743"/>
    <cellStyle name="20% - Accent6 2 102 2 2" xfId="52751"/>
    <cellStyle name="20% - Accent6 2 102 3" xfId="39247"/>
    <cellStyle name="20% - Accent6 2 103" xfId="11987"/>
    <cellStyle name="20% - Accent6 2 103 2" xfId="25871"/>
    <cellStyle name="20% - Accent6 2 103 2 2" xfId="52879"/>
    <cellStyle name="20% - Accent6 2 103 3" xfId="39375"/>
    <cellStyle name="20% - Accent6 2 104" xfId="12129"/>
    <cellStyle name="20% - Accent6 2 104 2" xfId="25999"/>
    <cellStyle name="20% - Accent6 2 104 2 2" xfId="53007"/>
    <cellStyle name="20% - Accent6 2 104 3" xfId="39503"/>
    <cellStyle name="20% - Accent6 2 105" xfId="12271"/>
    <cellStyle name="20% - Accent6 2 105 2" xfId="26127"/>
    <cellStyle name="20% - Accent6 2 105 2 2" xfId="53135"/>
    <cellStyle name="20% - Accent6 2 105 3" xfId="39631"/>
    <cellStyle name="20% - Accent6 2 106" xfId="12413"/>
    <cellStyle name="20% - Accent6 2 106 2" xfId="26255"/>
    <cellStyle name="20% - Accent6 2 106 2 2" xfId="53263"/>
    <cellStyle name="20% - Accent6 2 106 3" xfId="39759"/>
    <cellStyle name="20% - Accent6 2 107" xfId="12555"/>
    <cellStyle name="20% - Accent6 2 107 2" xfId="26383"/>
    <cellStyle name="20% - Accent6 2 107 2 2" xfId="53391"/>
    <cellStyle name="20% - Accent6 2 107 3" xfId="39887"/>
    <cellStyle name="20% - Accent6 2 108" xfId="12697"/>
    <cellStyle name="20% - Accent6 2 108 2" xfId="26511"/>
    <cellStyle name="20% - Accent6 2 108 2 2" xfId="53519"/>
    <cellStyle name="20% - Accent6 2 108 3" xfId="40015"/>
    <cellStyle name="20% - Accent6 2 109" xfId="12839"/>
    <cellStyle name="20% - Accent6 2 109 2" xfId="26639"/>
    <cellStyle name="20% - Accent6 2 109 2 2" xfId="53647"/>
    <cellStyle name="20% - Accent6 2 109 3" xfId="40143"/>
    <cellStyle name="20% - Accent6 2 11" xfId="1190"/>
    <cellStyle name="20% - Accent6 2 11 2" xfId="16362"/>
    <cellStyle name="20% - Accent6 2 11 2 2" xfId="43370"/>
    <cellStyle name="20% - Accent6 2 11 3" xfId="29866"/>
    <cellStyle name="20% - Accent6 2 110" xfId="12981"/>
    <cellStyle name="20% - Accent6 2 110 2" xfId="26767"/>
    <cellStyle name="20% - Accent6 2 110 2 2" xfId="53775"/>
    <cellStyle name="20% - Accent6 2 110 3" xfId="40271"/>
    <cellStyle name="20% - Accent6 2 111" xfId="13123"/>
    <cellStyle name="20% - Accent6 2 111 2" xfId="26895"/>
    <cellStyle name="20% - Accent6 2 111 2 2" xfId="53903"/>
    <cellStyle name="20% - Accent6 2 111 3" xfId="40399"/>
    <cellStyle name="20% - Accent6 2 112" xfId="13265"/>
    <cellStyle name="20% - Accent6 2 112 2" xfId="27023"/>
    <cellStyle name="20% - Accent6 2 112 2 2" xfId="54031"/>
    <cellStyle name="20% - Accent6 2 112 3" xfId="40527"/>
    <cellStyle name="20% - Accent6 2 113" xfId="13407"/>
    <cellStyle name="20% - Accent6 2 113 2" xfId="27151"/>
    <cellStyle name="20% - Accent6 2 113 2 2" xfId="54159"/>
    <cellStyle name="20% - Accent6 2 113 3" xfId="40655"/>
    <cellStyle name="20% - Accent6 2 114" xfId="13549"/>
    <cellStyle name="20% - Accent6 2 114 2" xfId="27279"/>
    <cellStyle name="20% - Accent6 2 114 2 2" xfId="54287"/>
    <cellStyle name="20% - Accent6 2 114 3" xfId="40783"/>
    <cellStyle name="20% - Accent6 2 115" xfId="13691"/>
    <cellStyle name="20% - Accent6 2 115 2" xfId="27407"/>
    <cellStyle name="20% - Accent6 2 115 2 2" xfId="54415"/>
    <cellStyle name="20% - Accent6 2 115 3" xfId="40911"/>
    <cellStyle name="20% - Accent6 2 116" xfId="13833"/>
    <cellStyle name="20% - Accent6 2 116 2" xfId="27535"/>
    <cellStyle name="20% - Accent6 2 116 2 2" xfId="54543"/>
    <cellStyle name="20% - Accent6 2 116 3" xfId="41039"/>
    <cellStyle name="20% - Accent6 2 117" xfId="13974"/>
    <cellStyle name="20% - Accent6 2 117 2" xfId="27662"/>
    <cellStyle name="20% - Accent6 2 117 2 2" xfId="54670"/>
    <cellStyle name="20% - Accent6 2 117 3" xfId="41166"/>
    <cellStyle name="20% - Accent6 2 118" xfId="14115"/>
    <cellStyle name="20% - Accent6 2 118 2" xfId="27789"/>
    <cellStyle name="20% - Accent6 2 118 2 2" xfId="54797"/>
    <cellStyle name="20% - Accent6 2 118 3" xfId="41293"/>
    <cellStyle name="20% - Accent6 2 119" xfId="14256"/>
    <cellStyle name="20% - Accent6 2 119 2" xfId="27916"/>
    <cellStyle name="20% - Accent6 2 119 2 2" xfId="54924"/>
    <cellStyle name="20% - Accent6 2 119 3" xfId="41420"/>
    <cellStyle name="20% - Accent6 2 12" xfId="1296"/>
    <cellStyle name="20% - Accent6 2 12 2" xfId="16454"/>
    <cellStyle name="20% - Accent6 2 12 2 2" xfId="43462"/>
    <cellStyle name="20% - Accent6 2 12 3" xfId="29958"/>
    <cellStyle name="20% - Accent6 2 120" xfId="14397"/>
    <cellStyle name="20% - Accent6 2 120 2" xfId="28043"/>
    <cellStyle name="20% - Accent6 2 120 2 2" xfId="55051"/>
    <cellStyle name="20% - Accent6 2 120 3" xfId="41547"/>
    <cellStyle name="20% - Accent6 2 121" xfId="14537"/>
    <cellStyle name="20% - Accent6 2 121 2" xfId="28169"/>
    <cellStyle name="20% - Accent6 2 121 2 2" xfId="55177"/>
    <cellStyle name="20% - Accent6 2 121 3" xfId="41673"/>
    <cellStyle name="20% - Accent6 2 122" xfId="14677"/>
    <cellStyle name="20% - Accent6 2 122 2" xfId="28295"/>
    <cellStyle name="20% - Accent6 2 122 2 2" xfId="55303"/>
    <cellStyle name="20% - Accent6 2 122 3" xfId="41799"/>
    <cellStyle name="20% - Accent6 2 123" xfId="14816"/>
    <cellStyle name="20% - Accent6 2 123 2" xfId="28420"/>
    <cellStyle name="20% - Accent6 2 123 2 2" xfId="55428"/>
    <cellStyle name="20% - Accent6 2 123 3" xfId="41924"/>
    <cellStyle name="20% - Accent6 2 124" xfId="14950"/>
    <cellStyle name="20% - Accent6 2 124 2" xfId="28541"/>
    <cellStyle name="20% - Accent6 2 124 2 2" xfId="55549"/>
    <cellStyle name="20% - Accent6 2 124 3" xfId="42045"/>
    <cellStyle name="20% - Accent6 2 125" xfId="15084"/>
    <cellStyle name="20% - Accent6 2 125 2" xfId="28662"/>
    <cellStyle name="20% - Accent6 2 125 2 2" xfId="55670"/>
    <cellStyle name="20% - Accent6 2 125 3" xfId="42166"/>
    <cellStyle name="20% - Accent6 2 126" xfId="15211"/>
    <cellStyle name="20% - Accent6 2 126 2" xfId="28778"/>
    <cellStyle name="20% - Accent6 2 126 2 2" xfId="55786"/>
    <cellStyle name="20% - Accent6 2 126 3" xfId="42282"/>
    <cellStyle name="20% - Accent6 2 127" xfId="15483"/>
    <cellStyle name="20% - Accent6 2 127 2" xfId="42491"/>
    <cellStyle name="20% - Accent6 2 128" xfId="28987"/>
    <cellStyle name="20% - Accent6 2 13" xfId="1402"/>
    <cellStyle name="20% - Accent6 2 13 2" xfId="16546"/>
    <cellStyle name="20% - Accent6 2 13 2 2" xfId="43554"/>
    <cellStyle name="20% - Accent6 2 13 3" xfId="30050"/>
    <cellStyle name="20% - Accent6 2 14" xfId="1508"/>
    <cellStyle name="20% - Accent6 2 14 2" xfId="16638"/>
    <cellStyle name="20% - Accent6 2 14 2 2" xfId="43646"/>
    <cellStyle name="20% - Accent6 2 14 3" xfId="30142"/>
    <cellStyle name="20% - Accent6 2 15" xfId="1614"/>
    <cellStyle name="20% - Accent6 2 15 2" xfId="16730"/>
    <cellStyle name="20% - Accent6 2 15 2 2" xfId="43738"/>
    <cellStyle name="20% - Accent6 2 15 3" xfId="30234"/>
    <cellStyle name="20% - Accent6 2 16" xfId="1720"/>
    <cellStyle name="20% - Accent6 2 16 2" xfId="16822"/>
    <cellStyle name="20% - Accent6 2 16 2 2" xfId="43830"/>
    <cellStyle name="20% - Accent6 2 16 3" xfId="30326"/>
    <cellStyle name="20% - Accent6 2 17" xfId="1826"/>
    <cellStyle name="20% - Accent6 2 17 2" xfId="16914"/>
    <cellStyle name="20% - Accent6 2 17 2 2" xfId="43922"/>
    <cellStyle name="20% - Accent6 2 17 3" xfId="30418"/>
    <cellStyle name="20% - Accent6 2 18" xfId="1932"/>
    <cellStyle name="20% - Accent6 2 18 2" xfId="17006"/>
    <cellStyle name="20% - Accent6 2 18 2 2" xfId="44014"/>
    <cellStyle name="20% - Accent6 2 18 3" xfId="30510"/>
    <cellStyle name="20% - Accent6 2 19" xfId="2038"/>
    <cellStyle name="20% - Accent6 2 19 2" xfId="17098"/>
    <cellStyle name="20% - Accent6 2 19 2 2" xfId="44106"/>
    <cellStyle name="20% - Accent6 2 19 3" xfId="30602"/>
    <cellStyle name="20% - Accent6 2 2" xfId="241"/>
    <cellStyle name="20% - Accent6 2 2 10" xfId="8939"/>
    <cellStyle name="20% - Accent6 2 2 10 2" xfId="23117"/>
    <cellStyle name="20% - Accent6 2 2 10 2 2" xfId="50125"/>
    <cellStyle name="20% - Accent6 2 2 10 3" xfId="36621"/>
    <cellStyle name="20% - Accent6 2 2 11" xfId="9081"/>
    <cellStyle name="20% - Accent6 2 2 11 2" xfId="23245"/>
    <cellStyle name="20% - Accent6 2 2 11 2 2" xfId="50253"/>
    <cellStyle name="20% - Accent6 2 2 11 3" xfId="36749"/>
    <cellStyle name="20% - Accent6 2 2 12" xfId="9223"/>
    <cellStyle name="20% - Accent6 2 2 12 2" xfId="23373"/>
    <cellStyle name="20% - Accent6 2 2 12 2 2" xfId="50381"/>
    <cellStyle name="20% - Accent6 2 2 12 3" xfId="36877"/>
    <cellStyle name="20% - Accent6 2 2 13" xfId="9365"/>
    <cellStyle name="20% - Accent6 2 2 13 2" xfId="23501"/>
    <cellStyle name="20% - Accent6 2 2 13 2 2" xfId="50509"/>
    <cellStyle name="20% - Accent6 2 2 13 3" xfId="37005"/>
    <cellStyle name="20% - Accent6 2 2 14" xfId="9507"/>
    <cellStyle name="20% - Accent6 2 2 14 2" xfId="23629"/>
    <cellStyle name="20% - Accent6 2 2 14 2 2" xfId="50637"/>
    <cellStyle name="20% - Accent6 2 2 14 3" xfId="37133"/>
    <cellStyle name="20% - Accent6 2 2 15" xfId="9649"/>
    <cellStyle name="20% - Accent6 2 2 15 2" xfId="23757"/>
    <cellStyle name="20% - Accent6 2 2 15 2 2" xfId="50765"/>
    <cellStyle name="20% - Accent6 2 2 15 3" xfId="37261"/>
    <cellStyle name="20% - Accent6 2 2 16" xfId="9791"/>
    <cellStyle name="20% - Accent6 2 2 16 2" xfId="23885"/>
    <cellStyle name="20% - Accent6 2 2 16 2 2" xfId="50893"/>
    <cellStyle name="20% - Accent6 2 2 16 3" xfId="37389"/>
    <cellStyle name="20% - Accent6 2 2 17" xfId="9933"/>
    <cellStyle name="20% - Accent6 2 2 17 2" xfId="24013"/>
    <cellStyle name="20% - Accent6 2 2 17 2 2" xfId="51021"/>
    <cellStyle name="20% - Accent6 2 2 17 3" xfId="37517"/>
    <cellStyle name="20% - Accent6 2 2 18" xfId="10075"/>
    <cellStyle name="20% - Accent6 2 2 18 2" xfId="24141"/>
    <cellStyle name="20% - Accent6 2 2 18 2 2" xfId="51149"/>
    <cellStyle name="20% - Accent6 2 2 18 3" xfId="37645"/>
    <cellStyle name="20% - Accent6 2 2 19" xfId="10217"/>
    <cellStyle name="20% - Accent6 2 2 19 2" xfId="24269"/>
    <cellStyle name="20% - Accent6 2 2 19 2 2" xfId="51277"/>
    <cellStyle name="20% - Accent6 2 2 19 3" xfId="37773"/>
    <cellStyle name="20% - Accent6 2 2 2" xfId="7803"/>
    <cellStyle name="20% - Accent6 2 2 2 2" xfId="22093"/>
    <cellStyle name="20% - Accent6 2 2 2 2 2" xfId="49101"/>
    <cellStyle name="20% - Accent6 2 2 2 3" xfId="35597"/>
    <cellStyle name="20% - Accent6 2 2 20" xfId="10359"/>
    <cellStyle name="20% - Accent6 2 2 20 2" xfId="24397"/>
    <cellStyle name="20% - Accent6 2 2 20 2 2" xfId="51405"/>
    <cellStyle name="20% - Accent6 2 2 20 3" xfId="37901"/>
    <cellStyle name="20% - Accent6 2 2 21" xfId="10501"/>
    <cellStyle name="20% - Accent6 2 2 21 2" xfId="24525"/>
    <cellStyle name="20% - Accent6 2 2 21 2 2" xfId="51533"/>
    <cellStyle name="20% - Accent6 2 2 21 3" xfId="38029"/>
    <cellStyle name="20% - Accent6 2 2 22" xfId="10643"/>
    <cellStyle name="20% - Accent6 2 2 22 2" xfId="24653"/>
    <cellStyle name="20% - Accent6 2 2 22 2 2" xfId="51661"/>
    <cellStyle name="20% - Accent6 2 2 22 3" xfId="38157"/>
    <cellStyle name="20% - Accent6 2 2 23" xfId="10785"/>
    <cellStyle name="20% - Accent6 2 2 23 2" xfId="24781"/>
    <cellStyle name="20% - Accent6 2 2 23 2 2" xfId="51789"/>
    <cellStyle name="20% - Accent6 2 2 23 3" xfId="38285"/>
    <cellStyle name="20% - Accent6 2 2 24" xfId="10927"/>
    <cellStyle name="20% - Accent6 2 2 24 2" xfId="24909"/>
    <cellStyle name="20% - Accent6 2 2 24 2 2" xfId="51917"/>
    <cellStyle name="20% - Accent6 2 2 24 3" xfId="38413"/>
    <cellStyle name="20% - Accent6 2 2 25" xfId="11069"/>
    <cellStyle name="20% - Accent6 2 2 25 2" xfId="25037"/>
    <cellStyle name="20% - Accent6 2 2 25 2 2" xfId="52045"/>
    <cellStyle name="20% - Accent6 2 2 25 3" xfId="38541"/>
    <cellStyle name="20% - Accent6 2 2 26" xfId="11211"/>
    <cellStyle name="20% - Accent6 2 2 26 2" xfId="25165"/>
    <cellStyle name="20% - Accent6 2 2 26 2 2" xfId="52173"/>
    <cellStyle name="20% - Accent6 2 2 26 3" xfId="38669"/>
    <cellStyle name="20% - Accent6 2 2 27" xfId="11353"/>
    <cellStyle name="20% - Accent6 2 2 27 2" xfId="25293"/>
    <cellStyle name="20% - Accent6 2 2 27 2 2" xfId="52301"/>
    <cellStyle name="20% - Accent6 2 2 27 3" xfId="38797"/>
    <cellStyle name="20% - Accent6 2 2 28" xfId="11495"/>
    <cellStyle name="20% - Accent6 2 2 28 2" xfId="25421"/>
    <cellStyle name="20% - Accent6 2 2 28 2 2" xfId="52429"/>
    <cellStyle name="20% - Accent6 2 2 28 3" xfId="38925"/>
    <cellStyle name="20% - Accent6 2 2 29" xfId="11637"/>
    <cellStyle name="20% - Accent6 2 2 29 2" xfId="25549"/>
    <cellStyle name="20% - Accent6 2 2 29 2 2" xfId="52557"/>
    <cellStyle name="20% - Accent6 2 2 29 3" xfId="39053"/>
    <cellStyle name="20% - Accent6 2 2 3" xfId="7945"/>
    <cellStyle name="20% - Accent6 2 2 3 2" xfId="22221"/>
    <cellStyle name="20% - Accent6 2 2 3 2 2" xfId="49229"/>
    <cellStyle name="20% - Accent6 2 2 3 3" xfId="35725"/>
    <cellStyle name="20% - Accent6 2 2 30" xfId="11779"/>
    <cellStyle name="20% - Accent6 2 2 30 2" xfId="25677"/>
    <cellStyle name="20% - Accent6 2 2 30 2 2" xfId="52685"/>
    <cellStyle name="20% - Accent6 2 2 30 3" xfId="39181"/>
    <cellStyle name="20% - Accent6 2 2 31" xfId="11921"/>
    <cellStyle name="20% - Accent6 2 2 31 2" xfId="25805"/>
    <cellStyle name="20% - Accent6 2 2 31 2 2" xfId="52813"/>
    <cellStyle name="20% - Accent6 2 2 31 3" xfId="39309"/>
    <cellStyle name="20% - Accent6 2 2 32" xfId="12063"/>
    <cellStyle name="20% - Accent6 2 2 32 2" xfId="25933"/>
    <cellStyle name="20% - Accent6 2 2 32 2 2" xfId="52941"/>
    <cellStyle name="20% - Accent6 2 2 32 3" xfId="39437"/>
    <cellStyle name="20% - Accent6 2 2 33" xfId="12205"/>
    <cellStyle name="20% - Accent6 2 2 33 2" xfId="26061"/>
    <cellStyle name="20% - Accent6 2 2 33 2 2" xfId="53069"/>
    <cellStyle name="20% - Accent6 2 2 33 3" xfId="39565"/>
    <cellStyle name="20% - Accent6 2 2 34" xfId="12347"/>
    <cellStyle name="20% - Accent6 2 2 34 2" xfId="26189"/>
    <cellStyle name="20% - Accent6 2 2 34 2 2" xfId="53197"/>
    <cellStyle name="20% - Accent6 2 2 34 3" xfId="39693"/>
    <cellStyle name="20% - Accent6 2 2 35" xfId="12489"/>
    <cellStyle name="20% - Accent6 2 2 35 2" xfId="26317"/>
    <cellStyle name="20% - Accent6 2 2 35 2 2" xfId="53325"/>
    <cellStyle name="20% - Accent6 2 2 35 3" xfId="39821"/>
    <cellStyle name="20% - Accent6 2 2 36" xfId="12631"/>
    <cellStyle name="20% - Accent6 2 2 36 2" xfId="26445"/>
    <cellStyle name="20% - Accent6 2 2 36 2 2" xfId="53453"/>
    <cellStyle name="20% - Accent6 2 2 36 3" xfId="39949"/>
    <cellStyle name="20% - Accent6 2 2 37" xfId="12773"/>
    <cellStyle name="20% - Accent6 2 2 37 2" xfId="26573"/>
    <cellStyle name="20% - Accent6 2 2 37 2 2" xfId="53581"/>
    <cellStyle name="20% - Accent6 2 2 37 3" xfId="40077"/>
    <cellStyle name="20% - Accent6 2 2 38" xfId="12915"/>
    <cellStyle name="20% - Accent6 2 2 38 2" xfId="26701"/>
    <cellStyle name="20% - Accent6 2 2 38 2 2" xfId="53709"/>
    <cellStyle name="20% - Accent6 2 2 38 3" xfId="40205"/>
    <cellStyle name="20% - Accent6 2 2 39" xfId="13057"/>
    <cellStyle name="20% - Accent6 2 2 39 2" xfId="26829"/>
    <cellStyle name="20% - Accent6 2 2 39 2 2" xfId="53837"/>
    <cellStyle name="20% - Accent6 2 2 39 3" xfId="40333"/>
    <cellStyle name="20% - Accent6 2 2 4" xfId="8087"/>
    <cellStyle name="20% - Accent6 2 2 4 2" xfId="22349"/>
    <cellStyle name="20% - Accent6 2 2 4 2 2" xfId="49357"/>
    <cellStyle name="20% - Accent6 2 2 4 3" xfId="35853"/>
    <cellStyle name="20% - Accent6 2 2 40" xfId="13199"/>
    <cellStyle name="20% - Accent6 2 2 40 2" xfId="26957"/>
    <cellStyle name="20% - Accent6 2 2 40 2 2" xfId="53965"/>
    <cellStyle name="20% - Accent6 2 2 40 3" xfId="40461"/>
    <cellStyle name="20% - Accent6 2 2 41" xfId="13341"/>
    <cellStyle name="20% - Accent6 2 2 41 2" xfId="27085"/>
    <cellStyle name="20% - Accent6 2 2 41 2 2" xfId="54093"/>
    <cellStyle name="20% - Accent6 2 2 41 3" xfId="40589"/>
    <cellStyle name="20% - Accent6 2 2 42" xfId="13483"/>
    <cellStyle name="20% - Accent6 2 2 42 2" xfId="27213"/>
    <cellStyle name="20% - Accent6 2 2 42 2 2" xfId="54221"/>
    <cellStyle name="20% - Accent6 2 2 42 3" xfId="40717"/>
    <cellStyle name="20% - Accent6 2 2 43" xfId="13625"/>
    <cellStyle name="20% - Accent6 2 2 43 2" xfId="27341"/>
    <cellStyle name="20% - Accent6 2 2 43 2 2" xfId="54349"/>
    <cellStyle name="20% - Accent6 2 2 43 3" xfId="40845"/>
    <cellStyle name="20% - Accent6 2 2 44" xfId="13767"/>
    <cellStyle name="20% - Accent6 2 2 44 2" xfId="27469"/>
    <cellStyle name="20% - Accent6 2 2 44 2 2" xfId="54477"/>
    <cellStyle name="20% - Accent6 2 2 44 3" xfId="40973"/>
    <cellStyle name="20% - Accent6 2 2 45" xfId="13908"/>
    <cellStyle name="20% - Accent6 2 2 45 2" xfId="27596"/>
    <cellStyle name="20% - Accent6 2 2 45 2 2" xfId="54604"/>
    <cellStyle name="20% - Accent6 2 2 45 3" xfId="41100"/>
    <cellStyle name="20% - Accent6 2 2 46" xfId="14049"/>
    <cellStyle name="20% - Accent6 2 2 46 2" xfId="27723"/>
    <cellStyle name="20% - Accent6 2 2 46 2 2" xfId="54731"/>
    <cellStyle name="20% - Accent6 2 2 46 3" xfId="41227"/>
    <cellStyle name="20% - Accent6 2 2 47" xfId="14190"/>
    <cellStyle name="20% - Accent6 2 2 47 2" xfId="27850"/>
    <cellStyle name="20% - Accent6 2 2 47 2 2" xfId="54858"/>
    <cellStyle name="20% - Accent6 2 2 47 3" xfId="41354"/>
    <cellStyle name="20% - Accent6 2 2 48" xfId="14331"/>
    <cellStyle name="20% - Accent6 2 2 48 2" xfId="27977"/>
    <cellStyle name="20% - Accent6 2 2 48 2 2" xfId="54985"/>
    <cellStyle name="20% - Accent6 2 2 48 3" xfId="41481"/>
    <cellStyle name="20% - Accent6 2 2 49" xfId="14471"/>
    <cellStyle name="20% - Accent6 2 2 49 2" xfId="28103"/>
    <cellStyle name="20% - Accent6 2 2 49 2 2" xfId="55111"/>
    <cellStyle name="20% - Accent6 2 2 49 3" xfId="41607"/>
    <cellStyle name="20% - Accent6 2 2 5" xfId="8229"/>
    <cellStyle name="20% - Accent6 2 2 5 2" xfId="22477"/>
    <cellStyle name="20% - Accent6 2 2 5 2 2" xfId="49485"/>
    <cellStyle name="20% - Accent6 2 2 5 3" xfId="35981"/>
    <cellStyle name="20% - Accent6 2 2 50" xfId="14611"/>
    <cellStyle name="20% - Accent6 2 2 50 2" xfId="28229"/>
    <cellStyle name="20% - Accent6 2 2 50 2 2" xfId="55237"/>
    <cellStyle name="20% - Accent6 2 2 50 3" xfId="41733"/>
    <cellStyle name="20% - Accent6 2 2 51" xfId="14750"/>
    <cellStyle name="20% - Accent6 2 2 51 2" xfId="28354"/>
    <cellStyle name="20% - Accent6 2 2 51 2 2" xfId="55362"/>
    <cellStyle name="20% - Accent6 2 2 51 3" xfId="41858"/>
    <cellStyle name="20% - Accent6 2 2 52" xfId="14885"/>
    <cellStyle name="20% - Accent6 2 2 52 2" xfId="28476"/>
    <cellStyle name="20% - Accent6 2 2 52 2 2" xfId="55484"/>
    <cellStyle name="20% - Accent6 2 2 52 3" xfId="41980"/>
    <cellStyle name="20% - Accent6 2 2 53" xfId="15019"/>
    <cellStyle name="20% - Accent6 2 2 53 2" xfId="28597"/>
    <cellStyle name="20% - Accent6 2 2 53 2 2" xfId="55605"/>
    <cellStyle name="20% - Accent6 2 2 53 3" xfId="42101"/>
    <cellStyle name="20% - Accent6 2 2 54" xfId="15147"/>
    <cellStyle name="20% - Accent6 2 2 54 2" xfId="28714"/>
    <cellStyle name="20% - Accent6 2 2 54 2 2" xfId="55722"/>
    <cellStyle name="20% - Accent6 2 2 54 3" xfId="42218"/>
    <cellStyle name="20% - Accent6 2 2 55" xfId="15268"/>
    <cellStyle name="20% - Accent6 2 2 55 2" xfId="28828"/>
    <cellStyle name="20% - Accent6 2 2 55 2 2" xfId="55836"/>
    <cellStyle name="20% - Accent6 2 2 55 3" xfId="42332"/>
    <cellStyle name="20% - Accent6 2 2 56" xfId="15563"/>
    <cellStyle name="20% - Accent6 2 2 56 2" xfId="42571"/>
    <cellStyle name="20% - Accent6 2 2 57" xfId="29067"/>
    <cellStyle name="20% - Accent6 2 2 6" xfId="8371"/>
    <cellStyle name="20% - Accent6 2 2 6 2" xfId="22605"/>
    <cellStyle name="20% - Accent6 2 2 6 2 2" xfId="49613"/>
    <cellStyle name="20% - Accent6 2 2 6 3" xfId="36109"/>
    <cellStyle name="20% - Accent6 2 2 7" xfId="8513"/>
    <cellStyle name="20% - Accent6 2 2 7 2" xfId="22733"/>
    <cellStyle name="20% - Accent6 2 2 7 2 2" xfId="49741"/>
    <cellStyle name="20% - Accent6 2 2 7 3" xfId="36237"/>
    <cellStyle name="20% - Accent6 2 2 8" xfId="8655"/>
    <cellStyle name="20% - Accent6 2 2 8 2" xfId="22861"/>
    <cellStyle name="20% - Accent6 2 2 8 2 2" xfId="49869"/>
    <cellStyle name="20% - Accent6 2 2 8 3" xfId="36365"/>
    <cellStyle name="20% - Accent6 2 2 9" xfId="8797"/>
    <cellStyle name="20% - Accent6 2 2 9 2" xfId="22989"/>
    <cellStyle name="20% - Accent6 2 2 9 2 2" xfId="49997"/>
    <cellStyle name="20% - Accent6 2 2 9 3" xfId="36493"/>
    <cellStyle name="20% - Accent6 2 20" xfId="2144"/>
    <cellStyle name="20% - Accent6 2 20 2" xfId="17190"/>
    <cellStyle name="20% - Accent6 2 20 2 2" xfId="44198"/>
    <cellStyle name="20% - Accent6 2 20 3" xfId="30694"/>
    <cellStyle name="20% - Accent6 2 21" xfId="2250"/>
    <cellStyle name="20% - Accent6 2 21 2" xfId="17282"/>
    <cellStyle name="20% - Accent6 2 21 2 2" xfId="44290"/>
    <cellStyle name="20% - Accent6 2 21 3" xfId="30786"/>
    <cellStyle name="20% - Accent6 2 22" xfId="2356"/>
    <cellStyle name="20% - Accent6 2 22 2" xfId="17374"/>
    <cellStyle name="20% - Accent6 2 22 2 2" xfId="44382"/>
    <cellStyle name="20% - Accent6 2 22 3" xfId="30878"/>
    <cellStyle name="20% - Accent6 2 23" xfId="2462"/>
    <cellStyle name="20% - Accent6 2 23 2" xfId="17466"/>
    <cellStyle name="20% - Accent6 2 23 2 2" xfId="44474"/>
    <cellStyle name="20% - Accent6 2 23 3" xfId="30970"/>
    <cellStyle name="20% - Accent6 2 24" xfId="2568"/>
    <cellStyle name="20% - Accent6 2 24 2" xfId="17558"/>
    <cellStyle name="20% - Accent6 2 24 2 2" xfId="44566"/>
    <cellStyle name="20% - Accent6 2 24 3" xfId="31062"/>
    <cellStyle name="20% - Accent6 2 25" xfId="2674"/>
    <cellStyle name="20% - Accent6 2 25 2" xfId="17650"/>
    <cellStyle name="20% - Accent6 2 25 2 2" xfId="44658"/>
    <cellStyle name="20% - Accent6 2 25 3" xfId="31154"/>
    <cellStyle name="20% - Accent6 2 26" xfId="2780"/>
    <cellStyle name="20% - Accent6 2 26 2" xfId="17742"/>
    <cellStyle name="20% - Accent6 2 26 2 2" xfId="44750"/>
    <cellStyle name="20% - Accent6 2 26 3" xfId="31246"/>
    <cellStyle name="20% - Accent6 2 27" xfId="2886"/>
    <cellStyle name="20% - Accent6 2 27 2" xfId="17834"/>
    <cellStyle name="20% - Accent6 2 27 2 2" xfId="44842"/>
    <cellStyle name="20% - Accent6 2 27 3" xfId="31338"/>
    <cellStyle name="20% - Accent6 2 28" xfId="2992"/>
    <cellStyle name="20% - Accent6 2 28 2" xfId="17926"/>
    <cellStyle name="20% - Accent6 2 28 2 2" xfId="44934"/>
    <cellStyle name="20% - Accent6 2 28 3" xfId="31430"/>
    <cellStyle name="20% - Accent6 2 29" xfId="3098"/>
    <cellStyle name="20% - Accent6 2 29 2" xfId="18018"/>
    <cellStyle name="20% - Accent6 2 29 2 2" xfId="45026"/>
    <cellStyle name="20% - Accent6 2 29 3" xfId="31522"/>
    <cellStyle name="20% - Accent6 2 3" xfId="423"/>
    <cellStyle name="20% - Accent6 2 3 10" xfId="9059"/>
    <cellStyle name="20% - Accent6 2 3 10 2" xfId="23227"/>
    <cellStyle name="20% - Accent6 2 3 10 2 2" xfId="50235"/>
    <cellStyle name="20% - Accent6 2 3 10 3" xfId="36731"/>
    <cellStyle name="20% - Accent6 2 3 11" xfId="9201"/>
    <cellStyle name="20% - Accent6 2 3 11 2" xfId="23355"/>
    <cellStyle name="20% - Accent6 2 3 11 2 2" xfId="50363"/>
    <cellStyle name="20% - Accent6 2 3 11 3" xfId="36859"/>
    <cellStyle name="20% - Accent6 2 3 12" xfId="9343"/>
    <cellStyle name="20% - Accent6 2 3 12 2" xfId="23483"/>
    <cellStyle name="20% - Accent6 2 3 12 2 2" xfId="50491"/>
    <cellStyle name="20% - Accent6 2 3 12 3" xfId="36987"/>
    <cellStyle name="20% - Accent6 2 3 13" xfId="9485"/>
    <cellStyle name="20% - Accent6 2 3 13 2" xfId="23611"/>
    <cellStyle name="20% - Accent6 2 3 13 2 2" xfId="50619"/>
    <cellStyle name="20% - Accent6 2 3 13 3" xfId="37115"/>
    <cellStyle name="20% - Accent6 2 3 14" xfId="9627"/>
    <cellStyle name="20% - Accent6 2 3 14 2" xfId="23739"/>
    <cellStyle name="20% - Accent6 2 3 14 2 2" xfId="50747"/>
    <cellStyle name="20% - Accent6 2 3 14 3" xfId="37243"/>
    <cellStyle name="20% - Accent6 2 3 15" xfId="9769"/>
    <cellStyle name="20% - Accent6 2 3 15 2" xfId="23867"/>
    <cellStyle name="20% - Accent6 2 3 15 2 2" xfId="50875"/>
    <cellStyle name="20% - Accent6 2 3 15 3" xfId="37371"/>
    <cellStyle name="20% - Accent6 2 3 16" xfId="9911"/>
    <cellStyle name="20% - Accent6 2 3 16 2" xfId="23995"/>
    <cellStyle name="20% - Accent6 2 3 16 2 2" xfId="51003"/>
    <cellStyle name="20% - Accent6 2 3 16 3" xfId="37499"/>
    <cellStyle name="20% - Accent6 2 3 17" xfId="10053"/>
    <cellStyle name="20% - Accent6 2 3 17 2" xfId="24123"/>
    <cellStyle name="20% - Accent6 2 3 17 2 2" xfId="51131"/>
    <cellStyle name="20% - Accent6 2 3 17 3" xfId="37627"/>
    <cellStyle name="20% - Accent6 2 3 18" xfId="10195"/>
    <cellStyle name="20% - Accent6 2 3 18 2" xfId="24251"/>
    <cellStyle name="20% - Accent6 2 3 18 2 2" xfId="51259"/>
    <cellStyle name="20% - Accent6 2 3 18 3" xfId="37755"/>
    <cellStyle name="20% - Accent6 2 3 19" xfId="10337"/>
    <cellStyle name="20% - Accent6 2 3 19 2" xfId="24379"/>
    <cellStyle name="20% - Accent6 2 3 19 2 2" xfId="51387"/>
    <cellStyle name="20% - Accent6 2 3 19 3" xfId="37883"/>
    <cellStyle name="20% - Accent6 2 3 2" xfId="7923"/>
    <cellStyle name="20% - Accent6 2 3 2 2" xfId="22203"/>
    <cellStyle name="20% - Accent6 2 3 2 2 2" xfId="49211"/>
    <cellStyle name="20% - Accent6 2 3 2 3" xfId="35707"/>
    <cellStyle name="20% - Accent6 2 3 20" xfId="10479"/>
    <cellStyle name="20% - Accent6 2 3 20 2" xfId="24507"/>
    <cellStyle name="20% - Accent6 2 3 20 2 2" xfId="51515"/>
    <cellStyle name="20% - Accent6 2 3 20 3" xfId="38011"/>
    <cellStyle name="20% - Accent6 2 3 21" xfId="10621"/>
    <cellStyle name="20% - Accent6 2 3 21 2" xfId="24635"/>
    <cellStyle name="20% - Accent6 2 3 21 2 2" xfId="51643"/>
    <cellStyle name="20% - Accent6 2 3 21 3" xfId="38139"/>
    <cellStyle name="20% - Accent6 2 3 22" xfId="10763"/>
    <cellStyle name="20% - Accent6 2 3 22 2" xfId="24763"/>
    <cellStyle name="20% - Accent6 2 3 22 2 2" xfId="51771"/>
    <cellStyle name="20% - Accent6 2 3 22 3" xfId="38267"/>
    <cellStyle name="20% - Accent6 2 3 23" xfId="10905"/>
    <cellStyle name="20% - Accent6 2 3 23 2" xfId="24891"/>
    <cellStyle name="20% - Accent6 2 3 23 2 2" xfId="51899"/>
    <cellStyle name="20% - Accent6 2 3 23 3" xfId="38395"/>
    <cellStyle name="20% - Accent6 2 3 24" xfId="11047"/>
    <cellStyle name="20% - Accent6 2 3 24 2" xfId="25019"/>
    <cellStyle name="20% - Accent6 2 3 24 2 2" xfId="52027"/>
    <cellStyle name="20% - Accent6 2 3 24 3" xfId="38523"/>
    <cellStyle name="20% - Accent6 2 3 25" xfId="11189"/>
    <cellStyle name="20% - Accent6 2 3 25 2" xfId="25147"/>
    <cellStyle name="20% - Accent6 2 3 25 2 2" xfId="52155"/>
    <cellStyle name="20% - Accent6 2 3 25 3" xfId="38651"/>
    <cellStyle name="20% - Accent6 2 3 26" xfId="11331"/>
    <cellStyle name="20% - Accent6 2 3 26 2" xfId="25275"/>
    <cellStyle name="20% - Accent6 2 3 26 2 2" xfId="52283"/>
    <cellStyle name="20% - Accent6 2 3 26 3" xfId="38779"/>
    <cellStyle name="20% - Accent6 2 3 27" xfId="11473"/>
    <cellStyle name="20% - Accent6 2 3 27 2" xfId="25403"/>
    <cellStyle name="20% - Accent6 2 3 27 2 2" xfId="52411"/>
    <cellStyle name="20% - Accent6 2 3 27 3" xfId="38907"/>
    <cellStyle name="20% - Accent6 2 3 28" xfId="11615"/>
    <cellStyle name="20% - Accent6 2 3 28 2" xfId="25531"/>
    <cellStyle name="20% - Accent6 2 3 28 2 2" xfId="52539"/>
    <cellStyle name="20% - Accent6 2 3 28 3" xfId="39035"/>
    <cellStyle name="20% - Accent6 2 3 29" xfId="11757"/>
    <cellStyle name="20% - Accent6 2 3 29 2" xfId="25659"/>
    <cellStyle name="20% - Accent6 2 3 29 2 2" xfId="52667"/>
    <cellStyle name="20% - Accent6 2 3 29 3" xfId="39163"/>
    <cellStyle name="20% - Accent6 2 3 3" xfId="8065"/>
    <cellStyle name="20% - Accent6 2 3 3 2" xfId="22331"/>
    <cellStyle name="20% - Accent6 2 3 3 2 2" xfId="49339"/>
    <cellStyle name="20% - Accent6 2 3 3 3" xfId="35835"/>
    <cellStyle name="20% - Accent6 2 3 30" xfId="11899"/>
    <cellStyle name="20% - Accent6 2 3 30 2" xfId="25787"/>
    <cellStyle name="20% - Accent6 2 3 30 2 2" xfId="52795"/>
    <cellStyle name="20% - Accent6 2 3 30 3" xfId="39291"/>
    <cellStyle name="20% - Accent6 2 3 31" xfId="12041"/>
    <cellStyle name="20% - Accent6 2 3 31 2" xfId="25915"/>
    <cellStyle name="20% - Accent6 2 3 31 2 2" xfId="52923"/>
    <cellStyle name="20% - Accent6 2 3 31 3" xfId="39419"/>
    <cellStyle name="20% - Accent6 2 3 32" xfId="12183"/>
    <cellStyle name="20% - Accent6 2 3 32 2" xfId="26043"/>
    <cellStyle name="20% - Accent6 2 3 32 2 2" xfId="53051"/>
    <cellStyle name="20% - Accent6 2 3 32 3" xfId="39547"/>
    <cellStyle name="20% - Accent6 2 3 33" xfId="12325"/>
    <cellStyle name="20% - Accent6 2 3 33 2" xfId="26171"/>
    <cellStyle name="20% - Accent6 2 3 33 2 2" xfId="53179"/>
    <cellStyle name="20% - Accent6 2 3 33 3" xfId="39675"/>
    <cellStyle name="20% - Accent6 2 3 34" xfId="12467"/>
    <cellStyle name="20% - Accent6 2 3 34 2" xfId="26299"/>
    <cellStyle name="20% - Accent6 2 3 34 2 2" xfId="53307"/>
    <cellStyle name="20% - Accent6 2 3 34 3" xfId="39803"/>
    <cellStyle name="20% - Accent6 2 3 35" xfId="12609"/>
    <cellStyle name="20% - Accent6 2 3 35 2" xfId="26427"/>
    <cellStyle name="20% - Accent6 2 3 35 2 2" xfId="53435"/>
    <cellStyle name="20% - Accent6 2 3 35 3" xfId="39931"/>
    <cellStyle name="20% - Accent6 2 3 36" xfId="12751"/>
    <cellStyle name="20% - Accent6 2 3 36 2" xfId="26555"/>
    <cellStyle name="20% - Accent6 2 3 36 2 2" xfId="53563"/>
    <cellStyle name="20% - Accent6 2 3 36 3" xfId="40059"/>
    <cellStyle name="20% - Accent6 2 3 37" xfId="12893"/>
    <cellStyle name="20% - Accent6 2 3 37 2" xfId="26683"/>
    <cellStyle name="20% - Accent6 2 3 37 2 2" xfId="53691"/>
    <cellStyle name="20% - Accent6 2 3 37 3" xfId="40187"/>
    <cellStyle name="20% - Accent6 2 3 38" xfId="13035"/>
    <cellStyle name="20% - Accent6 2 3 38 2" xfId="26811"/>
    <cellStyle name="20% - Accent6 2 3 38 2 2" xfId="53819"/>
    <cellStyle name="20% - Accent6 2 3 38 3" xfId="40315"/>
    <cellStyle name="20% - Accent6 2 3 39" xfId="13177"/>
    <cellStyle name="20% - Accent6 2 3 39 2" xfId="26939"/>
    <cellStyle name="20% - Accent6 2 3 39 2 2" xfId="53947"/>
    <cellStyle name="20% - Accent6 2 3 39 3" xfId="40443"/>
    <cellStyle name="20% - Accent6 2 3 4" xfId="8207"/>
    <cellStyle name="20% - Accent6 2 3 4 2" xfId="22459"/>
    <cellStyle name="20% - Accent6 2 3 4 2 2" xfId="49467"/>
    <cellStyle name="20% - Accent6 2 3 4 3" xfId="35963"/>
    <cellStyle name="20% - Accent6 2 3 40" xfId="13319"/>
    <cellStyle name="20% - Accent6 2 3 40 2" xfId="27067"/>
    <cellStyle name="20% - Accent6 2 3 40 2 2" xfId="54075"/>
    <cellStyle name="20% - Accent6 2 3 40 3" xfId="40571"/>
    <cellStyle name="20% - Accent6 2 3 41" xfId="13461"/>
    <cellStyle name="20% - Accent6 2 3 41 2" xfId="27195"/>
    <cellStyle name="20% - Accent6 2 3 41 2 2" xfId="54203"/>
    <cellStyle name="20% - Accent6 2 3 41 3" xfId="40699"/>
    <cellStyle name="20% - Accent6 2 3 42" xfId="13603"/>
    <cellStyle name="20% - Accent6 2 3 42 2" xfId="27323"/>
    <cellStyle name="20% - Accent6 2 3 42 2 2" xfId="54331"/>
    <cellStyle name="20% - Accent6 2 3 42 3" xfId="40827"/>
    <cellStyle name="20% - Accent6 2 3 43" xfId="13745"/>
    <cellStyle name="20% - Accent6 2 3 43 2" xfId="27451"/>
    <cellStyle name="20% - Accent6 2 3 43 2 2" xfId="54459"/>
    <cellStyle name="20% - Accent6 2 3 43 3" xfId="40955"/>
    <cellStyle name="20% - Accent6 2 3 44" xfId="13886"/>
    <cellStyle name="20% - Accent6 2 3 44 2" xfId="27578"/>
    <cellStyle name="20% - Accent6 2 3 44 2 2" xfId="54586"/>
    <cellStyle name="20% - Accent6 2 3 44 3" xfId="41082"/>
    <cellStyle name="20% - Accent6 2 3 45" xfId="14027"/>
    <cellStyle name="20% - Accent6 2 3 45 2" xfId="27705"/>
    <cellStyle name="20% - Accent6 2 3 45 2 2" xfId="54713"/>
    <cellStyle name="20% - Accent6 2 3 45 3" xfId="41209"/>
    <cellStyle name="20% - Accent6 2 3 46" xfId="14168"/>
    <cellStyle name="20% - Accent6 2 3 46 2" xfId="27832"/>
    <cellStyle name="20% - Accent6 2 3 46 2 2" xfId="54840"/>
    <cellStyle name="20% - Accent6 2 3 46 3" xfId="41336"/>
    <cellStyle name="20% - Accent6 2 3 47" xfId="14309"/>
    <cellStyle name="20% - Accent6 2 3 47 2" xfId="27959"/>
    <cellStyle name="20% - Accent6 2 3 47 2 2" xfId="54967"/>
    <cellStyle name="20% - Accent6 2 3 47 3" xfId="41463"/>
    <cellStyle name="20% - Accent6 2 3 48" xfId="14449"/>
    <cellStyle name="20% - Accent6 2 3 48 2" xfId="28085"/>
    <cellStyle name="20% - Accent6 2 3 48 2 2" xfId="55093"/>
    <cellStyle name="20% - Accent6 2 3 48 3" xfId="41589"/>
    <cellStyle name="20% - Accent6 2 3 49" xfId="14589"/>
    <cellStyle name="20% - Accent6 2 3 49 2" xfId="28211"/>
    <cellStyle name="20% - Accent6 2 3 49 2 2" xfId="55219"/>
    <cellStyle name="20% - Accent6 2 3 49 3" xfId="41715"/>
    <cellStyle name="20% - Accent6 2 3 5" xfId="8349"/>
    <cellStyle name="20% - Accent6 2 3 5 2" xfId="22587"/>
    <cellStyle name="20% - Accent6 2 3 5 2 2" xfId="49595"/>
    <cellStyle name="20% - Accent6 2 3 5 3" xfId="36091"/>
    <cellStyle name="20% - Accent6 2 3 50" xfId="14728"/>
    <cellStyle name="20% - Accent6 2 3 50 2" xfId="28336"/>
    <cellStyle name="20% - Accent6 2 3 50 2 2" xfId="55344"/>
    <cellStyle name="20% - Accent6 2 3 50 3" xfId="41840"/>
    <cellStyle name="20% - Accent6 2 3 51" xfId="14863"/>
    <cellStyle name="20% - Accent6 2 3 51 2" xfId="28458"/>
    <cellStyle name="20% - Accent6 2 3 51 2 2" xfId="55466"/>
    <cellStyle name="20% - Accent6 2 3 51 3" xfId="41962"/>
    <cellStyle name="20% - Accent6 2 3 52" xfId="14997"/>
    <cellStyle name="20% - Accent6 2 3 52 2" xfId="28579"/>
    <cellStyle name="20% - Accent6 2 3 52 2 2" xfId="55587"/>
    <cellStyle name="20% - Accent6 2 3 52 3" xfId="42083"/>
    <cellStyle name="20% - Accent6 2 3 53" xfId="15126"/>
    <cellStyle name="20% - Accent6 2 3 53 2" xfId="28696"/>
    <cellStyle name="20% - Accent6 2 3 53 2 2" xfId="55704"/>
    <cellStyle name="20% - Accent6 2 3 53 3" xfId="42200"/>
    <cellStyle name="20% - Accent6 2 3 54" xfId="15248"/>
    <cellStyle name="20% - Accent6 2 3 54 2" xfId="28810"/>
    <cellStyle name="20% - Accent6 2 3 54 2 2" xfId="55818"/>
    <cellStyle name="20% - Accent6 2 3 54 3" xfId="42314"/>
    <cellStyle name="20% - Accent6 2 3 55" xfId="15353"/>
    <cellStyle name="20% - Accent6 2 3 55 2" xfId="28913"/>
    <cellStyle name="20% - Accent6 2 3 55 2 2" xfId="55921"/>
    <cellStyle name="20% - Accent6 2 3 55 3" xfId="42417"/>
    <cellStyle name="20% - Accent6 2 3 56" xfId="15691"/>
    <cellStyle name="20% - Accent6 2 3 56 2" xfId="42699"/>
    <cellStyle name="20% - Accent6 2 3 57" xfId="29195"/>
    <cellStyle name="20% - Accent6 2 3 6" xfId="8491"/>
    <cellStyle name="20% - Accent6 2 3 6 2" xfId="22715"/>
    <cellStyle name="20% - Accent6 2 3 6 2 2" xfId="49723"/>
    <cellStyle name="20% - Accent6 2 3 6 3" xfId="36219"/>
    <cellStyle name="20% - Accent6 2 3 7" xfId="8633"/>
    <cellStyle name="20% - Accent6 2 3 7 2" xfId="22843"/>
    <cellStyle name="20% - Accent6 2 3 7 2 2" xfId="49851"/>
    <cellStyle name="20% - Accent6 2 3 7 3" xfId="36347"/>
    <cellStyle name="20% - Accent6 2 3 8" xfId="8775"/>
    <cellStyle name="20% - Accent6 2 3 8 2" xfId="22971"/>
    <cellStyle name="20% - Accent6 2 3 8 2 2" xfId="49979"/>
    <cellStyle name="20% - Accent6 2 3 8 3" xfId="36475"/>
    <cellStyle name="20% - Accent6 2 3 9" xfId="8917"/>
    <cellStyle name="20% - Accent6 2 3 9 2" xfId="23099"/>
    <cellStyle name="20% - Accent6 2 3 9 2 2" xfId="50107"/>
    <cellStyle name="20% - Accent6 2 3 9 3" xfId="36603"/>
    <cellStyle name="20% - Accent6 2 30" xfId="3204"/>
    <cellStyle name="20% - Accent6 2 30 2" xfId="18110"/>
    <cellStyle name="20% - Accent6 2 30 2 2" xfId="45118"/>
    <cellStyle name="20% - Accent6 2 30 3" xfId="31614"/>
    <cellStyle name="20% - Accent6 2 31" xfId="3310"/>
    <cellStyle name="20% - Accent6 2 31 2" xfId="18202"/>
    <cellStyle name="20% - Accent6 2 31 2 2" xfId="45210"/>
    <cellStyle name="20% - Accent6 2 31 3" xfId="31706"/>
    <cellStyle name="20% - Accent6 2 32" xfId="3416"/>
    <cellStyle name="20% - Accent6 2 32 2" xfId="18294"/>
    <cellStyle name="20% - Accent6 2 32 2 2" xfId="45302"/>
    <cellStyle name="20% - Accent6 2 32 3" xfId="31798"/>
    <cellStyle name="20% - Accent6 2 33" xfId="3522"/>
    <cellStyle name="20% - Accent6 2 33 2" xfId="18386"/>
    <cellStyle name="20% - Accent6 2 33 2 2" xfId="45394"/>
    <cellStyle name="20% - Accent6 2 33 3" xfId="31890"/>
    <cellStyle name="20% - Accent6 2 34" xfId="3628"/>
    <cellStyle name="20% - Accent6 2 34 2" xfId="18478"/>
    <cellStyle name="20% - Accent6 2 34 2 2" xfId="45486"/>
    <cellStyle name="20% - Accent6 2 34 3" xfId="31982"/>
    <cellStyle name="20% - Accent6 2 35" xfId="3734"/>
    <cellStyle name="20% - Accent6 2 35 2" xfId="18570"/>
    <cellStyle name="20% - Accent6 2 35 2 2" xfId="45578"/>
    <cellStyle name="20% - Accent6 2 35 3" xfId="32074"/>
    <cellStyle name="20% - Accent6 2 36" xfId="3840"/>
    <cellStyle name="20% - Accent6 2 36 2" xfId="18662"/>
    <cellStyle name="20% - Accent6 2 36 2 2" xfId="45670"/>
    <cellStyle name="20% - Accent6 2 36 3" xfId="32166"/>
    <cellStyle name="20% - Accent6 2 37" xfId="3946"/>
    <cellStyle name="20% - Accent6 2 37 2" xfId="18754"/>
    <cellStyle name="20% - Accent6 2 37 2 2" xfId="45762"/>
    <cellStyle name="20% - Accent6 2 37 3" xfId="32258"/>
    <cellStyle name="20% - Accent6 2 38" xfId="4052"/>
    <cellStyle name="20% - Accent6 2 38 2" xfId="18846"/>
    <cellStyle name="20% - Accent6 2 38 2 2" xfId="45854"/>
    <cellStyle name="20% - Accent6 2 38 3" xfId="32350"/>
    <cellStyle name="20% - Accent6 2 39" xfId="4158"/>
    <cellStyle name="20% - Accent6 2 39 2" xfId="18938"/>
    <cellStyle name="20% - Accent6 2 39 2 2" xfId="45946"/>
    <cellStyle name="20% - Accent6 2 39 3" xfId="32442"/>
    <cellStyle name="20% - Accent6 2 4" xfId="428"/>
    <cellStyle name="20% - Accent6 2 4 2" xfId="15696"/>
    <cellStyle name="20% - Accent6 2 4 2 2" xfId="42704"/>
    <cellStyle name="20% - Accent6 2 4 3" xfId="29200"/>
    <cellStyle name="20% - Accent6 2 40" xfId="4264"/>
    <cellStyle name="20% - Accent6 2 40 2" xfId="19030"/>
    <cellStyle name="20% - Accent6 2 40 2 2" xfId="46038"/>
    <cellStyle name="20% - Accent6 2 40 3" xfId="32534"/>
    <cellStyle name="20% - Accent6 2 41" xfId="4370"/>
    <cellStyle name="20% - Accent6 2 41 2" xfId="19122"/>
    <cellStyle name="20% - Accent6 2 41 2 2" xfId="46130"/>
    <cellStyle name="20% - Accent6 2 41 3" xfId="32626"/>
    <cellStyle name="20% - Accent6 2 42" xfId="4476"/>
    <cellStyle name="20% - Accent6 2 42 2" xfId="19214"/>
    <cellStyle name="20% - Accent6 2 42 2 2" xfId="46222"/>
    <cellStyle name="20% - Accent6 2 42 3" xfId="32718"/>
    <cellStyle name="20% - Accent6 2 43" xfId="4582"/>
    <cellStyle name="20% - Accent6 2 43 2" xfId="19306"/>
    <cellStyle name="20% - Accent6 2 43 2 2" xfId="46314"/>
    <cellStyle name="20% - Accent6 2 43 3" xfId="32810"/>
    <cellStyle name="20% - Accent6 2 44" xfId="4688"/>
    <cellStyle name="20% - Accent6 2 44 2" xfId="19398"/>
    <cellStyle name="20% - Accent6 2 44 2 2" xfId="46406"/>
    <cellStyle name="20% - Accent6 2 44 3" xfId="32902"/>
    <cellStyle name="20% - Accent6 2 45" xfId="4794"/>
    <cellStyle name="20% - Accent6 2 45 2" xfId="19490"/>
    <cellStyle name="20% - Accent6 2 45 2 2" xfId="46498"/>
    <cellStyle name="20% - Accent6 2 45 3" xfId="32994"/>
    <cellStyle name="20% - Accent6 2 46" xfId="4900"/>
    <cellStyle name="20% - Accent6 2 46 2" xfId="19582"/>
    <cellStyle name="20% - Accent6 2 46 2 2" xfId="46590"/>
    <cellStyle name="20% - Accent6 2 46 3" xfId="33086"/>
    <cellStyle name="20% - Accent6 2 47" xfId="5006"/>
    <cellStyle name="20% - Accent6 2 47 2" xfId="19674"/>
    <cellStyle name="20% - Accent6 2 47 2 2" xfId="46682"/>
    <cellStyle name="20% - Accent6 2 47 3" xfId="33178"/>
    <cellStyle name="20% - Accent6 2 48" xfId="5112"/>
    <cellStyle name="20% - Accent6 2 48 2" xfId="19766"/>
    <cellStyle name="20% - Accent6 2 48 2 2" xfId="46774"/>
    <cellStyle name="20% - Accent6 2 48 3" xfId="33270"/>
    <cellStyle name="20% - Accent6 2 49" xfId="5218"/>
    <cellStyle name="20% - Accent6 2 49 2" xfId="19858"/>
    <cellStyle name="20% - Accent6 2 49 2 2" xfId="46866"/>
    <cellStyle name="20% - Accent6 2 49 3" xfId="33362"/>
    <cellStyle name="20% - Accent6 2 5" xfId="555"/>
    <cellStyle name="20% - Accent6 2 5 2" xfId="15811"/>
    <cellStyle name="20% - Accent6 2 5 2 2" xfId="42819"/>
    <cellStyle name="20% - Accent6 2 5 3" xfId="29315"/>
    <cellStyle name="20% - Accent6 2 50" xfId="5324"/>
    <cellStyle name="20% - Accent6 2 50 2" xfId="19950"/>
    <cellStyle name="20% - Accent6 2 50 2 2" xfId="46958"/>
    <cellStyle name="20% - Accent6 2 50 3" xfId="33454"/>
    <cellStyle name="20% - Accent6 2 51" xfId="5430"/>
    <cellStyle name="20% - Accent6 2 51 2" xfId="20042"/>
    <cellStyle name="20% - Accent6 2 51 2 2" xfId="47050"/>
    <cellStyle name="20% - Accent6 2 51 3" xfId="33546"/>
    <cellStyle name="20% - Accent6 2 52" xfId="5536"/>
    <cellStyle name="20% - Accent6 2 52 2" xfId="20134"/>
    <cellStyle name="20% - Accent6 2 52 2 2" xfId="47142"/>
    <cellStyle name="20% - Accent6 2 52 3" xfId="33638"/>
    <cellStyle name="20% - Accent6 2 53" xfId="5642"/>
    <cellStyle name="20% - Accent6 2 53 2" xfId="20226"/>
    <cellStyle name="20% - Accent6 2 53 2 2" xfId="47234"/>
    <cellStyle name="20% - Accent6 2 53 3" xfId="33730"/>
    <cellStyle name="20% - Accent6 2 54" xfId="5748"/>
    <cellStyle name="20% - Accent6 2 54 2" xfId="20318"/>
    <cellStyle name="20% - Accent6 2 54 2 2" xfId="47326"/>
    <cellStyle name="20% - Accent6 2 54 3" xfId="33822"/>
    <cellStyle name="20% - Accent6 2 55" xfId="5854"/>
    <cellStyle name="20% - Accent6 2 55 2" xfId="20410"/>
    <cellStyle name="20% - Accent6 2 55 2 2" xfId="47418"/>
    <cellStyle name="20% - Accent6 2 55 3" xfId="33914"/>
    <cellStyle name="20% - Accent6 2 56" xfId="5960"/>
    <cellStyle name="20% - Accent6 2 56 2" xfId="20502"/>
    <cellStyle name="20% - Accent6 2 56 2 2" xfId="47510"/>
    <cellStyle name="20% - Accent6 2 56 3" xfId="34006"/>
    <cellStyle name="20% - Accent6 2 57" xfId="6066"/>
    <cellStyle name="20% - Accent6 2 57 2" xfId="20594"/>
    <cellStyle name="20% - Accent6 2 57 2 2" xfId="47602"/>
    <cellStyle name="20% - Accent6 2 57 3" xfId="34098"/>
    <cellStyle name="20% - Accent6 2 58" xfId="6172"/>
    <cellStyle name="20% - Accent6 2 58 2" xfId="20686"/>
    <cellStyle name="20% - Accent6 2 58 2 2" xfId="47694"/>
    <cellStyle name="20% - Accent6 2 58 3" xfId="34190"/>
    <cellStyle name="20% - Accent6 2 59" xfId="6278"/>
    <cellStyle name="20% - Accent6 2 59 2" xfId="20778"/>
    <cellStyle name="20% - Accent6 2 59 2 2" xfId="47786"/>
    <cellStyle name="20% - Accent6 2 59 3" xfId="34282"/>
    <cellStyle name="20% - Accent6 2 6" xfId="660"/>
    <cellStyle name="20% - Accent6 2 6 2" xfId="15902"/>
    <cellStyle name="20% - Accent6 2 6 2 2" xfId="42910"/>
    <cellStyle name="20% - Accent6 2 6 3" xfId="29406"/>
    <cellStyle name="20% - Accent6 2 60" xfId="6384"/>
    <cellStyle name="20% - Accent6 2 60 2" xfId="20870"/>
    <cellStyle name="20% - Accent6 2 60 2 2" xfId="47878"/>
    <cellStyle name="20% - Accent6 2 60 3" xfId="34374"/>
    <cellStyle name="20% - Accent6 2 61" xfId="6490"/>
    <cellStyle name="20% - Accent6 2 61 2" xfId="20962"/>
    <cellStyle name="20% - Accent6 2 61 2 2" xfId="47970"/>
    <cellStyle name="20% - Accent6 2 61 3" xfId="34466"/>
    <cellStyle name="20% - Accent6 2 62" xfId="6596"/>
    <cellStyle name="20% - Accent6 2 62 2" xfId="21054"/>
    <cellStyle name="20% - Accent6 2 62 2 2" xfId="48062"/>
    <cellStyle name="20% - Accent6 2 62 3" xfId="34558"/>
    <cellStyle name="20% - Accent6 2 63" xfId="6701"/>
    <cellStyle name="20% - Accent6 2 63 2" xfId="21145"/>
    <cellStyle name="20% - Accent6 2 63 2 2" xfId="48153"/>
    <cellStyle name="20% - Accent6 2 63 3" xfId="34649"/>
    <cellStyle name="20% - Accent6 2 64" xfId="6806"/>
    <cellStyle name="20% - Accent6 2 64 2" xfId="21236"/>
    <cellStyle name="20% - Accent6 2 64 2 2" xfId="48244"/>
    <cellStyle name="20% - Accent6 2 64 3" xfId="34740"/>
    <cellStyle name="20% - Accent6 2 65" xfId="6911"/>
    <cellStyle name="20% - Accent6 2 65 2" xfId="21327"/>
    <cellStyle name="20% - Accent6 2 65 2 2" xfId="48335"/>
    <cellStyle name="20% - Accent6 2 65 3" xfId="34831"/>
    <cellStyle name="20% - Accent6 2 66" xfId="7016"/>
    <cellStyle name="20% - Accent6 2 66 2" xfId="21418"/>
    <cellStyle name="20% - Accent6 2 66 2 2" xfId="48426"/>
    <cellStyle name="20% - Accent6 2 66 3" xfId="34922"/>
    <cellStyle name="20% - Accent6 2 67" xfId="7120"/>
    <cellStyle name="20% - Accent6 2 67 2" xfId="21508"/>
    <cellStyle name="20% - Accent6 2 67 2 2" xfId="48516"/>
    <cellStyle name="20% - Accent6 2 67 3" xfId="35012"/>
    <cellStyle name="20% - Accent6 2 68" xfId="7224"/>
    <cellStyle name="20% - Accent6 2 68 2" xfId="21598"/>
    <cellStyle name="20% - Accent6 2 68 2 2" xfId="48606"/>
    <cellStyle name="20% - Accent6 2 68 3" xfId="35102"/>
    <cellStyle name="20% - Accent6 2 69" xfId="7327"/>
    <cellStyle name="20% - Accent6 2 69 2" xfId="21687"/>
    <cellStyle name="20% - Accent6 2 69 2 2" xfId="48695"/>
    <cellStyle name="20% - Accent6 2 69 3" xfId="35191"/>
    <cellStyle name="20% - Accent6 2 7" xfId="766"/>
    <cellStyle name="20% - Accent6 2 7 2" xfId="15994"/>
    <cellStyle name="20% - Accent6 2 7 2 2" xfId="43002"/>
    <cellStyle name="20% - Accent6 2 7 3" xfId="29498"/>
    <cellStyle name="20% - Accent6 2 70" xfId="7426"/>
    <cellStyle name="20% - Accent6 2 70 2" xfId="21773"/>
    <cellStyle name="20% - Accent6 2 70 2 2" xfId="48781"/>
    <cellStyle name="20% - Accent6 2 70 3" xfId="35277"/>
    <cellStyle name="20% - Accent6 2 71" xfId="7524"/>
    <cellStyle name="20% - Accent6 2 71 2" xfId="21858"/>
    <cellStyle name="20% - Accent6 2 71 2 2" xfId="48866"/>
    <cellStyle name="20% - Accent6 2 71 3" xfId="35362"/>
    <cellStyle name="20% - Accent6 2 72" xfId="7613"/>
    <cellStyle name="20% - Accent6 2 72 2" xfId="21936"/>
    <cellStyle name="20% - Accent6 2 72 2 2" xfId="48944"/>
    <cellStyle name="20% - Accent6 2 72 3" xfId="35440"/>
    <cellStyle name="20% - Accent6 2 73" xfId="7739"/>
    <cellStyle name="20% - Accent6 2 73 2" xfId="22041"/>
    <cellStyle name="20% - Accent6 2 73 2 2" xfId="49049"/>
    <cellStyle name="20% - Accent6 2 73 3" xfId="35545"/>
    <cellStyle name="20% - Accent6 2 74" xfId="7869"/>
    <cellStyle name="20% - Accent6 2 74 2" xfId="22159"/>
    <cellStyle name="20% - Accent6 2 74 2 2" xfId="49167"/>
    <cellStyle name="20% - Accent6 2 74 3" xfId="35663"/>
    <cellStyle name="20% - Accent6 2 75" xfId="8011"/>
    <cellStyle name="20% - Accent6 2 75 2" xfId="22287"/>
    <cellStyle name="20% - Accent6 2 75 2 2" xfId="49295"/>
    <cellStyle name="20% - Accent6 2 75 3" xfId="35791"/>
    <cellStyle name="20% - Accent6 2 76" xfId="8153"/>
    <cellStyle name="20% - Accent6 2 76 2" xfId="22415"/>
    <cellStyle name="20% - Accent6 2 76 2 2" xfId="49423"/>
    <cellStyle name="20% - Accent6 2 76 3" xfId="35919"/>
    <cellStyle name="20% - Accent6 2 77" xfId="8295"/>
    <cellStyle name="20% - Accent6 2 77 2" xfId="22543"/>
    <cellStyle name="20% - Accent6 2 77 2 2" xfId="49551"/>
    <cellStyle name="20% - Accent6 2 77 3" xfId="36047"/>
    <cellStyle name="20% - Accent6 2 78" xfId="8437"/>
    <cellStyle name="20% - Accent6 2 78 2" xfId="22671"/>
    <cellStyle name="20% - Accent6 2 78 2 2" xfId="49679"/>
    <cellStyle name="20% - Accent6 2 78 3" xfId="36175"/>
    <cellStyle name="20% - Accent6 2 79" xfId="8579"/>
    <cellStyle name="20% - Accent6 2 79 2" xfId="22799"/>
    <cellStyle name="20% - Accent6 2 79 2 2" xfId="49807"/>
    <cellStyle name="20% - Accent6 2 79 3" xfId="36303"/>
    <cellStyle name="20% - Accent6 2 8" xfId="872"/>
    <cellStyle name="20% - Accent6 2 8 2" xfId="16086"/>
    <cellStyle name="20% - Accent6 2 8 2 2" xfId="43094"/>
    <cellStyle name="20% - Accent6 2 8 3" xfId="29590"/>
    <cellStyle name="20% - Accent6 2 80" xfId="8721"/>
    <cellStyle name="20% - Accent6 2 80 2" xfId="22927"/>
    <cellStyle name="20% - Accent6 2 80 2 2" xfId="49935"/>
    <cellStyle name="20% - Accent6 2 80 3" xfId="36431"/>
    <cellStyle name="20% - Accent6 2 81" xfId="8863"/>
    <cellStyle name="20% - Accent6 2 81 2" xfId="23055"/>
    <cellStyle name="20% - Accent6 2 81 2 2" xfId="50063"/>
    <cellStyle name="20% - Accent6 2 81 3" xfId="36559"/>
    <cellStyle name="20% - Accent6 2 82" xfId="9005"/>
    <cellStyle name="20% - Accent6 2 82 2" xfId="23183"/>
    <cellStyle name="20% - Accent6 2 82 2 2" xfId="50191"/>
    <cellStyle name="20% - Accent6 2 82 3" xfId="36687"/>
    <cellStyle name="20% - Accent6 2 83" xfId="9147"/>
    <cellStyle name="20% - Accent6 2 83 2" xfId="23311"/>
    <cellStyle name="20% - Accent6 2 83 2 2" xfId="50319"/>
    <cellStyle name="20% - Accent6 2 83 3" xfId="36815"/>
    <cellStyle name="20% - Accent6 2 84" xfId="9289"/>
    <cellStyle name="20% - Accent6 2 84 2" xfId="23439"/>
    <cellStyle name="20% - Accent6 2 84 2 2" xfId="50447"/>
    <cellStyle name="20% - Accent6 2 84 3" xfId="36943"/>
    <cellStyle name="20% - Accent6 2 85" xfId="9431"/>
    <cellStyle name="20% - Accent6 2 85 2" xfId="23567"/>
    <cellStyle name="20% - Accent6 2 85 2 2" xfId="50575"/>
    <cellStyle name="20% - Accent6 2 85 3" xfId="37071"/>
    <cellStyle name="20% - Accent6 2 86" xfId="9573"/>
    <cellStyle name="20% - Accent6 2 86 2" xfId="23695"/>
    <cellStyle name="20% - Accent6 2 86 2 2" xfId="50703"/>
    <cellStyle name="20% - Accent6 2 86 3" xfId="37199"/>
    <cellStyle name="20% - Accent6 2 87" xfId="9715"/>
    <cellStyle name="20% - Accent6 2 87 2" xfId="23823"/>
    <cellStyle name="20% - Accent6 2 87 2 2" xfId="50831"/>
    <cellStyle name="20% - Accent6 2 87 3" xfId="37327"/>
    <cellStyle name="20% - Accent6 2 88" xfId="9857"/>
    <cellStyle name="20% - Accent6 2 88 2" xfId="23951"/>
    <cellStyle name="20% - Accent6 2 88 2 2" xfId="50959"/>
    <cellStyle name="20% - Accent6 2 88 3" xfId="37455"/>
    <cellStyle name="20% - Accent6 2 89" xfId="9999"/>
    <cellStyle name="20% - Accent6 2 89 2" xfId="24079"/>
    <cellStyle name="20% - Accent6 2 89 2 2" xfId="51087"/>
    <cellStyle name="20% - Accent6 2 89 3" xfId="37583"/>
    <cellStyle name="20% - Accent6 2 9" xfId="978"/>
    <cellStyle name="20% - Accent6 2 9 2" xfId="16178"/>
    <cellStyle name="20% - Accent6 2 9 2 2" xfId="43186"/>
    <cellStyle name="20% - Accent6 2 9 3" xfId="29682"/>
    <cellStyle name="20% - Accent6 2 90" xfId="10141"/>
    <cellStyle name="20% - Accent6 2 90 2" xfId="24207"/>
    <cellStyle name="20% - Accent6 2 90 2 2" xfId="51215"/>
    <cellStyle name="20% - Accent6 2 90 3" xfId="37711"/>
    <cellStyle name="20% - Accent6 2 91" xfId="10283"/>
    <cellStyle name="20% - Accent6 2 91 2" xfId="24335"/>
    <cellStyle name="20% - Accent6 2 91 2 2" xfId="51343"/>
    <cellStyle name="20% - Accent6 2 91 3" xfId="37839"/>
    <cellStyle name="20% - Accent6 2 92" xfId="10425"/>
    <cellStyle name="20% - Accent6 2 92 2" xfId="24463"/>
    <cellStyle name="20% - Accent6 2 92 2 2" xfId="51471"/>
    <cellStyle name="20% - Accent6 2 92 3" xfId="37967"/>
    <cellStyle name="20% - Accent6 2 93" xfId="10567"/>
    <cellStyle name="20% - Accent6 2 93 2" xfId="24591"/>
    <cellStyle name="20% - Accent6 2 93 2 2" xfId="51599"/>
    <cellStyle name="20% - Accent6 2 93 3" xfId="38095"/>
    <cellStyle name="20% - Accent6 2 94" xfId="10709"/>
    <cellStyle name="20% - Accent6 2 94 2" xfId="24719"/>
    <cellStyle name="20% - Accent6 2 94 2 2" xfId="51727"/>
    <cellStyle name="20% - Accent6 2 94 3" xfId="38223"/>
    <cellStyle name="20% - Accent6 2 95" xfId="10851"/>
    <cellStyle name="20% - Accent6 2 95 2" xfId="24847"/>
    <cellStyle name="20% - Accent6 2 95 2 2" xfId="51855"/>
    <cellStyle name="20% - Accent6 2 95 3" xfId="38351"/>
    <cellStyle name="20% - Accent6 2 96" xfId="10993"/>
    <cellStyle name="20% - Accent6 2 96 2" xfId="24975"/>
    <cellStyle name="20% - Accent6 2 96 2 2" xfId="51983"/>
    <cellStyle name="20% - Accent6 2 96 3" xfId="38479"/>
    <cellStyle name="20% - Accent6 2 97" xfId="11135"/>
    <cellStyle name="20% - Accent6 2 97 2" xfId="25103"/>
    <cellStyle name="20% - Accent6 2 97 2 2" xfId="52111"/>
    <cellStyle name="20% - Accent6 2 97 3" xfId="38607"/>
    <cellStyle name="20% - Accent6 2 98" xfId="11277"/>
    <cellStyle name="20% - Accent6 2 98 2" xfId="25231"/>
    <cellStyle name="20% - Accent6 2 98 2 2" xfId="52239"/>
    <cellStyle name="20% - Accent6 2 98 3" xfId="38735"/>
    <cellStyle name="20% - Accent6 2 99" xfId="11419"/>
    <cellStyle name="20% - Accent6 2 99 2" xfId="25359"/>
    <cellStyle name="20% - Accent6 2 99 2 2" xfId="52367"/>
    <cellStyle name="20% - Accent6 2 99 3" xfId="38863"/>
    <cellStyle name="20% - Accent6 3" xfId="127"/>
    <cellStyle name="20% - Accent6 3 10" xfId="1122"/>
    <cellStyle name="20% - Accent6 3 10 2" xfId="16298"/>
    <cellStyle name="20% - Accent6 3 10 2 2" xfId="43306"/>
    <cellStyle name="20% - Accent6 3 10 3" xfId="29802"/>
    <cellStyle name="20% - Accent6 3 100" xfId="11781"/>
    <cellStyle name="20% - Accent6 3 100 2" xfId="25679"/>
    <cellStyle name="20% - Accent6 3 100 2 2" xfId="52687"/>
    <cellStyle name="20% - Accent6 3 100 3" xfId="39183"/>
    <cellStyle name="20% - Accent6 3 101" xfId="11923"/>
    <cellStyle name="20% - Accent6 3 101 2" xfId="25807"/>
    <cellStyle name="20% - Accent6 3 101 2 2" xfId="52815"/>
    <cellStyle name="20% - Accent6 3 101 3" xfId="39311"/>
    <cellStyle name="20% - Accent6 3 102" xfId="12065"/>
    <cellStyle name="20% - Accent6 3 102 2" xfId="25935"/>
    <cellStyle name="20% - Accent6 3 102 2 2" xfId="52943"/>
    <cellStyle name="20% - Accent6 3 102 3" xfId="39439"/>
    <cellStyle name="20% - Accent6 3 103" xfId="12207"/>
    <cellStyle name="20% - Accent6 3 103 2" xfId="26063"/>
    <cellStyle name="20% - Accent6 3 103 2 2" xfId="53071"/>
    <cellStyle name="20% - Accent6 3 103 3" xfId="39567"/>
    <cellStyle name="20% - Accent6 3 104" xfId="12349"/>
    <cellStyle name="20% - Accent6 3 104 2" xfId="26191"/>
    <cellStyle name="20% - Accent6 3 104 2 2" xfId="53199"/>
    <cellStyle name="20% - Accent6 3 104 3" xfId="39695"/>
    <cellStyle name="20% - Accent6 3 105" xfId="12491"/>
    <cellStyle name="20% - Accent6 3 105 2" xfId="26319"/>
    <cellStyle name="20% - Accent6 3 105 2 2" xfId="53327"/>
    <cellStyle name="20% - Accent6 3 105 3" xfId="39823"/>
    <cellStyle name="20% - Accent6 3 106" xfId="12633"/>
    <cellStyle name="20% - Accent6 3 106 2" xfId="26447"/>
    <cellStyle name="20% - Accent6 3 106 2 2" xfId="53455"/>
    <cellStyle name="20% - Accent6 3 106 3" xfId="39951"/>
    <cellStyle name="20% - Accent6 3 107" xfId="12775"/>
    <cellStyle name="20% - Accent6 3 107 2" xfId="26575"/>
    <cellStyle name="20% - Accent6 3 107 2 2" xfId="53583"/>
    <cellStyle name="20% - Accent6 3 107 3" xfId="40079"/>
    <cellStyle name="20% - Accent6 3 108" xfId="12917"/>
    <cellStyle name="20% - Accent6 3 108 2" xfId="26703"/>
    <cellStyle name="20% - Accent6 3 108 2 2" xfId="53711"/>
    <cellStyle name="20% - Accent6 3 108 3" xfId="40207"/>
    <cellStyle name="20% - Accent6 3 109" xfId="13059"/>
    <cellStyle name="20% - Accent6 3 109 2" xfId="26831"/>
    <cellStyle name="20% - Accent6 3 109 2 2" xfId="53839"/>
    <cellStyle name="20% - Accent6 3 109 3" xfId="40335"/>
    <cellStyle name="20% - Accent6 3 11" xfId="1228"/>
    <cellStyle name="20% - Accent6 3 11 2" xfId="16390"/>
    <cellStyle name="20% - Accent6 3 11 2 2" xfId="43398"/>
    <cellStyle name="20% - Accent6 3 11 3" xfId="29894"/>
    <cellStyle name="20% - Accent6 3 110" xfId="13201"/>
    <cellStyle name="20% - Accent6 3 110 2" xfId="26959"/>
    <cellStyle name="20% - Accent6 3 110 2 2" xfId="53967"/>
    <cellStyle name="20% - Accent6 3 110 3" xfId="40463"/>
    <cellStyle name="20% - Accent6 3 111" xfId="13343"/>
    <cellStyle name="20% - Accent6 3 111 2" xfId="27087"/>
    <cellStyle name="20% - Accent6 3 111 2 2" xfId="54095"/>
    <cellStyle name="20% - Accent6 3 111 3" xfId="40591"/>
    <cellStyle name="20% - Accent6 3 112" xfId="13485"/>
    <cellStyle name="20% - Accent6 3 112 2" xfId="27215"/>
    <cellStyle name="20% - Accent6 3 112 2 2" xfId="54223"/>
    <cellStyle name="20% - Accent6 3 112 3" xfId="40719"/>
    <cellStyle name="20% - Accent6 3 113" xfId="13627"/>
    <cellStyle name="20% - Accent6 3 113 2" xfId="27343"/>
    <cellStyle name="20% - Accent6 3 113 2 2" xfId="54351"/>
    <cellStyle name="20% - Accent6 3 113 3" xfId="40847"/>
    <cellStyle name="20% - Accent6 3 114" xfId="13769"/>
    <cellStyle name="20% - Accent6 3 114 2" xfId="27471"/>
    <cellStyle name="20% - Accent6 3 114 2 2" xfId="54479"/>
    <cellStyle name="20% - Accent6 3 114 3" xfId="40975"/>
    <cellStyle name="20% - Accent6 3 115" xfId="13910"/>
    <cellStyle name="20% - Accent6 3 115 2" xfId="27598"/>
    <cellStyle name="20% - Accent6 3 115 2 2" xfId="54606"/>
    <cellStyle name="20% - Accent6 3 115 3" xfId="41102"/>
    <cellStyle name="20% - Accent6 3 116" xfId="14051"/>
    <cellStyle name="20% - Accent6 3 116 2" xfId="27725"/>
    <cellStyle name="20% - Accent6 3 116 2 2" xfId="54733"/>
    <cellStyle name="20% - Accent6 3 116 3" xfId="41229"/>
    <cellStyle name="20% - Accent6 3 117" xfId="14192"/>
    <cellStyle name="20% - Accent6 3 117 2" xfId="27852"/>
    <cellStyle name="20% - Accent6 3 117 2 2" xfId="54860"/>
    <cellStyle name="20% - Accent6 3 117 3" xfId="41356"/>
    <cellStyle name="20% - Accent6 3 118" xfId="14333"/>
    <cellStyle name="20% - Accent6 3 118 2" xfId="27979"/>
    <cellStyle name="20% - Accent6 3 118 2 2" xfId="54987"/>
    <cellStyle name="20% - Accent6 3 118 3" xfId="41483"/>
    <cellStyle name="20% - Accent6 3 119" xfId="14473"/>
    <cellStyle name="20% - Accent6 3 119 2" xfId="28105"/>
    <cellStyle name="20% - Accent6 3 119 2 2" xfId="55113"/>
    <cellStyle name="20% - Accent6 3 119 3" xfId="41609"/>
    <cellStyle name="20% - Accent6 3 12" xfId="1334"/>
    <cellStyle name="20% - Accent6 3 12 2" xfId="16482"/>
    <cellStyle name="20% - Accent6 3 12 2 2" xfId="43490"/>
    <cellStyle name="20% - Accent6 3 12 3" xfId="29986"/>
    <cellStyle name="20% - Accent6 3 120" xfId="14613"/>
    <cellStyle name="20% - Accent6 3 120 2" xfId="28231"/>
    <cellStyle name="20% - Accent6 3 120 2 2" xfId="55239"/>
    <cellStyle name="20% - Accent6 3 120 3" xfId="41735"/>
    <cellStyle name="20% - Accent6 3 121" xfId="14752"/>
    <cellStyle name="20% - Accent6 3 121 2" xfId="28356"/>
    <cellStyle name="20% - Accent6 3 121 2 2" xfId="55364"/>
    <cellStyle name="20% - Accent6 3 121 3" xfId="41860"/>
    <cellStyle name="20% - Accent6 3 122" xfId="14887"/>
    <cellStyle name="20% - Accent6 3 122 2" xfId="28478"/>
    <cellStyle name="20% - Accent6 3 122 2 2" xfId="55486"/>
    <cellStyle name="20% - Accent6 3 122 3" xfId="41982"/>
    <cellStyle name="20% - Accent6 3 123" xfId="15021"/>
    <cellStyle name="20% - Accent6 3 123 2" xfId="28599"/>
    <cellStyle name="20% - Accent6 3 123 2 2" xfId="55607"/>
    <cellStyle name="20% - Accent6 3 123 3" xfId="42103"/>
    <cellStyle name="20% - Accent6 3 124" xfId="15149"/>
    <cellStyle name="20% - Accent6 3 124 2" xfId="28716"/>
    <cellStyle name="20% - Accent6 3 124 2 2" xfId="55724"/>
    <cellStyle name="20% - Accent6 3 124 3" xfId="42220"/>
    <cellStyle name="20% - Accent6 3 125" xfId="15270"/>
    <cellStyle name="20% - Accent6 3 125 2" xfId="28830"/>
    <cellStyle name="20% - Accent6 3 125 2 2" xfId="55838"/>
    <cellStyle name="20% - Accent6 3 125 3" xfId="42334"/>
    <cellStyle name="20% - Accent6 3 126" xfId="15485"/>
    <cellStyle name="20% - Accent6 3 126 2" xfId="42493"/>
    <cellStyle name="20% - Accent6 3 127" xfId="28989"/>
    <cellStyle name="20% - Accent6 3 13" xfId="1440"/>
    <cellStyle name="20% - Accent6 3 13 2" xfId="16574"/>
    <cellStyle name="20% - Accent6 3 13 2 2" xfId="43582"/>
    <cellStyle name="20% - Accent6 3 13 3" xfId="30078"/>
    <cellStyle name="20% - Accent6 3 14" xfId="1546"/>
    <cellStyle name="20% - Accent6 3 14 2" xfId="16666"/>
    <cellStyle name="20% - Accent6 3 14 2 2" xfId="43674"/>
    <cellStyle name="20% - Accent6 3 14 3" xfId="30170"/>
    <cellStyle name="20% - Accent6 3 15" xfId="1652"/>
    <cellStyle name="20% - Accent6 3 15 2" xfId="16758"/>
    <cellStyle name="20% - Accent6 3 15 2 2" xfId="43766"/>
    <cellStyle name="20% - Accent6 3 15 3" xfId="30262"/>
    <cellStyle name="20% - Accent6 3 16" xfId="1758"/>
    <cellStyle name="20% - Accent6 3 16 2" xfId="16850"/>
    <cellStyle name="20% - Accent6 3 16 2 2" xfId="43858"/>
    <cellStyle name="20% - Accent6 3 16 3" xfId="30354"/>
    <cellStyle name="20% - Accent6 3 17" xfId="1864"/>
    <cellStyle name="20% - Accent6 3 17 2" xfId="16942"/>
    <cellStyle name="20% - Accent6 3 17 2 2" xfId="43950"/>
    <cellStyle name="20% - Accent6 3 17 3" xfId="30446"/>
    <cellStyle name="20% - Accent6 3 18" xfId="1970"/>
    <cellStyle name="20% - Accent6 3 18 2" xfId="17034"/>
    <cellStyle name="20% - Accent6 3 18 2 2" xfId="44042"/>
    <cellStyle name="20% - Accent6 3 18 3" xfId="30538"/>
    <cellStyle name="20% - Accent6 3 19" xfId="2076"/>
    <cellStyle name="20% - Accent6 3 19 2" xfId="17126"/>
    <cellStyle name="20% - Accent6 3 19 2 2" xfId="44134"/>
    <cellStyle name="20% - Accent6 3 19 3" xfId="30630"/>
    <cellStyle name="20% - Accent6 3 2" xfId="304"/>
    <cellStyle name="20% - Accent6 3 2 2" xfId="15606"/>
    <cellStyle name="20% - Accent6 3 2 2 2" xfId="42614"/>
    <cellStyle name="20% - Accent6 3 2 3" xfId="29110"/>
    <cellStyle name="20% - Accent6 3 20" xfId="2182"/>
    <cellStyle name="20% - Accent6 3 20 2" xfId="17218"/>
    <cellStyle name="20% - Accent6 3 20 2 2" xfId="44226"/>
    <cellStyle name="20% - Accent6 3 20 3" xfId="30722"/>
    <cellStyle name="20% - Accent6 3 21" xfId="2288"/>
    <cellStyle name="20% - Accent6 3 21 2" xfId="17310"/>
    <cellStyle name="20% - Accent6 3 21 2 2" xfId="44318"/>
    <cellStyle name="20% - Accent6 3 21 3" xfId="30814"/>
    <cellStyle name="20% - Accent6 3 22" xfId="2394"/>
    <cellStyle name="20% - Accent6 3 22 2" xfId="17402"/>
    <cellStyle name="20% - Accent6 3 22 2 2" xfId="44410"/>
    <cellStyle name="20% - Accent6 3 22 3" xfId="30906"/>
    <cellStyle name="20% - Accent6 3 23" xfId="2500"/>
    <cellStyle name="20% - Accent6 3 23 2" xfId="17494"/>
    <cellStyle name="20% - Accent6 3 23 2 2" xfId="44502"/>
    <cellStyle name="20% - Accent6 3 23 3" xfId="30998"/>
    <cellStyle name="20% - Accent6 3 24" xfId="2606"/>
    <cellStyle name="20% - Accent6 3 24 2" xfId="17586"/>
    <cellStyle name="20% - Accent6 3 24 2 2" xfId="44594"/>
    <cellStyle name="20% - Accent6 3 24 3" xfId="31090"/>
    <cellStyle name="20% - Accent6 3 25" xfId="2712"/>
    <cellStyle name="20% - Accent6 3 25 2" xfId="17678"/>
    <cellStyle name="20% - Accent6 3 25 2 2" xfId="44686"/>
    <cellStyle name="20% - Accent6 3 25 3" xfId="31182"/>
    <cellStyle name="20% - Accent6 3 26" xfId="2818"/>
    <cellStyle name="20% - Accent6 3 26 2" xfId="17770"/>
    <cellStyle name="20% - Accent6 3 26 2 2" xfId="44778"/>
    <cellStyle name="20% - Accent6 3 26 3" xfId="31274"/>
    <cellStyle name="20% - Accent6 3 27" xfId="2924"/>
    <cellStyle name="20% - Accent6 3 27 2" xfId="17862"/>
    <cellStyle name="20% - Accent6 3 27 2 2" xfId="44870"/>
    <cellStyle name="20% - Accent6 3 27 3" xfId="31366"/>
    <cellStyle name="20% - Accent6 3 28" xfId="3030"/>
    <cellStyle name="20% - Accent6 3 28 2" xfId="17954"/>
    <cellStyle name="20% - Accent6 3 28 2 2" xfId="44962"/>
    <cellStyle name="20% - Accent6 3 28 3" xfId="31458"/>
    <cellStyle name="20% - Accent6 3 29" xfId="3136"/>
    <cellStyle name="20% - Accent6 3 29 2" xfId="18046"/>
    <cellStyle name="20% - Accent6 3 29 2 2" xfId="45054"/>
    <cellStyle name="20% - Accent6 3 29 3" xfId="31550"/>
    <cellStyle name="20% - Accent6 3 3" xfId="491"/>
    <cellStyle name="20% - Accent6 3 3 2" xfId="15747"/>
    <cellStyle name="20% - Accent6 3 3 2 2" xfId="42755"/>
    <cellStyle name="20% - Accent6 3 3 3" xfId="29251"/>
    <cellStyle name="20% - Accent6 3 30" xfId="3242"/>
    <cellStyle name="20% - Accent6 3 30 2" xfId="18138"/>
    <cellStyle name="20% - Accent6 3 30 2 2" xfId="45146"/>
    <cellStyle name="20% - Accent6 3 30 3" xfId="31642"/>
    <cellStyle name="20% - Accent6 3 31" xfId="3348"/>
    <cellStyle name="20% - Accent6 3 31 2" xfId="18230"/>
    <cellStyle name="20% - Accent6 3 31 2 2" xfId="45238"/>
    <cellStyle name="20% - Accent6 3 31 3" xfId="31734"/>
    <cellStyle name="20% - Accent6 3 32" xfId="3454"/>
    <cellStyle name="20% - Accent6 3 32 2" xfId="18322"/>
    <cellStyle name="20% - Accent6 3 32 2 2" xfId="45330"/>
    <cellStyle name="20% - Accent6 3 32 3" xfId="31826"/>
    <cellStyle name="20% - Accent6 3 33" xfId="3560"/>
    <cellStyle name="20% - Accent6 3 33 2" xfId="18414"/>
    <cellStyle name="20% - Accent6 3 33 2 2" xfId="45422"/>
    <cellStyle name="20% - Accent6 3 33 3" xfId="31918"/>
    <cellStyle name="20% - Accent6 3 34" xfId="3666"/>
    <cellStyle name="20% - Accent6 3 34 2" xfId="18506"/>
    <cellStyle name="20% - Accent6 3 34 2 2" xfId="45514"/>
    <cellStyle name="20% - Accent6 3 34 3" xfId="32010"/>
    <cellStyle name="20% - Accent6 3 35" xfId="3772"/>
    <cellStyle name="20% - Accent6 3 35 2" xfId="18598"/>
    <cellStyle name="20% - Accent6 3 35 2 2" xfId="45606"/>
    <cellStyle name="20% - Accent6 3 35 3" xfId="32102"/>
    <cellStyle name="20% - Accent6 3 36" xfId="3878"/>
    <cellStyle name="20% - Accent6 3 36 2" xfId="18690"/>
    <cellStyle name="20% - Accent6 3 36 2 2" xfId="45698"/>
    <cellStyle name="20% - Accent6 3 36 3" xfId="32194"/>
    <cellStyle name="20% - Accent6 3 37" xfId="3984"/>
    <cellStyle name="20% - Accent6 3 37 2" xfId="18782"/>
    <cellStyle name="20% - Accent6 3 37 2 2" xfId="45790"/>
    <cellStyle name="20% - Accent6 3 37 3" xfId="32286"/>
    <cellStyle name="20% - Accent6 3 38" xfId="4090"/>
    <cellStyle name="20% - Accent6 3 38 2" xfId="18874"/>
    <cellStyle name="20% - Accent6 3 38 2 2" xfId="45882"/>
    <cellStyle name="20% - Accent6 3 38 3" xfId="32378"/>
    <cellStyle name="20% - Accent6 3 39" xfId="4196"/>
    <cellStyle name="20% - Accent6 3 39 2" xfId="18966"/>
    <cellStyle name="20% - Accent6 3 39 2 2" xfId="45974"/>
    <cellStyle name="20% - Accent6 3 39 3" xfId="32470"/>
    <cellStyle name="20% - Accent6 3 4" xfId="487"/>
    <cellStyle name="20% - Accent6 3 4 2" xfId="15743"/>
    <cellStyle name="20% - Accent6 3 4 2 2" xfId="42751"/>
    <cellStyle name="20% - Accent6 3 4 3" xfId="29247"/>
    <cellStyle name="20% - Accent6 3 40" xfId="4302"/>
    <cellStyle name="20% - Accent6 3 40 2" xfId="19058"/>
    <cellStyle name="20% - Accent6 3 40 2 2" xfId="46066"/>
    <cellStyle name="20% - Accent6 3 40 3" xfId="32562"/>
    <cellStyle name="20% - Accent6 3 41" xfId="4408"/>
    <cellStyle name="20% - Accent6 3 41 2" xfId="19150"/>
    <cellStyle name="20% - Accent6 3 41 2 2" xfId="46158"/>
    <cellStyle name="20% - Accent6 3 41 3" xfId="32654"/>
    <cellStyle name="20% - Accent6 3 42" xfId="4514"/>
    <cellStyle name="20% - Accent6 3 42 2" xfId="19242"/>
    <cellStyle name="20% - Accent6 3 42 2 2" xfId="46250"/>
    <cellStyle name="20% - Accent6 3 42 3" xfId="32746"/>
    <cellStyle name="20% - Accent6 3 43" xfId="4620"/>
    <cellStyle name="20% - Accent6 3 43 2" xfId="19334"/>
    <cellStyle name="20% - Accent6 3 43 2 2" xfId="46342"/>
    <cellStyle name="20% - Accent6 3 43 3" xfId="32838"/>
    <cellStyle name="20% - Accent6 3 44" xfId="4726"/>
    <cellStyle name="20% - Accent6 3 44 2" xfId="19426"/>
    <cellStyle name="20% - Accent6 3 44 2 2" xfId="46434"/>
    <cellStyle name="20% - Accent6 3 44 3" xfId="32930"/>
    <cellStyle name="20% - Accent6 3 45" xfId="4832"/>
    <cellStyle name="20% - Accent6 3 45 2" xfId="19518"/>
    <cellStyle name="20% - Accent6 3 45 2 2" xfId="46526"/>
    <cellStyle name="20% - Accent6 3 45 3" xfId="33022"/>
    <cellStyle name="20% - Accent6 3 46" xfId="4938"/>
    <cellStyle name="20% - Accent6 3 46 2" xfId="19610"/>
    <cellStyle name="20% - Accent6 3 46 2 2" xfId="46618"/>
    <cellStyle name="20% - Accent6 3 46 3" xfId="33114"/>
    <cellStyle name="20% - Accent6 3 47" xfId="5044"/>
    <cellStyle name="20% - Accent6 3 47 2" xfId="19702"/>
    <cellStyle name="20% - Accent6 3 47 2 2" xfId="46710"/>
    <cellStyle name="20% - Accent6 3 47 3" xfId="33206"/>
    <cellStyle name="20% - Accent6 3 48" xfId="5150"/>
    <cellStyle name="20% - Accent6 3 48 2" xfId="19794"/>
    <cellStyle name="20% - Accent6 3 48 2 2" xfId="46802"/>
    <cellStyle name="20% - Accent6 3 48 3" xfId="33298"/>
    <cellStyle name="20% - Accent6 3 49" xfId="5256"/>
    <cellStyle name="20% - Accent6 3 49 2" xfId="19886"/>
    <cellStyle name="20% - Accent6 3 49 2 2" xfId="46894"/>
    <cellStyle name="20% - Accent6 3 49 3" xfId="33390"/>
    <cellStyle name="20% - Accent6 3 5" xfId="592"/>
    <cellStyle name="20% - Accent6 3 5 2" xfId="15838"/>
    <cellStyle name="20% - Accent6 3 5 2 2" xfId="42846"/>
    <cellStyle name="20% - Accent6 3 5 3" xfId="29342"/>
    <cellStyle name="20% - Accent6 3 50" xfId="5362"/>
    <cellStyle name="20% - Accent6 3 50 2" xfId="19978"/>
    <cellStyle name="20% - Accent6 3 50 2 2" xfId="46986"/>
    <cellStyle name="20% - Accent6 3 50 3" xfId="33482"/>
    <cellStyle name="20% - Accent6 3 51" xfId="5468"/>
    <cellStyle name="20% - Accent6 3 51 2" xfId="20070"/>
    <cellStyle name="20% - Accent6 3 51 2 2" xfId="47078"/>
    <cellStyle name="20% - Accent6 3 51 3" xfId="33574"/>
    <cellStyle name="20% - Accent6 3 52" xfId="5574"/>
    <cellStyle name="20% - Accent6 3 52 2" xfId="20162"/>
    <cellStyle name="20% - Accent6 3 52 2 2" xfId="47170"/>
    <cellStyle name="20% - Accent6 3 52 3" xfId="33666"/>
    <cellStyle name="20% - Accent6 3 53" xfId="5680"/>
    <cellStyle name="20% - Accent6 3 53 2" xfId="20254"/>
    <cellStyle name="20% - Accent6 3 53 2 2" xfId="47262"/>
    <cellStyle name="20% - Accent6 3 53 3" xfId="33758"/>
    <cellStyle name="20% - Accent6 3 54" xfId="5786"/>
    <cellStyle name="20% - Accent6 3 54 2" xfId="20346"/>
    <cellStyle name="20% - Accent6 3 54 2 2" xfId="47354"/>
    <cellStyle name="20% - Accent6 3 54 3" xfId="33850"/>
    <cellStyle name="20% - Accent6 3 55" xfId="5892"/>
    <cellStyle name="20% - Accent6 3 55 2" xfId="20438"/>
    <cellStyle name="20% - Accent6 3 55 2 2" xfId="47446"/>
    <cellStyle name="20% - Accent6 3 55 3" xfId="33942"/>
    <cellStyle name="20% - Accent6 3 56" xfId="5998"/>
    <cellStyle name="20% - Accent6 3 56 2" xfId="20530"/>
    <cellStyle name="20% - Accent6 3 56 2 2" xfId="47538"/>
    <cellStyle name="20% - Accent6 3 56 3" xfId="34034"/>
    <cellStyle name="20% - Accent6 3 57" xfId="6104"/>
    <cellStyle name="20% - Accent6 3 57 2" xfId="20622"/>
    <cellStyle name="20% - Accent6 3 57 2 2" xfId="47630"/>
    <cellStyle name="20% - Accent6 3 57 3" xfId="34126"/>
    <cellStyle name="20% - Accent6 3 58" xfId="6210"/>
    <cellStyle name="20% - Accent6 3 58 2" xfId="20714"/>
    <cellStyle name="20% - Accent6 3 58 2 2" xfId="47722"/>
    <cellStyle name="20% - Accent6 3 58 3" xfId="34218"/>
    <cellStyle name="20% - Accent6 3 59" xfId="6316"/>
    <cellStyle name="20% - Accent6 3 59 2" xfId="20806"/>
    <cellStyle name="20% - Accent6 3 59 2 2" xfId="47814"/>
    <cellStyle name="20% - Accent6 3 59 3" xfId="34310"/>
    <cellStyle name="20% - Accent6 3 6" xfId="698"/>
    <cellStyle name="20% - Accent6 3 6 2" xfId="15930"/>
    <cellStyle name="20% - Accent6 3 6 2 2" xfId="42938"/>
    <cellStyle name="20% - Accent6 3 6 3" xfId="29434"/>
    <cellStyle name="20% - Accent6 3 60" xfId="6422"/>
    <cellStyle name="20% - Accent6 3 60 2" xfId="20898"/>
    <cellStyle name="20% - Accent6 3 60 2 2" xfId="47906"/>
    <cellStyle name="20% - Accent6 3 60 3" xfId="34402"/>
    <cellStyle name="20% - Accent6 3 61" xfId="6528"/>
    <cellStyle name="20% - Accent6 3 61 2" xfId="20990"/>
    <cellStyle name="20% - Accent6 3 61 2 2" xfId="47998"/>
    <cellStyle name="20% - Accent6 3 61 3" xfId="34494"/>
    <cellStyle name="20% - Accent6 3 62" xfId="6633"/>
    <cellStyle name="20% - Accent6 3 62 2" xfId="21081"/>
    <cellStyle name="20% - Accent6 3 62 2 2" xfId="48089"/>
    <cellStyle name="20% - Accent6 3 62 3" xfId="34585"/>
    <cellStyle name="20% - Accent6 3 63" xfId="6738"/>
    <cellStyle name="20% - Accent6 3 63 2" xfId="21172"/>
    <cellStyle name="20% - Accent6 3 63 2 2" xfId="48180"/>
    <cellStyle name="20% - Accent6 3 63 3" xfId="34676"/>
    <cellStyle name="20% - Accent6 3 64" xfId="6843"/>
    <cellStyle name="20% - Accent6 3 64 2" xfId="21263"/>
    <cellStyle name="20% - Accent6 3 64 2 2" xfId="48271"/>
    <cellStyle name="20% - Accent6 3 64 3" xfId="34767"/>
    <cellStyle name="20% - Accent6 3 65" xfId="6948"/>
    <cellStyle name="20% - Accent6 3 65 2" xfId="21354"/>
    <cellStyle name="20% - Accent6 3 65 2 2" xfId="48362"/>
    <cellStyle name="20% - Accent6 3 65 3" xfId="34858"/>
    <cellStyle name="20% - Accent6 3 66" xfId="7052"/>
    <cellStyle name="20% - Accent6 3 66 2" xfId="21444"/>
    <cellStyle name="20% - Accent6 3 66 2 2" xfId="48452"/>
    <cellStyle name="20% - Accent6 3 66 3" xfId="34948"/>
    <cellStyle name="20% - Accent6 3 67" xfId="7156"/>
    <cellStyle name="20% - Accent6 3 67 2" xfId="21534"/>
    <cellStyle name="20% - Accent6 3 67 2 2" xfId="48542"/>
    <cellStyle name="20% - Accent6 3 67 3" xfId="35038"/>
    <cellStyle name="20% - Accent6 3 68" xfId="7259"/>
    <cellStyle name="20% - Accent6 3 68 2" xfId="21623"/>
    <cellStyle name="20% - Accent6 3 68 2 2" xfId="48631"/>
    <cellStyle name="20% - Accent6 3 68 3" xfId="35127"/>
    <cellStyle name="20% - Accent6 3 69" xfId="7359"/>
    <cellStyle name="20% - Accent6 3 69 2" xfId="21710"/>
    <cellStyle name="20% - Accent6 3 69 2 2" xfId="48718"/>
    <cellStyle name="20% - Accent6 3 69 3" xfId="35214"/>
    <cellStyle name="20% - Accent6 3 7" xfId="804"/>
    <cellStyle name="20% - Accent6 3 7 2" xfId="16022"/>
    <cellStyle name="20% - Accent6 3 7 2 2" xfId="43030"/>
    <cellStyle name="20% - Accent6 3 7 3" xfId="29526"/>
    <cellStyle name="20% - Accent6 3 70" xfId="7457"/>
    <cellStyle name="20% - Accent6 3 70 2" xfId="21795"/>
    <cellStyle name="20% - Accent6 3 70 2 2" xfId="48803"/>
    <cellStyle name="20% - Accent6 3 70 3" xfId="35299"/>
    <cellStyle name="20% - Accent6 3 71" xfId="7549"/>
    <cellStyle name="20% - Accent6 3 71 2" xfId="21876"/>
    <cellStyle name="20% - Accent6 3 71 2 2" xfId="48884"/>
    <cellStyle name="20% - Accent6 3 71 3" xfId="35380"/>
    <cellStyle name="20% - Accent6 3 72" xfId="7805"/>
    <cellStyle name="20% - Accent6 3 72 2" xfId="22095"/>
    <cellStyle name="20% - Accent6 3 72 2 2" xfId="49103"/>
    <cellStyle name="20% - Accent6 3 72 3" xfId="35599"/>
    <cellStyle name="20% - Accent6 3 73" xfId="7947"/>
    <cellStyle name="20% - Accent6 3 73 2" xfId="22223"/>
    <cellStyle name="20% - Accent6 3 73 2 2" xfId="49231"/>
    <cellStyle name="20% - Accent6 3 73 3" xfId="35727"/>
    <cellStyle name="20% - Accent6 3 74" xfId="8089"/>
    <cellStyle name="20% - Accent6 3 74 2" xfId="22351"/>
    <cellStyle name="20% - Accent6 3 74 2 2" xfId="49359"/>
    <cellStyle name="20% - Accent6 3 74 3" xfId="35855"/>
    <cellStyle name="20% - Accent6 3 75" xfId="8231"/>
    <cellStyle name="20% - Accent6 3 75 2" xfId="22479"/>
    <cellStyle name="20% - Accent6 3 75 2 2" xfId="49487"/>
    <cellStyle name="20% - Accent6 3 75 3" xfId="35983"/>
    <cellStyle name="20% - Accent6 3 76" xfId="8373"/>
    <cellStyle name="20% - Accent6 3 76 2" xfId="22607"/>
    <cellStyle name="20% - Accent6 3 76 2 2" xfId="49615"/>
    <cellStyle name="20% - Accent6 3 76 3" xfId="36111"/>
    <cellStyle name="20% - Accent6 3 77" xfId="8515"/>
    <cellStyle name="20% - Accent6 3 77 2" xfId="22735"/>
    <cellStyle name="20% - Accent6 3 77 2 2" xfId="49743"/>
    <cellStyle name="20% - Accent6 3 77 3" xfId="36239"/>
    <cellStyle name="20% - Accent6 3 78" xfId="8657"/>
    <cellStyle name="20% - Accent6 3 78 2" xfId="22863"/>
    <cellStyle name="20% - Accent6 3 78 2 2" xfId="49871"/>
    <cellStyle name="20% - Accent6 3 78 3" xfId="36367"/>
    <cellStyle name="20% - Accent6 3 79" xfId="8799"/>
    <cellStyle name="20% - Accent6 3 79 2" xfId="22991"/>
    <cellStyle name="20% - Accent6 3 79 2 2" xfId="49999"/>
    <cellStyle name="20% - Accent6 3 79 3" xfId="36495"/>
    <cellStyle name="20% - Accent6 3 8" xfId="910"/>
    <cellStyle name="20% - Accent6 3 8 2" xfId="16114"/>
    <cellStyle name="20% - Accent6 3 8 2 2" xfId="43122"/>
    <cellStyle name="20% - Accent6 3 8 3" xfId="29618"/>
    <cellStyle name="20% - Accent6 3 80" xfId="8941"/>
    <cellStyle name="20% - Accent6 3 80 2" xfId="23119"/>
    <cellStyle name="20% - Accent6 3 80 2 2" xfId="50127"/>
    <cellStyle name="20% - Accent6 3 80 3" xfId="36623"/>
    <cellStyle name="20% - Accent6 3 81" xfId="9083"/>
    <cellStyle name="20% - Accent6 3 81 2" xfId="23247"/>
    <cellStyle name="20% - Accent6 3 81 2 2" xfId="50255"/>
    <cellStyle name="20% - Accent6 3 81 3" xfId="36751"/>
    <cellStyle name="20% - Accent6 3 82" xfId="9225"/>
    <cellStyle name="20% - Accent6 3 82 2" xfId="23375"/>
    <cellStyle name="20% - Accent6 3 82 2 2" xfId="50383"/>
    <cellStyle name="20% - Accent6 3 82 3" xfId="36879"/>
    <cellStyle name="20% - Accent6 3 83" xfId="9367"/>
    <cellStyle name="20% - Accent6 3 83 2" xfId="23503"/>
    <cellStyle name="20% - Accent6 3 83 2 2" xfId="50511"/>
    <cellStyle name="20% - Accent6 3 83 3" xfId="37007"/>
    <cellStyle name="20% - Accent6 3 84" xfId="9509"/>
    <cellStyle name="20% - Accent6 3 84 2" xfId="23631"/>
    <cellStyle name="20% - Accent6 3 84 2 2" xfId="50639"/>
    <cellStyle name="20% - Accent6 3 84 3" xfId="37135"/>
    <cellStyle name="20% - Accent6 3 85" xfId="9651"/>
    <cellStyle name="20% - Accent6 3 85 2" xfId="23759"/>
    <cellStyle name="20% - Accent6 3 85 2 2" xfId="50767"/>
    <cellStyle name="20% - Accent6 3 85 3" xfId="37263"/>
    <cellStyle name="20% - Accent6 3 86" xfId="9793"/>
    <cellStyle name="20% - Accent6 3 86 2" xfId="23887"/>
    <cellStyle name="20% - Accent6 3 86 2 2" xfId="50895"/>
    <cellStyle name="20% - Accent6 3 86 3" xfId="37391"/>
    <cellStyle name="20% - Accent6 3 87" xfId="9935"/>
    <cellStyle name="20% - Accent6 3 87 2" xfId="24015"/>
    <cellStyle name="20% - Accent6 3 87 2 2" xfId="51023"/>
    <cellStyle name="20% - Accent6 3 87 3" xfId="37519"/>
    <cellStyle name="20% - Accent6 3 88" xfId="10077"/>
    <cellStyle name="20% - Accent6 3 88 2" xfId="24143"/>
    <cellStyle name="20% - Accent6 3 88 2 2" xfId="51151"/>
    <cellStyle name="20% - Accent6 3 88 3" xfId="37647"/>
    <cellStyle name="20% - Accent6 3 89" xfId="10219"/>
    <cellStyle name="20% - Accent6 3 89 2" xfId="24271"/>
    <cellStyle name="20% - Accent6 3 89 2 2" xfId="51279"/>
    <cellStyle name="20% - Accent6 3 89 3" xfId="37775"/>
    <cellStyle name="20% - Accent6 3 9" xfId="1016"/>
    <cellStyle name="20% - Accent6 3 9 2" xfId="16206"/>
    <cellStyle name="20% - Accent6 3 9 2 2" xfId="43214"/>
    <cellStyle name="20% - Accent6 3 9 3" xfId="29710"/>
    <cellStyle name="20% - Accent6 3 90" xfId="10361"/>
    <cellStyle name="20% - Accent6 3 90 2" xfId="24399"/>
    <cellStyle name="20% - Accent6 3 90 2 2" xfId="51407"/>
    <cellStyle name="20% - Accent6 3 90 3" xfId="37903"/>
    <cellStyle name="20% - Accent6 3 91" xfId="10503"/>
    <cellStyle name="20% - Accent6 3 91 2" xfId="24527"/>
    <cellStyle name="20% - Accent6 3 91 2 2" xfId="51535"/>
    <cellStyle name="20% - Accent6 3 91 3" xfId="38031"/>
    <cellStyle name="20% - Accent6 3 92" xfId="10645"/>
    <cellStyle name="20% - Accent6 3 92 2" xfId="24655"/>
    <cellStyle name="20% - Accent6 3 92 2 2" xfId="51663"/>
    <cellStyle name="20% - Accent6 3 92 3" xfId="38159"/>
    <cellStyle name="20% - Accent6 3 93" xfId="10787"/>
    <cellStyle name="20% - Accent6 3 93 2" xfId="24783"/>
    <cellStyle name="20% - Accent6 3 93 2 2" xfId="51791"/>
    <cellStyle name="20% - Accent6 3 93 3" xfId="38287"/>
    <cellStyle name="20% - Accent6 3 94" xfId="10929"/>
    <cellStyle name="20% - Accent6 3 94 2" xfId="24911"/>
    <cellStyle name="20% - Accent6 3 94 2 2" xfId="51919"/>
    <cellStyle name="20% - Accent6 3 94 3" xfId="38415"/>
    <cellStyle name="20% - Accent6 3 95" xfId="11071"/>
    <cellStyle name="20% - Accent6 3 95 2" xfId="25039"/>
    <cellStyle name="20% - Accent6 3 95 2 2" xfId="52047"/>
    <cellStyle name="20% - Accent6 3 95 3" xfId="38543"/>
    <cellStyle name="20% - Accent6 3 96" xfId="11213"/>
    <cellStyle name="20% - Accent6 3 96 2" xfId="25167"/>
    <cellStyle name="20% - Accent6 3 96 2 2" xfId="52175"/>
    <cellStyle name="20% - Accent6 3 96 3" xfId="38671"/>
    <cellStyle name="20% - Accent6 3 97" xfId="11355"/>
    <cellStyle name="20% - Accent6 3 97 2" xfId="25295"/>
    <cellStyle name="20% - Accent6 3 97 2 2" xfId="52303"/>
    <cellStyle name="20% - Accent6 3 97 3" xfId="38799"/>
    <cellStyle name="20% - Accent6 3 98" xfId="11497"/>
    <cellStyle name="20% - Accent6 3 98 2" xfId="25423"/>
    <cellStyle name="20% - Accent6 3 98 2 2" xfId="52431"/>
    <cellStyle name="20% - Accent6 3 98 3" xfId="38927"/>
    <cellStyle name="20% - Accent6 3 99" xfId="11639"/>
    <cellStyle name="20% - Accent6 3 99 2" xfId="25551"/>
    <cellStyle name="20% - Accent6 3 99 2 2" xfId="52559"/>
    <cellStyle name="20% - Accent6 3 99 3" xfId="39055"/>
    <cellStyle name="20% - Accent6 4" xfId="406"/>
    <cellStyle name="20% - Accent6 4 10" xfId="9043"/>
    <cellStyle name="20% - Accent6 4 10 2" xfId="23212"/>
    <cellStyle name="20% - Accent6 4 10 2 2" xfId="50220"/>
    <cellStyle name="20% - Accent6 4 10 3" xfId="36716"/>
    <cellStyle name="20% - Accent6 4 11" xfId="9185"/>
    <cellStyle name="20% - Accent6 4 11 2" xfId="23340"/>
    <cellStyle name="20% - Accent6 4 11 2 2" xfId="50348"/>
    <cellStyle name="20% - Accent6 4 11 3" xfId="36844"/>
    <cellStyle name="20% - Accent6 4 12" xfId="9327"/>
    <cellStyle name="20% - Accent6 4 12 2" xfId="23468"/>
    <cellStyle name="20% - Accent6 4 12 2 2" xfId="50476"/>
    <cellStyle name="20% - Accent6 4 12 3" xfId="36972"/>
    <cellStyle name="20% - Accent6 4 13" xfId="9469"/>
    <cellStyle name="20% - Accent6 4 13 2" xfId="23596"/>
    <cellStyle name="20% - Accent6 4 13 2 2" xfId="50604"/>
    <cellStyle name="20% - Accent6 4 13 3" xfId="37100"/>
    <cellStyle name="20% - Accent6 4 14" xfId="9611"/>
    <cellStyle name="20% - Accent6 4 14 2" xfId="23724"/>
    <cellStyle name="20% - Accent6 4 14 2 2" xfId="50732"/>
    <cellStyle name="20% - Accent6 4 14 3" xfId="37228"/>
    <cellStyle name="20% - Accent6 4 15" xfId="9753"/>
    <cellStyle name="20% - Accent6 4 15 2" xfId="23852"/>
    <cellStyle name="20% - Accent6 4 15 2 2" xfId="50860"/>
    <cellStyle name="20% - Accent6 4 15 3" xfId="37356"/>
    <cellStyle name="20% - Accent6 4 16" xfId="9895"/>
    <cellStyle name="20% - Accent6 4 16 2" xfId="23980"/>
    <cellStyle name="20% - Accent6 4 16 2 2" xfId="50988"/>
    <cellStyle name="20% - Accent6 4 16 3" xfId="37484"/>
    <cellStyle name="20% - Accent6 4 17" xfId="10037"/>
    <cellStyle name="20% - Accent6 4 17 2" xfId="24108"/>
    <cellStyle name="20% - Accent6 4 17 2 2" xfId="51116"/>
    <cellStyle name="20% - Accent6 4 17 3" xfId="37612"/>
    <cellStyle name="20% - Accent6 4 18" xfId="10179"/>
    <cellStyle name="20% - Accent6 4 18 2" xfId="24236"/>
    <cellStyle name="20% - Accent6 4 18 2 2" xfId="51244"/>
    <cellStyle name="20% - Accent6 4 18 3" xfId="37740"/>
    <cellStyle name="20% - Accent6 4 19" xfId="10321"/>
    <cellStyle name="20% - Accent6 4 19 2" xfId="24364"/>
    <cellStyle name="20% - Accent6 4 19 2 2" xfId="51372"/>
    <cellStyle name="20% - Accent6 4 19 3" xfId="37868"/>
    <cellStyle name="20% - Accent6 4 2" xfId="7907"/>
    <cellStyle name="20% - Accent6 4 2 2" xfId="22188"/>
    <cellStyle name="20% - Accent6 4 2 2 2" xfId="49196"/>
    <cellStyle name="20% - Accent6 4 2 3" xfId="35692"/>
    <cellStyle name="20% - Accent6 4 20" xfId="10463"/>
    <cellStyle name="20% - Accent6 4 20 2" xfId="24492"/>
    <cellStyle name="20% - Accent6 4 20 2 2" xfId="51500"/>
    <cellStyle name="20% - Accent6 4 20 3" xfId="37996"/>
    <cellStyle name="20% - Accent6 4 21" xfId="10605"/>
    <cellStyle name="20% - Accent6 4 21 2" xfId="24620"/>
    <cellStyle name="20% - Accent6 4 21 2 2" xfId="51628"/>
    <cellStyle name="20% - Accent6 4 21 3" xfId="38124"/>
    <cellStyle name="20% - Accent6 4 22" xfId="10747"/>
    <cellStyle name="20% - Accent6 4 22 2" xfId="24748"/>
    <cellStyle name="20% - Accent6 4 22 2 2" xfId="51756"/>
    <cellStyle name="20% - Accent6 4 22 3" xfId="38252"/>
    <cellStyle name="20% - Accent6 4 23" xfId="10889"/>
    <cellStyle name="20% - Accent6 4 23 2" xfId="24876"/>
    <cellStyle name="20% - Accent6 4 23 2 2" xfId="51884"/>
    <cellStyle name="20% - Accent6 4 23 3" xfId="38380"/>
    <cellStyle name="20% - Accent6 4 24" xfId="11031"/>
    <cellStyle name="20% - Accent6 4 24 2" xfId="25004"/>
    <cellStyle name="20% - Accent6 4 24 2 2" xfId="52012"/>
    <cellStyle name="20% - Accent6 4 24 3" xfId="38508"/>
    <cellStyle name="20% - Accent6 4 25" xfId="11173"/>
    <cellStyle name="20% - Accent6 4 25 2" xfId="25132"/>
    <cellStyle name="20% - Accent6 4 25 2 2" xfId="52140"/>
    <cellStyle name="20% - Accent6 4 25 3" xfId="38636"/>
    <cellStyle name="20% - Accent6 4 26" xfId="11315"/>
    <cellStyle name="20% - Accent6 4 26 2" xfId="25260"/>
    <cellStyle name="20% - Accent6 4 26 2 2" xfId="52268"/>
    <cellStyle name="20% - Accent6 4 26 3" xfId="38764"/>
    <cellStyle name="20% - Accent6 4 27" xfId="11457"/>
    <cellStyle name="20% - Accent6 4 27 2" xfId="25388"/>
    <cellStyle name="20% - Accent6 4 27 2 2" xfId="52396"/>
    <cellStyle name="20% - Accent6 4 27 3" xfId="38892"/>
    <cellStyle name="20% - Accent6 4 28" xfId="11599"/>
    <cellStyle name="20% - Accent6 4 28 2" xfId="25516"/>
    <cellStyle name="20% - Accent6 4 28 2 2" xfId="52524"/>
    <cellStyle name="20% - Accent6 4 28 3" xfId="39020"/>
    <cellStyle name="20% - Accent6 4 29" xfId="11741"/>
    <cellStyle name="20% - Accent6 4 29 2" xfId="25644"/>
    <cellStyle name="20% - Accent6 4 29 2 2" xfId="52652"/>
    <cellStyle name="20% - Accent6 4 29 3" xfId="39148"/>
    <cellStyle name="20% - Accent6 4 3" xfId="8049"/>
    <cellStyle name="20% - Accent6 4 3 2" xfId="22316"/>
    <cellStyle name="20% - Accent6 4 3 2 2" xfId="49324"/>
    <cellStyle name="20% - Accent6 4 3 3" xfId="35820"/>
    <cellStyle name="20% - Accent6 4 30" xfId="11883"/>
    <cellStyle name="20% - Accent6 4 30 2" xfId="25772"/>
    <cellStyle name="20% - Accent6 4 30 2 2" xfId="52780"/>
    <cellStyle name="20% - Accent6 4 30 3" xfId="39276"/>
    <cellStyle name="20% - Accent6 4 31" xfId="12025"/>
    <cellStyle name="20% - Accent6 4 31 2" xfId="25900"/>
    <cellStyle name="20% - Accent6 4 31 2 2" xfId="52908"/>
    <cellStyle name="20% - Accent6 4 31 3" xfId="39404"/>
    <cellStyle name="20% - Accent6 4 32" xfId="12167"/>
    <cellStyle name="20% - Accent6 4 32 2" xfId="26028"/>
    <cellStyle name="20% - Accent6 4 32 2 2" xfId="53036"/>
    <cellStyle name="20% - Accent6 4 32 3" xfId="39532"/>
    <cellStyle name="20% - Accent6 4 33" xfId="12309"/>
    <cellStyle name="20% - Accent6 4 33 2" xfId="26156"/>
    <cellStyle name="20% - Accent6 4 33 2 2" xfId="53164"/>
    <cellStyle name="20% - Accent6 4 33 3" xfId="39660"/>
    <cellStyle name="20% - Accent6 4 34" xfId="12451"/>
    <cellStyle name="20% - Accent6 4 34 2" xfId="26284"/>
    <cellStyle name="20% - Accent6 4 34 2 2" xfId="53292"/>
    <cellStyle name="20% - Accent6 4 34 3" xfId="39788"/>
    <cellStyle name="20% - Accent6 4 35" xfId="12593"/>
    <cellStyle name="20% - Accent6 4 35 2" xfId="26412"/>
    <cellStyle name="20% - Accent6 4 35 2 2" xfId="53420"/>
    <cellStyle name="20% - Accent6 4 35 3" xfId="39916"/>
    <cellStyle name="20% - Accent6 4 36" xfId="12735"/>
    <cellStyle name="20% - Accent6 4 36 2" xfId="26540"/>
    <cellStyle name="20% - Accent6 4 36 2 2" xfId="53548"/>
    <cellStyle name="20% - Accent6 4 36 3" xfId="40044"/>
    <cellStyle name="20% - Accent6 4 37" xfId="12877"/>
    <cellStyle name="20% - Accent6 4 37 2" xfId="26668"/>
    <cellStyle name="20% - Accent6 4 37 2 2" xfId="53676"/>
    <cellStyle name="20% - Accent6 4 37 3" xfId="40172"/>
    <cellStyle name="20% - Accent6 4 38" xfId="13019"/>
    <cellStyle name="20% - Accent6 4 38 2" xfId="26796"/>
    <cellStyle name="20% - Accent6 4 38 2 2" xfId="53804"/>
    <cellStyle name="20% - Accent6 4 38 3" xfId="40300"/>
    <cellStyle name="20% - Accent6 4 39" xfId="13161"/>
    <cellStyle name="20% - Accent6 4 39 2" xfId="26924"/>
    <cellStyle name="20% - Accent6 4 39 2 2" xfId="53932"/>
    <cellStyle name="20% - Accent6 4 39 3" xfId="40428"/>
    <cellStyle name="20% - Accent6 4 4" xfId="8191"/>
    <cellStyle name="20% - Accent6 4 4 2" xfId="22444"/>
    <cellStyle name="20% - Accent6 4 4 2 2" xfId="49452"/>
    <cellStyle name="20% - Accent6 4 4 3" xfId="35948"/>
    <cellStyle name="20% - Accent6 4 40" xfId="13303"/>
    <cellStyle name="20% - Accent6 4 40 2" xfId="27052"/>
    <cellStyle name="20% - Accent6 4 40 2 2" xfId="54060"/>
    <cellStyle name="20% - Accent6 4 40 3" xfId="40556"/>
    <cellStyle name="20% - Accent6 4 41" xfId="13445"/>
    <cellStyle name="20% - Accent6 4 41 2" xfId="27180"/>
    <cellStyle name="20% - Accent6 4 41 2 2" xfId="54188"/>
    <cellStyle name="20% - Accent6 4 41 3" xfId="40684"/>
    <cellStyle name="20% - Accent6 4 42" xfId="13587"/>
    <cellStyle name="20% - Accent6 4 42 2" xfId="27308"/>
    <cellStyle name="20% - Accent6 4 42 2 2" xfId="54316"/>
    <cellStyle name="20% - Accent6 4 42 3" xfId="40812"/>
    <cellStyle name="20% - Accent6 4 43" xfId="13729"/>
    <cellStyle name="20% - Accent6 4 43 2" xfId="27436"/>
    <cellStyle name="20% - Accent6 4 43 2 2" xfId="54444"/>
    <cellStyle name="20% - Accent6 4 43 3" xfId="40940"/>
    <cellStyle name="20% - Accent6 4 44" xfId="13870"/>
    <cellStyle name="20% - Accent6 4 44 2" xfId="27563"/>
    <cellStyle name="20% - Accent6 4 44 2 2" xfId="54571"/>
    <cellStyle name="20% - Accent6 4 44 3" xfId="41067"/>
    <cellStyle name="20% - Accent6 4 45" xfId="14011"/>
    <cellStyle name="20% - Accent6 4 45 2" xfId="27690"/>
    <cellStyle name="20% - Accent6 4 45 2 2" xfId="54698"/>
    <cellStyle name="20% - Accent6 4 45 3" xfId="41194"/>
    <cellStyle name="20% - Accent6 4 46" xfId="14152"/>
    <cellStyle name="20% - Accent6 4 46 2" xfId="27817"/>
    <cellStyle name="20% - Accent6 4 46 2 2" xfId="54825"/>
    <cellStyle name="20% - Accent6 4 46 3" xfId="41321"/>
    <cellStyle name="20% - Accent6 4 47" xfId="14293"/>
    <cellStyle name="20% - Accent6 4 47 2" xfId="27944"/>
    <cellStyle name="20% - Accent6 4 47 2 2" xfId="54952"/>
    <cellStyle name="20% - Accent6 4 47 3" xfId="41448"/>
    <cellStyle name="20% - Accent6 4 48" xfId="14433"/>
    <cellStyle name="20% - Accent6 4 48 2" xfId="28070"/>
    <cellStyle name="20% - Accent6 4 48 2 2" xfId="55078"/>
    <cellStyle name="20% - Accent6 4 48 3" xfId="41574"/>
    <cellStyle name="20% - Accent6 4 49" xfId="14573"/>
    <cellStyle name="20% - Accent6 4 49 2" xfId="28196"/>
    <cellStyle name="20% - Accent6 4 49 2 2" xfId="55204"/>
    <cellStyle name="20% - Accent6 4 49 3" xfId="41700"/>
    <cellStyle name="20% - Accent6 4 5" xfId="8333"/>
    <cellStyle name="20% - Accent6 4 5 2" xfId="22572"/>
    <cellStyle name="20% - Accent6 4 5 2 2" xfId="49580"/>
    <cellStyle name="20% - Accent6 4 5 3" xfId="36076"/>
    <cellStyle name="20% - Accent6 4 50" xfId="14712"/>
    <cellStyle name="20% - Accent6 4 50 2" xfId="28321"/>
    <cellStyle name="20% - Accent6 4 50 2 2" xfId="55329"/>
    <cellStyle name="20% - Accent6 4 50 3" xfId="41825"/>
    <cellStyle name="20% - Accent6 4 51" xfId="14847"/>
    <cellStyle name="20% - Accent6 4 51 2" xfId="28443"/>
    <cellStyle name="20% - Accent6 4 51 2 2" xfId="55451"/>
    <cellStyle name="20% - Accent6 4 51 3" xfId="41947"/>
    <cellStyle name="20% - Accent6 4 52" xfId="14981"/>
    <cellStyle name="20% - Accent6 4 52 2" xfId="28564"/>
    <cellStyle name="20% - Accent6 4 52 2 2" xfId="55572"/>
    <cellStyle name="20% - Accent6 4 52 3" xfId="42068"/>
    <cellStyle name="20% - Accent6 4 53" xfId="15112"/>
    <cellStyle name="20% - Accent6 4 53 2" xfId="28683"/>
    <cellStyle name="20% - Accent6 4 53 2 2" xfId="55691"/>
    <cellStyle name="20% - Accent6 4 53 3" xfId="42187"/>
    <cellStyle name="20% - Accent6 4 54" xfId="15235"/>
    <cellStyle name="20% - Accent6 4 54 2" xfId="28798"/>
    <cellStyle name="20% - Accent6 4 54 2 2" xfId="55806"/>
    <cellStyle name="20% - Accent6 4 54 3" xfId="42302"/>
    <cellStyle name="20% - Accent6 4 55" xfId="15341"/>
    <cellStyle name="20% - Accent6 4 55 2" xfId="28901"/>
    <cellStyle name="20% - Accent6 4 55 2 2" xfId="55909"/>
    <cellStyle name="20% - Accent6 4 55 3" xfId="42405"/>
    <cellStyle name="20% - Accent6 4 56" xfId="15679"/>
    <cellStyle name="20% - Accent6 4 56 2" xfId="42687"/>
    <cellStyle name="20% - Accent6 4 57" xfId="29183"/>
    <cellStyle name="20% - Accent6 4 6" xfId="8475"/>
    <cellStyle name="20% - Accent6 4 6 2" xfId="22700"/>
    <cellStyle name="20% - Accent6 4 6 2 2" xfId="49708"/>
    <cellStyle name="20% - Accent6 4 6 3" xfId="36204"/>
    <cellStyle name="20% - Accent6 4 7" xfId="8617"/>
    <cellStyle name="20% - Accent6 4 7 2" xfId="22828"/>
    <cellStyle name="20% - Accent6 4 7 2 2" xfId="49836"/>
    <cellStyle name="20% - Accent6 4 7 3" xfId="36332"/>
    <cellStyle name="20% - Accent6 4 8" xfId="8759"/>
    <cellStyle name="20% - Accent6 4 8 2" xfId="22956"/>
    <cellStyle name="20% - Accent6 4 8 2 2" xfId="49964"/>
    <cellStyle name="20% - Accent6 4 8 3" xfId="36460"/>
    <cellStyle name="20% - Accent6 4 9" xfId="8901"/>
    <cellStyle name="20% - Accent6 4 9 2" xfId="23084"/>
    <cellStyle name="20% - Accent6 4 9 2 2" xfId="50092"/>
    <cellStyle name="20% - Accent6 4 9 3" xfId="36588"/>
    <cellStyle name="20% - Accent6 5" xfId="15394"/>
    <cellStyle name="20% - Accent6 5 2" xfId="28927"/>
    <cellStyle name="20% - Accent6 5 2 2" xfId="55935"/>
    <cellStyle name="20% - Accent6 5 3" xfId="42431"/>
    <cellStyle name="20% - Accent6 6" xfId="15438"/>
    <cellStyle name="20% - Accent6 6 2" xfId="28943"/>
    <cellStyle name="20% - Accent6 6 2 2" xfId="55951"/>
    <cellStyle name="20% - Accent6 6 3" xfId="42447"/>
    <cellStyle name="20% - Accent6 7" xfId="15453"/>
    <cellStyle name="20% - Accent6 7 2" xfId="42461"/>
    <cellStyle name="20% - Accent6 8" xfId="28957"/>
    <cellStyle name="20% - Accent6 9" xfId="58"/>
    <cellStyle name="40% - Accent1 2" xfId="113"/>
    <cellStyle name="40% - Accent1 2 10" xfId="1089"/>
    <cellStyle name="40% - Accent1 2 10 2" xfId="16273"/>
    <cellStyle name="40% - Accent1 2 10 2 2" xfId="43281"/>
    <cellStyle name="40% - Accent1 2 10 3" xfId="29777"/>
    <cellStyle name="40% - Accent1 2 100" xfId="11566"/>
    <cellStyle name="40% - Accent1 2 100 2" xfId="25490"/>
    <cellStyle name="40% - Accent1 2 100 2 2" xfId="52498"/>
    <cellStyle name="40% - Accent1 2 100 3" xfId="38994"/>
    <cellStyle name="40% - Accent1 2 101" xfId="11708"/>
    <cellStyle name="40% - Accent1 2 101 2" xfId="25618"/>
    <cellStyle name="40% - Accent1 2 101 2 2" xfId="52626"/>
    <cellStyle name="40% - Accent1 2 101 3" xfId="39122"/>
    <cellStyle name="40% - Accent1 2 102" xfId="11850"/>
    <cellStyle name="40% - Accent1 2 102 2" xfId="25746"/>
    <cellStyle name="40% - Accent1 2 102 2 2" xfId="52754"/>
    <cellStyle name="40% - Accent1 2 102 3" xfId="39250"/>
    <cellStyle name="40% - Accent1 2 103" xfId="11992"/>
    <cellStyle name="40% - Accent1 2 103 2" xfId="25874"/>
    <cellStyle name="40% - Accent1 2 103 2 2" xfId="52882"/>
    <cellStyle name="40% - Accent1 2 103 3" xfId="39378"/>
    <cellStyle name="40% - Accent1 2 104" xfId="12134"/>
    <cellStyle name="40% - Accent1 2 104 2" xfId="26002"/>
    <cellStyle name="40% - Accent1 2 104 2 2" xfId="53010"/>
    <cellStyle name="40% - Accent1 2 104 3" xfId="39506"/>
    <cellStyle name="40% - Accent1 2 105" xfId="12276"/>
    <cellStyle name="40% - Accent1 2 105 2" xfId="26130"/>
    <cellStyle name="40% - Accent1 2 105 2 2" xfId="53138"/>
    <cellStyle name="40% - Accent1 2 105 3" xfId="39634"/>
    <cellStyle name="40% - Accent1 2 106" xfId="12418"/>
    <cellStyle name="40% - Accent1 2 106 2" xfId="26258"/>
    <cellStyle name="40% - Accent1 2 106 2 2" xfId="53266"/>
    <cellStyle name="40% - Accent1 2 106 3" xfId="39762"/>
    <cellStyle name="40% - Accent1 2 107" xfId="12560"/>
    <cellStyle name="40% - Accent1 2 107 2" xfId="26386"/>
    <cellStyle name="40% - Accent1 2 107 2 2" xfId="53394"/>
    <cellStyle name="40% - Accent1 2 107 3" xfId="39890"/>
    <cellStyle name="40% - Accent1 2 108" xfId="12702"/>
    <cellStyle name="40% - Accent1 2 108 2" xfId="26514"/>
    <cellStyle name="40% - Accent1 2 108 2 2" xfId="53522"/>
    <cellStyle name="40% - Accent1 2 108 3" xfId="40018"/>
    <cellStyle name="40% - Accent1 2 109" xfId="12844"/>
    <cellStyle name="40% - Accent1 2 109 2" xfId="26642"/>
    <cellStyle name="40% - Accent1 2 109 2 2" xfId="53650"/>
    <cellStyle name="40% - Accent1 2 109 3" xfId="40146"/>
    <cellStyle name="40% - Accent1 2 11" xfId="1195"/>
    <cellStyle name="40% - Accent1 2 11 2" xfId="16365"/>
    <cellStyle name="40% - Accent1 2 11 2 2" xfId="43373"/>
    <cellStyle name="40% - Accent1 2 11 3" xfId="29869"/>
    <cellStyle name="40% - Accent1 2 110" xfId="12986"/>
    <cellStyle name="40% - Accent1 2 110 2" xfId="26770"/>
    <cellStyle name="40% - Accent1 2 110 2 2" xfId="53778"/>
    <cellStyle name="40% - Accent1 2 110 3" xfId="40274"/>
    <cellStyle name="40% - Accent1 2 111" xfId="13128"/>
    <cellStyle name="40% - Accent1 2 111 2" xfId="26898"/>
    <cellStyle name="40% - Accent1 2 111 2 2" xfId="53906"/>
    <cellStyle name="40% - Accent1 2 111 3" xfId="40402"/>
    <cellStyle name="40% - Accent1 2 112" xfId="13270"/>
    <cellStyle name="40% - Accent1 2 112 2" xfId="27026"/>
    <cellStyle name="40% - Accent1 2 112 2 2" xfId="54034"/>
    <cellStyle name="40% - Accent1 2 112 3" xfId="40530"/>
    <cellStyle name="40% - Accent1 2 113" xfId="13412"/>
    <cellStyle name="40% - Accent1 2 113 2" xfId="27154"/>
    <cellStyle name="40% - Accent1 2 113 2 2" xfId="54162"/>
    <cellStyle name="40% - Accent1 2 113 3" xfId="40658"/>
    <cellStyle name="40% - Accent1 2 114" xfId="13554"/>
    <cellStyle name="40% - Accent1 2 114 2" xfId="27282"/>
    <cellStyle name="40% - Accent1 2 114 2 2" xfId="54290"/>
    <cellStyle name="40% - Accent1 2 114 3" xfId="40786"/>
    <cellStyle name="40% - Accent1 2 115" xfId="13696"/>
    <cellStyle name="40% - Accent1 2 115 2" xfId="27410"/>
    <cellStyle name="40% - Accent1 2 115 2 2" xfId="54418"/>
    <cellStyle name="40% - Accent1 2 115 3" xfId="40914"/>
    <cellStyle name="40% - Accent1 2 116" xfId="13837"/>
    <cellStyle name="40% - Accent1 2 116 2" xfId="27537"/>
    <cellStyle name="40% - Accent1 2 116 2 2" xfId="54545"/>
    <cellStyle name="40% - Accent1 2 116 3" xfId="41041"/>
    <cellStyle name="40% - Accent1 2 117" xfId="13978"/>
    <cellStyle name="40% - Accent1 2 117 2" xfId="27664"/>
    <cellStyle name="40% - Accent1 2 117 2 2" xfId="54672"/>
    <cellStyle name="40% - Accent1 2 117 3" xfId="41168"/>
    <cellStyle name="40% - Accent1 2 118" xfId="14119"/>
    <cellStyle name="40% - Accent1 2 118 2" xfId="27791"/>
    <cellStyle name="40% - Accent1 2 118 2 2" xfId="54799"/>
    <cellStyle name="40% - Accent1 2 118 3" xfId="41295"/>
    <cellStyle name="40% - Accent1 2 119" xfId="14260"/>
    <cellStyle name="40% - Accent1 2 119 2" xfId="27918"/>
    <cellStyle name="40% - Accent1 2 119 2 2" xfId="54926"/>
    <cellStyle name="40% - Accent1 2 119 3" xfId="41422"/>
    <cellStyle name="40% - Accent1 2 12" xfId="1301"/>
    <cellStyle name="40% - Accent1 2 12 2" xfId="16457"/>
    <cellStyle name="40% - Accent1 2 12 2 2" xfId="43465"/>
    <cellStyle name="40% - Accent1 2 12 3" xfId="29961"/>
    <cellStyle name="40% - Accent1 2 120" xfId="14401"/>
    <cellStyle name="40% - Accent1 2 120 2" xfId="28045"/>
    <cellStyle name="40% - Accent1 2 120 2 2" xfId="55053"/>
    <cellStyle name="40% - Accent1 2 120 3" xfId="41549"/>
    <cellStyle name="40% - Accent1 2 121" xfId="14541"/>
    <cellStyle name="40% - Accent1 2 121 2" xfId="28171"/>
    <cellStyle name="40% - Accent1 2 121 2 2" xfId="55179"/>
    <cellStyle name="40% - Accent1 2 121 3" xfId="41675"/>
    <cellStyle name="40% - Accent1 2 122" xfId="14681"/>
    <cellStyle name="40% - Accent1 2 122 2" xfId="28297"/>
    <cellStyle name="40% - Accent1 2 122 2 2" xfId="55305"/>
    <cellStyle name="40% - Accent1 2 122 3" xfId="41801"/>
    <cellStyle name="40% - Accent1 2 123" xfId="14819"/>
    <cellStyle name="40% - Accent1 2 123 2" xfId="28421"/>
    <cellStyle name="40% - Accent1 2 123 2 2" xfId="55429"/>
    <cellStyle name="40% - Accent1 2 123 3" xfId="41925"/>
    <cellStyle name="40% - Accent1 2 124" xfId="14953"/>
    <cellStyle name="40% - Accent1 2 124 2" xfId="28542"/>
    <cellStyle name="40% - Accent1 2 124 2 2" xfId="55550"/>
    <cellStyle name="40% - Accent1 2 124 3" xfId="42046"/>
    <cellStyle name="40% - Accent1 2 125" xfId="15087"/>
    <cellStyle name="40% - Accent1 2 125 2" xfId="28663"/>
    <cellStyle name="40% - Accent1 2 125 2 2" xfId="55671"/>
    <cellStyle name="40% - Accent1 2 125 3" xfId="42167"/>
    <cellStyle name="40% - Accent1 2 126" xfId="15214"/>
    <cellStyle name="40% - Accent1 2 126 2" xfId="28779"/>
    <cellStyle name="40% - Accent1 2 126 2 2" xfId="55787"/>
    <cellStyle name="40% - Accent1 2 126 3" xfId="42283"/>
    <cellStyle name="40% - Accent1 2 127" xfId="15471"/>
    <cellStyle name="40% - Accent1 2 127 2" xfId="42479"/>
    <cellStyle name="40% - Accent1 2 128" xfId="28975"/>
    <cellStyle name="40% - Accent1 2 13" xfId="1407"/>
    <cellStyle name="40% - Accent1 2 13 2" xfId="16549"/>
    <cellStyle name="40% - Accent1 2 13 2 2" xfId="43557"/>
    <cellStyle name="40% - Accent1 2 13 3" xfId="30053"/>
    <cellStyle name="40% - Accent1 2 14" xfId="1513"/>
    <cellStyle name="40% - Accent1 2 14 2" xfId="16641"/>
    <cellStyle name="40% - Accent1 2 14 2 2" xfId="43649"/>
    <cellStyle name="40% - Accent1 2 14 3" xfId="30145"/>
    <cellStyle name="40% - Accent1 2 15" xfId="1619"/>
    <cellStyle name="40% - Accent1 2 15 2" xfId="16733"/>
    <cellStyle name="40% - Accent1 2 15 2 2" xfId="43741"/>
    <cellStyle name="40% - Accent1 2 15 3" xfId="30237"/>
    <cellStyle name="40% - Accent1 2 16" xfId="1725"/>
    <cellStyle name="40% - Accent1 2 16 2" xfId="16825"/>
    <cellStyle name="40% - Accent1 2 16 2 2" xfId="43833"/>
    <cellStyle name="40% - Accent1 2 16 3" xfId="30329"/>
    <cellStyle name="40% - Accent1 2 17" xfId="1831"/>
    <cellStyle name="40% - Accent1 2 17 2" xfId="16917"/>
    <cellStyle name="40% - Accent1 2 17 2 2" xfId="43925"/>
    <cellStyle name="40% - Accent1 2 17 3" xfId="30421"/>
    <cellStyle name="40% - Accent1 2 18" xfId="1937"/>
    <cellStyle name="40% - Accent1 2 18 2" xfId="17009"/>
    <cellStyle name="40% - Accent1 2 18 2 2" xfId="44017"/>
    <cellStyle name="40% - Accent1 2 18 3" xfId="30513"/>
    <cellStyle name="40% - Accent1 2 19" xfId="2043"/>
    <cellStyle name="40% - Accent1 2 19 2" xfId="17101"/>
    <cellStyle name="40% - Accent1 2 19 2 2" xfId="44109"/>
    <cellStyle name="40% - Accent1 2 19 3" xfId="30605"/>
    <cellStyle name="40% - Accent1 2 2" xfId="222"/>
    <cellStyle name="40% - Accent1 2 2 10" xfId="8927"/>
    <cellStyle name="40% - Accent1 2 2 10 2" xfId="23105"/>
    <cellStyle name="40% - Accent1 2 2 10 2 2" xfId="50113"/>
    <cellStyle name="40% - Accent1 2 2 10 3" xfId="36609"/>
    <cellStyle name="40% - Accent1 2 2 11" xfId="9069"/>
    <cellStyle name="40% - Accent1 2 2 11 2" xfId="23233"/>
    <cellStyle name="40% - Accent1 2 2 11 2 2" xfId="50241"/>
    <cellStyle name="40% - Accent1 2 2 11 3" xfId="36737"/>
    <cellStyle name="40% - Accent1 2 2 12" xfId="9211"/>
    <cellStyle name="40% - Accent1 2 2 12 2" xfId="23361"/>
    <cellStyle name="40% - Accent1 2 2 12 2 2" xfId="50369"/>
    <cellStyle name="40% - Accent1 2 2 12 3" xfId="36865"/>
    <cellStyle name="40% - Accent1 2 2 13" xfId="9353"/>
    <cellStyle name="40% - Accent1 2 2 13 2" xfId="23489"/>
    <cellStyle name="40% - Accent1 2 2 13 2 2" xfId="50497"/>
    <cellStyle name="40% - Accent1 2 2 13 3" xfId="36993"/>
    <cellStyle name="40% - Accent1 2 2 14" xfId="9495"/>
    <cellStyle name="40% - Accent1 2 2 14 2" xfId="23617"/>
    <cellStyle name="40% - Accent1 2 2 14 2 2" xfId="50625"/>
    <cellStyle name="40% - Accent1 2 2 14 3" xfId="37121"/>
    <cellStyle name="40% - Accent1 2 2 15" xfId="9637"/>
    <cellStyle name="40% - Accent1 2 2 15 2" xfId="23745"/>
    <cellStyle name="40% - Accent1 2 2 15 2 2" xfId="50753"/>
    <cellStyle name="40% - Accent1 2 2 15 3" xfId="37249"/>
    <cellStyle name="40% - Accent1 2 2 16" xfId="9779"/>
    <cellStyle name="40% - Accent1 2 2 16 2" xfId="23873"/>
    <cellStyle name="40% - Accent1 2 2 16 2 2" xfId="50881"/>
    <cellStyle name="40% - Accent1 2 2 16 3" xfId="37377"/>
    <cellStyle name="40% - Accent1 2 2 17" xfId="9921"/>
    <cellStyle name="40% - Accent1 2 2 17 2" xfId="24001"/>
    <cellStyle name="40% - Accent1 2 2 17 2 2" xfId="51009"/>
    <cellStyle name="40% - Accent1 2 2 17 3" xfId="37505"/>
    <cellStyle name="40% - Accent1 2 2 18" xfId="10063"/>
    <cellStyle name="40% - Accent1 2 2 18 2" xfId="24129"/>
    <cellStyle name="40% - Accent1 2 2 18 2 2" xfId="51137"/>
    <cellStyle name="40% - Accent1 2 2 18 3" xfId="37633"/>
    <cellStyle name="40% - Accent1 2 2 19" xfId="10205"/>
    <cellStyle name="40% - Accent1 2 2 19 2" xfId="24257"/>
    <cellStyle name="40% - Accent1 2 2 19 2 2" xfId="51265"/>
    <cellStyle name="40% - Accent1 2 2 19 3" xfId="37761"/>
    <cellStyle name="40% - Accent1 2 2 2" xfId="7791"/>
    <cellStyle name="40% - Accent1 2 2 2 2" xfId="22081"/>
    <cellStyle name="40% - Accent1 2 2 2 2 2" xfId="49089"/>
    <cellStyle name="40% - Accent1 2 2 2 3" xfId="35585"/>
    <cellStyle name="40% - Accent1 2 2 20" xfId="10347"/>
    <cellStyle name="40% - Accent1 2 2 20 2" xfId="24385"/>
    <cellStyle name="40% - Accent1 2 2 20 2 2" xfId="51393"/>
    <cellStyle name="40% - Accent1 2 2 20 3" xfId="37889"/>
    <cellStyle name="40% - Accent1 2 2 21" xfId="10489"/>
    <cellStyle name="40% - Accent1 2 2 21 2" xfId="24513"/>
    <cellStyle name="40% - Accent1 2 2 21 2 2" xfId="51521"/>
    <cellStyle name="40% - Accent1 2 2 21 3" xfId="38017"/>
    <cellStyle name="40% - Accent1 2 2 22" xfId="10631"/>
    <cellStyle name="40% - Accent1 2 2 22 2" xfId="24641"/>
    <cellStyle name="40% - Accent1 2 2 22 2 2" xfId="51649"/>
    <cellStyle name="40% - Accent1 2 2 22 3" xfId="38145"/>
    <cellStyle name="40% - Accent1 2 2 23" xfId="10773"/>
    <cellStyle name="40% - Accent1 2 2 23 2" xfId="24769"/>
    <cellStyle name="40% - Accent1 2 2 23 2 2" xfId="51777"/>
    <cellStyle name="40% - Accent1 2 2 23 3" xfId="38273"/>
    <cellStyle name="40% - Accent1 2 2 24" xfId="10915"/>
    <cellStyle name="40% - Accent1 2 2 24 2" xfId="24897"/>
    <cellStyle name="40% - Accent1 2 2 24 2 2" xfId="51905"/>
    <cellStyle name="40% - Accent1 2 2 24 3" xfId="38401"/>
    <cellStyle name="40% - Accent1 2 2 25" xfId="11057"/>
    <cellStyle name="40% - Accent1 2 2 25 2" xfId="25025"/>
    <cellStyle name="40% - Accent1 2 2 25 2 2" xfId="52033"/>
    <cellStyle name="40% - Accent1 2 2 25 3" xfId="38529"/>
    <cellStyle name="40% - Accent1 2 2 26" xfId="11199"/>
    <cellStyle name="40% - Accent1 2 2 26 2" xfId="25153"/>
    <cellStyle name="40% - Accent1 2 2 26 2 2" xfId="52161"/>
    <cellStyle name="40% - Accent1 2 2 26 3" xfId="38657"/>
    <cellStyle name="40% - Accent1 2 2 27" xfId="11341"/>
    <cellStyle name="40% - Accent1 2 2 27 2" xfId="25281"/>
    <cellStyle name="40% - Accent1 2 2 27 2 2" xfId="52289"/>
    <cellStyle name="40% - Accent1 2 2 27 3" xfId="38785"/>
    <cellStyle name="40% - Accent1 2 2 28" xfId="11483"/>
    <cellStyle name="40% - Accent1 2 2 28 2" xfId="25409"/>
    <cellStyle name="40% - Accent1 2 2 28 2 2" xfId="52417"/>
    <cellStyle name="40% - Accent1 2 2 28 3" xfId="38913"/>
    <cellStyle name="40% - Accent1 2 2 29" xfId="11625"/>
    <cellStyle name="40% - Accent1 2 2 29 2" xfId="25537"/>
    <cellStyle name="40% - Accent1 2 2 29 2 2" xfId="52545"/>
    <cellStyle name="40% - Accent1 2 2 29 3" xfId="39041"/>
    <cellStyle name="40% - Accent1 2 2 3" xfId="7933"/>
    <cellStyle name="40% - Accent1 2 2 3 2" xfId="22209"/>
    <cellStyle name="40% - Accent1 2 2 3 2 2" xfId="49217"/>
    <cellStyle name="40% - Accent1 2 2 3 3" xfId="35713"/>
    <cellStyle name="40% - Accent1 2 2 30" xfId="11767"/>
    <cellStyle name="40% - Accent1 2 2 30 2" xfId="25665"/>
    <cellStyle name="40% - Accent1 2 2 30 2 2" xfId="52673"/>
    <cellStyle name="40% - Accent1 2 2 30 3" xfId="39169"/>
    <cellStyle name="40% - Accent1 2 2 31" xfId="11909"/>
    <cellStyle name="40% - Accent1 2 2 31 2" xfId="25793"/>
    <cellStyle name="40% - Accent1 2 2 31 2 2" xfId="52801"/>
    <cellStyle name="40% - Accent1 2 2 31 3" xfId="39297"/>
    <cellStyle name="40% - Accent1 2 2 32" xfId="12051"/>
    <cellStyle name="40% - Accent1 2 2 32 2" xfId="25921"/>
    <cellStyle name="40% - Accent1 2 2 32 2 2" xfId="52929"/>
    <cellStyle name="40% - Accent1 2 2 32 3" xfId="39425"/>
    <cellStyle name="40% - Accent1 2 2 33" xfId="12193"/>
    <cellStyle name="40% - Accent1 2 2 33 2" xfId="26049"/>
    <cellStyle name="40% - Accent1 2 2 33 2 2" xfId="53057"/>
    <cellStyle name="40% - Accent1 2 2 33 3" xfId="39553"/>
    <cellStyle name="40% - Accent1 2 2 34" xfId="12335"/>
    <cellStyle name="40% - Accent1 2 2 34 2" xfId="26177"/>
    <cellStyle name="40% - Accent1 2 2 34 2 2" xfId="53185"/>
    <cellStyle name="40% - Accent1 2 2 34 3" xfId="39681"/>
    <cellStyle name="40% - Accent1 2 2 35" xfId="12477"/>
    <cellStyle name="40% - Accent1 2 2 35 2" xfId="26305"/>
    <cellStyle name="40% - Accent1 2 2 35 2 2" xfId="53313"/>
    <cellStyle name="40% - Accent1 2 2 35 3" xfId="39809"/>
    <cellStyle name="40% - Accent1 2 2 36" xfId="12619"/>
    <cellStyle name="40% - Accent1 2 2 36 2" xfId="26433"/>
    <cellStyle name="40% - Accent1 2 2 36 2 2" xfId="53441"/>
    <cellStyle name="40% - Accent1 2 2 36 3" xfId="39937"/>
    <cellStyle name="40% - Accent1 2 2 37" xfId="12761"/>
    <cellStyle name="40% - Accent1 2 2 37 2" xfId="26561"/>
    <cellStyle name="40% - Accent1 2 2 37 2 2" xfId="53569"/>
    <cellStyle name="40% - Accent1 2 2 37 3" xfId="40065"/>
    <cellStyle name="40% - Accent1 2 2 38" xfId="12903"/>
    <cellStyle name="40% - Accent1 2 2 38 2" xfId="26689"/>
    <cellStyle name="40% - Accent1 2 2 38 2 2" xfId="53697"/>
    <cellStyle name="40% - Accent1 2 2 38 3" xfId="40193"/>
    <cellStyle name="40% - Accent1 2 2 39" xfId="13045"/>
    <cellStyle name="40% - Accent1 2 2 39 2" xfId="26817"/>
    <cellStyle name="40% - Accent1 2 2 39 2 2" xfId="53825"/>
    <cellStyle name="40% - Accent1 2 2 39 3" xfId="40321"/>
    <cellStyle name="40% - Accent1 2 2 4" xfId="8075"/>
    <cellStyle name="40% - Accent1 2 2 4 2" xfId="22337"/>
    <cellStyle name="40% - Accent1 2 2 4 2 2" xfId="49345"/>
    <cellStyle name="40% - Accent1 2 2 4 3" xfId="35841"/>
    <cellStyle name="40% - Accent1 2 2 40" xfId="13187"/>
    <cellStyle name="40% - Accent1 2 2 40 2" xfId="26945"/>
    <cellStyle name="40% - Accent1 2 2 40 2 2" xfId="53953"/>
    <cellStyle name="40% - Accent1 2 2 40 3" xfId="40449"/>
    <cellStyle name="40% - Accent1 2 2 41" xfId="13329"/>
    <cellStyle name="40% - Accent1 2 2 41 2" xfId="27073"/>
    <cellStyle name="40% - Accent1 2 2 41 2 2" xfId="54081"/>
    <cellStyle name="40% - Accent1 2 2 41 3" xfId="40577"/>
    <cellStyle name="40% - Accent1 2 2 42" xfId="13471"/>
    <cellStyle name="40% - Accent1 2 2 42 2" xfId="27201"/>
    <cellStyle name="40% - Accent1 2 2 42 2 2" xfId="54209"/>
    <cellStyle name="40% - Accent1 2 2 42 3" xfId="40705"/>
    <cellStyle name="40% - Accent1 2 2 43" xfId="13613"/>
    <cellStyle name="40% - Accent1 2 2 43 2" xfId="27329"/>
    <cellStyle name="40% - Accent1 2 2 43 2 2" xfId="54337"/>
    <cellStyle name="40% - Accent1 2 2 43 3" xfId="40833"/>
    <cellStyle name="40% - Accent1 2 2 44" xfId="13755"/>
    <cellStyle name="40% - Accent1 2 2 44 2" xfId="27457"/>
    <cellStyle name="40% - Accent1 2 2 44 2 2" xfId="54465"/>
    <cellStyle name="40% - Accent1 2 2 44 3" xfId="40961"/>
    <cellStyle name="40% - Accent1 2 2 45" xfId="13896"/>
    <cellStyle name="40% - Accent1 2 2 45 2" xfId="27584"/>
    <cellStyle name="40% - Accent1 2 2 45 2 2" xfId="54592"/>
    <cellStyle name="40% - Accent1 2 2 45 3" xfId="41088"/>
    <cellStyle name="40% - Accent1 2 2 46" xfId="14037"/>
    <cellStyle name="40% - Accent1 2 2 46 2" xfId="27711"/>
    <cellStyle name="40% - Accent1 2 2 46 2 2" xfId="54719"/>
    <cellStyle name="40% - Accent1 2 2 46 3" xfId="41215"/>
    <cellStyle name="40% - Accent1 2 2 47" xfId="14178"/>
    <cellStyle name="40% - Accent1 2 2 47 2" xfId="27838"/>
    <cellStyle name="40% - Accent1 2 2 47 2 2" xfId="54846"/>
    <cellStyle name="40% - Accent1 2 2 47 3" xfId="41342"/>
    <cellStyle name="40% - Accent1 2 2 48" xfId="14319"/>
    <cellStyle name="40% - Accent1 2 2 48 2" xfId="27965"/>
    <cellStyle name="40% - Accent1 2 2 48 2 2" xfId="54973"/>
    <cellStyle name="40% - Accent1 2 2 48 3" xfId="41469"/>
    <cellStyle name="40% - Accent1 2 2 49" xfId="14459"/>
    <cellStyle name="40% - Accent1 2 2 49 2" xfId="28091"/>
    <cellStyle name="40% - Accent1 2 2 49 2 2" xfId="55099"/>
    <cellStyle name="40% - Accent1 2 2 49 3" xfId="41595"/>
    <cellStyle name="40% - Accent1 2 2 5" xfId="8217"/>
    <cellStyle name="40% - Accent1 2 2 5 2" xfId="22465"/>
    <cellStyle name="40% - Accent1 2 2 5 2 2" xfId="49473"/>
    <cellStyle name="40% - Accent1 2 2 5 3" xfId="35969"/>
    <cellStyle name="40% - Accent1 2 2 50" xfId="14599"/>
    <cellStyle name="40% - Accent1 2 2 50 2" xfId="28217"/>
    <cellStyle name="40% - Accent1 2 2 50 2 2" xfId="55225"/>
    <cellStyle name="40% - Accent1 2 2 50 3" xfId="41721"/>
    <cellStyle name="40% - Accent1 2 2 51" xfId="14738"/>
    <cellStyle name="40% - Accent1 2 2 51 2" xfId="28342"/>
    <cellStyle name="40% - Accent1 2 2 51 2 2" xfId="55350"/>
    <cellStyle name="40% - Accent1 2 2 51 3" xfId="41846"/>
    <cellStyle name="40% - Accent1 2 2 52" xfId="14873"/>
    <cellStyle name="40% - Accent1 2 2 52 2" xfId="28464"/>
    <cellStyle name="40% - Accent1 2 2 52 2 2" xfId="55472"/>
    <cellStyle name="40% - Accent1 2 2 52 3" xfId="41968"/>
    <cellStyle name="40% - Accent1 2 2 53" xfId="15007"/>
    <cellStyle name="40% - Accent1 2 2 53 2" xfId="28585"/>
    <cellStyle name="40% - Accent1 2 2 53 2 2" xfId="55593"/>
    <cellStyle name="40% - Accent1 2 2 53 3" xfId="42089"/>
    <cellStyle name="40% - Accent1 2 2 54" xfId="15135"/>
    <cellStyle name="40% - Accent1 2 2 54 2" xfId="28702"/>
    <cellStyle name="40% - Accent1 2 2 54 2 2" xfId="55710"/>
    <cellStyle name="40% - Accent1 2 2 54 3" xfId="42206"/>
    <cellStyle name="40% - Accent1 2 2 55" xfId="15256"/>
    <cellStyle name="40% - Accent1 2 2 55 2" xfId="28816"/>
    <cellStyle name="40% - Accent1 2 2 55 2 2" xfId="55824"/>
    <cellStyle name="40% - Accent1 2 2 55 3" xfId="42320"/>
    <cellStyle name="40% - Accent1 2 2 56" xfId="15554"/>
    <cellStyle name="40% - Accent1 2 2 56 2" xfId="42562"/>
    <cellStyle name="40% - Accent1 2 2 57" xfId="29058"/>
    <cellStyle name="40% - Accent1 2 2 6" xfId="8359"/>
    <cellStyle name="40% - Accent1 2 2 6 2" xfId="22593"/>
    <cellStyle name="40% - Accent1 2 2 6 2 2" xfId="49601"/>
    <cellStyle name="40% - Accent1 2 2 6 3" xfId="36097"/>
    <cellStyle name="40% - Accent1 2 2 7" xfId="8501"/>
    <cellStyle name="40% - Accent1 2 2 7 2" xfId="22721"/>
    <cellStyle name="40% - Accent1 2 2 7 2 2" xfId="49729"/>
    <cellStyle name="40% - Accent1 2 2 7 3" xfId="36225"/>
    <cellStyle name="40% - Accent1 2 2 8" xfId="8643"/>
    <cellStyle name="40% - Accent1 2 2 8 2" xfId="22849"/>
    <cellStyle name="40% - Accent1 2 2 8 2 2" xfId="49857"/>
    <cellStyle name="40% - Accent1 2 2 8 3" xfId="36353"/>
    <cellStyle name="40% - Accent1 2 2 9" xfId="8785"/>
    <cellStyle name="40% - Accent1 2 2 9 2" xfId="22977"/>
    <cellStyle name="40% - Accent1 2 2 9 2 2" xfId="49985"/>
    <cellStyle name="40% - Accent1 2 2 9 3" xfId="36481"/>
    <cellStyle name="40% - Accent1 2 20" xfId="2149"/>
    <cellStyle name="40% - Accent1 2 20 2" xfId="17193"/>
    <cellStyle name="40% - Accent1 2 20 2 2" xfId="44201"/>
    <cellStyle name="40% - Accent1 2 20 3" xfId="30697"/>
    <cellStyle name="40% - Accent1 2 21" xfId="2255"/>
    <cellStyle name="40% - Accent1 2 21 2" xfId="17285"/>
    <cellStyle name="40% - Accent1 2 21 2 2" xfId="44293"/>
    <cellStyle name="40% - Accent1 2 21 3" xfId="30789"/>
    <cellStyle name="40% - Accent1 2 22" xfId="2361"/>
    <cellStyle name="40% - Accent1 2 22 2" xfId="17377"/>
    <cellStyle name="40% - Accent1 2 22 2 2" xfId="44385"/>
    <cellStyle name="40% - Accent1 2 22 3" xfId="30881"/>
    <cellStyle name="40% - Accent1 2 23" xfId="2467"/>
    <cellStyle name="40% - Accent1 2 23 2" xfId="17469"/>
    <cellStyle name="40% - Accent1 2 23 2 2" xfId="44477"/>
    <cellStyle name="40% - Accent1 2 23 3" xfId="30973"/>
    <cellStyle name="40% - Accent1 2 24" xfId="2573"/>
    <cellStyle name="40% - Accent1 2 24 2" xfId="17561"/>
    <cellStyle name="40% - Accent1 2 24 2 2" xfId="44569"/>
    <cellStyle name="40% - Accent1 2 24 3" xfId="31065"/>
    <cellStyle name="40% - Accent1 2 25" xfId="2679"/>
    <cellStyle name="40% - Accent1 2 25 2" xfId="17653"/>
    <cellStyle name="40% - Accent1 2 25 2 2" xfId="44661"/>
    <cellStyle name="40% - Accent1 2 25 3" xfId="31157"/>
    <cellStyle name="40% - Accent1 2 26" xfId="2785"/>
    <cellStyle name="40% - Accent1 2 26 2" xfId="17745"/>
    <cellStyle name="40% - Accent1 2 26 2 2" xfId="44753"/>
    <cellStyle name="40% - Accent1 2 26 3" xfId="31249"/>
    <cellStyle name="40% - Accent1 2 27" xfId="2891"/>
    <cellStyle name="40% - Accent1 2 27 2" xfId="17837"/>
    <cellStyle name="40% - Accent1 2 27 2 2" xfId="44845"/>
    <cellStyle name="40% - Accent1 2 27 3" xfId="31341"/>
    <cellStyle name="40% - Accent1 2 28" xfId="2997"/>
    <cellStyle name="40% - Accent1 2 28 2" xfId="17929"/>
    <cellStyle name="40% - Accent1 2 28 2 2" xfId="44937"/>
    <cellStyle name="40% - Accent1 2 28 3" xfId="31433"/>
    <cellStyle name="40% - Accent1 2 29" xfId="3103"/>
    <cellStyle name="40% - Accent1 2 29 2" xfId="18021"/>
    <cellStyle name="40% - Accent1 2 29 2 2" xfId="45029"/>
    <cellStyle name="40% - Accent1 2 29 3" xfId="31525"/>
    <cellStyle name="40% - Accent1 2 3" xfId="414"/>
    <cellStyle name="40% - Accent1 2 3 10" xfId="9050"/>
    <cellStyle name="40% - Accent1 2 3 10 2" xfId="23218"/>
    <cellStyle name="40% - Accent1 2 3 10 2 2" xfId="50226"/>
    <cellStyle name="40% - Accent1 2 3 10 3" xfId="36722"/>
    <cellStyle name="40% - Accent1 2 3 11" xfId="9192"/>
    <cellStyle name="40% - Accent1 2 3 11 2" xfId="23346"/>
    <cellStyle name="40% - Accent1 2 3 11 2 2" xfId="50354"/>
    <cellStyle name="40% - Accent1 2 3 11 3" xfId="36850"/>
    <cellStyle name="40% - Accent1 2 3 12" xfId="9334"/>
    <cellStyle name="40% - Accent1 2 3 12 2" xfId="23474"/>
    <cellStyle name="40% - Accent1 2 3 12 2 2" xfId="50482"/>
    <cellStyle name="40% - Accent1 2 3 12 3" xfId="36978"/>
    <cellStyle name="40% - Accent1 2 3 13" xfId="9476"/>
    <cellStyle name="40% - Accent1 2 3 13 2" xfId="23602"/>
    <cellStyle name="40% - Accent1 2 3 13 2 2" xfId="50610"/>
    <cellStyle name="40% - Accent1 2 3 13 3" xfId="37106"/>
    <cellStyle name="40% - Accent1 2 3 14" xfId="9618"/>
    <cellStyle name="40% - Accent1 2 3 14 2" xfId="23730"/>
    <cellStyle name="40% - Accent1 2 3 14 2 2" xfId="50738"/>
    <cellStyle name="40% - Accent1 2 3 14 3" xfId="37234"/>
    <cellStyle name="40% - Accent1 2 3 15" xfId="9760"/>
    <cellStyle name="40% - Accent1 2 3 15 2" xfId="23858"/>
    <cellStyle name="40% - Accent1 2 3 15 2 2" xfId="50866"/>
    <cellStyle name="40% - Accent1 2 3 15 3" xfId="37362"/>
    <cellStyle name="40% - Accent1 2 3 16" xfId="9902"/>
    <cellStyle name="40% - Accent1 2 3 16 2" xfId="23986"/>
    <cellStyle name="40% - Accent1 2 3 16 2 2" xfId="50994"/>
    <cellStyle name="40% - Accent1 2 3 16 3" xfId="37490"/>
    <cellStyle name="40% - Accent1 2 3 17" xfId="10044"/>
    <cellStyle name="40% - Accent1 2 3 17 2" xfId="24114"/>
    <cellStyle name="40% - Accent1 2 3 17 2 2" xfId="51122"/>
    <cellStyle name="40% - Accent1 2 3 17 3" xfId="37618"/>
    <cellStyle name="40% - Accent1 2 3 18" xfId="10186"/>
    <cellStyle name="40% - Accent1 2 3 18 2" xfId="24242"/>
    <cellStyle name="40% - Accent1 2 3 18 2 2" xfId="51250"/>
    <cellStyle name="40% - Accent1 2 3 18 3" xfId="37746"/>
    <cellStyle name="40% - Accent1 2 3 19" xfId="10328"/>
    <cellStyle name="40% - Accent1 2 3 19 2" xfId="24370"/>
    <cellStyle name="40% - Accent1 2 3 19 2 2" xfId="51378"/>
    <cellStyle name="40% - Accent1 2 3 19 3" xfId="37874"/>
    <cellStyle name="40% - Accent1 2 3 2" xfId="7914"/>
    <cellStyle name="40% - Accent1 2 3 2 2" xfId="22194"/>
    <cellStyle name="40% - Accent1 2 3 2 2 2" xfId="49202"/>
    <cellStyle name="40% - Accent1 2 3 2 3" xfId="35698"/>
    <cellStyle name="40% - Accent1 2 3 20" xfId="10470"/>
    <cellStyle name="40% - Accent1 2 3 20 2" xfId="24498"/>
    <cellStyle name="40% - Accent1 2 3 20 2 2" xfId="51506"/>
    <cellStyle name="40% - Accent1 2 3 20 3" xfId="38002"/>
    <cellStyle name="40% - Accent1 2 3 21" xfId="10612"/>
    <cellStyle name="40% - Accent1 2 3 21 2" xfId="24626"/>
    <cellStyle name="40% - Accent1 2 3 21 2 2" xfId="51634"/>
    <cellStyle name="40% - Accent1 2 3 21 3" xfId="38130"/>
    <cellStyle name="40% - Accent1 2 3 22" xfId="10754"/>
    <cellStyle name="40% - Accent1 2 3 22 2" xfId="24754"/>
    <cellStyle name="40% - Accent1 2 3 22 2 2" xfId="51762"/>
    <cellStyle name="40% - Accent1 2 3 22 3" xfId="38258"/>
    <cellStyle name="40% - Accent1 2 3 23" xfId="10896"/>
    <cellStyle name="40% - Accent1 2 3 23 2" xfId="24882"/>
    <cellStyle name="40% - Accent1 2 3 23 2 2" xfId="51890"/>
    <cellStyle name="40% - Accent1 2 3 23 3" xfId="38386"/>
    <cellStyle name="40% - Accent1 2 3 24" xfId="11038"/>
    <cellStyle name="40% - Accent1 2 3 24 2" xfId="25010"/>
    <cellStyle name="40% - Accent1 2 3 24 2 2" xfId="52018"/>
    <cellStyle name="40% - Accent1 2 3 24 3" xfId="38514"/>
    <cellStyle name="40% - Accent1 2 3 25" xfId="11180"/>
    <cellStyle name="40% - Accent1 2 3 25 2" xfId="25138"/>
    <cellStyle name="40% - Accent1 2 3 25 2 2" xfId="52146"/>
    <cellStyle name="40% - Accent1 2 3 25 3" xfId="38642"/>
    <cellStyle name="40% - Accent1 2 3 26" xfId="11322"/>
    <cellStyle name="40% - Accent1 2 3 26 2" xfId="25266"/>
    <cellStyle name="40% - Accent1 2 3 26 2 2" xfId="52274"/>
    <cellStyle name="40% - Accent1 2 3 26 3" xfId="38770"/>
    <cellStyle name="40% - Accent1 2 3 27" xfId="11464"/>
    <cellStyle name="40% - Accent1 2 3 27 2" xfId="25394"/>
    <cellStyle name="40% - Accent1 2 3 27 2 2" xfId="52402"/>
    <cellStyle name="40% - Accent1 2 3 27 3" xfId="38898"/>
    <cellStyle name="40% - Accent1 2 3 28" xfId="11606"/>
    <cellStyle name="40% - Accent1 2 3 28 2" xfId="25522"/>
    <cellStyle name="40% - Accent1 2 3 28 2 2" xfId="52530"/>
    <cellStyle name="40% - Accent1 2 3 28 3" xfId="39026"/>
    <cellStyle name="40% - Accent1 2 3 29" xfId="11748"/>
    <cellStyle name="40% - Accent1 2 3 29 2" xfId="25650"/>
    <cellStyle name="40% - Accent1 2 3 29 2 2" xfId="52658"/>
    <cellStyle name="40% - Accent1 2 3 29 3" xfId="39154"/>
    <cellStyle name="40% - Accent1 2 3 3" xfId="8056"/>
    <cellStyle name="40% - Accent1 2 3 3 2" xfId="22322"/>
    <cellStyle name="40% - Accent1 2 3 3 2 2" xfId="49330"/>
    <cellStyle name="40% - Accent1 2 3 3 3" xfId="35826"/>
    <cellStyle name="40% - Accent1 2 3 30" xfId="11890"/>
    <cellStyle name="40% - Accent1 2 3 30 2" xfId="25778"/>
    <cellStyle name="40% - Accent1 2 3 30 2 2" xfId="52786"/>
    <cellStyle name="40% - Accent1 2 3 30 3" xfId="39282"/>
    <cellStyle name="40% - Accent1 2 3 31" xfId="12032"/>
    <cellStyle name="40% - Accent1 2 3 31 2" xfId="25906"/>
    <cellStyle name="40% - Accent1 2 3 31 2 2" xfId="52914"/>
    <cellStyle name="40% - Accent1 2 3 31 3" xfId="39410"/>
    <cellStyle name="40% - Accent1 2 3 32" xfId="12174"/>
    <cellStyle name="40% - Accent1 2 3 32 2" xfId="26034"/>
    <cellStyle name="40% - Accent1 2 3 32 2 2" xfId="53042"/>
    <cellStyle name="40% - Accent1 2 3 32 3" xfId="39538"/>
    <cellStyle name="40% - Accent1 2 3 33" xfId="12316"/>
    <cellStyle name="40% - Accent1 2 3 33 2" xfId="26162"/>
    <cellStyle name="40% - Accent1 2 3 33 2 2" xfId="53170"/>
    <cellStyle name="40% - Accent1 2 3 33 3" xfId="39666"/>
    <cellStyle name="40% - Accent1 2 3 34" xfId="12458"/>
    <cellStyle name="40% - Accent1 2 3 34 2" xfId="26290"/>
    <cellStyle name="40% - Accent1 2 3 34 2 2" xfId="53298"/>
    <cellStyle name="40% - Accent1 2 3 34 3" xfId="39794"/>
    <cellStyle name="40% - Accent1 2 3 35" xfId="12600"/>
    <cellStyle name="40% - Accent1 2 3 35 2" xfId="26418"/>
    <cellStyle name="40% - Accent1 2 3 35 2 2" xfId="53426"/>
    <cellStyle name="40% - Accent1 2 3 35 3" xfId="39922"/>
    <cellStyle name="40% - Accent1 2 3 36" xfId="12742"/>
    <cellStyle name="40% - Accent1 2 3 36 2" xfId="26546"/>
    <cellStyle name="40% - Accent1 2 3 36 2 2" xfId="53554"/>
    <cellStyle name="40% - Accent1 2 3 36 3" xfId="40050"/>
    <cellStyle name="40% - Accent1 2 3 37" xfId="12884"/>
    <cellStyle name="40% - Accent1 2 3 37 2" xfId="26674"/>
    <cellStyle name="40% - Accent1 2 3 37 2 2" xfId="53682"/>
    <cellStyle name="40% - Accent1 2 3 37 3" xfId="40178"/>
    <cellStyle name="40% - Accent1 2 3 38" xfId="13026"/>
    <cellStyle name="40% - Accent1 2 3 38 2" xfId="26802"/>
    <cellStyle name="40% - Accent1 2 3 38 2 2" xfId="53810"/>
    <cellStyle name="40% - Accent1 2 3 38 3" xfId="40306"/>
    <cellStyle name="40% - Accent1 2 3 39" xfId="13168"/>
    <cellStyle name="40% - Accent1 2 3 39 2" xfId="26930"/>
    <cellStyle name="40% - Accent1 2 3 39 2 2" xfId="53938"/>
    <cellStyle name="40% - Accent1 2 3 39 3" xfId="40434"/>
    <cellStyle name="40% - Accent1 2 3 4" xfId="8198"/>
    <cellStyle name="40% - Accent1 2 3 4 2" xfId="22450"/>
    <cellStyle name="40% - Accent1 2 3 4 2 2" xfId="49458"/>
    <cellStyle name="40% - Accent1 2 3 4 3" xfId="35954"/>
    <cellStyle name="40% - Accent1 2 3 40" xfId="13310"/>
    <cellStyle name="40% - Accent1 2 3 40 2" xfId="27058"/>
    <cellStyle name="40% - Accent1 2 3 40 2 2" xfId="54066"/>
    <cellStyle name="40% - Accent1 2 3 40 3" xfId="40562"/>
    <cellStyle name="40% - Accent1 2 3 41" xfId="13452"/>
    <cellStyle name="40% - Accent1 2 3 41 2" xfId="27186"/>
    <cellStyle name="40% - Accent1 2 3 41 2 2" xfId="54194"/>
    <cellStyle name="40% - Accent1 2 3 41 3" xfId="40690"/>
    <cellStyle name="40% - Accent1 2 3 42" xfId="13594"/>
    <cellStyle name="40% - Accent1 2 3 42 2" xfId="27314"/>
    <cellStyle name="40% - Accent1 2 3 42 2 2" xfId="54322"/>
    <cellStyle name="40% - Accent1 2 3 42 3" xfId="40818"/>
    <cellStyle name="40% - Accent1 2 3 43" xfId="13736"/>
    <cellStyle name="40% - Accent1 2 3 43 2" xfId="27442"/>
    <cellStyle name="40% - Accent1 2 3 43 2 2" xfId="54450"/>
    <cellStyle name="40% - Accent1 2 3 43 3" xfId="40946"/>
    <cellStyle name="40% - Accent1 2 3 44" xfId="13877"/>
    <cellStyle name="40% - Accent1 2 3 44 2" xfId="27569"/>
    <cellStyle name="40% - Accent1 2 3 44 2 2" xfId="54577"/>
    <cellStyle name="40% - Accent1 2 3 44 3" xfId="41073"/>
    <cellStyle name="40% - Accent1 2 3 45" xfId="14018"/>
    <cellStyle name="40% - Accent1 2 3 45 2" xfId="27696"/>
    <cellStyle name="40% - Accent1 2 3 45 2 2" xfId="54704"/>
    <cellStyle name="40% - Accent1 2 3 45 3" xfId="41200"/>
    <cellStyle name="40% - Accent1 2 3 46" xfId="14159"/>
    <cellStyle name="40% - Accent1 2 3 46 2" xfId="27823"/>
    <cellStyle name="40% - Accent1 2 3 46 2 2" xfId="54831"/>
    <cellStyle name="40% - Accent1 2 3 46 3" xfId="41327"/>
    <cellStyle name="40% - Accent1 2 3 47" xfId="14300"/>
    <cellStyle name="40% - Accent1 2 3 47 2" xfId="27950"/>
    <cellStyle name="40% - Accent1 2 3 47 2 2" xfId="54958"/>
    <cellStyle name="40% - Accent1 2 3 47 3" xfId="41454"/>
    <cellStyle name="40% - Accent1 2 3 48" xfId="14440"/>
    <cellStyle name="40% - Accent1 2 3 48 2" xfId="28076"/>
    <cellStyle name="40% - Accent1 2 3 48 2 2" xfId="55084"/>
    <cellStyle name="40% - Accent1 2 3 48 3" xfId="41580"/>
    <cellStyle name="40% - Accent1 2 3 49" xfId="14580"/>
    <cellStyle name="40% - Accent1 2 3 49 2" xfId="28202"/>
    <cellStyle name="40% - Accent1 2 3 49 2 2" xfId="55210"/>
    <cellStyle name="40% - Accent1 2 3 49 3" xfId="41706"/>
    <cellStyle name="40% - Accent1 2 3 5" xfId="8340"/>
    <cellStyle name="40% - Accent1 2 3 5 2" xfId="22578"/>
    <cellStyle name="40% - Accent1 2 3 5 2 2" xfId="49586"/>
    <cellStyle name="40% - Accent1 2 3 5 3" xfId="36082"/>
    <cellStyle name="40% - Accent1 2 3 50" xfId="14719"/>
    <cellStyle name="40% - Accent1 2 3 50 2" xfId="28327"/>
    <cellStyle name="40% - Accent1 2 3 50 2 2" xfId="55335"/>
    <cellStyle name="40% - Accent1 2 3 50 3" xfId="41831"/>
    <cellStyle name="40% - Accent1 2 3 51" xfId="14854"/>
    <cellStyle name="40% - Accent1 2 3 51 2" xfId="28449"/>
    <cellStyle name="40% - Accent1 2 3 51 2 2" xfId="55457"/>
    <cellStyle name="40% - Accent1 2 3 51 3" xfId="41953"/>
    <cellStyle name="40% - Accent1 2 3 52" xfId="14988"/>
    <cellStyle name="40% - Accent1 2 3 52 2" xfId="28570"/>
    <cellStyle name="40% - Accent1 2 3 52 2 2" xfId="55578"/>
    <cellStyle name="40% - Accent1 2 3 52 3" xfId="42074"/>
    <cellStyle name="40% - Accent1 2 3 53" xfId="15117"/>
    <cellStyle name="40% - Accent1 2 3 53 2" xfId="28687"/>
    <cellStyle name="40% - Accent1 2 3 53 2 2" xfId="55695"/>
    <cellStyle name="40% - Accent1 2 3 53 3" xfId="42191"/>
    <cellStyle name="40% - Accent1 2 3 54" xfId="15239"/>
    <cellStyle name="40% - Accent1 2 3 54 2" xfId="28801"/>
    <cellStyle name="40% - Accent1 2 3 54 2 2" xfId="55809"/>
    <cellStyle name="40% - Accent1 2 3 54 3" xfId="42305"/>
    <cellStyle name="40% - Accent1 2 3 55" xfId="15344"/>
    <cellStyle name="40% - Accent1 2 3 55 2" xfId="28904"/>
    <cellStyle name="40% - Accent1 2 3 55 2 2" xfId="55912"/>
    <cellStyle name="40% - Accent1 2 3 55 3" xfId="42408"/>
    <cellStyle name="40% - Accent1 2 3 56" xfId="15682"/>
    <cellStyle name="40% - Accent1 2 3 56 2" xfId="42690"/>
    <cellStyle name="40% - Accent1 2 3 57" xfId="29186"/>
    <cellStyle name="40% - Accent1 2 3 6" xfId="8482"/>
    <cellStyle name="40% - Accent1 2 3 6 2" xfId="22706"/>
    <cellStyle name="40% - Accent1 2 3 6 2 2" xfId="49714"/>
    <cellStyle name="40% - Accent1 2 3 6 3" xfId="36210"/>
    <cellStyle name="40% - Accent1 2 3 7" xfId="8624"/>
    <cellStyle name="40% - Accent1 2 3 7 2" xfId="22834"/>
    <cellStyle name="40% - Accent1 2 3 7 2 2" xfId="49842"/>
    <cellStyle name="40% - Accent1 2 3 7 3" xfId="36338"/>
    <cellStyle name="40% - Accent1 2 3 8" xfId="8766"/>
    <cellStyle name="40% - Accent1 2 3 8 2" xfId="22962"/>
    <cellStyle name="40% - Accent1 2 3 8 2 2" xfId="49970"/>
    <cellStyle name="40% - Accent1 2 3 8 3" xfId="36466"/>
    <cellStyle name="40% - Accent1 2 3 9" xfId="8908"/>
    <cellStyle name="40% - Accent1 2 3 9 2" xfId="23090"/>
    <cellStyle name="40% - Accent1 2 3 9 2 2" xfId="50098"/>
    <cellStyle name="40% - Accent1 2 3 9 3" xfId="36594"/>
    <cellStyle name="40% - Accent1 2 30" xfId="3209"/>
    <cellStyle name="40% - Accent1 2 30 2" xfId="18113"/>
    <cellStyle name="40% - Accent1 2 30 2 2" xfId="45121"/>
    <cellStyle name="40% - Accent1 2 30 3" xfId="31617"/>
    <cellStyle name="40% - Accent1 2 31" xfId="3315"/>
    <cellStyle name="40% - Accent1 2 31 2" xfId="18205"/>
    <cellStyle name="40% - Accent1 2 31 2 2" xfId="45213"/>
    <cellStyle name="40% - Accent1 2 31 3" xfId="31709"/>
    <cellStyle name="40% - Accent1 2 32" xfId="3421"/>
    <cellStyle name="40% - Accent1 2 32 2" xfId="18297"/>
    <cellStyle name="40% - Accent1 2 32 2 2" xfId="45305"/>
    <cellStyle name="40% - Accent1 2 32 3" xfId="31801"/>
    <cellStyle name="40% - Accent1 2 33" xfId="3527"/>
    <cellStyle name="40% - Accent1 2 33 2" xfId="18389"/>
    <cellStyle name="40% - Accent1 2 33 2 2" xfId="45397"/>
    <cellStyle name="40% - Accent1 2 33 3" xfId="31893"/>
    <cellStyle name="40% - Accent1 2 34" xfId="3633"/>
    <cellStyle name="40% - Accent1 2 34 2" xfId="18481"/>
    <cellStyle name="40% - Accent1 2 34 2 2" xfId="45489"/>
    <cellStyle name="40% - Accent1 2 34 3" xfId="31985"/>
    <cellStyle name="40% - Accent1 2 35" xfId="3739"/>
    <cellStyle name="40% - Accent1 2 35 2" xfId="18573"/>
    <cellStyle name="40% - Accent1 2 35 2 2" xfId="45581"/>
    <cellStyle name="40% - Accent1 2 35 3" xfId="32077"/>
    <cellStyle name="40% - Accent1 2 36" xfId="3845"/>
    <cellStyle name="40% - Accent1 2 36 2" xfId="18665"/>
    <cellStyle name="40% - Accent1 2 36 2 2" xfId="45673"/>
    <cellStyle name="40% - Accent1 2 36 3" xfId="32169"/>
    <cellStyle name="40% - Accent1 2 37" xfId="3951"/>
    <cellStyle name="40% - Accent1 2 37 2" xfId="18757"/>
    <cellStyle name="40% - Accent1 2 37 2 2" xfId="45765"/>
    <cellStyle name="40% - Accent1 2 37 3" xfId="32261"/>
    <cellStyle name="40% - Accent1 2 38" xfId="4057"/>
    <cellStyle name="40% - Accent1 2 38 2" xfId="18849"/>
    <cellStyle name="40% - Accent1 2 38 2 2" xfId="45857"/>
    <cellStyle name="40% - Accent1 2 38 3" xfId="32353"/>
    <cellStyle name="40% - Accent1 2 39" xfId="4163"/>
    <cellStyle name="40% - Accent1 2 39 2" xfId="18941"/>
    <cellStyle name="40% - Accent1 2 39 2 2" xfId="45949"/>
    <cellStyle name="40% - Accent1 2 39 3" xfId="32445"/>
    <cellStyle name="40% - Accent1 2 4" xfId="192"/>
    <cellStyle name="40% - Accent1 2 4 2" xfId="15547"/>
    <cellStyle name="40% - Accent1 2 4 2 2" xfId="42555"/>
    <cellStyle name="40% - Accent1 2 4 3" xfId="29051"/>
    <cellStyle name="40% - Accent1 2 40" xfId="4269"/>
    <cellStyle name="40% - Accent1 2 40 2" xfId="19033"/>
    <cellStyle name="40% - Accent1 2 40 2 2" xfId="46041"/>
    <cellStyle name="40% - Accent1 2 40 3" xfId="32537"/>
    <cellStyle name="40% - Accent1 2 41" xfId="4375"/>
    <cellStyle name="40% - Accent1 2 41 2" xfId="19125"/>
    <cellStyle name="40% - Accent1 2 41 2 2" xfId="46133"/>
    <cellStyle name="40% - Accent1 2 41 3" xfId="32629"/>
    <cellStyle name="40% - Accent1 2 42" xfId="4481"/>
    <cellStyle name="40% - Accent1 2 42 2" xfId="19217"/>
    <cellStyle name="40% - Accent1 2 42 2 2" xfId="46225"/>
    <cellStyle name="40% - Accent1 2 42 3" xfId="32721"/>
    <cellStyle name="40% - Accent1 2 43" xfId="4587"/>
    <cellStyle name="40% - Accent1 2 43 2" xfId="19309"/>
    <cellStyle name="40% - Accent1 2 43 2 2" xfId="46317"/>
    <cellStyle name="40% - Accent1 2 43 3" xfId="32813"/>
    <cellStyle name="40% - Accent1 2 44" xfId="4693"/>
    <cellStyle name="40% - Accent1 2 44 2" xfId="19401"/>
    <cellStyle name="40% - Accent1 2 44 2 2" xfId="46409"/>
    <cellStyle name="40% - Accent1 2 44 3" xfId="32905"/>
    <cellStyle name="40% - Accent1 2 45" xfId="4799"/>
    <cellStyle name="40% - Accent1 2 45 2" xfId="19493"/>
    <cellStyle name="40% - Accent1 2 45 2 2" xfId="46501"/>
    <cellStyle name="40% - Accent1 2 45 3" xfId="32997"/>
    <cellStyle name="40% - Accent1 2 46" xfId="4905"/>
    <cellStyle name="40% - Accent1 2 46 2" xfId="19585"/>
    <cellStyle name="40% - Accent1 2 46 2 2" xfId="46593"/>
    <cellStyle name="40% - Accent1 2 46 3" xfId="33089"/>
    <cellStyle name="40% - Accent1 2 47" xfId="5011"/>
    <cellStyle name="40% - Accent1 2 47 2" xfId="19677"/>
    <cellStyle name="40% - Accent1 2 47 2 2" xfId="46685"/>
    <cellStyle name="40% - Accent1 2 47 3" xfId="33181"/>
    <cellStyle name="40% - Accent1 2 48" xfId="5117"/>
    <cellStyle name="40% - Accent1 2 48 2" xfId="19769"/>
    <cellStyle name="40% - Accent1 2 48 2 2" xfId="46777"/>
    <cellStyle name="40% - Accent1 2 48 3" xfId="33273"/>
    <cellStyle name="40% - Accent1 2 49" xfId="5223"/>
    <cellStyle name="40% - Accent1 2 49 2" xfId="19861"/>
    <cellStyle name="40% - Accent1 2 49 2 2" xfId="46869"/>
    <cellStyle name="40% - Accent1 2 49 3" xfId="33365"/>
    <cellStyle name="40% - Accent1 2 5" xfId="560"/>
    <cellStyle name="40% - Accent1 2 5 2" xfId="15814"/>
    <cellStyle name="40% - Accent1 2 5 2 2" xfId="42822"/>
    <cellStyle name="40% - Accent1 2 5 3" xfId="29318"/>
    <cellStyle name="40% - Accent1 2 50" xfId="5329"/>
    <cellStyle name="40% - Accent1 2 50 2" xfId="19953"/>
    <cellStyle name="40% - Accent1 2 50 2 2" xfId="46961"/>
    <cellStyle name="40% - Accent1 2 50 3" xfId="33457"/>
    <cellStyle name="40% - Accent1 2 51" xfId="5435"/>
    <cellStyle name="40% - Accent1 2 51 2" xfId="20045"/>
    <cellStyle name="40% - Accent1 2 51 2 2" xfId="47053"/>
    <cellStyle name="40% - Accent1 2 51 3" xfId="33549"/>
    <cellStyle name="40% - Accent1 2 52" xfId="5541"/>
    <cellStyle name="40% - Accent1 2 52 2" xfId="20137"/>
    <cellStyle name="40% - Accent1 2 52 2 2" xfId="47145"/>
    <cellStyle name="40% - Accent1 2 52 3" xfId="33641"/>
    <cellStyle name="40% - Accent1 2 53" xfId="5647"/>
    <cellStyle name="40% - Accent1 2 53 2" xfId="20229"/>
    <cellStyle name="40% - Accent1 2 53 2 2" xfId="47237"/>
    <cellStyle name="40% - Accent1 2 53 3" xfId="33733"/>
    <cellStyle name="40% - Accent1 2 54" xfId="5753"/>
    <cellStyle name="40% - Accent1 2 54 2" xfId="20321"/>
    <cellStyle name="40% - Accent1 2 54 2 2" xfId="47329"/>
    <cellStyle name="40% - Accent1 2 54 3" xfId="33825"/>
    <cellStyle name="40% - Accent1 2 55" xfId="5859"/>
    <cellStyle name="40% - Accent1 2 55 2" xfId="20413"/>
    <cellStyle name="40% - Accent1 2 55 2 2" xfId="47421"/>
    <cellStyle name="40% - Accent1 2 55 3" xfId="33917"/>
    <cellStyle name="40% - Accent1 2 56" xfId="5965"/>
    <cellStyle name="40% - Accent1 2 56 2" xfId="20505"/>
    <cellStyle name="40% - Accent1 2 56 2 2" xfId="47513"/>
    <cellStyle name="40% - Accent1 2 56 3" xfId="34009"/>
    <cellStyle name="40% - Accent1 2 57" xfId="6071"/>
    <cellStyle name="40% - Accent1 2 57 2" xfId="20597"/>
    <cellStyle name="40% - Accent1 2 57 2 2" xfId="47605"/>
    <cellStyle name="40% - Accent1 2 57 3" xfId="34101"/>
    <cellStyle name="40% - Accent1 2 58" xfId="6177"/>
    <cellStyle name="40% - Accent1 2 58 2" xfId="20689"/>
    <cellStyle name="40% - Accent1 2 58 2 2" xfId="47697"/>
    <cellStyle name="40% - Accent1 2 58 3" xfId="34193"/>
    <cellStyle name="40% - Accent1 2 59" xfId="6283"/>
    <cellStyle name="40% - Accent1 2 59 2" xfId="20781"/>
    <cellStyle name="40% - Accent1 2 59 2 2" xfId="47789"/>
    <cellStyle name="40% - Accent1 2 59 3" xfId="34285"/>
    <cellStyle name="40% - Accent1 2 6" xfId="665"/>
    <cellStyle name="40% - Accent1 2 6 2" xfId="15905"/>
    <cellStyle name="40% - Accent1 2 6 2 2" xfId="42913"/>
    <cellStyle name="40% - Accent1 2 6 3" xfId="29409"/>
    <cellStyle name="40% - Accent1 2 60" xfId="6389"/>
    <cellStyle name="40% - Accent1 2 60 2" xfId="20873"/>
    <cellStyle name="40% - Accent1 2 60 2 2" xfId="47881"/>
    <cellStyle name="40% - Accent1 2 60 3" xfId="34377"/>
    <cellStyle name="40% - Accent1 2 61" xfId="6495"/>
    <cellStyle name="40% - Accent1 2 61 2" xfId="20965"/>
    <cellStyle name="40% - Accent1 2 61 2 2" xfId="47973"/>
    <cellStyle name="40% - Accent1 2 61 3" xfId="34469"/>
    <cellStyle name="40% - Accent1 2 62" xfId="6600"/>
    <cellStyle name="40% - Accent1 2 62 2" xfId="21056"/>
    <cellStyle name="40% - Accent1 2 62 2 2" xfId="48064"/>
    <cellStyle name="40% - Accent1 2 62 3" xfId="34560"/>
    <cellStyle name="40% - Accent1 2 63" xfId="6705"/>
    <cellStyle name="40% - Accent1 2 63 2" xfId="21147"/>
    <cellStyle name="40% - Accent1 2 63 2 2" xfId="48155"/>
    <cellStyle name="40% - Accent1 2 63 3" xfId="34651"/>
    <cellStyle name="40% - Accent1 2 64" xfId="6810"/>
    <cellStyle name="40% - Accent1 2 64 2" xfId="21238"/>
    <cellStyle name="40% - Accent1 2 64 2 2" xfId="48246"/>
    <cellStyle name="40% - Accent1 2 64 3" xfId="34742"/>
    <cellStyle name="40% - Accent1 2 65" xfId="6915"/>
    <cellStyle name="40% - Accent1 2 65 2" xfId="21329"/>
    <cellStyle name="40% - Accent1 2 65 2 2" xfId="48337"/>
    <cellStyle name="40% - Accent1 2 65 3" xfId="34833"/>
    <cellStyle name="40% - Accent1 2 66" xfId="7020"/>
    <cellStyle name="40% - Accent1 2 66 2" xfId="21420"/>
    <cellStyle name="40% - Accent1 2 66 2 2" xfId="48428"/>
    <cellStyle name="40% - Accent1 2 66 3" xfId="34924"/>
    <cellStyle name="40% - Accent1 2 67" xfId="7124"/>
    <cellStyle name="40% - Accent1 2 67 2" xfId="21510"/>
    <cellStyle name="40% - Accent1 2 67 2 2" xfId="48518"/>
    <cellStyle name="40% - Accent1 2 67 3" xfId="35014"/>
    <cellStyle name="40% - Accent1 2 68" xfId="7228"/>
    <cellStyle name="40% - Accent1 2 68 2" xfId="21600"/>
    <cellStyle name="40% - Accent1 2 68 2 2" xfId="48608"/>
    <cellStyle name="40% - Accent1 2 68 3" xfId="35104"/>
    <cellStyle name="40% - Accent1 2 69" xfId="7330"/>
    <cellStyle name="40% - Accent1 2 69 2" xfId="21688"/>
    <cellStyle name="40% - Accent1 2 69 2 2" xfId="48696"/>
    <cellStyle name="40% - Accent1 2 69 3" xfId="35192"/>
    <cellStyle name="40% - Accent1 2 7" xfId="771"/>
    <cellStyle name="40% - Accent1 2 7 2" xfId="15997"/>
    <cellStyle name="40% - Accent1 2 7 2 2" xfId="43005"/>
    <cellStyle name="40% - Accent1 2 7 3" xfId="29501"/>
    <cellStyle name="40% - Accent1 2 70" xfId="7429"/>
    <cellStyle name="40% - Accent1 2 70 2" xfId="21774"/>
    <cellStyle name="40% - Accent1 2 70 2 2" xfId="48782"/>
    <cellStyle name="40% - Accent1 2 70 3" xfId="35278"/>
    <cellStyle name="40% - Accent1 2 71" xfId="7527"/>
    <cellStyle name="40% - Accent1 2 71 2" xfId="21859"/>
    <cellStyle name="40% - Accent1 2 71 2 2" xfId="48867"/>
    <cellStyle name="40% - Accent1 2 71 3" xfId="35363"/>
    <cellStyle name="40% - Accent1 2 72" xfId="7616"/>
    <cellStyle name="40% - Accent1 2 72 2" xfId="21937"/>
    <cellStyle name="40% - Accent1 2 72 2 2" xfId="48945"/>
    <cellStyle name="40% - Accent1 2 72 3" xfId="35441"/>
    <cellStyle name="40% - Accent1 2 73" xfId="7721"/>
    <cellStyle name="40% - Accent1 2 73 2" xfId="22023"/>
    <cellStyle name="40% - Accent1 2 73 2 2" xfId="49031"/>
    <cellStyle name="40% - Accent1 2 73 3" xfId="35527"/>
    <cellStyle name="40% - Accent1 2 74" xfId="7874"/>
    <cellStyle name="40% - Accent1 2 74 2" xfId="22162"/>
    <cellStyle name="40% - Accent1 2 74 2 2" xfId="49170"/>
    <cellStyle name="40% - Accent1 2 74 3" xfId="35666"/>
    <cellStyle name="40% - Accent1 2 75" xfId="8016"/>
    <cellStyle name="40% - Accent1 2 75 2" xfId="22290"/>
    <cellStyle name="40% - Accent1 2 75 2 2" xfId="49298"/>
    <cellStyle name="40% - Accent1 2 75 3" xfId="35794"/>
    <cellStyle name="40% - Accent1 2 76" xfId="8158"/>
    <cellStyle name="40% - Accent1 2 76 2" xfId="22418"/>
    <cellStyle name="40% - Accent1 2 76 2 2" xfId="49426"/>
    <cellStyle name="40% - Accent1 2 76 3" xfId="35922"/>
    <cellStyle name="40% - Accent1 2 77" xfId="8300"/>
    <cellStyle name="40% - Accent1 2 77 2" xfId="22546"/>
    <cellStyle name="40% - Accent1 2 77 2 2" xfId="49554"/>
    <cellStyle name="40% - Accent1 2 77 3" xfId="36050"/>
    <cellStyle name="40% - Accent1 2 78" xfId="8442"/>
    <cellStyle name="40% - Accent1 2 78 2" xfId="22674"/>
    <cellStyle name="40% - Accent1 2 78 2 2" xfId="49682"/>
    <cellStyle name="40% - Accent1 2 78 3" xfId="36178"/>
    <cellStyle name="40% - Accent1 2 79" xfId="8584"/>
    <cellStyle name="40% - Accent1 2 79 2" xfId="22802"/>
    <cellStyle name="40% - Accent1 2 79 2 2" xfId="49810"/>
    <cellStyle name="40% - Accent1 2 79 3" xfId="36306"/>
    <cellStyle name="40% - Accent1 2 8" xfId="877"/>
    <cellStyle name="40% - Accent1 2 8 2" xfId="16089"/>
    <cellStyle name="40% - Accent1 2 8 2 2" xfId="43097"/>
    <cellStyle name="40% - Accent1 2 8 3" xfId="29593"/>
    <cellStyle name="40% - Accent1 2 80" xfId="8726"/>
    <cellStyle name="40% - Accent1 2 80 2" xfId="22930"/>
    <cellStyle name="40% - Accent1 2 80 2 2" xfId="49938"/>
    <cellStyle name="40% - Accent1 2 80 3" xfId="36434"/>
    <cellStyle name="40% - Accent1 2 81" xfId="8868"/>
    <cellStyle name="40% - Accent1 2 81 2" xfId="23058"/>
    <cellStyle name="40% - Accent1 2 81 2 2" xfId="50066"/>
    <cellStyle name="40% - Accent1 2 81 3" xfId="36562"/>
    <cellStyle name="40% - Accent1 2 82" xfId="9010"/>
    <cellStyle name="40% - Accent1 2 82 2" xfId="23186"/>
    <cellStyle name="40% - Accent1 2 82 2 2" xfId="50194"/>
    <cellStyle name="40% - Accent1 2 82 3" xfId="36690"/>
    <cellStyle name="40% - Accent1 2 83" xfId="9152"/>
    <cellStyle name="40% - Accent1 2 83 2" xfId="23314"/>
    <cellStyle name="40% - Accent1 2 83 2 2" xfId="50322"/>
    <cellStyle name="40% - Accent1 2 83 3" xfId="36818"/>
    <cellStyle name="40% - Accent1 2 84" xfId="9294"/>
    <cellStyle name="40% - Accent1 2 84 2" xfId="23442"/>
    <cellStyle name="40% - Accent1 2 84 2 2" xfId="50450"/>
    <cellStyle name="40% - Accent1 2 84 3" xfId="36946"/>
    <cellStyle name="40% - Accent1 2 85" xfId="9436"/>
    <cellStyle name="40% - Accent1 2 85 2" xfId="23570"/>
    <cellStyle name="40% - Accent1 2 85 2 2" xfId="50578"/>
    <cellStyle name="40% - Accent1 2 85 3" xfId="37074"/>
    <cellStyle name="40% - Accent1 2 86" xfId="9578"/>
    <cellStyle name="40% - Accent1 2 86 2" xfId="23698"/>
    <cellStyle name="40% - Accent1 2 86 2 2" xfId="50706"/>
    <cellStyle name="40% - Accent1 2 86 3" xfId="37202"/>
    <cellStyle name="40% - Accent1 2 87" xfId="9720"/>
    <cellStyle name="40% - Accent1 2 87 2" xfId="23826"/>
    <cellStyle name="40% - Accent1 2 87 2 2" xfId="50834"/>
    <cellStyle name="40% - Accent1 2 87 3" xfId="37330"/>
    <cellStyle name="40% - Accent1 2 88" xfId="9862"/>
    <cellStyle name="40% - Accent1 2 88 2" xfId="23954"/>
    <cellStyle name="40% - Accent1 2 88 2 2" xfId="50962"/>
    <cellStyle name="40% - Accent1 2 88 3" xfId="37458"/>
    <cellStyle name="40% - Accent1 2 89" xfId="10004"/>
    <cellStyle name="40% - Accent1 2 89 2" xfId="24082"/>
    <cellStyle name="40% - Accent1 2 89 2 2" xfId="51090"/>
    <cellStyle name="40% - Accent1 2 89 3" xfId="37586"/>
    <cellStyle name="40% - Accent1 2 9" xfId="983"/>
    <cellStyle name="40% - Accent1 2 9 2" xfId="16181"/>
    <cellStyle name="40% - Accent1 2 9 2 2" xfId="43189"/>
    <cellStyle name="40% - Accent1 2 9 3" xfId="29685"/>
    <cellStyle name="40% - Accent1 2 90" xfId="10146"/>
    <cellStyle name="40% - Accent1 2 90 2" xfId="24210"/>
    <cellStyle name="40% - Accent1 2 90 2 2" xfId="51218"/>
    <cellStyle name="40% - Accent1 2 90 3" xfId="37714"/>
    <cellStyle name="40% - Accent1 2 91" xfId="10288"/>
    <cellStyle name="40% - Accent1 2 91 2" xfId="24338"/>
    <cellStyle name="40% - Accent1 2 91 2 2" xfId="51346"/>
    <cellStyle name="40% - Accent1 2 91 3" xfId="37842"/>
    <cellStyle name="40% - Accent1 2 92" xfId="10430"/>
    <cellStyle name="40% - Accent1 2 92 2" xfId="24466"/>
    <cellStyle name="40% - Accent1 2 92 2 2" xfId="51474"/>
    <cellStyle name="40% - Accent1 2 92 3" xfId="37970"/>
    <cellStyle name="40% - Accent1 2 93" xfId="10572"/>
    <cellStyle name="40% - Accent1 2 93 2" xfId="24594"/>
    <cellStyle name="40% - Accent1 2 93 2 2" xfId="51602"/>
    <cellStyle name="40% - Accent1 2 93 3" xfId="38098"/>
    <cellStyle name="40% - Accent1 2 94" xfId="10714"/>
    <cellStyle name="40% - Accent1 2 94 2" xfId="24722"/>
    <cellStyle name="40% - Accent1 2 94 2 2" xfId="51730"/>
    <cellStyle name="40% - Accent1 2 94 3" xfId="38226"/>
    <cellStyle name="40% - Accent1 2 95" xfId="10856"/>
    <cellStyle name="40% - Accent1 2 95 2" xfId="24850"/>
    <cellStyle name="40% - Accent1 2 95 2 2" xfId="51858"/>
    <cellStyle name="40% - Accent1 2 95 3" xfId="38354"/>
    <cellStyle name="40% - Accent1 2 96" xfId="10998"/>
    <cellStyle name="40% - Accent1 2 96 2" xfId="24978"/>
    <cellStyle name="40% - Accent1 2 96 2 2" xfId="51986"/>
    <cellStyle name="40% - Accent1 2 96 3" xfId="38482"/>
    <cellStyle name="40% - Accent1 2 97" xfId="11140"/>
    <cellStyle name="40% - Accent1 2 97 2" xfId="25106"/>
    <cellStyle name="40% - Accent1 2 97 2 2" xfId="52114"/>
    <cellStyle name="40% - Accent1 2 97 3" xfId="38610"/>
    <cellStyle name="40% - Accent1 2 98" xfId="11282"/>
    <cellStyle name="40% - Accent1 2 98 2" xfId="25234"/>
    <cellStyle name="40% - Accent1 2 98 2 2" xfId="52242"/>
    <cellStyle name="40% - Accent1 2 98 3" xfId="38738"/>
    <cellStyle name="40% - Accent1 2 99" xfId="11424"/>
    <cellStyle name="40% - Accent1 2 99 2" xfId="25362"/>
    <cellStyle name="40% - Accent1 2 99 2 2" xfId="52370"/>
    <cellStyle name="40% - Accent1 2 99 3" xfId="38866"/>
    <cellStyle name="40% - Accent1 3" xfId="128"/>
    <cellStyle name="40% - Accent1 3 10" xfId="1220"/>
    <cellStyle name="40% - Accent1 3 10 2" xfId="16383"/>
    <cellStyle name="40% - Accent1 3 10 2 2" xfId="43391"/>
    <cellStyle name="40% - Accent1 3 10 3" xfId="29887"/>
    <cellStyle name="40% - Accent1 3 100" xfId="11782"/>
    <cellStyle name="40% - Accent1 3 100 2" xfId="25680"/>
    <cellStyle name="40% - Accent1 3 100 2 2" xfId="52688"/>
    <cellStyle name="40% - Accent1 3 100 3" xfId="39184"/>
    <cellStyle name="40% - Accent1 3 101" xfId="11924"/>
    <cellStyle name="40% - Accent1 3 101 2" xfId="25808"/>
    <cellStyle name="40% - Accent1 3 101 2 2" xfId="52816"/>
    <cellStyle name="40% - Accent1 3 101 3" xfId="39312"/>
    <cellStyle name="40% - Accent1 3 102" xfId="12066"/>
    <cellStyle name="40% - Accent1 3 102 2" xfId="25936"/>
    <cellStyle name="40% - Accent1 3 102 2 2" xfId="52944"/>
    <cellStyle name="40% - Accent1 3 102 3" xfId="39440"/>
    <cellStyle name="40% - Accent1 3 103" xfId="12208"/>
    <cellStyle name="40% - Accent1 3 103 2" xfId="26064"/>
    <cellStyle name="40% - Accent1 3 103 2 2" xfId="53072"/>
    <cellStyle name="40% - Accent1 3 103 3" xfId="39568"/>
    <cellStyle name="40% - Accent1 3 104" xfId="12350"/>
    <cellStyle name="40% - Accent1 3 104 2" xfId="26192"/>
    <cellStyle name="40% - Accent1 3 104 2 2" xfId="53200"/>
    <cellStyle name="40% - Accent1 3 104 3" xfId="39696"/>
    <cellStyle name="40% - Accent1 3 105" xfId="12492"/>
    <cellStyle name="40% - Accent1 3 105 2" xfId="26320"/>
    <cellStyle name="40% - Accent1 3 105 2 2" xfId="53328"/>
    <cellStyle name="40% - Accent1 3 105 3" xfId="39824"/>
    <cellStyle name="40% - Accent1 3 106" xfId="12634"/>
    <cellStyle name="40% - Accent1 3 106 2" xfId="26448"/>
    <cellStyle name="40% - Accent1 3 106 2 2" xfId="53456"/>
    <cellStyle name="40% - Accent1 3 106 3" xfId="39952"/>
    <cellStyle name="40% - Accent1 3 107" xfId="12776"/>
    <cellStyle name="40% - Accent1 3 107 2" xfId="26576"/>
    <cellStyle name="40% - Accent1 3 107 2 2" xfId="53584"/>
    <cellStyle name="40% - Accent1 3 107 3" xfId="40080"/>
    <cellStyle name="40% - Accent1 3 108" xfId="12918"/>
    <cellStyle name="40% - Accent1 3 108 2" xfId="26704"/>
    <cellStyle name="40% - Accent1 3 108 2 2" xfId="53712"/>
    <cellStyle name="40% - Accent1 3 108 3" xfId="40208"/>
    <cellStyle name="40% - Accent1 3 109" xfId="13060"/>
    <cellStyle name="40% - Accent1 3 109 2" xfId="26832"/>
    <cellStyle name="40% - Accent1 3 109 2 2" xfId="53840"/>
    <cellStyle name="40% - Accent1 3 109 3" xfId="40336"/>
    <cellStyle name="40% - Accent1 3 11" xfId="1326"/>
    <cellStyle name="40% - Accent1 3 11 2" xfId="16475"/>
    <cellStyle name="40% - Accent1 3 11 2 2" xfId="43483"/>
    <cellStyle name="40% - Accent1 3 11 3" xfId="29979"/>
    <cellStyle name="40% - Accent1 3 110" xfId="13202"/>
    <cellStyle name="40% - Accent1 3 110 2" xfId="26960"/>
    <cellStyle name="40% - Accent1 3 110 2 2" xfId="53968"/>
    <cellStyle name="40% - Accent1 3 110 3" xfId="40464"/>
    <cellStyle name="40% - Accent1 3 111" xfId="13344"/>
    <cellStyle name="40% - Accent1 3 111 2" xfId="27088"/>
    <cellStyle name="40% - Accent1 3 111 2 2" xfId="54096"/>
    <cellStyle name="40% - Accent1 3 111 3" xfId="40592"/>
    <cellStyle name="40% - Accent1 3 112" xfId="13486"/>
    <cellStyle name="40% - Accent1 3 112 2" xfId="27216"/>
    <cellStyle name="40% - Accent1 3 112 2 2" xfId="54224"/>
    <cellStyle name="40% - Accent1 3 112 3" xfId="40720"/>
    <cellStyle name="40% - Accent1 3 113" xfId="13628"/>
    <cellStyle name="40% - Accent1 3 113 2" xfId="27344"/>
    <cellStyle name="40% - Accent1 3 113 2 2" xfId="54352"/>
    <cellStyle name="40% - Accent1 3 113 3" xfId="40848"/>
    <cellStyle name="40% - Accent1 3 114" xfId="13770"/>
    <cellStyle name="40% - Accent1 3 114 2" xfId="27472"/>
    <cellStyle name="40% - Accent1 3 114 2 2" xfId="54480"/>
    <cellStyle name="40% - Accent1 3 114 3" xfId="40976"/>
    <cellStyle name="40% - Accent1 3 115" xfId="13911"/>
    <cellStyle name="40% - Accent1 3 115 2" xfId="27599"/>
    <cellStyle name="40% - Accent1 3 115 2 2" xfId="54607"/>
    <cellStyle name="40% - Accent1 3 115 3" xfId="41103"/>
    <cellStyle name="40% - Accent1 3 116" xfId="14052"/>
    <cellStyle name="40% - Accent1 3 116 2" xfId="27726"/>
    <cellStyle name="40% - Accent1 3 116 2 2" xfId="54734"/>
    <cellStyle name="40% - Accent1 3 116 3" xfId="41230"/>
    <cellStyle name="40% - Accent1 3 117" xfId="14193"/>
    <cellStyle name="40% - Accent1 3 117 2" xfId="27853"/>
    <cellStyle name="40% - Accent1 3 117 2 2" xfId="54861"/>
    <cellStyle name="40% - Accent1 3 117 3" xfId="41357"/>
    <cellStyle name="40% - Accent1 3 118" xfId="14334"/>
    <cellStyle name="40% - Accent1 3 118 2" xfId="27980"/>
    <cellStyle name="40% - Accent1 3 118 2 2" xfId="54988"/>
    <cellStyle name="40% - Accent1 3 118 3" xfId="41484"/>
    <cellStyle name="40% - Accent1 3 119" xfId="14474"/>
    <cellStyle name="40% - Accent1 3 119 2" xfId="28106"/>
    <cellStyle name="40% - Accent1 3 119 2 2" xfId="55114"/>
    <cellStyle name="40% - Accent1 3 119 3" xfId="41610"/>
    <cellStyle name="40% - Accent1 3 12" xfId="1432"/>
    <cellStyle name="40% - Accent1 3 12 2" xfId="16567"/>
    <cellStyle name="40% - Accent1 3 12 2 2" xfId="43575"/>
    <cellStyle name="40% - Accent1 3 12 3" xfId="30071"/>
    <cellStyle name="40% - Accent1 3 120" xfId="14614"/>
    <cellStyle name="40% - Accent1 3 120 2" xfId="28232"/>
    <cellStyle name="40% - Accent1 3 120 2 2" xfId="55240"/>
    <cellStyle name="40% - Accent1 3 120 3" xfId="41736"/>
    <cellStyle name="40% - Accent1 3 121" xfId="14753"/>
    <cellStyle name="40% - Accent1 3 121 2" xfId="28357"/>
    <cellStyle name="40% - Accent1 3 121 2 2" xfId="55365"/>
    <cellStyle name="40% - Accent1 3 121 3" xfId="41861"/>
    <cellStyle name="40% - Accent1 3 122" xfId="14888"/>
    <cellStyle name="40% - Accent1 3 122 2" xfId="28479"/>
    <cellStyle name="40% - Accent1 3 122 2 2" xfId="55487"/>
    <cellStyle name="40% - Accent1 3 122 3" xfId="41983"/>
    <cellStyle name="40% - Accent1 3 123" xfId="15022"/>
    <cellStyle name="40% - Accent1 3 123 2" xfId="28600"/>
    <cellStyle name="40% - Accent1 3 123 2 2" xfId="55608"/>
    <cellStyle name="40% - Accent1 3 123 3" xfId="42104"/>
    <cellStyle name="40% - Accent1 3 124" xfId="15150"/>
    <cellStyle name="40% - Accent1 3 124 2" xfId="28717"/>
    <cellStyle name="40% - Accent1 3 124 2 2" xfId="55725"/>
    <cellStyle name="40% - Accent1 3 124 3" xfId="42221"/>
    <cellStyle name="40% - Accent1 3 125" xfId="15271"/>
    <cellStyle name="40% - Accent1 3 125 2" xfId="28831"/>
    <cellStyle name="40% - Accent1 3 125 2 2" xfId="55839"/>
    <cellStyle name="40% - Accent1 3 125 3" xfId="42335"/>
    <cellStyle name="40% - Accent1 3 126" xfId="15486"/>
    <cellStyle name="40% - Accent1 3 126 2" xfId="42494"/>
    <cellStyle name="40% - Accent1 3 127" xfId="28990"/>
    <cellStyle name="40% - Accent1 3 13" xfId="1538"/>
    <cellStyle name="40% - Accent1 3 13 2" xfId="16659"/>
    <cellStyle name="40% - Accent1 3 13 2 2" xfId="43667"/>
    <cellStyle name="40% - Accent1 3 13 3" xfId="30163"/>
    <cellStyle name="40% - Accent1 3 14" xfId="1644"/>
    <cellStyle name="40% - Accent1 3 14 2" xfId="16751"/>
    <cellStyle name="40% - Accent1 3 14 2 2" xfId="43759"/>
    <cellStyle name="40% - Accent1 3 14 3" xfId="30255"/>
    <cellStyle name="40% - Accent1 3 15" xfId="1750"/>
    <cellStyle name="40% - Accent1 3 15 2" xfId="16843"/>
    <cellStyle name="40% - Accent1 3 15 2 2" xfId="43851"/>
    <cellStyle name="40% - Accent1 3 15 3" xfId="30347"/>
    <cellStyle name="40% - Accent1 3 16" xfId="1856"/>
    <cellStyle name="40% - Accent1 3 16 2" xfId="16935"/>
    <cellStyle name="40% - Accent1 3 16 2 2" xfId="43943"/>
    <cellStyle name="40% - Accent1 3 16 3" xfId="30439"/>
    <cellStyle name="40% - Accent1 3 17" xfId="1962"/>
    <cellStyle name="40% - Accent1 3 17 2" xfId="17027"/>
    <cellStyle name="40% - Accent1 3 17 2 2" xfId="44035"/>
    <cellStyle name="40% - Accent1 3 17 3" xfId="30531"/>
    <cellStyle name="40% - Accent1 3 18" xfId="2068"/>
    <cellStyle name="40% - Accent1 3 18 2" xfId="17119"/>
    <cellStyle name="40% - Accent1 3 18 2 2" xfId="44127"/>
    <cellStyle name="40% - Accent1 3 18 3" xfId="30623"/>
    <cellStyle name="40% - Accent1 3 19" xfId="2174"/>
    <cellStyle name="40% - Accent1 3 19 2" xfId="17211"/>
    <cellStyle name="40% - Accent1 3 19 2 2" xfId="44219"/>
    <cellStyle name="40% - Accent1 3 19 3" xfId="30715"/>
    <cellStyle name="40% - Accent1 3 2" xfId="305"/>
    <cellStyle name="40% - Accent1 3 2 2" xfId="15607"/>
    <cellStyle name="40% - Accent1 3 2 2 2" xfId="42615"/>
    <cellStyle name="40% - Accent1 3 2 3" xfId="29111"/>
    <cellStyle name="40% - Accent1 3 20" xfId="2280"/>
    <cellStyle name="40% - Accent1 3 20 2" xfId="17303"/>
    <cellStyle name="40% - Accent1 3 20 2 2" xfId="44311"/>
    <cellStyle name="40% - Accent1 3 20 3" xfId="30807"/>
    <cellStyle name="40% - Accent1 3 21" xfId="2386"/>
    <cellStyle name="40% - Accent1 3 21 2" xfId="17395"/>
    <cellStyle name="40% - Accent1 3 21 2 2" xfId="44403"/>
    <cellStyle name="40% - Accent1 3 21 3" xfId="30899"/>
    <cellStyle name="40% - Accent1 3 22" xfId="2492"/>
    <cellStyle name="40% - Accent1 3 22 2" xfId="17487"/>
    <cellStyle name="40% - Accent1 3 22 2 2" xfId="44495"/>
    <cellStyle name="40% - Accent1 3 22 3" xfId="30991"/>
    <cellStyle name="40% - Accent1 3 23" xfId="2598"/>
    <cellStyle name="40% - Accent1 3 23 2" xfId="17579"/>
    <cellStyle name="40% - Accent1 3 23 2 2" xfId="44587"/>
    <cellStyle name="40% - Accent1 3 23 3" xfId="31083"/>
    <cellStyle name="40% - Accent1 3 24" xfId="2704"/>
    <cellStyle name="40% - Accent1 3 24 2" xfId="17671"/>
    <cellStyle name="40% - Accent1 3 24 2 2" xfId="44679"/>
    <cellStyle name="40% - Accent1 3 24 3" xfId="31175"/>
    <cellStyle name="40% - Accent1 3 25" xfId="2810"/>
    <cellStyle name="40% - Accent1 3 25 2" xfId="17763"/>
    <cellStyle name="40% - Accent1 3 25 2 2" xfId="44771"/>
    <cellStyle name="40% - Accent1 3 25 3" xfId="31267"/>
    <cellStyle name="40% - Accent1 3 26" xfId="2916"/>
    <cellStyle name="40% - Accent1 3 26 2" xfId="17855"/>
    <cellStyle name="40% - Accent1 3 26 2 2" xfId="44863"/>
    <cellStyle name="40% - Accent1 3 26 3" xfId="31359"/>
    <cellStyle name="40% - Accent1 3 27" xfId="3022"/>
    <cellStyle name="40% - Accent1 3 27 2" xfId="17947"/>
    <cellStyle name="40% - Accent1 3 27 2 2" xfId="44955"/>
    <cellStyle name="40% - Accent1 3 27 3" xfId="31451"/>
    <cellStyle name="40% - Accent1 3 28" xfId="3128"/>
    <cellStyle name="40% - Accent1 3 28 2" xfId="18039"/>
    <cellStyle name="40% - Accent1 3 28 2 2" xfId="45047"/>
    <cellStyle name="40% - Accent1 3 28 3" xfId="31543"/>
    <cellStyle name="40% - Accent1 3 29" xfId="3234"/>
    <cellStyle name="40% - Accent1 3 29 2" xfId="18131"/>
    <cellStyle name="40% - Accent1 3 29 2 2" xfId="45139"/>
    <cellStyle name="40% - Accent1 3 29 3" xfId="31635"/>
    <cellStyle name="40% - Accent1 3 3" xfId="492"/>
    <cellStyle name="40% - Accent1 3 3 2" xfId="15748"/>
    <cellStyle name="40% - Accent1 3 3 2 2" xfId="42756"/>
    <cellStyle name="40% - Accent1 3 3 3" xfId="29252"/>
    <cellStyle name="40% - Accent1 3 30" xfId="3340"/>
    <cellStyle name="40% - Accent1 3 30 2" xfId="18223"/>
    <cellStyle name="40% - Accent1 3 30 2 2" xfId="45231"/>
    <cellStyle name="40% - Accent1 3 30 3" xfId="31727"/>
    <cellStyle name="40% - Accent1 3 31" xfId="3446"/>
    <cellStyle name="40% - Accent1 3 31 2" xfId="18315"/>
    <cellStyle name="40% - Accent1 3 31 2 2" xfId="45323"/>
    <cellStyle name="40% - Accent1 3 31 3" xfId="31819"/>
    <cellStyle name="40% - Accent1 3 32" xfId="3552"/>
    <cellStyle name="40% - Accent1 3 32 2" xfId="18407"/>
    <cellStyle name="40% - Accent1 3 32 2 2" xfId="45415"/>
    <cellStyle name="40% - Accent1 3 32 3" xfId="31911"/>
    <cellStyle name="40% - Accent1 3 33" xfId="3658"/>
    <cellStyle name="40% - Accent1 3 33 2" xfId="18499"/>
    <cellStyle name="40% - Accent1 3 33 2 2" xfId="45507"/>
    <cellStyle name="40% - Accent1 3 33 3" xfId="32003"/>
    <cellStyle name="40% - Accent1 3 34" xfId="3764"/>
    <cellStyle name="40% - Accent1 3 34 2" xfId="18591"/>
    <cellStyle name="40% - Accent1 3 34 2 2" xfId="45599"/>
    <cellStyle name="40% - Accent1 3 34 3" xfId="32095"/>
    <cellStyle name="40% - Accent1 3 35" xfId="3870"/>
    <cellStyle name="40% - Accent1 3 35 2" xfId="18683"/>
    <cellStyle name="40% - Accent1 3 35 2 2" xfId="45691"/>
    <cellStyle name="40% - Accent1 3 35 3" xfId="32187"/>
    <cellStyle name="40% - Accent1 3 36" xfId="3976"/>
    <cellStyle name="40% - Accent1 3 36 2" xfId="18775"/>
    <cellStyle name="40% - Accent1 3 36 2 2" xfId="45783"/>
    <cellStyle name="40% - Accent1 3 36 3" xfId="32279"/>
    <cellStyle name="40% - Accent1 3 37" xfId="4082"/>
    <cellStyle name="40% - Accent1 3 37 2" xfId="18867"/>
    <cellStyle name="40% - Accent1 3 37 2 2" xfId="45875"/>
    <cellStyle name="40% - Accent1 3 37 3" xfId="32371"/>
    <cellStyle name="40% - Accent1 3 38" xfId="4188"/>
    <cellStyle name="40% - Accent1 3 38 2" xfId="18959"/>
    <cellStyle name="40% - Accent1 3 38 2 2" xfId="45967"/>
    <cellStyle name="40% - Accent1 3 38 3" xfId="32463"/>
    <cellStyle name="40% - Accent1 3 39" xfId="4294"/>
    <cellStyle name="40% - Accent1 3 39 2" xfId="19051"/>
    <cellStyle name="40% - Accent1 3 39 2 2" xfId="46059"/>
    <cellStyle name="40% - Accent1 3 39 3" xfId="32555"/>
    <cellStyle name="40% - Accent1 3 4" xfId="584"/>
    <cellStyle name="40% - Accent1 3 4 2" xfId="15831"/>
    <cellStyle name="40% - Accent1 3 4 2 2" xfId="42839"/>
    <cellStyle name="40% - Accent1 3 4 3" xfId="29335"/>
    <cellStyle name="40% - Accent1 3 40" xfId="4400"/>
    <cellStyle name="40% - Accent1 3 40 2" xfId="19143"/>
    <cellStyle name="40% - Accent1 3 40 2 2" xfId="46151"/>
    <cellStyle name="40% - Accent1 3 40 3" xfId="32647"/>
    <cellStyle name="40% - Accent1 3 41" xfId="4506"/>
    <cellStyle name="40% - Accent1 3 41 2" xfId="19235"/>
    <cellStyle name="40% - Accent1 3 41 2 2" xfId="46243"/>
    <cellStyle name="40% - Accent1 3 41 3" xfId="32739"/>
    <cellStyle name="40% - Accent1 3 42" xfId="4612"/>
    <cellStyle name="40% - Accent1 3 42 2" xfId="19327"/>
    <cellStyle name="40% - Accent1 3 42 2 2" xfId="46335"/>
    <cellStyle name="40% - Accent1 3 42 3" xfId="32831"/>
    <cellStyle name="40% - Accent1 3 43" xfId="4718"/>
    <cellStyle name="40% - Accent1 3 43 2" xfId="19419"/>
    <cellStyle name="40% - Accent1 3 43 2 2" xfId="46427"/>
    <cellStyle name="40% - Accent1 3 43 3" xfId="32923"/>
    <cellStyle name="40% - Accent1 3 44" xfId="4824"/>
    <cellStyle name="40% - Accent1 3 44 2" xfId="19511"/>
    <cellStyle name="40% - Accent1 3 44 2 2" xfId="46519"/>
    <cellStyle name="40% - Accent1 3 44 3" xfId="33015"/>
    <cellStyle name="40% - Accent1 3 45" xfId="4930"/>
    <cellStyle name="40% - Accent1 3 45 2" xfId="19603"/>
    <cellStyle name="40% - Accent1 3 45 2 2" xfId="46611"/>
    <cellStyle name="40% - Accent1 3 45 3" xfId="33107"/>
    <cellStyle name="40% - Accent1 3 46" xfId="5036"/>
    <cellStyle name="40% - Accent1 3 46 2" xfId="19695"/>
    <cellStyle name="40% - Accent1 3 46 2 2" xfId="46703"/>
    <cellStyle name="40% - Accent1 3 46 3" xfId="33199"/>
    <cellStyle name="40% - Accent1 3 47" xfId="5142"/>
    <cellStyle name="40% - Accent1 3 47 2" xfId="19787"/>
    <cellStyle name="40% - Accent1 3 47 2 2" xfId="46795"/>
    <cellStyle name="40% - Accent1 3 47 3" xfId="33291"/>
    <cellStyle name="40% - Accent1 3 48" xfId="5248"/>
    <cellStyle name="40% - Accent1 3 48 2" xfId="19879"/>
    <cellStyle name="40% - Accent1 3 48 2 2" xfId="46887"/>
    <cellStyle name="40% - Accent1 3 48 3" xfId="33383"/>
    <cellStyle name="40% - Accent1 3 49" xfId="5354"/>
    <cellStyle name="40% - Accent1 3 49 2" xfId="19971"/>
    <cellStyle name="40% - Accent1 3 49 2 2" xfId="46979"/>
    <cellStyle name="40% - Accent1 3 49 3" xfId="33475"/>
    <cellStyle name="40% - Accent1 3 5" xfId="690"/>
    <cellStyle name="40% - Accent1 3 5 2" xfId="15923"/>
    <cellStyle name="40% - Accent1 3 5 2 2" xfId="42931"/>
    <cellStyle name="40% - Accent1 3 5 3" xfId="29427"/>
    <cellStyle name="40% - Accent1 3 50" xfId="5460"/>
    <cellStyle name="40% - Accent1 3 50 2" xfId="20063"/>
    <cellStyle name="40% - Accent1 3 50 2 2" xfId="47071"/>
    <cellStyle name="40% - Accent1 3 50 3" xfId="33567"/>
    <cellStyle name="40% - Accent1 3 51" xfId="5566"/>
    <cellStyle name="40% - Accent1 3 51 2" xfId="20155"/>
    <cellStyle name="40% - Accent1 3 51 2 2" xfId="47163"/>
    <cellStyle name="40% - Accent1 3 51 3" xfId="33659"/>
    <cellStyle name="40% - Accent1 3 52" xfId="5672"/>
    <cellStyle name="40% - Accent1 3 52 2" xfId="20247"/>
    <cellStyle name="40% - Accent1 3 52 2 2" xfId="47255"/>
    <cellStyle name="40% - Accent1 3 52 3" xfId="33751"/>
    <cellStyle name="40% - Accent1 3 53" xfId="5778"/>
    <cellStyle name="40% - Accent1 3 53 2" xfId="20339"/>
    <cellStyle name="40% - Accent1 3 53 2 2" xfId="47347"/>
    <cellStyle name="40% - Accent1 3 53 3" xfId="33843"/>
    <cellStyle name="40% - Accent1 3 54" xfId="5884"/>
    <cellStyle name="40% - Accent1 3 54 2" xfId="20431"/>
    <cellStyle name="40% - Accent1 3 54 2 2" xfId="47439"/>
    <cellStyle name="40% - Accent1 3 54 3" xfId="33935"/>
    <cellStyle name="40% - Accent1 3 55" xfId="5990"/>
    <cellStyle name="40% - Accent1 3 55 2" xfId="20523"/>
    <cellStyle name="40% - Accent1 3 55 2 2" xfId="47531"/>
    <cellStyle name="40% - Accent1 3 55 3" xfId="34027"/>
    <cellStyle name="40% - Accent1 3 56" xfId="6096"/>
    <cellStyle name="40% - Accent1 3 56 2" xfId="20615"/>
    <cellStyle name="40% - Accent1 3 56 2 2" xfId="47623"/>
    <cellStyle name="40% - Accent1 3 56 3" xfId="34119"/>
    <cellStyle name="40% - Accent1 3 57" xfId="6202"/>
    <cellStyle name="40% - Accent1 3 57 2" xfId="20707"/>
    <cellStyle name="40% - Accent1 3 57 2 2" xfId="47715"/>
    <cellStyle name="40% - Accent1 3 57 3" xfId="34211"/>
    <cellStyle name="40% - Accent1 3 58" xfId="6308"/>
    <cellStyle name="40% - Accent1 3 58 2" xfId="20799"/>
    <cellStyle name="40% - Accent1 3 58 2 2" xfId="47807"/>
    <cellStyle name="40% - Accent1 3 58 3" xfId="34303"/>
    <cellStyle name="40% - Accent1 3 59" xfId="6414"/>
    <cellStyle name="40% - Accent1 3 59 2" xfId="20891"/>
    <cellStyle name="40% - Accent1 3 59 2 2" xfId="47899"/>
    <cellStyle name="40% - Accent1 3 59 3" xfId="34395"/>
    <cellStyle name="40% - Accent1 3 6" xfId="796"/>
    <cellStyle name="40% - Accent1 3 6 2" xfId="16015"/>
    <cellStyle name="40% - Accent1 3 6 2 2" xfId="43023"/>
    <cellStyle name="40% - Accent1 3 6 3" xfId="29519"/>
    <cellStyle name="40% - Accent1 3 60" xfId="6520"/>
    <cellStyle name="40% - Accent1 3 60 2" xfId="20983"/>
    <cellStyle name="40% - Accent1 3 60 2 2" xfId="47991"/>
    <cellStyle name="40% - Accent1 3 60 3" xfId="34487"/>
    <cellStyle name="40% - Accent1 3 61" xfId="6625"/>
    <cellStyle name="40% - Accent1 3 61 2" xfId="21074"/>
    <cellStyle name="40% - Accent1 3 61 2 2" xfId="48082"/>
    <cellStyle name="40% - Accent1 3 61 3" xfId="34578"/>
    <cellStyle name="40% - Accent1 3 62" xfId="6730"/>
    <cellStyle name="40% - Accent1 3 62 2" xfId="21165"/>
    <cellStyle name="40% - Accent1 3 62 2 2" xfId="48173"/>
    <cellStyle name="40% - Accent1 3 62 3" xfId="34669"/>
    <cellStyle name="40% - Accent1 3 63" xfId="6835"/>
    <cellStyle name="40% - Accent1 3 63 2" xfId="21256"/>
    <cellStyle name="40% - Accent1 3 63 2 2" xfId="48264"/>
    <cellStyle name="40% - Accent1 3 63 3" xfId="34760"/>
    <cellStyle name="40% - Accent1 3 64" xfId="6940"/>
    <cellStyle name="40% - Accent1 3 64 2" xfId="21347"/>
    <cellStyle name="40% - Accent1 3 64 2 2" xfId="48355"/>
    <cellStyle name="40% - Accent1 3 64 3" xfId="34851"/>
    <cellStyle name="40% - Accent1 3 65" xfId="7045"/>
    <cellStyle name="40% - Accent1 3 65 2" xfId="21438"/>
    <cellStyle name="40% - Accent1 3 65 2 2" xfId="48446"/>
    <cellStyle name="40% - Accent1 3 65 3" xfId="34942"/>
    <cellStyle name="40% - Accent1 3 66" xfId="7149"/>
    <cellStyle name="40% - Accent1 3 66 2" xfId="21528"/>
    <cellStyle name="40% - Accent1 3 66 2 2" xfId="48536"/>
    <cellStyle name="40% - Accent1 3 66 3" xfId="35032"/>
    <cellStyle name="40% - Accent1 3 67" xfId="7252"/>
    <cellStyle name="40% - Accent1 3 67 2" xfId="21617"/>
    <cellStyle name="40% - Accent1 3 67 2 2" xfId="48625"/>
    <cellStyle name="40% - Accent1 3 67 3" xfId="35121"/>
    <cellStyle name="40% - Accent1 3 68" xfId="7352"/>
    <cellStyle name="40% - Accent1 3 68 2" xfId="21704"/>
    <cellStyle name="40% - Accent1 3 68 2 2" xfId="48712"/>
    <cellStyle name="40% - Accent1 3 68 3" xfId="35208"/>
    <cellStyle name="40% - Accent1 3 69" xfId="7450"/>
    <cellStyle name="40% - Accent1 3 69 2" xfId="21789"/>
    <cellStyle name="40% - Accent1 3 69 2 2" xfId="48797"/>
    <cellStyle name="40% - Accent1 3 69 3" xfId="35293"/>
    <cellStyle name="40% - Accent1 3 7" xfId="902"/>
    <cellStyle name="40% - Accent1 3 7 2" xfId="16107"/>
    <cellStyle name="40% - Accent1 3 7 2 2" xfId="43115"/>
    <cellStyle name="40% - Accent1 3 7 3" xfId="29611"/>
    <cellStyle name="40% - Accent1 3 70" xfId="7543"/>
    <cellStyle name="40% - Accent1 3 70 2" xfId="21870"/>
    <cellStyle name="40% - Accent1 3 70 2 2" xfId="48878"/>
    <cellStyle name="40% - Accent1 3 70 3" xfId="35374"/>
    <cellStyle name="40% - Accent1 3 71" xfId="7627"/>
    <cellStyle name="40% - Accent1 3 71 2" xfId="21946"/>
    <cellStyle name="40% - Accent1 3 71 2 2" xfId="48954"/>
    <cellStyle name="40% - Accent1 3 71 3" xfId="35450"/>
    <cellStyle name="40% - Accent1 3 72" xfId="7806"/>
    <cellStyle name="40% - Accent1 3 72 2" xfId="22096"/>
    <cellStyle name="40% - Accent1 3 72 2 2" xfId="49104"/>
    <cellStyle name="40% - Accent1 3 72 3" xfId="35600"/>
    <cellStyle name="40% - Accent1 3 73" xfId="7948"/>
    <cellStyle name="40% - Accent1 3 73 2" xfId="22224"/>
    <cellStyle name="40% - Accent1 3 73 2 2" xfId="49232"/>
    <cellStyle name="40% - Accent1 3 73 3" xfId="35728"/>
    <cellStyle name="40% - Accent1 3 74" xfId="8090"/>
    <cellStyle name="40% - Accent1 3 74 2" xfId="22352"/>
    <cellStyle name="40% - Accent1 3 74 2 2" xfId="49360"/>
    <cellStyle name="40% - Accent1 3 74 3" xfId="35856"/>
    <cellStyle name="40% - Accent1 3 75" xfId="8232"/>
    <cellStyle name="40% - Accent1 3 75 2" xfId="22480"/>
    <cellStyle name="40% - Accent1 3 75 2 2" xfId="49488"/>
    <cellStyle name="40% - Accent1 3 75 3" xfId="35984"/>
    <cellStyle name="40% - Accent1 3 76" xfId="8374"/>
    <cellStyle name="40% - Accent1 3 76 2" xfId="22608"/>
    <cellStyle name="40% - Accent1 3 76 2 2" xfId="49616"/>
    <cellStyle name="40% - Accent1 3 76 3" xfId="36112"/>
    <cellStyle name="40% - Accent1 3 77" xfId="8516"/>
    <cellStyle name="40% - Accent1 3 77 2" xfId="22736"/>
    <cellStyle name="40% - Accent1 3 77 2 2" xfId="49744"/>
    <cellStyle name="40% - Accent1 3 77 3" xfId="36240"/>
    <cellStyle name="40% - Accent1 3 78" xfId="8658"/>
    <cellStyle name="40% - Accent1 3 78 2" xfId="22864"/>
    <cellStyle name="40% - Accent1 3 78 2 2" xfId="49872"/>
    <cellStyle name="40% - Accent1 3 78 3" xfId="36368"/>
    <cellStyle name="40% - Accent1 3 79" xfId="8800"/>
    <cellStyle name="40% - Accent1 3 79 2" xfId="22992"/>
    <cellStyle name="40% - Accent1 3 79 2 2" xfId="50000"/>
    <cellStyle name="40% - Accent1 3 79 3" xfId="36496"/>
    <cellStyle name="40% - Accent1 3 8" xfId="1008"/>
    <cellStyle name="40% - Accent1 3 8 2" xfId="16199"/>
    <cellStyle name="40% - Accent1 3 8 2 2" xfId="43207"/>
    <cellStyle name="40% - Accent1 3 8 3" xfId="29703"/>
    <cellStyle name="40% - Accent1 3 80" xfId="8942"/>
    <cellStyle name="40% - Accent1 3 80 2" xfId="23120"/>
    <cellStyle name="40% - Accent1 3 80 2 2" xfId="50128"/>
    <cellStyle name="40% - Accent1 3 80 3" xfId="36624"/>
    <cellStyle name="40% - Accent1 3 81" xfId="9084"/>
    <cellStyle name="40% - Accent1 3 81 2" xfId="23248"/>
    <cellStyle name="40% - Accent1 3 81 2 2" xfId="50256"/>
    <cellStyle name="40% - Accent1 3 81 3" xfId="36752"/>
    <cellStyle name="40% - Accent1 3 82" xfId="9226"/>
    <cellStyle name="40% - Accent1 3 82 2" xfId="23376"/>
    <cellStyle name="40% - Accent1 3 82 2 2" xfId="50384"/>
    <cellStyle name="40% - Accent1 3 82 3" xfId="36880"/>
    <cellStyle name="40% - Accent1 3 83" xfId="9368"/>
    <cellStyle name="40% - Accent1 3 83 2" xfId="23504"/>
    <cellStyle name="40% - Accent1 3 83 2 2" xfId="50512"/>
    <cellStyle name="40% - Accent1 3 83 3" xfId="37008"/>
    <cellStyle name="40% - Accent1 3 84" xfId="9510"/>
    <cellStyle name="40% - Accent1 3 84 2" xfId="23632"/>
    <cellStyle name="40% - Accent1 3 84 2 2" xfId="50640"/>
    <cellStyle name="40% - Accent1 3 84 3" xfId="37136"/>
    <cellStyle name="40% - Accent1 3 85" xfId="9652"/>
    <cellStyle name="40% - Accent1 3 85 2" xfId="23760"/>
    <cellStyle name="40% - Accent1 3 85 2 2" xfId="50768"/>
    <cellStyle name="40% - Accent1 3 85 3" xfId="37264"/>
    <cellStyle name="40% - Accent1 3 86" xfId="9794"/>
    <cellStyle name="40% - Accent1 3 86 2" xfId="23888"/>
    <cellStyle name="40% - Accent1 3 86 2 2" xfId="50896"/>
    <cellStyle name="40% - Accent1 3 86 3" xfId="37392"/>
    <cellStyle name="40% - Accent1 3 87" xfId="9936"/>
    <cellStyle name="40% - Accent1 3 87 2" xfId="24016"/>
    <cellStyle name="40% - Accent1 3 87 2 2" xfId="51024"/>
    <cellStyle name="40% - Accent1 3 87 3" xfId="37520"/>
    <cellStyle name="40% - Accent1 3 88" xfId="10078"/>
    <cellStyle name="40% - Accent1 3 88 2" xfId="24144"/>
    <cellStyle name="40% - Accent1 3 88 2 2" xfId="51152"/>
    <cellStyle name="40% - Accent1 3 88 3" xfId="37648"/>
    <cellStyle name="40% - Accent1 3 89" xfId="10220"/>
    <cellStyle name="40% - Accent1 3 89 2" xfId="24272"/>
    <cellStyle name="40% - Accent1 3 89 2 2" xfId="51280"/>
    <cellStyle name="40% - Accent1 3 89 3" xfId="37776"/>
    <cellStyle name="40% - Accent1 3 9" xfId="1114"/>
    <cellStyle name="40% - Accent1 3 9 2" xfId="16291"/>
    <cellStyle name="40% - Accent1 3 9 2 2" xfId="43299"/>
    <cellStyle name="40% - Accent1 3 9 3" xfId="29795"/>
    <cellStyle name="40% - Accent1 3 90" xfId="10362"/>
    <cellStyle name="40% - Accent1 3 90 2" xfId="24400"/>
    <cellStyle name="40% - Accent1 3 90 2 2" xfId="51408"/>
    <cellStyle name="40% - Accent1 3 90 3" xfId="37904"/>
    <cellStyle name="40% - Accent1 3 91" xfId="10504"/>
    <cellStyle name="40% - Accent1 3 91 2" xfId="24528"/>
    <cellStyle name="40% - Accent1 3 91 2 2" xfId="51536"/>
    <cellStyle name="40% - Accent1 3 91 3" xfId="38032"/>
    <cellStyle name="40% - Accent1 3 92" xfId="10646"/>
    <cellStyle name="40% - Accent1 3 92 2" xfId="24656"/>
    <cellStyle name="40% - Accent1 3 92 2 2" xfId="51664"/>
    <cellStyle name="40% - Accent1 3 92 3" xfId="38160"/>
    <cellStyle name="40% - Accent1 3 93" xfId="10788"/>
    <cellStyle name="40% - Accent1 3 93 2" xfId="24784"/>
    <cellStyle name="40% - Accent1 3 93 2 2" xfId="51792"/>
    <cellStyle name="40% - Accent1 3 93 3" xfId="38288"/>
    <cellStyle name="40% - Accent1 3 94" xfId="10930"/>
    <cellStyle name="40% - Accent1 3 94 2" xfId="24912"/>
    <cellStyle name="40% - Accent1 3 94 2 2" xfId="51920"/>
    <cellStyle name="40% - Accent1 3 94 3" xfId="38416"/>
    <cellStyle name="40% - Accent1 3 95" xfId="11072"/>
    <cellStyle name="40% - Accent1 3 95 2" xfId="25040"/>
    <cellStyle name="40% - Accent1 3 95 2 2" xfId="52048"/>
    <cellStyle name="40% - Accent1 3 95 3" xfId="38544"/>
    <cellStyle name="40% - Accent1 3 96" xfId="11214"/>
    <cellStyle name="40% - Accent1 3 96 2" xfId="25168"/>
    <cellStyle name="40% - Accent1 3 96 2 2" xfId="52176"/>
    <cellStyle name="40% - Accent1 3 96 3" xfId="38672"/>
    <cellStyle name="40% - Accent1 3 97" xfId="11356"/>
    <cellStyle name="40% - Accent1 3 97 2" xfId="25296"/>
    <cellStyle name="40% - Accent1 3 97 2 2" xfId="52304"/>
    <cellStyle name="40% - Accent1 3 97 3" xfId="38800"/>
    <cellStyle name="40% - Accent1 3 98" xfId="11498"/>
    <cellStyle name="40% - Accent1 3 98 2" xfId="25424"/>
    <cellStyle name="40% - Accent1 3 98 2 2" xfId="52432"/>
    <cellStyle name="40% - Accent1 3 98 3" xfId="38928"/>
    <cellStyle name="40% - Accent1 3 99" xfId="11640"/>
    <cellStyle name="40% - Accent1 3 99 2" xfId="25552"/>
    <cellStyle name="40% - Accent1 3 99 2 2" xfId="52560"/>
    <cellStyle name="40% - Accent1 3 99 3" xfId="39056"/>
    <cellStyle name="40% - Accent1 4" xfId="387"/>
    <cellStyle name="40% - Accent1 4 10" xfId="9024"/>
    <cellStyle name="40% - Accent1 4 10 2" xfId="23196"/>
    <cellStyle name="40% - Accent1 4 10 2 2" xfId="50204"/>
    <cellStyle name="40% - Accent1 4 10 3" xfId="36700"/>
    <cellStyle name="40% - Accent1 4 11" xfId="9166"/>
    <cellStyle name="40% - Accent1 4 11 2" xfId="23324"/>
    <cellStyle name="40% - Accent1 4 11 2 2" xfId="50332"/>
    <cellStyle name="40% - Accent1 4 11 3" xfId="36828"/>
    <cellStyle name="40% - Accent1 4 12" xfId="9308"/>
    <cellStyle name="40% - Accent1 4 12 2" xfId="23452"/>
    <cellStyle name="40% - Accent1 4 12 2 2" xfId="50460"/>
    <cellStyle name="40% - Accent1 4 12 3" xfId="36956"/>
    <cellStyle name="40% - Accent1 4 13" xfId="9450"/>
    <cellStyle name="40% - Accent1 4 13 2" xfId="23580"/>
    <cellStyle name="40% - Accent1 4 13 2 2" xfId="50588"/>
    <cellStyle name="40% - Accent1 4 13 3" xfId="37084"/>
    <cellStyle name="40% - Accent1 4 14" xfId="9592"/>
    <cellStyle name="40% - Accent1 4 14 2" xfId="23708"/>
    <cellStyle name="40% - Accent1 4 14 2 2" xfId="50716"/>
    <cellStyle name="40% - Accent1 4 14 3" xfId="37212"/>
    <cellStyle name="40% - Accent1 4 15" xfId="9734"/>
    <cellStyle name="40% - Accent1 4 15 2" xfId="23836"/>
    <cellStyle name="40% - Accent1 4 15 2 2" xfId="50844"/>
    <cellStyle name="40% - Accent1 4 15 3" xfId="37340"/>
    <cellStyle name="40% - Accent1 4 16" xfId="9876"/>
    <cellStyle name="40% - Accent1 4 16 2" xfId="23964"/>
    <cellStyle name="40% - Accent1 4 16 2 2" xfId="50972"/>
    <cellStyle name="40% - Accent1 4 16 3" xfId="37468"/>
    <cellStyle name="40% - Accent1 4 17" xfId="10018"/>
    <cellStyle name="40% - Accent1 4 17 2" xfId="24092"/>
    <cellStyle name="40% - Accent1 4 17 2 2" xfId="51100"/>
    <cellStyle name="40% - Accent1 4 17 3" xfId="37596"/>
    <cellStyle name="40% - Accent1 4 18" xfId="10160"/>
    <cellStyle name="40% - Accent1 4 18 2" xfId="24220"/>
    <cellStyle name="40% - Accent1 4 18 2 2" xfId="51228"/>
    <cellStyle name="40% - Accent1 4 18 3" xfId="37724"/>
    <cellStyle name="40% - Accent1 4 19" xfId="10302"/>
    <cellStyle name="40% - Accent1 4 19 2" xfId="24348"/>
    <cellStyle name="40% - Accent1 4 19 2 2" xfId="51356"/>
    <cellStyle name="40% - Accent1 4 19 3" xfId="37852"/>
    <cellStyle name="40% - Accent1 4 2" xfId="7888"/>
    <cellStyle name="40% - Accent1 4 2 2" xfId="22172"/>
    <cellStyle name="40% - Accent1 4 2 2 2" xfId="49180"/>
    <cellStyle name="40% - Accent1 4 2 3" xfId="35676"/>
    <cellStyle name="40% - Accent1 4 20" xfId="10444"/>
    <cellStyle name="40% - Accent1 4 20 2" xfId="24476"/>
    <cellStyle name="40% - Accent1 4 20 2 2" xfId="51484"/>
    <cellStyle name="40% - Accent1 4 20 3" xfId="37980"/>
    <cellStyle name="40% - Accent1 4 21" xfId="10586"/>
    <cellStyle name="40% - Accent1 4 21 2" xfId="24604"/>
    <cellStyle name="40% - Accent1 4 21 2 2" xfId="51612"/>
    <cellStyle name="40% - Accent1 4 21 3" xfId="38108"/>
    <cellStyle name="40% - Accent1 4 22" xfId="10728"/>
    <cellStyle name="40% - Accent1 4 22 2" xfId="24732"/>
    <cellStyle name="40% - Accent1 4 22 2 2" xfId="51740"/>
    <cellStyle name="40% - Accent1 4 22 3" xfId="38236"/>
    <cellStyle name="40% - Accent1 4 23" xfId="10870"/>
    <cellStyle name="40% - Accent1 4 23 2" xfId="24860"/>
    <cellStyle name="40% - Accent1 4 23 2 2" xfId="51868"/>
    <cellStyle name="40% - Accent1 4 23 3" xfId="38364"/>
    <cellStyle name="40% - Accent1 4 24" xfId="11012"/>
    <cellStyle name="40% - Accent1 4 24 2" xfId="24988"/>
    <cellStyle name="40% - Accent1 4 24 2 2" xfId="51996"/>
    <cellStyle name="40% - Accent1 4 24 3" xfId="38492"/>
    <cellStyle name="40% - Accent1 4 25" xfId="11154"/>
    <cellStyle name="40% - Accent1 4 25 2" xfId="25116"/>
    <cellStyle name="40% - Accent1 4 25 2 2" xfId="52124"/>
    <cellStyle name="40% - Accent1 4 25 3" xfId="38620"/>
    <cellStyle name="40% - Accent1 4 26" xfId="11296"/>
    <cellStyle name="40% - Accent1 4 26 2" xfId="25244"/>
    <cellStyle name="40% - Accent1 4 26 2 2" xfId="52252"/>
    <cellStyle name="40% - Accent1 4 26 3" xfId="38748"/>
    <cellStyle name="40% - Accent1 4 27" xfId="11438"/>
    <cellStyle name="40% - Accent1 4 27 2" xfId="25372"/>
    <cellStyle name="40% - Accent1 4 27 2 2" xfId="52380"/>
    <cellStyle name="40% - Accent1 4 27 3" xfId="38876"/>
    <cellStyle name="40% - Accent1 4 28" xfId="11580"/>
    <cellStyle name="40% - Accent1 4 28 2" xfId="25500"/>
    <cellStyle name="40% - Accent1 4 28 2 2" xfId="52508"/>
    <cellStyle name="40% - Accent1 4 28 3" xfId="39004"/>
    <cellStyle name="40% - Accent1 4 29" xfId="11722"/>
    <cellStyle name="40% - Accent1 4 29 2" xfId="25628"/>
    <cellStyle name="40% - Accent1 4 29 2 2" xfId="52636"/>
    <cellStyle name="40% - Accent1 4 29 3" xfId="39132"/>
    <cellStyle name="40% - Accent1 4 3" xfId="8030"/>
    <cellStyle name="40% - Accent1 4 3 2" xfId="22300"/>
    <cellStyle name="40% - Accent1 4 3 2 2" xfId="49308"/>
    <cellStyle name="40% - Accent1 4 3 3" xfId="35804"/>
    <cellStyle name="40% - Accent1 4 30" xfId="11864"/>
    <cellStyle name="40% - Accent1 4 30 2" xfId="25756"/>
    <cellStyle name="40% - Accent1 4 30 2 2" xfId="52764"/>
    <cellStyle name="40% - Accent1 4 30 3" xfId="39260"/>
    <cellStyle name="40% - Accent1 4 31" xfId="12006"/>
    <cellStyle name="40% - Accent1 4 31 2" xfId="25884"/>
    <cellStyle name="40% - Accent1 4 31 2 2" xfId="52892"/>
    <cellStyle name="40% - Accent1 4 31 3" xfId="39388"/>
    <cellStyle name="40% - Accent1 4 32" xfId="12148"/>
    <cellStyle name="40% - Accent1 4 32 2" xfId="26012"/>
    <cellStyle name="40% - Accent1 4 32 2 2" xfId="53020"/>
    <cellStyle name="40% - Accent1 4 32 3" xfId="39516"/>
    <cellStyle name="40% - Accent1 4 33" xfId="12290"/>
    <cellStyle name="40% - Accent1 4 33 2" xfId="26140"/>
    <cellStyle name="40% - Accent1 4 33 2 2" xfId="53148"/>
    <cellStyle name="40% - Accent1 4 33 3" xfId="39644"/>
    <cellStyle name="40% - Accent1 4 34" xfId="12432"/>
    <cellStyle name="40% - Accent1 4 34 2" xfId="26268"/>
    <cellStyle name="40% - Accent1 4 34 2 2" xfId="53276"/>
    <cellStyle name="40% - Accent1 4 34 3" xfId="39772"/>
    <cellStyle name="40% - Accent1 4 35" xfId="12574"/>
    <cellStyle name="40% - Accent1 4 35 2" xfId="26396"/>
    <cellStyle name="40% - Accent1 4 35 2 2" xfId="53404"/>
    <cellStyle name="40% - Accent1 4 35 3" xfId="39900"/>
    <cellStyle name="40% - Accent1 4 36" xfId="12716"/>
    <cellStyle name="40% - Accent1 4 36 2" xfId="26524"/>
    <cellStyle name="40% - Accent1 4 36 2 2" xfId="53532"/>
    <cellStyle name="40% - Accent1 4 36 3" xfId="40028"/>
    <cellStyle name="40% - Accent1 4 37" xfId="12858"/>
    <cellStyle name="40% - Accent1 4 37 2" xfId="26652"/>
    <cellStyle name="40% - Accent1 4 37 2 2" xfId="53660"/>
    <cellStyle name="40% - Accent1 4 37 3" xfId="40156"/>
    <cellStyle name="40% - Accent1 4 38" xfId="13000"/>
    <cellStyle name="40% - Accent1 4 38 2" xfId="26780"/>
    <cellStyle name="40% - Accent1 4 38 2 2" xfId="53788"/>
    <cellStyle name="40% - Accent1 4 38 3" xfId="40284"/>
    <cellStyle name="40% - Accent1 4 39" xfId="13142"/>
    <cellStyle name="40% - Accent1 4 39 2" xfId="26908"/>
    <cellStyle name="40% - Accent1 4 39 2 2" xfId="53916"/>
    <cellStyle name="40% - Accent1 4 39 3" xfId="40412"/>
    <cellStyle name="40% - Accent1 4 4" xfId="8172"/>
    <cellStyle name="40% - Accent1 4 4 2" xfId="22428"/>
    <cellStyle name="40% - Accent1 4 4 2 2" xfId="49436"/>
    <cellStyle name="40% - Accent1 4 4 3" xfId="35932"/>
    <cellStyle name="40% - Accent1 4 40" xfId="13284"/>
    <cellStyle name="40% - Accent1 4 40 2" xfId="27036"/>
    <cellStyle name="40% - Accent1 4 40 2 2" xfId="54044"/>
    <cellStyle name="40% - Accent1 4 40 3" xfId="40540"/>
    <cellStyle name="40% - Accent1 4 41" xfId="13426"/>
    <cellStyle name="40% - Accent1 4 41 2" xfId="27164"/>
    <cellStyle name="40% - Accent1 4 41 2 2" xfId="54172"/>
    <cellStyle name="40% - Accent1 4 41 3" xfId="40668"/>
    <cellStyle name="40% - Accent1 4 42" xfId="13568"/>
    <cellStyle name="40% - Accent1 4 42 2" xfId="27292"/>
    <cellStyle name="40% - Accent1 4 42 2 2" xfId="54300"/>
    <cellStyle name="40% - Accent1 4 42 3" xfId="40796"/>
    <cellStyle name="40% - Accent1 4 43" xfId="13710"/>
    <cellStyle name="40% - Accent1 4 43 2" xfId="27420"/>
    <cellStyle name="40% - Accent1 4 43 2 2" xfId="54428"/>
    <cellStyle name="40% - Accent1 4 43 3" xfId="40924"/>
    <cellStyle name="40% - Accent1 4 44" xfId="13851"/>
    <cellStyle name="40% - Accent1 4 44 2" xfId="27547"/>
    <cellStyle name="40% - Accent1 4 44 2 2" xfId="54555"/>
    <cellStyle name="40% - Accent1 4 44 3" xfId="41051"/>
    <cellStyle name="40% - Accent1 4 45" xfId="13992"/>
    <cellStyle name="40% - Accent1 4 45 2" xfId="27674"/>
    <cellStyle name="40% - Accent1 4 45 2 2" xfId="54682"/>
    <cellStyle name="40% - Accent1 4 45 3" xfId="41178"/>
    <cellStyle name="40% - Accent1 4 46" xfId="14133"/>
    <cellStyle name="40% - Accent1 4 46 2" xfId="27801"/>
    <cellStyle name="40% - Accent1 4 46 2 2" xfId="54809"/>
    <cellStyle name="40% - Accent1 4 46 3" xfId="41305"/>
    <cellStyle name="40% - Accent1 4 47" xfId="14274"/>
    <cellStyle name="40% - Accent1 4 47 2" xfId="27928"/>
    <cellStyle name="40% - Accent1 4 47 2 2" xfId="54936"/>
    <cellStyle name="40% - Accent1 4 47 3" xfId="41432"/>
    <cellStyle name="40% - Accent1 4 48" xfId="14415"/>
    <cellStyle name="40% - Accent1 4 48 2" xfId="28055"/>
    <cellStyle name="40% - Accent1 4 48 2 2" xfId="55063"/>
    <cellStyle name="40% - Accent1 4 48 3" xfId="41559"/>
    <cellStyle name="40% - Accent1 4 49" xfId="14555"/>
    <cellStyle name="40% - Accent1 4 49 2" xfId="28181"/>
    <cellStyle name="40% - Accent1 4 49 2 2" xfId="55189"/>
    <cellStyle name="40% - Accent1 4 49 3" xfId="41685"/>
    <cellStyle name="40% - Accent1 4 5" xfId="8314"/>
    <cellStyle name="40% - Accent1 4 5 2" xfId="22556"/>
    <cellStyle name="40% - Accent1 4 5 2 2" xfId="49564"/>
    <cellStyle name="40% - Accent1 4 5 3" xfId="36060"/>
    <cellStyle name="40% - Accent1 4 50" xfId="14695"/>
    <cellStyle name="40% - Accent1 4 50 2" xfId="28307"/>
    <cellStyle name="40% - Accent1 4 50 2 2" xfId="55315"/>
    <cellStyle name="40% - Accent1 4 50 3" xfId="41811"/>
    <cellStyle name="40% - Accent1 4 51" xfId="14830"/>
    <cellStyle name="40% - Accent1 4 51 2" xfId="28429"/>
    <cellStyle name="40% - Accent1 4 51 2 2" xfId="55437"/>
    <cellStyle name="40% - Accent1 4 51 3" xfId="41933"/>
    <cellStyle name="40% - Accent1 4 52" xfId="14964"/>
    <cellStyle name="40% - Accent1 4 52 2" xfId="28550"/>
    <cellStyle name="40% - Accent1 4 52 2 2" xfId="55558"/>
    <cellStyle name="40% - Accent1 4 52 3" xfId="42054"/>
    <cellStyle name="40% - Accent1 4 53" xfId="15097"/>
    <cellStyle name="40% - Accent1 4 53 2" xfId="28670"/>
    <cellStyle name="40% - Accent1 4 53 2 2" xfId="55678"/>
    <cellStyle name="40% - Accent1 4 53 3" xfId="42174"/>
    <cellStyle name="40% - Accent1 4 54" xfId="15222"/>
    <cellStyle name="40% - Accent1 4 54 2" xfId="28786"/>
    <cellStyle name="40% - Accent1 4 54 2 2" xfId="55794"/>
    <cellStyle name="40% - Accent1 4 54 3" xfId="42290"/>
    <cellStyle name="40% - Accent1 4 55" xfId="15332"/>
    <cellStyle name="40% - Accent1 4 55 2" xfId="28892"/>
    <cellStyle name="40% - Accent1 4 55 2 2" xfId="55900"/>
    <cellStyle name="40% - Accent1 4 55 3" xfId="42396"/>
    <cellStyle name="40% - Accent1 4 56" xfId="15670"/>
    <cellStyle name="40% - Accent1 4 56 2" xfId="42678"/>
    <cellStyle name="40% - Accent1 4 57" xfId="29174"/>
    <cellStyle name="40% - Accent1 4 6" xfId="8456"/>
    <cellStyle name="40% - Accent1 4 6 2" xfId="22684"/>
    <cellStyle name="40% - Accent1 4 6 2 2" xfId="49692"/>
    <cellStyle name="40% - Accent1 4 6 3" xfId="36188"/>
    <cellStyle name="40% - Accent1 4 7" xfId="8598"/>
    <cellStyle name="40% - Accent1 4 7 2" xfId="22812"/>
    <cellStyle name="40% - Accent1 4 7 2 2" xfId="49820"/>
    <cellStyle name="40% - Accent1 4 7 3" xfId="36316"/>
    <cellStyle name="40% - Accent1 4 8" xfId="8740"/>
    <cellStyle name="40% - Accent1 4 8 2" xfId="22940"/>
    <cellStyle name="40% - Accent1 4 8 2 2" xfId="49948"/>
    <cellStyle name="40% - Accent1 4 8 3" xfId="36444"/>
    <cellStyle name="40% - Accent1 4 9" xfId="8882"/>
    <cellStyle name="40% - Accent1 4 9 2" xfId="23068"/>
    <cellStyle name="40% - Accent1 4 9 2 2" xfId="50076"/>
    <cellStyle name="40% - Accent1 4 9 3" xfId="36572"/>
    <cellStyle name="40% - Accent1 5" xfId="15375"/>
    <cellStyle name="40% - Accent1 5 2" xfId="28918"/>
    <cellStyle name="40% - Accent1 5 2 2" xfId="55926"/>
    <cellStyle name="40% - Accent1 5 3" xfId="42422"/>
    <cellStyle name="40% - Accent1 6" xfId="15419"/>
    <cellStyle name="40% - Accent1 6 2" xfId="28934"/>
    <cellStyle name="40% - Accent1 6 2 2" xfId="55942"/>
    <cellStyle name="40% - Accent1 6 3" xfId="42438"/>
    <cellStyle name="40% - Accent1 7" xfId="15444"/>
    <cellStyle name="40% - Accent1 7 2" xfId="42452"/>
    <cellStyle name="40% - Accent1 8" xfId="28948"/>
    <cellStyle name="40% - Accent1 9" xfId="39"/>
    <cellStyle name="40% - Accent2 2" xfId="115"/>
    <cellStyle name="40% - Accent2 2 10" xfId="765"/>
    <cellStyle name="40% - Accent2 2 10 2" xfId="15993"/>
    <cellStyle name="40% - Accent2 2 10 2 2" xfId="43001"/>
    <cellStyle name="40% - Accent2 2 10 3" xfId="29497"/>
    <cellStyle name="40% - Accent2 2 100" xfId="11134"/>
    <cellStyle name="40% - Accent2 2 100 2" xfId="25102"/>
    <cellStyle name="40% - Accent2 2 100 2 2" xfId="52110"/>
    <cellStyle name="40% - Accent2 2 100 3" xfId="38606"/>
    <cellStyle name="40% - Accent2 2 101" xfId="11276"/>
    <cellStyle name="40% - Accent2 2 101 2" xfId="25230"/>
    <cellStyle name="40% - Accent2 2 101 2 2" xfId="52238"/>
    <cellStyle name="40% - Accent2 2 101 3" xfId="38734"/>
    <cellStyle name="40% - Accent2 2 102" xfId="11418"/>
    <cellStyle name="40% - Accent2 2 102 2" xfId="25358"/>
    <cellStyle name="40% - Accent2 2 102 2 2" xfId="52366"/>
    <cellStyle name="40% - Accent2 2 102 3" xfId="38862"/>
    <cellStyle name="40% - Accent2 2 103" xfId="11560"/>
    <cellStyle name="40% - Accent2 2 103 2" xfId="25486"/>
    <cellStyle name="40% - Accent2 2 103 2 2" xfId="52494"/>
    <cellStyle name="40% - Accent2 2 103 3" xfId="38990"/>
    <cellStyle name="40% - Accent2 2 104" xfId="11702"/>
    <cellStyle name="40% - Accent2 2 104 2" xfId="25614"/>
    <cellStyle name="40% - Accent2 2 104 2 2" xfId="52622"/>
    <cellStyle name="40% - Accent2 2 104 3" xfId="39118"/>
    <cellStyle name="40% - Accent2 2 105" xfId="11844"/>
    <cellStyle name="40% - Accent2 2 105 2" xfId="25742"/>
    <cellStyle name="40% - Accent2 2 105 2 2" xfId="52750"/>
    <cellStyle name="40% - Accent2 2 105 3" xfId="39246"/>
    <cellStyle name="40% - Accent2 2 106" xfId="11986"/>
    <cellStyle name="40% - Accent2 2 106 2" xfId="25870"/>
    <cellStyle name="40% - Accent2 2 106 2 2" xfId="52878"/>
    <cellStyle name="40% - Accent2 2 106 3" xfId="39374"/>
    <cellStyle name="40% - Accent2 2 107" xfId="12128"/>
    <cellStyle name="40% - Accent2 2 107 2" xfId="25998"/>
    <cellStyle name="40% - Accent2 2 107 2 2" xfId="53006"/>
    <cellStyle name="40% - Accent2 2 107 3" xfId="39502"/>
    <cellStyle name="40% - Accent2 2 108" xfId="12270"/>
    <cellStyle name="40% - Accent2 2 108 2" xfId="26126"/>
    <cellStyle name="40% - Accent2 2 108 2 2" xfId="53134"/>
    <cellStyle name="40% - Accent2 2 108 3" xfId="39630"/>
    <cellStyle name="40% - Accent2 2 109" xfId="12412"/>
    <cellStyle name="40% - Accent2 2 109 2" xfId="26254"/>
    <cellStyle name="40% - Accent2 2 109 2 2" xfId="53262"/>
    <cellStyle name="40% - Accent2 2 109 3" xfId="39758"/>
    <cellStyle name="40% - Accent2 2 11" xfId="871"/>
    <cellStyle name="40% - Accent2 2 11 2" xfId="16085"/>
    <cellStyle name="40% - Accent2 2 11 2 2" xfId="43093"/>
    <cellStyle name="40% - Accent2 2 11 3" xfId="29589"/>
    <cellStyle name="40% - Accent2 2 110" xfId="12554"/>
    <cellStyle name="40% - Accent2 2 110 2" xfId="26382"/>
    <cellStyle name="40% - Accent2 2 110 2 2" xfId="53390"/>
    <cellStyle name="40% - Accent2 2 110 3" xfId="39886"/>
    <cellStyle name="40% - Accent2 2 111" xfId="12696"/>
    <cellStyle name="40% - Accent2 2 111 2" xfId="26510"/>
    <cellStyle name="40% - Accent2 2 111 2 2" xfId="53518"/>
    <cellStyle name="40% - Accent2 2 111 3" xfId="40014"/>
    <cellStyle name="40% - Accent2 2 112" xfId="12838"/>
    <cellStyle name="40% - Accent2 2 112 2" xfId="26638"/>
    <cellStyle name="40% - Accent2 2 112 2 2" xfId="53646"/>
    <cellStyle name="40% - Accent2 2 112 3" xfId="40142"/>
    <cellStyle name="40% - Accent2 2 113" xfId="12980"/>
    <cellStyle name="40% - Accent2 2 113 2" xfId="26766"/>
    <cellStyle name="40% - Accent2 2 113 2 2" xfId="53774"/>
    <cellStyle name="40% - Accent2 2 113 3" xfId="40270"/>
    <cellStyle name="40% - Accent2 2 114" xfId="13122"/>
    <cellStyle name="40% - Accent2 2 114 2" xfId="26894"/>
    <cellStyle name="40% - Accent2 2 114 2 2" xfId="53902"/>
    <cellStyle name="40% - Accent2 2 114 3" xfId="40398"/>
    <cellStyle name="40% - Accent2 2 115" xfId="13264"/>
    <cellStyle name="40% - Accent2 2 115 2" xfId="27022"/>
    <cellStyle name="40% - Accent2 2 115 2 2" xfId="54030"/>
    <cellStyle name="40% - Accent2 2 115 3" xfId="40526"/>
    <cellStyle name="40% - Accent2 2 116" xfId="13406"/>
    <cellStyle name="40% - Accent2 2 116 2" xfId="27150"/>
    <cellStyle name="40% - Accent2 2 116 2 2" xfId="54158"/>
    <cellStyle name="40% - Accent2 2 116 3" xfId="40654"/>
    <cellStyle name="40% - Accent2 2 117" xfId="13548"/>
    <cellStyle name="40% - Accent2 2 117 2" xfId="27278"/>
    <cellStyle name="40% - Accent2 2 117 2 2" xfId="54286"/>
    <cellStyle name="40% - Accent2 2 117 3" xfId="40782"/>
    <cellStyle name="40% - Accent2 2 118" xfId="13690"/>
    <cellStyle name="40% - Accent2 2 118 2" xfId="27406"/>
    <cellStyle name="40% - Accent2 2 118 2 2" xfId="54414"/>
    <cellStyle name="40% - Accent2 2 118 3" xfId="40910"/>
    <cellStyle name="40% - Accent2 2 119" xfId="13832"/>
    <cellStyle name="40% - Accent2 2 119 2" xfId="27534"/>
    <cellStyle name="40% - Accent2 2 119 2 2" xfId="54542"/>
    <cellStyle name="40% - Accent2 2 119 3" xfId="41038"/>
    <cellStyle name="40% - Accent2 2 12" xfId="977"/>
    <cellStyle name="40% - Accent2 2 12 2" xfId="16177"/>
    <cellStyle name="40% - Accent2 2 12 2 2" xfId="43185"/>
    <cellStyle name="40% - Accent2 2 12 3" xfId="29681"/>
    <cellStyle name="40% - Accent2 2 120" xfId="13973"/>
    <cellStyle name="40% - Accent2 2 120 2" xfId="27661"/>
    <cellStyle name="40% - Accent2 2 120 2 2" xfId="54669"/>
    <cellStyle name="40% - Accent2 2 120 3" xfId="41165"/>
    <cellStyle name="40% - Accent2 2 121" xfId="14114"/>
    <cellStyle name="40% - Accent2 2 121 2" xfId="27788"/>
    <cellStyle name="40% - Accent2 2 121 2 2" xfId="54796"/>
    <cellStyle name="40% - Accent2 2 121 3" xfId="41292"/>
    <cellStyle name="40% - Accent2 2 122" xfId="14255"/>
    <cellStyle name="40% - Accent2 2 122 2" xfId="27915"/>
    <cellStyle name="40% - Accent2 2 122 2 2" xfId="54923"/>
    <cellStyle name="40% - Accent2 2 122 3" xfId="41419"/>
    <cellStyle name="40% - Accent2 2 123" xfId="14396"/>
    <cellStyle name="40% - Accent2 2 123 2" xfId="28042"/>
    <cellStyle name="40% - Accent2 2 123 2 2" xfId="55050"/>
    <cellStyle name="40% - Accent2 2 123 3" xfId="41546"/>
    <cellStyle name="40% - Accent2 2 124" xfId="14536"/>
    <cellStyle name="40% - Accent2 2 124 2" xfId="28168"/>
    <cellStyle name="40% - Accent2 2 124 2 2" xfId="55176"/>
    <cellStyle name="40% - Accent2 2 124 3" xfId="41672"/>
    <cellStyle name="40% - Accent2 2 125" xfId="14676"/>
    <cellStyle name="40% - Accent2 2 125 2" xfId="28294"/>
    <cellStyle name="40% - Accent2 2 125 2 2" xfId="55302"/>
    <cellStyle name="40% - Accent2 2 125 3" xfId="41798"/>
    <cellStyle name="40% - Accent2 2 126" xfId="14815"/>
    <cellStyle name="40% - Accent2 2 126 2" xfId="28419"/>
    <cellStyle name="40% - Accent2 2 126 2 2" xfId="55427"/>
    <cellStyle name="40% - Accent2 2 126 3" xfId="41923"/>
    <cellStyle name="40% - Accent2 2 127" xfId="15473"/>
    <cellStyle name="40% - Accent2 2 127 2" xfId="42481"/>
    <cellStyle name="40% - Accent2 2 128" xfId="28977"/>
    <cellStyle name="40% - Accent2 2 13" xfId="1083"/>
    <cellStyle name="40% - Accent2 2 13 2" xfId="16269"/>
    <cellStyle name="40% - Accent2 2 13 2 2" xfId="43277"/>
    <cellStyle name="40% - Accent2 2 13 3" xfId="29773"/>
    <cellStyle name="40% - Accent2 2 14" xfId="1189"/>
    <cellStyle name="40% - Accent2 2 14 2" xfId="16361"/>
    <cellStyle name="40% - Accent2 2 14 2 2" xfId="43369"/>
    <cellStyle name="40% - Accent2 2 14 3" xfId="29865"/>
    <cellStyle name="40% - Accent2 2 15" xfId="1295"/>
    <cellStyle name="40% - Accent2 2 15 2" xfId="16453"/>
    <cellStyle name="40% - Accent2 2 15 2 2" xfId="43461"/>
    <cellStyle name="40% - Accent2 2 15 3" xfId="29957"/>
    <cellStyle name="40% - Accent2 2 16" xfId="1401"/>
    <cellStyle name="40% - Accent2 2 16 2" xfId="16545"/>
    <cellStyle name="40% - Accent2 2 16 2 2" xfId="43553"/>
    <cellStyle name="40% - Accent2 2 16 3" xfId="30049"/>
    <cellStyle name="40% - Accent2 2 17" xfId="1507"/>
    <cellStyle name="40% - Accent2 2 17 2" xfId="16637"/>
    <cellStyle name="40% - Accent2 2 17 2 2" xfId="43645"/>
    <cellStyle name="40% - Accent2 2 17 3" xfId="30141"/>
    <cellStyle name="40% - Accent2 2 18" xfId="1613"/>
    <cellStyle name="40% - Accent2 2 18 2" xfId="16729"/>
    <cellStyle name="40% - Accent2 2 18 2 2" xfId="43737"/>
    <cellStyle name="40% - Accent2 2 18 3" xfId="30233"/>
    <cellStyle name="40% - Accent2 2 19" xfId="1719"/>
    <cellStyle name="40% - Accent2 2 19 2" xfId="16821"/>
    <cellStyle name="40% - Accent2 2 19 2 2" xfId="43829"/>
    <cellStyle name="40% - Accent2 2 19 3" xfId="30325"/>
    <cellStyle name="40% - Accent2 2 2" xfId="226"/>
    <cellStyle name="40% - Accent2 2 2 10" xfId="8929"/>
    <cellStyle name="40% - Accent2 2 2 10 2" xfId="23107"/>
    <cellStyle name="40% - Accent2 2 2 10 2 2" xfId="50115"/>
    <cellStyle name="40% - Accent2 2 2 10 3" xfId="36611"/>
    <cellStyle name="40% - Accent2 2 2 11" xfId="9071"/>
    <cellStyle name="40% - Accent2 2 2 11 2" xfId="23235"/>
    <cellStyle name="40% - Accent2 2 2 11 2 2" xfId="50243"/>
    <cellStyle name="40% - Accent2 2 2 11 3" xfId="36739"/>
    <cellStyle name="40% - Accent2 2 2 12" xfId="9213"/>
    <cellStyle name="40% - Accent2 2 2 12 2" xfId="23363"/>
    <cellStyle name="40% - Accent2 2 2 12 2 2" xfId="50371"/>
    <cellStyle name="40% - Accent2 2 2 12 3" xfId="36867"/>
    <cellStyle name="40% - Accent2 2 2 13" xfId="9355"/>
    <cellStyle name="40% - Accent2 2 2 13 2" xfId="23491"/>
    <cellStyle name="40% - Accent2 2 2 13 2 2" xfId="50499"/>
    <cellStyle name="40% - Accent2 2 2 13 3" xfId="36995"/>
    <cellStyle name="40% - Accent2 2 2 14" xfId="9497"/>
    <cellStyle name="40% - Accent2 2 2 14 2" xfId="23619"/>
    <cellStyle name="40% - Accent2 2 2 14 2 2" xfId="50627"/>
    <cellStyle name="40% - Accent2 2 2 14 3" xfId="37123"/>
    <cellStyle name="40% - Accent2 2 2 15" xfId="9639"/>
    <cellStyle name="40% - Accent2 2 2 15 2" xfId="23747"/>
    <cellStyle name="40% - Accent2 2 2 15 2 2" xfId="50755"/>
    <cellStyle name="40% - Accent2 2 2 15 3" xfId="37251"/>
    <cellStyle name="40% - Accent2 2 2 16" xfId="9781"/>
    <cellStyle name="40% - Accent2 2 2 16 2" xfId="23875"/>
    <cellStyle name="40% - Accent2 2 2 16 2 2" xfId="50883"/>
    <cellStyle name="40% - Accent2 2 2 16 3" xfId="37379"/>
    <cellStyle name="40% - Accent2 2 2 17" xfId="9923"/>
    <cellStyle name="40% - Accent2 2 2 17 2" xfId="24003"/>
    <cellStyle name="40% - Accent2 2 2 17 2 2" xfId="51011"/>
    <cellStyle name="40% - Accent2 2 2 17 3" xfId="37507"/>
    <cellStyle name="40% - Accent2 2 2 18" xfId="10065"/>
    <cellStyle name="40% - Accent2 2 2 18 2" xfId="24131"/>
    <cellStyle name="40% - Accent2 2 2 18 2 2" xfId="51139"/>
    <cellStyle name="40% - Accent2 2 2 18 3" xfId="37635"/>
    <cellStyle name="40% - Accent2 2 2 19" xfId="10207"/>
    <cellStyle name="40% - Accent2 2 2 19 2" xfId="24259"/>
    <cellStyle name="40% - Accent2 2 2 19 2 2" xfId="51267"/>
    <cellStyle name="40% - Accent2 2 2 19 3" xfId="37763"/>
    <cellStyle name="40% - Accent2 2 2 2" xfId="7793"/>
    <cellStyle name="40% - Accent2 2 2 2 2" xfId="22083"/>
    <cellStyle name="40% - Accent2 2 2 2 2 2" xfId="49091"/>
    <cellStyle name="40% - Accent2 2 2 2 3" xfId="35587"/>
    <cellStyle name="40% - Accent2 2 2 20" xfId="10349"/>
    <cellStyle name="40% - Accent2 2 2 20 2" xfId="24387"/>
    <cellStyle name="40% - Accent2 2 2 20 2 2" xfId="51395"/>
    <cellStyle name="40% - Accent2 2 2 20 3" xfId="37891"/>
    <cellStyle name="40% - Accent2 2 2 21" xfId="10491"/>
    <cellStyle name="40% - Accent2 2 2 21 2" xfId="24515"/>
    <cellStyle name="40% - Accent2 2 2 21 2 2" xfId="51523"/>
    <cellStyle name="40% - Accent2 2 2 21 3" xfId="38019"/>
    <cellStyle name="40% - Accent2 2 2 22" xfId="10633"/>
    <cellStyle name="40% - Accent2 2 2 22 2" xfId="24643"/>
    <cellStyle name="40% - Accent2 2 2 22 2 2" xfId="51651"/>
    <cellStyle name="40% - Accent2 2 2 22 3" xfId="38147"/>
    <cellStyle name="40% - Accent2 2 2 23" xfId="10775"/>
    <cellStyle name="40% - Accent2 2 2 23 2" xfId="24771"/>
    <cellStyle name="40% - Accent2 2 2 23 2 2" xfId="51779"/>
    <cellStyle name="40% - Accent2 2 2 23 3" xfId="38275"/>
    <cellStyle name="40% - Accent2 2 2 24" xfId="10917"/>
    <cellStyle name="40% - Accent2 2 2 24 2" xfId="24899"/>
    <cellStyle name="40% - Accent2 2 2 24 2 2" xfId="51907"/>
    <cellStyle name="40% - Accent2 2 2 24 3" xfId="38403"/>
    <cellStyle name="40% - Accent2 2 2 25" xfId="11059"/>
    <cellStyle name="40% - Accent2 2 2 25 2" xfId="25027"/>
    <cellStyle name="40% - Accent2 2 2 25 2 2" xfId="52035"/>
    <cellStyle name="40% - Accent2 2 2 25 3" xfId="38531"/>
    <cellStyle name="40% - Accent2 2 2 26" xfId="11201"/>
    <cellStyle name="40% - Accent2 2 2 26 2" xfId="25155"/>
    <cellStyle name="40% - Accent2 2 2 26 2 2" xfId="52163"/>
    <cellStyle name="40% - Accent2 2 2 26 3" xfId="38659"/>
    <cellStyle name="40% - Accent2 2 2 27" xfId="11343"/>
    <cellStyle name="40% - Accent2 2 2 27 2" xfId="25283"/>
    <cellStyle name="40% - Accent2 2 2 27 2 2" xfId="52291"/>
    <cellStyle name="40% - Accent2 2 2 27 3" xfId="38787"/>
    <cellStyle name="40% - Accent2 2 2 28" xfId="11485"/>
    <cellStyle name="40% - Accent2 2 2 28 2" xfId="25411"/>
    <cellStyle name="40% - Accent2 2 2 28 2 2" xfId="52419"/>
    <cellStyle name="40% - Accent2 2 2 28 3" xfId="38915"/>
    <cellStyle name="40% - Accent2 2 2 29" xfId="11627"/>
    <cellStyle name="40% - Accent2 2 2 29 2" xfId="25539"/>
    <cellStyle name="40% - Accent2 2 2 29 2 2" xfId="52547"/>
    <cellStyle name="40% - Accent2 2 2 29 3" xfId="39043"/>
    <cellStyle name="40% - Accent2 2 2 3" xfId="7935"/>
    <cellStyle name="40% - Accent2 2 2 3 2" xfId="22211"/>
    <cellStyle name="40% - Accent2 2 2 3 2 2" xfId="49219"/>
    <cellStyle name="40% - Accent2 2 2 3 3" xfId="35715"/>
    <cellStyle name="40% - Accent2 2 2 30" xfId="11769"/>
    <cellStyle name="40% - Accent2 2 2 30 2" xfId="25667"/>
    <cellStyle name="40% - Accent2 2 2 30 2 2" xfId="52675"/>
    <cellStyle name="40% - Accent2 2 2 30 3" xfId="39171"/>
    <cellStyle name="40% - Accent2 2 2 31" xfId="11911"/>
    <cellStyle name="40% - Accent2 2 2 31 2" xfId="25795"/>
    <cellStyle name="40% - Accent2 2 2 31 2 2" xfId="52803"/>
    <cellStyle name="40% - Accent2 2 2 31 3" xfId="39299"/>
    <cellStyle name="40% - Accent2 2 2 32" xfId="12053"/>
    <cellStyle name="40% - Accent2 2 2 32 2" xfId="25923"/>
    <cellStyle name="40% - Accent2 2 2 32 2 2" xfId="52931"/>
    <cellStyle name="40% - Accent2 2 2 32 3" xfId="39427"/>
    <cellStyle name="40% - Accent2 2 2 33" xfId="12195"/>
    <cellStyle name="40% - Accent2 2 2 33 2" xfId="26051"/>
    <cellStyle name="40% - Accent2 2 2 33 2 2" xfId="53059"/>
    <cellStyle name="40% - Accent2 2 2 33 3" xfId="39555"/>
    <cellStyle name="40% - Accent2 2 2 34" xfId="12337"/>
    <cellStyle name="40% - Accent2 2 2 34 2" xfId="26179"/>
    <cellStyle name="40% - Accent2 2 2 34 2 2" xfId="53187"/>
    <cellStyle name="40% - Accent2 2 2 34 3" xfId="39683"/>
    <cellStyle name="40% - Accent2 2 2 35" xfId="12479"/>
    <cellStyle name="40% - Accent2 2 2 35 2" xfId="26307"/>
    <cellStyle name="40% - Accent2 2 2 35 2 2" xfId="53315"/>
    <cellStyle name="40% - Accent2 2 2 35 3" xfId="39811"/>
    <cellStyle name="40% - Accent2 2 2 36" xfId="12621"/>
    <cellStyle name="40% - Accent2 2 2 36 2" xfId="26435"/>
    <cellStyle name="40% - Accent2 2 2 36 2 2" xfId="53443"/>
    <cellStyle name="40% - Accent2 2 2 36 3" xfId="39939"/>
    <cellStyle name="40% - Accent2 2 2 37" xfId="12763"/>
    <cellStyle name="40% - Accent2 2 2 37 2" xfId="26563"/>
    <cellStyle name="40% - Accent2 2 2 37 2 2" xfId="53571"/>
    <cellStyle name="40% - Accent2 2 2 37 3" xfId="40067"/>
    <cellStyle name="40% - Accent2 2 2 38" xfId="12905"/>
    <cellStyle name="40% - Accent2 2 2 38 2" xfId="26691"/>
    <cellStyle name="40% - Accent2 2 2 38 2 2" xfId="53699"/>
    <cellStyle name="40% - Accent2 2 2 38 3" xfId="40195"/>
    <cellStyle name="40% - Accent2 2 2 39" xfId="13047"/>
    <cellStyle name="40% - Accent2 2 2 39 2" xfId="26819"/>
    <cellStyle name="40% - Accent2 2 2 39 2 2" xfId="53827"/>
    <cellStyle name="40% - Accent2 2 2 39 3" xfId="40323"/>
    <cellStyle name="40% - Accent2 2 2 4" xfId="8077"/>
    <cellStyle name="40% - Accent2 2 2 4 2" xfId="22339"/>
    <cellStyle name="40% - Accent2 2 2 4 2 2" xfId="49347"/>
    <cellStyle name="40% - Accent2 2 2 4 3" xfId="35843"/>
    <cellStyle name="40% - Accent2 2 2 40" xfId="13189"/>
    <cellStyle name="40% - Accent2 2 2 40 2" xfId="26947"/>
    <cellStyle name="40% - Accent2 2 2 40 2 2" xfId="53955"/>
    <cellStyle name="40% - Accent2 2 2 40 3" xfId="40451"/>
    <cellStyle name="40% - Accent2 2 2 41" xfId="13331"/>
    <cellStyle name="40% - Accent2 2 2 41 2" xfId="27075"/>
    <cellStyle name="40% - Accent2 2 2 41 2 2" xfId="54083"/>
    <cellStyle name="40% - Accent2 2 2 41 3" xfId="40579"/>
    <cellStyle name="40% - Accent2 2 2 42" xfId="13473"/>
    <cellStyle name="40% - Accent2 2 2 42 2" xfId="27203"/>
    <cellStyle name="40% - Accent2 2 2 42 2 2" xfId="54211"/>
    <cellStyle name="40% - Accent2 2 2 42 3" xfId="40707"/>
    <cellStyle name="40% - Accent2 2 2 43" xfId="13615"/>
    <cellStyle name="40% - Accent2 2 2 43 2" xfId="27331"/>
    <cellStyle name="40% - Accent2 2 2 43 2 2" xfId="54339"/>
    <cellStyle name="40% - Accent2 2 2 43 3" xfId="40835"/>
    <cellStyle name="40% - Accent2 2 2 44" xfId="13757"/>
    <cellStyle name="40% - Accent2 2 2 44 2" xfId="27459"/>
    <cellStyle name="40% - Accent2 2 2 44 2 2" xfId="54467"/>
    <cellStyle name="40% - Accent2 2 2 44 3" xfId="40963"/>
    <cellStyle name="40% - Accent2 2 2 45" xfId="13898"/>
    <cellStyle name="40% - Accent2 2 2 45 2" xfId="27586"/>
    <cellStyle name="40% - Accent2 2 2 45 2 2" xfId="54594"/>
    <cellStyle name="40% - Accent2 2 2 45 3" xfId="41090"/>
    <cellStyle name="40% - Accent2 2 2 46" xfId="14039"/>
    <cellStyle name="40% - Accent2 2 2 46 2" xfId="27713"/>
    <cellStyle name="40% - Accent2 2 2 46 2 2" xfId="54721"/>
    <cellStyle name="40% - Accent2 2 2 46 3" xfId="41217"/>
    <cellStyle name="40% - Accent2 2 2 47" xfId="14180"/>
    <cellStyle name="40% - Accent2 2 2 47 2" xfId="27840"/>
    <cellStyle name="40% - Accent2 2 2 47 2 2" xfId="54848"/>
    <cellStyle name="40% - Accent2 2 2 47 3" xfId="41344"/>
    <cellStyle name="40% - Accent2 2 2 48" xfId="14321"/>
    <cellStyle name="40% - Accent2 2 2 48 2" xfId="27967"/>
    <cellStyle name="40% - Accent2 2 2 48 2 2" xfId="54975"/>
    <cellStyle name="40% - Accent2 2 2 48 3" xfId="41471"/>
    <cellStyle name="40% - Accent2 2 2 49" xfId="14461"/>
    <cellStyle name="40% - Accent2 2 2 49 2" xfId="28093"/>
    <cellStyle name="40% - Accent2 2 2 49 2 2" xfId="55101"/>
    <cellStyle name="40% - Accent2 2 2 49 3" xfId="41597"/>
    <cellStyle name="40% - Accent2 2 2 5" xfId="8219"/>
    <cellStyle name="40% - Accent2 2 2 5 2" xfId="22467"/>
    <cellStyle name="40% - Accent2 2 2 5 2 2" xfId="49475"/>
    <cellStyle name="40% - Accent2 2 2 5 3" xfId="35971"/>
    <cellStyle name="40% - Accent2 2 2 50" xfId="14601"/>
    <cellStyle name="40% - Accent2 2 2 50 2" xfId="28219"/>
    <cellStyle name="40% - Accent2 2 2 50 2 2" xfId="55227"/>
    <cellStyle name="40% - Accent2 2 2 50 3" xfId="41723"/>
    <cellStyle name="40% - Accent2 2 2 51" xfId="14740"/>
    <cellStyle name="40% - Accent2 2 2 51 2" xfId="28344"/>
    <cellStyle name="40% - Accent2 2 2 51 2 2" xfId="55352"/>
    <cellStyle name="40% - Accent2 2 2 51 3" xfId="41848"/>
    <cellStyle name="40% - Accent2 2 2 52" xfId="14875"/>
    <cellStyle name="40% - Accent2 2 2 52 2" xfId="28466"/>
    <cellStyle name="40% - Accent2 2 2 52 2 2" xfId="55474"/>
    <cellStyle name="40% - Accent2 2 2 52 3" xfId="41970"/>
    <cellStyle name="40% - Accent2 2 2 53" xfId="15009"/>
    <cellStyle name="40% - Accent2 2 2 53 2" xfId="28587"/>
    <cellStyle name="40% - Accent2 2 2 53 2 2" xfId="55595"/>
    <cellStyle name="40% - Accent2 2 2 53 3" xfId="42091"/>
    <cellStyle name="40% - Accent2 2 2 54" xfId="15137"/>
    <cellStyle name="40% - Accent2 2 2 54 2" xfId="28704"/>
    <cellStyle name="40% - Accent2 2 2 54 2 2" xfId="55712"/>
    <cellStyle name="40% - Accent2 2 2 54 3" xfId="42208"/>
    <cellStyle name="40% - Accent2 2 2 55" xfId="15258"/>
    <cellStyle name="40% - Accent2 2 2 55 2" xfId="28818"/>
    <cellStyle name="40% - Accent2 2 2 55 2 2" xfId="55826"/>
    <cellStyle name="40% - Accent2 2 2 55 3" xfId="42322"/>
    <cellStyle name="40% - Accent2 2 2 56" xfId="15556"/>
    <cellStyle name="40% - Accent2 2 2 56 2" xfId="42564"/>
    <cellStyle name="40% - Accent2 2 2 57" xfId="29060"/>
    <cellStyle name="40% - Accent2 2 2 6" xfId="8361"/>
    <cellStyle name="40% - Accent2 2 2 6 2" xfId="22595"/>
    <cellStyle name="40% - Accent2 2 2 6 2 2" xfId="49603"/>
    <cellStyle name="40% - Accent2 2 2 6 3" xfId="36099"/>
    <cellStyle name="40% - Accent2 2 2 7" xfId="8503"/>
    <cellStyle name="40% - Accent2 2 2 7 2" xfId="22723"/>
    <cellStyle name="40% - Accent2 2 2 7 2 2" xfId="49731"/>
    <cellStyle name="40% - Accent2 2 2 7 3" xfId="36227"/>
    <cellStyle name="40% - Accent2 2 2 8" xfId="8645"/>
    <cellStyle name="40% - Accent2 2 2 8 2" xfId="22851"/>
    <cellStyle name="40% - Accent2 2 2 8 2 2" xfId="49859"/>
    <cellStyle name="40% - Accent2 2 2 8 3" xfId="36355"/>
    <cellStyle name="40% - Accent2 2 2 9" xfId="8787"/>
    <cellStyle name="40% - Accent2 2 2 9 2" xfId="22979"/>
    <cellStyle name="40% - Accent2 2 2 9 2 2" xfId="49987"/>
    <cellStyle name="40% - Accent2 2 2 9 3" xfId="36483"/>
    <cellStyle name="40% - Accent2 2 20" xfId="1825"/>
    <cellStyle name="40% - Accent2 2 20 2" xfId="16913"/>
    <cellStyle name="40% - Accent2 2 20 2 2" xfId="43921"/>
    <cellStyle name="40% - Accent2 2 20 3" xfId="30417"/>
    <cellStyle name="40% - Accent2 2 21" xfId="1931"/>
    <cellStyle name="40% - Accent2 2 21 2" xfId="17005"/>
    <cellStyle name="40% - Accent2 2 21 2 2" xfId="44013"/>
    <cellStyle name="40% - Accent2 2 21 3" xfId="30509"/>
    <cellStyle name="40% - Accent2 2 22" xfId="2037"/>
    <cellStyle name="40% - Accent2 2 22 2" xfId="17097"/>
    <cellStyle name="40% - Accent2 2 22 2 2" xfId="44105"/>
    <cellStyle name="40% - Accent2 2 22 3" xfId="30601"/>
    <cellStyle name="40% - Accent2 2 23" xfId="2143"/>
    <cellStyle name="40% - Accent2 2 23 2" xfId="17189"/>
    <cellStyle name="40% - Accent2 2 23 2 2" xfId="44197"/>
    <cellStyle name="40% - Accent2 2 23 3" xfId="30693"/>
    <cellStyle name="40% - Accent2 2 24" xfId="2249"/>
    <cellStyle name="40% - Accent2 2 24 2" xfId="17281"/>
    <cellStyle name="40% - Accent2 2 24 2 2" xfId="44289"/>
    <cellStyle name="40% - Accent2 2 24 3" xfId="30785"/>
    <cellStyle name="40% - Accent2 2 25" xfId="2355"/>
    <cellStyle name="40% - Accent2 2 25 2" xfId="17373"/>
    <cellStyle name="40% - Accent2 2 25 2 2" xfId="44381"/>
    <cellStyle name="40% - Accent2 2 25 3" xfId="30877"/>
    <cellStyle name="40% - Accent2 2 26" xfId="2461"/>
    <cellStyle name="40% - Accent2 2 26 2" xfId="17465"/>
    <cellStyle name="40% - Accent2 2 26 2 2" xfId="44473"/>
    <cellStyle name="40% - Accent2 2 26 3" xfId="30969"/>
    <cellStyle name="40% - Accent2 2 27" xfId="2567"/>
    <cellStyle name="40% - Accent2 2 27 2" xfId="17557"/>
    <cellStyle name="40% - Accent2 2 27 2 2" xfId="44565"/>
    <cellStyle name="40% - Accent2 2 27 3" xfId="31061"/>
    <cellStyle name="40% - Accent2 2 28" xfId="2673"/>
    <cellStyle name="40% - Accent2 2 28 2" xfId="17649"/>
    <cellStyle name="40% - Accent2 2 28 2 2" xfId="44657"/>
    <cellStyle name="40% - Accent2 2 28 3" xfId="31153"/>
    <cellStyle name="40% - Accent2 2 29" xfId="2779"/>
    <cellStyle name="40% - Accent2 2 29 2" xfId="17741"/>
    <cellStyle name="40% - Accent2 2 29 2 2" xfId="44749"/>
    <cellStyle name="40% - Accent2 2 29 3" xfId="31245"/>
    <cellStyle name="40% - Accent2 2 3" xfId="416"/>
    <cellStyle name="40% - Accent2 2 3 10" xfId="9052"/>
    <cellStyle name="40% - Accent2 2 3 10 2" xfId="23220"/>
    <cellStyle name="40% - Accent2 2 3 10 2 2" xfId="50228"/>
    <cellStyle name="40% - Accent2 2 3 10 3" xfId="36724"/>
    <cellStyle name="40% - Accent2 2 3 11" xfId="9194"/>
    <cellStyle name="40% - Accent2 2 3 11 2" xfId="23348"/>
    <cellStyle name="40% - Accent2 2 3 11 2 2" xfId="50356"/>
    <cellStyle name="40% - Accent2 2 3 11 3" xfId="36852"/>
    <cellStyle name="40% - Accent2 2 3 12" xfId="9336"/>
    <cellStyle name="40% - Accent2 2 3 12 2" xfId="23476"/>
    <cellStyle name="40% - Accent2 2 3 12 2 2" xfId="50484"/>
    <cellStyle name="40% - Accent2 2 3 12 3" xfId="36980"/>
    <cellStyle name="40% - Accent2 2 3 13" xfId="9478"/>
    <cellStyle name="40% - Accent2 2 3 13 2" xfId="23604"/>
    <cellStyle name="40% - Accent2 2 3 13 2 2" xfId="50612"/>
    <cellStyle name="40% - Accent2 2 3 13 3" xfId="37108"/>
    <cellStyle name="40% - Accent2 2 3 14" xfId="9620"/>
    <cellStyle name="40% - Accent2 2 3 14 2" xfId="23732"/>
    <cellStyle name="40% - Accent2 2 3 14 2 2" xfId="50740"/>
    <cellStyle name="40% - Accent2 2 3 14 3" xfId="37236"/>
    <cellStyle name="40% - Accent2 2 3 15" xfId="9762"/>
    <cellStyle name="40% - Accent2 2 3 15 2" xfId="23860"/>
    <cellStyle name="40% - Accent2 2 3 15 2 2" xfId="50868"/>
    <cellStyle name="40% - Accent2 2 3 15 3" xfId="37364"/>
    <cellStyle name="40% - Accent2 2 3 16" xfId="9904"/>
    <cellStyle name="40% - Accent2 2 3 16 2" xfId="23988"/>
    <cellStyle name="40% - Accent2 2 3 16 2 2" xfId="50996"/>
    <cellStyle name="40% - Accent2 2 3 16 3" xfId="37492"/>
    <cellStyle name="40% - Accent2 2 3 17" xfId="10046"/>
    <cellStyle name="40% - Accent2 2 3 17 2" xfId="24116"/>
    <cellStyle name="40% - Accent2 2 3 17 2 2" xfId="51124"/>
    <cellStyle name="40% - Accent2 2 3 17 3" xfId="37620"/>
    <cellStyle name="40% - Accent2 2 3 18" xfId="10188"/>
    <cellStyle name="40% - Accent2 2 3 18 2" xfId="24244"/>
    <cellStyle name="40% - Accent2 2 3 18 2 2" xfId="51252"/>
    <cellStyle name="40% - Accent2 2 3 18 3" xfId="37748"/>
    <cellStyle name="40% - Accent2 2 3 19" xfId="10330"/>
    <cellStyle name="40% - Accent2 2 3 19 2" xfId="24372"/>
    <cellStyle name="40% - Accent2 2 3 19 2 2" xfId="51380"/>
    <cellStyle name="40% - Accent2 2 3 19 3" xfId="37876"/>
    <cellStyle name="40% - Accent2 2 3 2" xfId="7916"/>
    <cellStyle name="40% - Accent2 2 3 2 2" xfId="22196"/>
    <cellStyle name="40% - Accent2 2 3 2 2 2" xfId="49204"/>
    <cellStyle name="40% - Accent2 2 3 2 3" xfId="35700"/>
    <cellStyle name="40% - Accent2 2 3 20" xfId="10472"/>
    <cellStyle name="40% - Accent2 2 3 20 2" xfId="24500"/>
    <cellStyle name="40% - Accent2 2 3 20 2 2" xfId="51508"/>
    <cellStyle name="40% - Accent2 2 3 20 3" xfId="38004"/>
    <cellStyle name="40% - Accent2 2 3 21" xfId="10614"/>
    <cellStyle name="40% - Accent2 2 3 21 2" xfId="24628"/>
    <cellStyle name="40% - Accent2 2 3 21 2 2" xfId="51636"/>
    <cellStyle name="40% - Accent2 2 3 21 3" xfId="38132"/>
    <cellStyle name="40% - Accent2 2 3 22" xfId="10756"/>
    <cellStyle name="40% - Accent2 2 3 22 2" xfId="24756"/>
    <cellStyle name="40% - Accent2 2 3 22 2 2" xfId="51764"/>
    <cellStyle name="40% - Accent2 2 3 22 3" xfId="38260"/>
    <cellStyle name="40% - Accent2 2 3 23" xfId="10898"/>
    <cellStyle name="40% - Accent2 2 3 23 2" xfId="24884"/>
    <cellStyle name="40% - Accent2 2 3 23 2 2" xfId="51892"/>
    <cellStyle name="40% - Accent2 2 3 23 3" xfId="38388"/>
    <cellStyle name="40% - Accent2 2 3 24" xfId="11040"/>
    <cellStyle name="40% - Accent2 2 3 24 2" xfId="25012"/>
    <cellStyle name="40% - Accent2 2 3 24 2 2" xfId="52020"/>
    <cellStyle name="40% - Accent2 2 3 24 3" xfId="38516"/>
    <cellStyle name="40% - Accent2 2 3 25" xfId="11182"/>
    <cellStyle name="40% - Accent2 2 3 25 2" xfId="25140"/>
    <cellStyle name="40% - Accent2 2 3 25 2 2" xfId="52148"/>
    <cellStyle name="40% - Accent2 2 3 25 3" xfId="38644"/>
    <cellStyle name="40% - Accent2 2 3 26" xfId="11324"/>
    <cellStyle name="40% - Accent2 2 3 26 2" xfId="25268"/>
    <cellStyle name="40% - Accent2 2 3 26 2 2" xfId="52276"/>
    <cellStyle name="40% - Accent2 2 3 26 3" xfId="38772"/>
    <cellStyle name="40% - Accent2 2 3 27" xfId="11466"/>
    <cellStyle name="40% - Accent2 2 3 27 2" xfId="25396"/>
    <cellStyle name="40% - Accent2 2 3 27 2 2" xfId="52404"/>
    <cellStyle name="40% - Accent2 2 3 27 3" xfId="38900"/>
    <cellStyle name="40% - Accent2 2 3 28" xfId="11608"/>
    <cellStyle name="40% - Accent2 2 3 28 2" xfId="25524"/>
    <cellStyle name="40% - Accent2 2 3 28 2 2" xfId="52532"/>
    <cellStyle name="40% - Accent2 2 3 28 3" xfId="39028"/>
    <cellStyle name="40% - Accent2 2 3 29" xfId="11750"/>
    <cellStyle name="40% - Accent2 2 3 29 2" xfId="25652"/>
    <cellStyle name="40% - Accent2 2 3 29 2 2" xfId="52660"/>
    <cellStyle name="40% - Accent2 2 3 29 3" xfId="39156"/>
    <cellStyle name="40% - Accent2 2 3 3" xfId="8058"/>
    <cellStyle name="40% - Accent2 2 3 3 2" xfId="22324"/>
    <cellStyle name="40% - Accent2 2 3 3 2 2" xfId="49332"/>
    <cellStyle name="40% - Accent2 2 3 3 3" xfId="35828"/>
    <cellStyle name="40% - Accent2 2 3 30" xfId="11892"/>
    <cellStyle name="40% - Accent2 2 3 30 2" xfId="25780"/>
    <cellStyle name="40% - Accent2 2 3 30 2 2" xfId="52788"/>
    <cellStyle name="40% - Accent2 2 3 30 3" xfId="39284"/>
    <cellStyle name="40% - Accent2 2 3 31" xfId="12034"/>
    <cellStyle name="40% - Accent2 2 3 31 2" xfId="25908"/>
    <cellStyle name="40% - Accent2 2 3 31 2 2" xfId="52916"/>
    <cellStyle name="40% - Accent2 2 3 31 3" xfId="39412"/>
    <cellStyle name="40% - Accent2 2 3 32" xfId="12176"/>
    <cellStyle name="40% - Accent2 2 3 32 2" xfId="26036"/>
    <cellStyle name="40% - Accent2 2 3 32 2 2" xfId="53044"/>
    <cellStyle name="40% - Accent2 2 3 32 3" xfId="39540"/>
    <cellStyle name="40% - Accent2 2 3 33" xfId="12318"/>
    <cellStyle name="40% - Accent2 2 3 33 2" xfId="26164"/>
    <cellStyle name="40% - Accent2 2 3 33 2 2" xfId="53172"/>
    <cellStyle name="40% - Accent2 2 3 33 3" xfId="39668"/>
    <cellStyle name="40% - Accent2 2 3 34" xfId="12460"/>
    <cellStyle name="40% - Accent2 2 3 34 2" xfId="26292"/>
    <cellStyle name="40% - Accent2 2 3 34 2 2" xfId="53300"/>
    <cellStyle name="40% - Accent2 2 3 34 3" xfId="39796"/>
    <cellStyle name="40% - Accent2 2 3 35" xfId="12602"/>
    <cellStyle name="40% - Accent2 2 3 35 2" xfId="26420"/>
    <cellStyle name="40% - Accent2 2 3 35 2 2" xfId="53428"/>
    <cellStyle name="40% - Accent2 2 3 35 3" xfId="39924"/>
    <cellStyle name="40% - Accent2 2 3 36" xfId="12744"/>
    <cellStyle name="40% - Accent2 2 3 36 2" xfId="26548"/>
    <cellStyle name="40% - Accent2 2 3 36 2 2" xfId="53556"/>
    <cellStyle name="40% - Accent2 2 3 36 3" xfId="40052"/>
    <cellStyle name="40% - Accent2 2 3 37" xfId="12886"/>
    <cellStyle name="40% - Accent2 2 3 37 2" xfId="26676"/>
    <cellStyle name="40% - Accent2 2 3 37 2 2" xfId="53684"/>
    <cellStyle name="40% - Accent2 2 3 37 3" xfId="40180"/>
    <cellStyle name="40% - Accent2 2 3 38" xfId="13028"/>
    <cellStyle name="40% - Accent2 2 3 38 2" xfId="26804"/>
    <cellStyle name="40% - Accent2 2 3 38 2 2" xfId="53812"/>
    <cellStyle name="40% - Accent2 2 3 38 3" xfId="40308"/>
    <cellStyle name="40% - Accent2 2 3 39" xfId="13170"/>
    <cellStyle name="40% - Accent2 2 3 39 2" xfId="26932"/>
    <cellStyle name="40% - Accent2 2 3 39 2 2" xfId="53940"/>
    <cellStyle name="40% - Accent2 2 3 39 3" xfId="40436"/>
    <cellStyle name="40% - Accent2 2 3 4" xfId="8200"/>
    <cellStyle name="40% - Accent2 2 3 4 2" xfId="22452"/>
    <cellStyle name="40% - Accent2 2 3 4 2 2" xfId="49460"/>
    <cellStyle name="40% - Accent2 2 3 4 3" xfId="35956"/>
    <cellStyle name="40% - Accent2 2 3 40" xfId="13312"/>
    <cellStyle name="40% - Accent2 2 3 40 2" xfId="27060"/>
    <cellStyle name="40% - Accent2 2 3 40 2 2" xfId="54068"/>
    <cellStyle name="40% - Accent2 2 3 40 3" xfId="40564"/>
    <cellStyle name="40% - Accent2 2 3 41" xfId="13454"/>
    <cellStyle name="40% - Accent2 2 3 41 2" xfId="27188"/>
    <cellStyle name="40% - Accent2 2 3 41 2 2" xfId="54196"/>
    <cellStyle name="40% - Accent2 2 3 41 3" xfId="40692"/>
    <cellStyle name="40% - Accent2 2 3 42" xfId="13596"/>
    <cellStyle name="40% - Accent2 2 3 42 2" xfId="27316"/>
    <cellStyle name="40% - Accent2 2 3 42 2 2" xfId="54324"/>
    <cellStyle name="40% - Accent2 2 3 42 3" xfId="40820"/>
    <cellStyle name="40% - Accent2 2 3 43" xfId="13738"/>
    <cellStyle name="40% - Accent2 2 3 43 2" xfId="27444"/>
    <cellStyle name="40% - Accent2 2 3 43 2 2" xfId="54452"/>
    <cellStyle name="40% - Accent2 2 3 43 3" xfId="40948"/>
    <cellStyle name="40% - Accent2 2 3 44" xfId="13879"/>
    <cellStyle name="40% - Accent2 2 3 44 2" xfId="27571"/>
    <cellStyle name="40% - Accent2 2 3 44 2 2" xfId="54579"/>
    <cellStyle name="40% - Accent2 2 3 44 3" xfId="41075"/>
    <cellStyle name="40% - Accent2 2 3 45" xfId="14020"/>
    <cellStyle name="40% - Accent2 2 3 45 2" xfId="27698"/>
    <cellStyle name="40% - Accent2 2 3 45 2 2" xfId="54706"/>
    <cellStyle name="40% - Accent2 2 3 45 3" xfId="41202"/>
    <cellStyle name="40% - Accent2 2 3 46" xfId="14161"/>
    <cellStyle name="40% - Accent2 2 3 46 2" xfId="27825"/>
    <cellStyle name="40% - Accent2 2 3 46 2 2" xfId="54833"/>
    <cellStyle name="40% - Accent2 2 3 46 3" xfId="41329"/>
    <cellStyle name="40% - Accent2 2 3 47" xfId="14302"/>
    <cellStyle name="40% - Accent2 2 3 47 2" xfId="27952"/>
    <cellStyle name="40% - Accent2 2 3 47 2 2" xfId="54960"/>
    <cellStyle name="40% - Accent2 2 3 47 3" xfId="41456"/>
    <cellStyle name="40% - Accent2 2 3 48" xfId="14442"/>
    <cellStyle name="40% - Accent2 2 3 48 2" xfId="28078"/>
    <cellStyle name="40% - Accent2 2 3 48 2 2" xfId="55086"/>
    <cellStyle name="40% - Accent2 2 3 48 3" xfId="41582"/>
    <cellStyle name="40% - Accent2 2 3 49" xfId="14582"/>
    <cellStyle name="40% - Accent2 2 3 49 2" xfId="28204"/>
    <cellStyle name="40% - Accent2 2 3 49 2 2" xfId="55212"/>
    <cellStyle name="40% - Accent2 2 3 49 3" xfId="41708"/>
    <cellStyle name="40% - Accent2 2 3 5" xfId="8342"/>
    <cellStyle name="40% - Accent2 2 3 5 2" xfId="22580"/>
    <cellStyle name="40% - Accent2 2 3 5 2 2" xfId="49588"/>
    <cellStyle name="40% - Accent2 2 3 5 3" xfId="36084"/>
    <cellStyle name="40% - Accent2 2 3 50" xfId="14721"/>
    <cellStyle name="40% - Accent2 2 3 50 2" xfId="28329"/>
    <cellStyle name="40% - Accent2 2 3 50 2 2" xfId="55337"/>
    <cellStyle name="40% - Accent2 2 3 50 3" xfId="41833"/>
    <cellStyle name="40% - Accent2 2 3 51" xfId="14856"/>
    <cellStyle name="40% - Accent2 2 3 51 2" xfId="28451"/>
    <cellStyle name="40% - Accent2 2 3 51 2 2" xfId="55459"/>
    <cellStyle name="40% - Accent2 2 3 51 3" xfId="41955"/>
    <cellStyle name="40% - Accent2 2 3 52" xfId="14990"/>
    <cellStyle name="40% - Accent2 2 3 52 2" xfId="28572"/>
    <cellStyle name="40% - Accent2 2 3 52 2 2" xfId="55580"/>
    <cellStyle name="40% - Accent2 2 3 52 3" xfId="42076"/>
    <cellStyle name="40% - Accent2 2 3 53" xfId="15119"/>
    <cellStyle name="40% - Accent2 2 3 53 2" xfId="28689"/>
    <cellStyle name="40% - Accent2 2 3 53 2 2" xfId="55697"/>
    <cellStyle name="40% - Accent2 2 3 53 3" xfId="42193"/>
    <cellStyle name="40% - Accent2 2 3 54" xfId="15241"/>
    <cellStyle name="40% - Accent2 2 3 54 2" xfId="28803"/>
    <cellStyle name="40% - Accent2 2 3 54 2 2" xfId="55811"/>
    <cellStyle name="40% - Accent2 2 3 54 3" xfId="42307"/>
    <cellStyle name="40% - Accent2 2 3 55" xfId="15346"/>
    <cellStyle name="40% - Accent2 2 3 55 2" xfId="28906"/>
    <cellStyle name="40% - Accent2 2 3 55 2 2" xfId="55914"/>
    <cellStyle name="40% - Accent2 2 3 55 3" xfId="42410"/>
    <cellStyle name="40% - Accent2 2 3 56" xfId="15684"/>
    <cellStyle name="40% - Accent2 2 3 56 2" xfId="42692"/>
    <cellStyle name="40% - Accent2 2 3 57" xfId="29188"/>
    <cellStyle name="40% - Accent2 2 3 6" xfId="8484"/>
    <cellStyle name="40% - Accent2 2 3 6 2" xfId="22708"/>
    <cellStyle name="40% - Accent2 2 3 6 2 2" xfId="49716"/>
    <cellStyle name="40% - Accent2 2 3 6 3" xfId="36212"/>
    <cellStyle name="40% - Accent2 2 3 7" xfId="8626"/>
    <cellStyle name="40% - Accent2 2 3 7 2" xfId="22836"/>
    <cellStyle name="40% - Accent2 2 3 7 2 2" xfId="49844"/>
    <cellStyle name="40% - Accent2 2 3 7 3" xfId="36340"/>
    <cellStyle name="40% - Accent2 2 3 8" xfId="8768"/>
    <cellStyle name="40% - Accent2 2 3 8 2" xfId="22964"/>
    <cellStyle name="40% - Accent2 2 3 8 2 2" xfId="49972"/>
    <cellStyle name="40% - Accent2 2 3 8 3" xfId="36468"/>
    <cellStyle name="40% - Accent2 2 3 9" xfId="8910"/>
    <cellStyle name="40% - Accent2 2 3 9 2" xfId="23092"/>
    <cellStyle name="40% - Accent2 2 3 9 2 2" xfId="50100"/>
    <cellStyle name="40% - Accent2 2 3 9 3" xfId="36596"/>
    <cellStyle name="40% - Accent2 2 30" xfId="2885"/>
    <cellStyle name="40% - Accent2 2 30 2" xfId="17833"/>
    <cellStyle name="40% - Accent2 2 30 2 2" xfId="44841"/>
    <cellStyle name="40% - Accent2 2 30 3" xfId="31337"/>
    <cellStyle name="40% - Accent2 2 31" xfId="2991"/>
    <cellStyle name="40% - Accent2 2 31 2" xfId="17925"/>
    <cellStyle name="40% - Accent2 2 31 2 2" xfId="44933"/>
    <cellStyle name="40% - Accent2 2 31 3" xfId="31429"/>
    <cellStyle name="40% - Accent2 2 32" xfId="3097"/>
    <cellStyle name="40% - Accent2 2 32 2" xfId="18017"/>
    <cellStyle name="40% - Accent2 2 32 2 2" xfId="45025"/>
    <cellStyle name="40% - Accent2 2 32 3" xfId="31521"/>
    <cellStyle name="40% - Accent2 2 33" xfId="3203"/>
    <cellStyle name="40% - Accent2 2 33 2" xfId="18109"/>
    <cellStyle name="40% - Accent2 2 33 2 2" xfId="45117"/>
    <cellStyle name="40% - Accent2 2 33 3" xfId="31613"/>
    <cellStyle name="40% - Accent2 2 34" xfId="3309"/>
    <cellStyle name="40% - Accent2 2 34 2" xfId="18201"/>
    <cellStyle name="40% - Accent2 2 34 2 2" xfId="45209"/>
    <cellStyle name="40% - Accent2 2 34 3" xfId="31705"/>
    <cellStyle name="40% - Accent2 2 35" xfId="3415"/>
    <cellStyle name="40% - Accent2 2 35 2" xfId="18293"/>
    <cellStyle name="40% - Accent2 2 35 2 2" xfId="45301"/>
    <cellStyle name="40% - Accent2 2 35 3" xfId="31797"/>
    <cellStyle name="40% - Accent2 2 36" xfId="3521"/>
    <cellStyle name="40% - Accent2 2 36 2" xfId="18385"/>
    <cellStyle name="40% - Accent2 2 36 2 2" xfId="45393"/>
    <cellStyle name="40% - Accent2 2 36 3" xfId="31889"/>
    <cellStyle name="40% - Accent2 2 37" xfId="3627"/>
    <cellStyle name="40% - Accent2 2 37 2" xfId="18477"/>
    <cellStyle name="40% - Accent2 2 37 2 2" xfId="45485"/>
    <cellStyle name="40% - Accent2 2 37 3" xfId="31981"/>
    <cellStyle name="40% - Accent2 2 38" xfId="3733"/>
    <cellStyle name="40% - Accent2 2 38 2" xfId="18569"/>
    <cellStyle name="40% - Accent2 2 38 2 2" xfId="45577"/>
    <cellStyle name="40% - Accent2 2 38 3" xfId="32073"/>
    <cellStyle name="40% - Accent2 2 39" xfId="3839"/>
    <cellStyle name="40% - Accent2 2 39 2" xfId="18661"/>
    <cellStyle name="40% - Accent2 2 39 2 2" xfId="45669"/>
    <cellStyle name="40% - Accent2 2 39 3" xfId="32165"/>
    <cellStyle name="40% - Accent2 2 4" xfId="303"/>
    <cellStyle name="40% - Accent2 2 4 2" xfId="15605"/>
    <cellStyle name="40% - Accent2 2 4 2 2" xfId="42613"/>
    <cellStyle name="40% - Accent2 2 4 3" xfId="29109"/>
    <cellStyle name="40% - Accent2 2 40" xfId="3945"/>
    <cellStyle name="40% - Accent2 2 40 2" xfId="18753"/>
    <cellStyle name="40% - Accent2 2 40 2 2" xfId="45761"/>
    <cellStyle name="40% - Accent2 2 40 3" xfId="32257"/>
    <cellStyle name="40% - Accent2 2 41" xfId="4051"/>
    <cellStyle name="40% - Accent2 2 41 2" xfId="18845"/>
    <cellStyle name="40% - Accent2 2 41 2 2" xfId="45853"/>
    <cellStyle name="40% - Accent2 2 41 3" xfId="32349"/>
    <cellStyle name="40% - Accent2 2 42" xfId="4157"/>
    <cellStyle name="40% - Accent2 2 42 2" xfId="18937"/>
    <cellStyle name="40% - Accent2 2 42 2 2" xfId="45945"/>
    <cellStyle name="40% - Accent2 2 42 3" xfId="32441"/>
    <cellStyle name="40% - Accent2 2 43" xfId="4263"/>
    <cellStyle name="40% - Accent2 2 43 2" xfId="19029"/>
    <cellStyle name="40% - Accent2 2 43 2 2" xfId="46037"/>
    <cellStyle name="40% - Accent2 2 43 3" xfId="32533"/>
    <cellStyle name="40% - Accent2 2 44" xfId="4369"/>
    <cellStyle name="40% - Accent2 2 44 2" xfId="19121"/>
    <cellStyle name="40% - Accent2 2 44 2 2" xfId="46129"/>
    <cellStyle name="40% - Accent2 2 44 3" xfId="32625"/>
    <cellStyle name="40% - Accent2 2 45" xfId="4475"/>
    <cellStyle name="40% - Accent2 2 45 2" xfId="19213"/>
    <cellStyle name="40% - Accent2 2 45 2 2" xfId="46221"/>
    <cellStyle name="40% - Accent2 2 45 3" xfId="32717"/>
    <cellStyle name="40% - Accent2 2 46" xfId="4581"/>
    <cellStyle name="40% - Accent2 2 46 2" xfId="19305"/>
    <cellStyle name="40% - Accent2 2 46 2 2" xfId="46313"/>
    <cellStyle name="40% - Accent2 2 46 3" xfId="32809"/>
    <cellStyle name="40% - Accent2 2 47" xfId="4687"/>
    <cellStyle name="40% - Accent2 2 47 2" xfId="19397"/>
    <cellStyle name="40% - Accent2 2 47 2 2" xfId="46405"/>
    <cellStyle name="40% - Accent2 2 47 3" xfId="32901"/>
    <cellStyle name="40% - Accent2 2 48" xfId="4793"/>
    <cellStyle name="40% - Accent2 2 48 2" xfId="19489"/>
    <cellStyle name="40% - Accent2 2 48 2 2" xfId="46497"/>
    <cellStyle name="40% - Accent2 2 48 3" xfId="32993"/>
    <cellStyle name="40% - Accent2 2 49" xfId="4899"/>
    <cellStyle name="40% - Accent2 2 49 2" xfId="19581"/>
    <cellStyle name="40% - Accent2 2 49 2 2" xfId="46589"/>
    <cellStyle name="40% - Accent2 2 49 3" xfId="33085"/>
    <cellStyle name="40% - Accent2 2 5" xfId="458"/>
    <cellStyle name="40% - Accent2 2 5 2" xfId="15720"/>
    <cellStyle name="40% - Accent2 2 5 2 2" xfId="42728"/>
    <cellStyle name="40% - Accent2 2 5 3" xfId="29224"/>
    <cellStyle name="40% - Accent2 2 50" xfId="5005"/>
    <cellStyle name="40% - Accent2 2 50 2" xfId="19673"/>
    <cellStyle name="40% - Accent2 2 50 2 2" xfId="46681"/>
    <cellStyle name="40% - Accent2 2 50 3" xfId="33177"/>
    <cellStyle name="40% - Accent2 2 51" xfId="5111"/>
    <cellStyle name="40% - Accent2 2 51 2" xfId="19765"/>
    <cellStyle name="40% - Accent2 2 51 2 2" xfId="46773"/>
    <cellStyle name="40% - Accent2 2 51 3" xfId="33269"/>
    <cellStyle name="40% - Accent2 2 52" xfId="5217"/>
    <cellStyle name="40% - Accent2 2 52 2" xfId="19857"/>
    <cellStyle name="40% - Accent2 2 52 2 2" xfId="46865"/>
    <cellStyle name="40% - Accent2 2 52 3" xfId="33361"/>
    <cellStyle name="40% - Accent2 2 53" xfId="5323"/>
    <cellStyle name="40% - Accent2 2 53 2" xfId="19949"/>
    <cellStyle name="40% - Accent2 2 53 2 2" xfId="46957"/>
    <cellStyle name="40% - Accent2 2 53 3" xfId="33453"/>
    <cellStyle name="40% - Accent2 2 54" xfId="5429"/>
    <cellStyle name="40% - Accent2 2 54 2" xfId="20041"/>
    <cellStyle name="40% - Accent2 2 54 2 2" xfId="47049"/>
    <cellStyle name="40% - Accent2 2 54 3" xfId="33545"/>
    <cellStyle name="40% - Accent2 2 55" xfId="5535"/>
    <cellStyle name="40% - Accent2 2 55 2" xfId="20133"/>
    <cellStyle name="40% - Accent2 2 55 2 2" xfId="47141"/>
    <cellStyle name="40% - Accent2 2 55 3" xfId="33637"/>
    <cellStyle name="40% - Accent2 2 56" xfId="5641"/>
    <cellStyle name="40% - Accent2 2 56 2" xfId="20225"/>
    <cellStyle name="40% - Accent2 2 56 2 2" xfId="47233"/>
    <cellStyle name="40% - Accent2 2 56 3" xfId="33729"/>
    <cellStyle name="40% - Accent2 2 57" xfId="5747"/>
    <cellStyle name="40% - Accent2 2 57 2" xfId="20317"/>
    <cellStyle name="40% - Accent2 2 57 2 2" xfId="47325"/>
    <cellStyle name="40% - Accent2 2 57 3" xfId="33821"/>
    <cellStyle name="40% - Accent2 2 58" xfId="5853"/>
    <cellStyle name="40% - Accent2 2 58 2" xfId="20409"/>
    <cellStyle name="40% - Accent2 2 58 2 2" xfId="47417"/>
    <cellStyle name="40% - Accent2 2 58 3" xfId="33913"/>
    <cellStyle name="40% - Accent2 2 59" xfId="5959"/>
    <cellStyle name="40% - Accent2 2 59 2" xfId="20501"/>
    <cellStyle name="40% - Accent2 2 59 2 2" xfId="47509"/>
    <cellStyle name="40% - Accent2 2 59 3" xfId="34005"/>
    <cellStyle name="40% - Accent2 2 6" xfId="315"/>
    <cellStyle name="40% - Accent2 2 6 2" xfId="15617"/>
    <cellStyle name="40% - Accent2 2 6 2 2" xfId="42625"/>
    <cellStyle name="40% - Accent2 2 6 3" xfId="29121"/>
    <cellStyle name="40% - Accent2 2 60" xfId="6065"/>
    <cellStyle name="40% - Accent2 2 60 2" xfId="20593"/>
    <cellStyle name="40% - Accent2 2 60 2 2" xfId="47601"/>
    <cellStyle name="40% - Accent2 2 60 3" xfId="34097"/>
    <cellStyle name="40% - Accent2 2 61" xfId="6171"/>
    <cellStyle name="40% - Accent2 2 61 2" xfId="20685"/>
    <cellStyle name="40% - Accent2 2 61 2 2" xfId="47693"/>
    <cellStyle name="40% - Accent2 2 61 3" xfId="34189"/>
    <cellStyle name="40% - Accent2 2 62" xfId="6277"/>
    <cellStyle name="40% - Accent2 2 62 2" xfId="20777"/>
    <cellStyle name="40% - Accent2 2 62 2 2" xfId="47785"/>
    <cellStyle name="40% - Accent2 2 62 3" xfId="34281"/>
    <cellStyle name="40% - Accent2 2 63" xfId="6383"/>
    <cellStyle name="40% - Accent2 2 63 2" xfId="20869"/>
    <cellStyle name="40% - Accent2 2 63 2 2" xfId="47877"/>
    <cellStyle name="40% - Accent2 2 63 3" xfId="34373"/>
    <cellStyle name="40% - Accent2 2 64" xfId="6489"/>
    <cellStyle name="40% - Accent2 2 64 2" xfId="20961"/>
    <cellStyle name="40% - Accent2 2 64 2 2" xfId="47969"/>
    <cellStyle name="40% - Accent2 2 64 3" xfId="34465"/>
    <cellStyle name="40% - Accent2 2 65" xfId="6595"/>
    <cellStyle name="40% - Accent2 2 65 2" xfId="21053"/>
    <cellStyle name="40% - Accent2 2 65 2 2" xfId="48061"/>
    <cellStyle name="40% - Accent2 2 65 3" xfId="34557"/>
    <cellStyle name="40% - Accent2 2 66" xfId="6700"/>
    <cellStyle name="40% - Accent2 2 66 2" xfId="21144"/>
    <cellStyle name="40% - Accent2 2 66 2 2" xfId="48152"/>
    <cellStyle name="40% - Accent2 2 66 3" xfId="34648"/>
    <cellStyle name="40% - Accent2 2 67" xfId="6805"/>
    <cellStyle name="40% - Accent2 2 67 2" xfId="21235"/>
    <cellStyle name="40% - Accent2 2 67 2 2" xfId="48243"/>
    <cellStyle name="40% - Accent2 2 67 3" xfId="34739"/>
    <cellStyle name="40% - Accent2 2 68" xfId="6910"/>
    <cellStyle name="40% - Accent2 2 68 2" xfId="21326"/>
    <cellStyle name="40% - Accent2 2 68 2 2" xfId="48334"/>
    <cellStyle name="40% - Accent2 2 68 3" xfId="34830"/>
    <cellStyle name="40% - Accent2 2 69" xfId="7015"/>
    <cellStyle name="40% - Accent2 2 69 2" xfId="21417"/>
    <cellStyle name="40% - Accent2 2 69 2 2" xfId="48425"/>
    <cellStyle name="40% - Accent2 2 69 3" xfId="34921"/>
    <cellStyle name="40% - Accent2 2 7" xfId="440"/>
    <cellStyle name="40% - Accent2 2 7 2" xfId="15704"/>
    <cellStyle name="40% - Accent2 2 7 2 2" xfId="42712"/>
    <cellStyle name="40% - Accent2 2 7 3" xfId="29208"/>
    <cellStyle name="40% - Accent2 2 70" xfId="7119"/>
    <cellStyle name="40% - Accent2 2 70 2" xfId="21507"/>
    <cellStyle name="40% - Accent2 2 70 2 2" xfId="48515"/>
    <cellStyle name="40% - Accent2 2 70 3" xfId="35011"/>
    <cellStyle name="40% - Accent2 2 71" xfId="7223"/>
    <cellStyle name="40% - Accent2 2 71 2" xfId="21597"/>
    <cellStyle name="40% - Accent2 2 71 2 2" xfId="48605"/>
    <cellStyle name="40% - Accent2 2 71 3" xfId="35101"/>
    <cellStyle name="40% - Accent2 2 72" xfId="7326"/>
    <cellStyle name="40% - Accent2 2 72 2" xfId="21686"/>
    <cellStyle name="40% - Accent2 2 72 2 2" xfId="48694"/>
    <cellStyle name="40% - Accent2 2 72 3" xfId="35190"/>
    <cellStyle name="40% - Accent2 2 73" xfId="7724"/>
    <cellStyle name="40% - Accent2 2 73 2" xfId="22026"/>
    <cellStyle name="40% - Accent2 2 73 2 2" xfId="49034"/>
    <cellStyle name="40% - Accent2 2 73 3" xfId="35530"/>
    <cellStyle name="40% - Accent2 2 74" xfId="7769"/>
    <cellStyle name="40% - Accent2 2 74 2" xfId="22065"/>
    <cellStyle name="40% - Accent2 2 74 2 2" xfId="49073"/>
    <cellStyle name="40% - Accent2 2 74 3" xfId="35569"/>
    <cellStyle name="40% - Accent2 2 75" xfId="7722"/>
    <cellStyle name="40% - Accent2 2 75 2" xfId="22024"/>
    <cellStyle name="40% - Accent2 2 75 2 2" xfId="49032"/>
    <cellStyle name="40% - Accent2 2 75 3" xfId="35528"/>
    <cellStyle name="40% - Accent2 2 76" xfId="7751"/>
    <cellStyle name="40% - Accent2 2 76 2" xfId="22049"/>
    <cellStyle name="40% - Accent2 2 76 2 2" xfId="49057"/>
    <cellStyle name="40% - Accent2 2 76 3" xfId="35553"/>
    <cellStyle name="40% - Accent2 2 77" xfId="7868"/>
    <cellStyle name="40% - Accent2 2 77 2" xfId="22158"/>
    <cellStyle name="40% - Accent2 2 77 2 2" xfId="49166"/>
    <cellStyle name="40% - Accent2 2 77 3" xfId="35662"/>
    <cellStyle name="40% - Accent2 2 78" xfId="8010"/>
    <cellStyle name="40% - Accent2 2 78 2" xfId="22286"/>
    <cellStyle name="40% - Accent2 2 78 2 2" xfId="49294"/>
    <cellStyle name="40% - Accent2 2 78 3" xfId="35790"/>
    <cellStyle name="40% - Accent2 2 79" xfId="8152"/>
    <cellStyle name="40% - Accent2 2 79 2" xfId="22414"/>
    <cellStyle name="40% - Accent2 2 79 2 2" xfId="49422"/>
    <cellStyle name="40% - Accent2 2 79 3" xfId="35918"/>
    <cellStyle name="40% - Accent2 2 8" xfId="554"/>
    <cellStyle name="40% - Accent2 2 8 2" xfId="15810"/>
    <cellStyle name="40% - Accent2 2 8 2 2" xfId="42818"/>
    <cellStyle name="40% - Accent2 2 8 3" xfId="29314"/>
    <cellStyle name="40% - Accent2 2 80" xfId="8294"/>
    <cellStyle name="40% - Accent2 2 80 2" xfId="22542"/>
    <cellStyle name="40% - Accent2 2 80 2 2" xfId="49550"/>
    <cellStyle name="40% - Accent2 2 80 3" xfId="36046"/>
    <cellStyle name="40% - Accent2 2 81" xfId="8436"/>
    <cellStyle name="40% - Accent2 2 81 2" xfId="22670"/>
    <cellStyle name="40% - Accent2 2 81 2 2" xfId="49678"/>
    <cellStyle name="40% - Accent2 2 81 3" xfId="36174"/>
    <cellStyle name="40% - Accent2 2 82" xfId="8578"/>
    <cellStyle name="40% - Accent2 2 82 2" xfId="22798"/>
    <cellStyle name="40% - Accent2 2 82 2 2" xfId="49806"/>
    <cellStyle name="40% - Accent2 2 82 3" xfId="36302"/>
    <cellStyle name="40% - Accent2 2 83" xfId="8720"/>
    <cellStyle name="40% - Accent2 2 83 2" xfId="22926"/>
    <cellStyle name="40% - Accent2 2 83 2 2" xfId="49934"/>
    <cellStyle name="40% - Accent2 2 83 3" xfId="36430"/>
    <cellStyle name="40% - Accent2 2 84" xfId="8862"/>
    <cellStyle name="40% - Accent2 2 84 2" xfId="23054"/>
    <cellStyle name="40% - Accent2 2 84 2 2" xfId="50062"/>
    <cellStyle name="40% - Accent2 2 84 3" xfId="36558"/>
    <cellStyle name="40% - Accent2 2 85" xfId="9004"/>
    <cellStyle name="40% - Accent2 2 85 2" xfId="23182"/>
    <cellStyle name="40% - Accent2 2 85 2 2" xfId="50190"/>
    <cellStyle name="40% - Accent2 2 85 3" xfId="36686"/>
    <cellStyle name="40% - Accent2 2 86" xfId="9146"/>
    <cellStyle name="40% - Accent2 2 86 2" xfId="23310"/>
    <cellStyle name="40% - Accent2 2 86 2 2" xfId="50318"/>
    <cellStyle name="40% - Accent2 2 86 3" xfId="36814"/>
    <cellStyle name="40% - Accent2 2 87" xfId="9288"/>
    <cellStyle name="40% - Accent2 2 87 2" xfId="23438"/>
    <cellStyle name="40% - Accent2 2 87 2 2" xfId="50446"/>
    <cellStyle name="40% - Accent2 2 87 3" xfId="36942"/>
    <cellStyle name="40% - Accent2 2 88" xfId="9430"/>
    <cellStyle name="40% - Accent2 2 88 2" xfId="23566"/>
    <cellStyle name="40% - Accent2 2 88 2 2" xfId="50574"/>
    <cellStyle name="40% - Accent2 2 88 3" xfId="37070"/>
    <cellStyle name="40% - Accent2 2 89" xfId="9572"/>
    <cellStyle name="40% - Accent2 2 89 2" xfId="23694"/>
    <cellStyle name="40% - Accent2 2 89 2 2" xfId="50702"/>
    <cellStyle name="40% - Accent2 2 89 3" xfId="37198"/>
    <cellStyle name="40% - Accent2 2 9" xfId="659"/>
    <cellStyle name="40% - Accent2 2 9 2" xfId="15901"/>
    <cellStyle name="40% - Accent2 2 9 2 2" xfId="42909"/>
    <cellStyle name="40% - Accent2 2 9 3" xfId="29405"/>
    <cellStyle name="40% - Accent2 2 90" xfId="9714"/>
    <cellStyle name="40% - Accent2 2 90 2" xfId="23822"/>
    <cellStyle name="40% - Accent2 2 90 2 2" xfId="50830"/>
    <cellStyle name="40% - Accent2 2 90 3" xfId="37326"/>
    <cellStyle name="40% - Accent2 2 91" xfId="9856"/>
    <cellStyle name="40% - Accent2 2 91 2" xfId="23950"/>
    <cellStyle name="40% - Accent2 2 91 2 2" xfId="50958"/>
    <cellStyle name="40% - Accent2 2 91 3" xfId="37454"/>
    <cellStyle name="40% - Accent2 2 92" xfId="9998"/>
    <cellStyle name="40% - Accent2 2 92 2" xfId="24078"/>
    <cellStyle name="40% - Accent2 2 92 2 2" xfId="51086"/>
    <cellStyle name="40% - Accent2 2 92 3" xfId="37582"/>
    <cellStyle name="40% - Accent2 2 93" xfId="10140"/>
    <cellStyle name="40% - Accent2 2 93 2" xfId="24206"/>
    <cellStyle name="40% - Accent2 2 93 2 2" xfId="51214"/>
    <cellStyle name="40% - Accent2 2 93 3" xfId="37710"/>
    <cellStyle name="40% - Accent2 2 94" xfId="10282"/>
    <cellStyle name="40% - Accent2 2 94 2" xfId="24334"/>
    <cellStyle name="40% - Accent2 2 94 2 2" xfId="51342"/>
    <cellStyle name="40% - Accent2 2 94 3" xfId="37838"/>
    <cellStyle name="40% - Accent2 2 95" xfId="10424"/>
    <cellStyle name="40% - Accent2 2 95 2" xfId="24462"/>
    <cellStyle name="40% - Accent2 2 95 2 2" xfId="51470"/>
    <cellStyle name="40% - Accent2 2 95 3" xfId="37966"/>
    <cellStyle name="40% - Accent2 2 96" xfId="10566"/>
    <cellStyle name="40% - Accent2 2 96 2" xfId="24590"/>
    <cellStyle name="40% - Accent2 2 96 2 2" xfId="51598"/>
    <cellStyle name="40% - Accent2 2 96 3" xfId="38094"/>
    <cellStyle name="40% - Accent2 2 97" xfId="10708"/>
    <cellStyle name="40% - Accent2 2 97 2" xfId="24718"/>
    <cellStyle name="40% - Accent2 2 97 2 2" xfId="51726"/>
    <cellStyle name="40% - Accent2 2 97 3" xfId="38222"/>
    <cellStyle name="40% - Accent2 2 98" xfId="10850"/>
    <cellStyle name="40% - Accent2 2 98 2" xfId="24846"/>
    <cellStyle name="40% - Accent2 2 98 2 2" xfId="51854"/>
    <cellStyle name="40% - Accent2 2 98 3" xfId="38350"/>
    <cellStyle name="40% - Accent2 2 99" xfId="10992"/>
    <cellStyle name="40% - Accent2 2 99 2" xfId="24974"/>
    <cellStyle name="40% - Accent2 2 99 2 2" xfId="51982"/>
    <cellStyle name="40% - Accent2 2 99 3" xfId="38478"/>
    <cellStyle name="40% - Accent2 3" xfId="111"/>
    <cellStyle name="40% - Accent2 3 10" xfId="1241"/>
    <cellStyle name="40% - Accent2 3 10 2" xfId="16401"/>
    <cellStyle name="40% - Accent2 3 10 2 2" xfId="43409"/>
    <cellStyle name="40% - Accent2 3 10 3" xfId="29905"/>
    <cellStyle name="40% - Accent2 3 100" xfId="11765"/>
    <cellStyle name="40% - Accent2 3 100 2" xfId="25663"/>
    <cellStyle name="40% - Accent2 3 100 2 2" xfId="52671"/>
    <cellStyle name="40% - Accent2 3 100 3" xfId="39167"/>
    <cellStyle name="40% - Accent2 3 101" xfId="11907"/>
    <cellStyle name="40% - Accent2 3 101 2" xfId="25791"/>
    <cellStyle name="40% - Accent2 3 101 2 2" xfId="52799"/>
    <cellStyle name="40% - Accent2 3 101 3" xfId="39295"/>
    <cellStyle name="40% - Accent2 3 102" xfId="12049"/>
    <cellStyle name="40% - Accent2 3 102 2" xfId="25919"/>
    <cellStyle name="40% - Accent2 3 102 2 2" xfId="52927"/>
    <cellStyle name="40% - Accent2 3 102 3" xfId="39423"/>
    <cellStyle name="40% - Accent2 3 103" xfId="12191"/>
    <cellStyle name="40% - Accent2 3 103 2" xfId="26047"/>
    <cellStyle name="40% - Accent2 3 103 2 2" xfId="53055"/>
    <cellStyle name="40% - Accent2 3 103 3" xfId="39551"/>
    <cellStyle name="40% - Accent2 3 104" xfId="12333"/>
    <cellStyle name="40% - Accent2 3 104 2" xfId="26175"/>
    <cellStyle name="40% - Accent2 3 104 2 2" xfId="53183"/>
    <cellStyle name="40% - Accent2 3 104 3" xfId="39679"/>
    <cellStyle name="40% - Accent2 3 105" xfId="12475"/>
    <cellStyle name="40% - Accent2 3 105 2" xfId="26303"/>
    <cellStyle name="40% - Accent2 3 105 2 2" xfId="53311"/>
    <cellStyle name="40% - Accent2 3 105 3" xfId="39807"/>
    <cellStyle name="40% - Accent2 3 106" xfId="12617"/>
    <cellStyle name="40% - Accent2 3 106 2" xfId="26431"/>
    <cellStyle name="40% - Accent2 3 106 2 2" xfId="53439"/>
    <cellStyle name="40% - Accent2 3 106 3" xfId="39935"/>
    <cellStyle name="40% - Accent2 3 107" xfId="12759"/>
    <cellStyle name="40% - Accent2 3 107 2" xfId="26559"/>
    <cellStyle name="40% - Accent2 3 107 2 2" xfId="53567"/>
    <cellStyle name="40% - Accent2 3 107 3" xfId="40063"/>
    <cellStyle name="40% - Accent2 3 108" xfId="12901"/>
    <cellStyle name="40% - Accent2 3 108 2" xfId="26687"/>
    <cellStyle name="40% - Accent2 3 108 2 2" xfId="53695"/>
    <cellStyle name="40% - Accent2 3 108 3" xfId="40191"/>
    <cellStyle name="40% - Accent2 3 109" xfId="13043"/>
    <cellStyle name="40% - Accent2 3 109 2" xfId="26815"/>
    <cellStyle name="40% - Accent2 3 109 2 2" xfId="53823"/>
    <cellStyle name="40% - Accent2 3 109 3" xfId="40319"/>
    <cellStyle name="40% - Accent2 3 11" xfId="1347"/>
    <cellStyle name="40% - Accent2 3 11 2" xfId="16493"/>
    <cellStyle name="40% - Accent2 3 11 2 2" xfId="43501"/>
    <cellStyle name="40% - Accent2 3 11 3" xfId="29997"/>
    <cellStyle name="40% - Accent2 3 110" xfId="13185"/>
    <cellStyle name="40% - Accent2 3 110 2" xfId="26943"/>
    <cellStyle name="40% - Accent2 3 110 2 2" xfId="53951"/>
    <cellStyle name="40% - Accent2 3 110 3" xfId="40447"/>
    <cellStyle name="40% - Accent2 3 111" xfId="13327"/>
    <cellStyle name="40% - Accent2 3 111 2" xfId="27071"/>
    <cellStyle name="40% - Accent2 3 111 2 2" xfId="54079"/>
    <cellStyle name="40% - Accent2 3 111 3" xfId="40575"/>
    <cellStyle name="40% - Accent2 3 112" xfId="13469"/>
    <cellStyle name="40% - Accent2 3 112 2" xfId="27199"/>
    <cellStyle name="40% - Accent2 3 112 2 2" xfId="54207"/>
    <cellStyle name="40% - Accent2 3 112 3" xfId="40703"/>
    <cellStyle name="40% - Accent2 3 113" xfId="13611"/>
    <cellStyle name="40% - Accent2 3 113 2" xfId="27327"/>
    <cellStyle name="40% - Accent2 3 113 2 2" xfId="54335"/>
    <cellStyle name="40% - Accent2 3 113 3" xfId="40831"/>
    <cellStyle name="40% - Accent2 3 114" xfId="13753"/>
    <cellStyle name="40% - Accent2 3 114 2" xfId="27455"/>
    <cellStyle name="40% - Accent2 3 114 2 2" xfId="54463"/>
    <cellStyle name="40% - Accent2 3 114 3" xfId="40959"/>
    <cellStyle name="40% - Accent2 3 115" xfId="13894"/>
    <cellStyle name="40% - Accent2 3 115 2" xfId="27582"/>
    <cellStyle name="40% - Accent2 3 115 2 2" xfId="54590"/>
    <cellStyle name="40% - Accent2 3 115 3" xfId="41086"/>
    <cellStyle name="40% - Accent2 3 116" xfId="14035"/>
    <cellStyle name="40% - Accent2 3 116 2" xfId="27709"/>
    <cellStyle name="40% - Accent2 3 116 2 2" xfId="54717"/>
    <cellStyle name="40% - Accent2 3 116 3" xfId="41213"/>
    <cellStyle name="40% - Accent2 3 117" xfId="14176"/>
    <cellStyle name="40% - Accent2 3 117 2" xfId="27836"/>
    <cellStyle name="40% - Accent2 3 117 2 2" xfId="54844"/>
    <cellStyle name="40% - Accent2 3 117 3" xfId="41340"/>
    <cellStyle name="40% - Accent2 3 118" xfId="14317"/>
    <cellStyle name="40% - Accent2 3 118 2" xfId="27963"/>
    <cellStyle name="40% - Accent2 3 118 2 2" xfId="54971"/>
    <cellStyle name="40% - Accent2 3 118 3" xfId="41467"/>
    <cellStyle name="40% - Accent2 3 119" xfId="14457"/>
    <cellStyle name="40% - Accent2 3 119 2" xfId="28089"/>
    <cellStyle name="40% - Accent2 3 119 2 2" xfId="55097"/>
    <cellStyle name="40% - Accent2 3 119 3" xfId="41593"/>
    <cellStyle name="40% - Accent2 3 12" xfId="1453"/>
    <cellStyle name="40% - Accent2 3 12 2" xfId="16585"/>
    <cellStyle name="40% - Accent2 3 12 2 2" xfId="43593"/>
    <cellStyle name="40% - Accent2 3 12 3" xfId="30089"/>
    <cellStyle name="40% - Accent2 3 120" xfId="14597"/>
    <cellStyle name="40% - Accent2 3 120 2" xfId="28215"/>
    <cellStyle name="40% - Accent2 3 120 2 2" xfId="55223"/>
    <cellStyle name="40% - Accent2 3 120 3" xfId="41719"/>
    <cellStyle name="40% - Accent2 3 121" xfId="14736"/>
    <cellStyle name="40% - Accent2 3 121 2" xfId="28340"/>
    <cellStyle name="40% - Accent2 3 121 2 2" xfId="55348"/>
    <cellStyle name="40% - Accent2 3 121 3" xfId="41844"/>
    <cellStyle name="40% - Accent2 3 122" xfId="14871"/>
    <cellStyle name="40% - Accent2 3 122 2" xfId="28462"/>
    <cellStyle name="40% - Accent2 3 122 2 2" xfId="55470"/>
    <cellStyle name="40% - Accent2 3 122 3" xfId="41966"/>
    <cellStyle name="40% - Accent2 3 123" xfId="15005"/>
    <cellStyle name="40% - Accent2 3 123 2" xfId="28583"/>
    <cellStyle name="40% - Accent2 3 123 2 2" xfId="55591"/>
    <cellStyle name="40% - Accent2 3 123 3" xfId="42087"/>
    <cellStyle name="40% - Accent2 3 124" xfId="15133"/>
    <cellStyle name="40% - Accent2 3 124 2" xfId="28700"/>
    <cellStyle name="40% - Accent2 3 124 2 2" xfId="55708"/>
    <cellStyle name="40% - Accent2 3 124 3" xfId="42204"/>
    <cellStyle name="40% - Accent2 3 125" xfId="15254"/>
    <cellStyle name="40% - Accent2 3 125 2" xfId="28814"/>
    <cellStyle name="40% - Accent2 3 125 2 2" xfId="55822"/>
    <cellStyle name="40% - Accent2 3 125 3" xfId="42318"/>
    <cellStyle name="40% - Accent2 3 126" xfId="15469"/>
    <cellStyle name="40% - Accent2 3 126 2" xfId="42477"/>
    <cellStyle name="40% - Accent2 3 127" xfId="28973"/>
    <cellStyle name="40% - Accent2 3 13" xfId="1559"/>
    <cellStyle name="40% - Accent2 3 13 2" xfId="16677"/>
    <cellStyle name="40% - Accent2 3 13 2 2" xfId="43685"/>
    <cellStyle name="40% - Accent2 3 13 3" xfId="30181"/>
    <cellStyle name="40% - Accent2 3 14" xfId="1665"/>
    <cellStyle name="40% - Accent2 3 14 2" xfId="16769"/>
    <cellStyle name="40% - Accent2 3 14 2 2" xfId="43777"/>
    <cellStyle name="40% - Accent2 3 14 3" xfId="30273"/>
    <cellStyle name="40% - Accent2 3 15" xfId="1771"/>
    <cellStyle name="40% - Accent2 3 15 2" xfId="16861"/>
    <cellStyle name="40% - Accent2 3 15 2 2" xfId="43869"/>
    <cellStyle name="40% - Accent2 3 15 3" xfId="30365"/>
    <cellStyle name="40% - Accent2 3 16" xfId="1877"/>
    <cellStyle name="40% - Accent2 3 16 2" xfId="16953"/>
    <cellStyle name="40% - Accent2 3 16 2 2" xfId="43961"/>
    <cellStyle name="40% - Accent2 3 16 3" xfId="30457"/>
    <cellStyle name="40% - Accent2 3 17" xfId="1983"/>
    <cellStyle name="40% - Accent2 3 17 2" xfId="17045"/>
    <cellStyle name="40% - Accent2 3 17 2 2" xfId="44053"/>
    <cellStyle name="40% - Accent2 3 17 3" xfId="30549"/>
    <cellStyle name="40% - Accent2 3 18" xfId="2089"/>
    <cellStyle name="40% - Accent2 3 18 2" xfId="17137"/>
    <cellStyle name="40% - Accent2 3 18 2 2" xfId="44145"/>
    <cellStyle name="40% - Accent2 3 18 3" xfId="30641"/>
    <cellStyle name="40% - Accent2 3 19" xfId="2195"/>
    <cellStyle name="40% - Accent2 3 19 2" xfId="17229"/>
    <cellStyle name="40% - Accent2 3 19 2 2" xfId="44237"/>
    <cellStyle name="40% - Accent2 3 19 3" xfId="30733"/>
    <cellStyle name="40% - Accent2 3 2" xfId="288"/>
    <cellStyle name="40% - Accent2 3 2 2" xfId="15590"/>
    <cellStyle name="40% - Accent2 3 2 2 2" xfId="42598"/>
    <cellStyle name="40% - Accent2 3 2 3" xfId="29094"/>
    <cellStyle name="40% - Accent2 3 20" xfId="2301"/>
    <cellStyle name="40% - Accent2 3 20 2" xfId="17321"/>
    <cellStyle name="40% - Accent2 3 20 2 2" xfId="44329"/>
    <cellStyle name="40% - Accent2 3 20 3" xfId="30825"/>
    <cellStyle name="40% - Accent2 3 21" xfId="2407"/>
    <cellStyle name="40% - Accent2 3 21 2" xfId="17413"/>
    <cellStyle name="40% - Accent2 3 21 2 2" xfId="44421"/>
    <cellStyle name="40% - Accent2 3 21 3" xfId="30917"/>
    <cellStyle name="40% - Accent2 3 22" xfId="2513"/>
    <cellStyle name="40% - Accent2 3 22 2" xfId="17505"/>
    <cellStyle name="40% - Accent2 3 22 2 2" xfId="44513"/>
    <cellStyle name="40% - Accent2 3 22 3" xfId="31009"/>
    <cellStyle name="40% - Accent2 3 23" xfId="2619"/>
    <cellStyle name="40% - Accent2 3 23 2" xfId="17597"/>
    <cellStyle name="40% - Accent2 3 23 2 2" xfId="44605"/>
    <cellStyle name="40% - Accent2 3 23 3" xfId="31101"/>
    <cellStyle name="40% - Accent2 3 24" xfId="2725"/>
    <cellStyle name="40% - Accent2 3 24 2" xfId="17689"/>
    <cellStyle name="40% - Accent2 3 24 2 2" xfId="44697"/>
    <cellStyle name="40% - Accent2 3 24 3" xfId="31193"/>
    <cellStyle name="40% - Accent2 3 25" xfId="2831"/>
    <cellStyle name="40% - Accent2 3 25 2" xfId="17781"/>
    <cellStyle name="40% - Accent2 3 25 2 2" xfId="44789"/>
    <cellStyle name="40% - Accent2 3 25 3" xfId="31285"/>
    <cellStyle name="40% - Accent2 3 26" xfId="2937"/>
    <cellStyle name="40% - Accent2 3 26 2" xfId="17873"/>
    <cellStyle name="40% - Accent2 3 26 2 2" xfId="44881"/>
    <cellStyle name="40% - Accent2 3 26 3" xfId="31377"/>
    <cellStyle name="40% - Accent2 3 27" xfId="3043"/>
    <cellStyle name="40% - Accent2 3 27 2" xfId="17965"/>
    <cellStyle name="40% - Accent2 3 27 2 2" xfId="44973"/>
    <cellStyle name="40% - Accent2 3 27 3" xfId="31469"/>
    <cellStyle name="40% - Accent2 3 28" xfId="3149"/>
    <cellStyle name="40% - Accent2 3 28 2" xfId="18057"/>
    <cellStyle name="40% - Accent2 3 28 2 2" xfId="45065"/>
    <cellStyle name="40% - Accent2 3 28 3" xfId="31561"/>
    <cellStyle name="40% - Accent2 3 29" xfId="3255"/>
    <cellStyle name="40% - Accent2 3 29 2" xfId="18149"/>
    <cellStyle name="40% - Accent2 3 29 2 2" xfId="45157"/>
    <cellStyle name="40% - Accent2 3 29 3" xfId="31653"/>
    <cellStyle name="40% - Accent2 3 3" xfId="478"/>
    <cellStyle name="40% - Accent2 3 3 2" xfId="15734"/>
    <cellStyle name="40% - Accent2 3 3 2 2" xfId="42742"/>
    <cellStyle name="40% - Accent2 3 3 3" xfId="29238"/>
    <cellStyle name="40% - Accent2 3 30" xfId="3361"/>
    <cellStyle name="40% - Accent2 3 30 2" xfId="18241"/>
    <cellStyle name="40% - Accent2 3 30 2 2" xfId="45249"/>
    <cellStyle name="40% - Accent2 3 30 3" xfId="31745"/>
    <cellStyle name="40% - Accent2 3 31" xfId="3467"/>
    <cellStyle name="40% - Accent2 3 31 2" xfId="18333"/>
    <cellStyle name="40% - Accent2 3 31 2 2" xfId="45341"/>
    <cellStyle name="40% - Accent2 3 31 3" xfId="31837"/>
    <cellStyle name="40% - Accent2 3 32" xfId="3573"/>
    <cellStyle name="40% - Accent2 3 32 2" xfId="18425"/>
    <cellStyle name="40% - Accent2 3 32 2 2" xfId="45433"/>
    <cellStyle name="40% - Accent2 3 32 3" xfId="31929"/>
    <cellStyle name="40% - Accent2 3 33" xfId="3679"/>
    <cellStyle name="40% - Accent2 3 33 2" xfId="18517"/>
    <cellStyle name="40% - Accent2 3 33 2 2" xfId="45525"/>
    <cellStyle name="40% - Accent2 3 33 3" xfId="32021"/>
    <cellStyle name="40% - Accent2 3 34" xfId="3785"/>
    <cellStyle name="40% - Accent2 3 34 2" xfId="18609"/>
    <cellStyle name="40% - Accent2 3 34 2 2" xfId="45617"/>
    <cellStyle name="40% - Accent2 3 34 3" xfId="32113"/>
    <cellStyle name="40% - Accent2 3 35" xfId="3891"/>
    <cellStyle name="40% - Accent2 3 35 2" xfId="18701"/>
    <cellStyle name="40% - Accent2 3 35 2 2" xfId="45709"/>
    <cellStyle name="40% - Accent2 3 35 3" xfId="32205"/>
    <cellStyle name="40% - Accent2 3 36" xfId="3997"/>
    <cellStyle name="40% - Accent2 3 36 2" xfId="18793"/>
    <cellStyle name="40% - Accent2 3 36 2 2" xfId="45801"/>
    <cellStyle name="40% - Accent2 3 36 3" xfId="32297"/>
    <cellStyle name="40% - Accent2 3 37" xfId="4103"/>
    <cellStyle name="40% - Accent2 3 37 2" xfId="18885"/>
    <cellStyle name="40% - Accent2 3 37 2 2" xfId="45893"/>
    <cellStyle name="40% - Accent2 3 37 3" xfId="32389"/>
    <cellStyle name="40% - Accent2 3 38" xfId="4209"/>
    <cellStyle name="40% - Accent2 3 38 2" xfId="18977"/>
    <cellStyle name="40% - Accent2 3 38 2 2" xfId="45985"/>
    <cellStyle name="40% - Accent2 3 38 3" xfId="32481"/>
    <cellStyle name="40% - Accent2 3 39" xfId="4315"/>
    <cellStyle name="40% - Accent2 3 39 2" xfId="19069"/>
    <cellStyle name="40% - Accent2 3 39 2 2" xfId="46077"/>
    <cellStyle name="40% - Accent2 3 39 3" xfId="32573"/>
    <cellStyle name="40% - Accent2 3 4" xfId="605"/>
    <cellStyle name="40% - Accent2 3 4 2" xfId="15849"/>
    <cellStyle name="40% - Accent2 3 4 2 2" xfId="42857"/>
    <cellStyle name="40% - Accent2 3 4 3" xfId="29353"/>
    <cellStyle name="40% - Accent2 3 40" xfId="4421"/>
    <cellStyle name="40% - Accent2 3 40 2" xfId="19161"/>
    <cellStyle name="40% - Accent2 3 40 2 2" xfId="46169"/>
    <cellStyle name="40% - Accent2 3 40 3" xfId="32665"/>
    <cellStyle name="40% - Accent2 3 41" xfId="4527"/>
    <cellStyle name="40% - Accent2 3 41 2" xfId="19253"/>
    <cellStyle name="40% - Accent2 3 41 2 2" xfId="46261"/>
    <cellStyle name="40% - Accent2 3 41 3" xfId="32757"/>
    <cellStyle name="40% - Accent2 3 42" xfId="4633"/>
    <cellStyle name="40% - Accent2 3 42 2" xfId="19345"/>
    <cellStyle name="40% - Accent2 3 42 2 2" xfId="46353"/>
    <cellStyle name="40% - Accent2 3 42 3" xfId="32849"/>
    <cellStyle name="40% - Accent2 3 43" xfId="4739"/>
    <cellStyle name="40% - Accent2 3 43 2" xfId="19437"/>
    <cellStyle name="40% - Accent2 3 43 2 2" xfId="46445"/>
    <cellStyle name="40% - Accent2 3 43 3" xfId="32941"/>
    <cellStyle name="40% - Accent2 3 44" xfId="4845"/>
    <cellStyle name="40% - Accent2 3 44 2" xfId="19529"/>
    <cellStyle name="40% - Accent2 3 44 2 2" xfId="46537"/>
    <cellStyle name="40% - Accent2 3 44 3" xfId="33033"/>
    <cellStyle name="40% - Accent2 3 45" xfId="4951"/>
    <cellStyle name="40% - Accent2 3 45 2" xfId="19621"/>
    <cellStyle name="40% - Accent2 3 45 2 2" xfId="46629"/>
    <cellStyle name="40% - Accent2 3 45 3" xfId="33125"/>
    <cellStyle name="40% - Accent2 3 46" xfId="5057"/>
    <cellStyle name="40% - Accent2 3 46 2" xfId="19713"/>
    <cellStyle name="40% - Accent2 3 46 2 2" xfId="46721"/>
    <cellStyle name="40% - Accent2 3 46 3" xfId="33217"/>
    <cellStyle name="40% - Accent2 3 47" xfId="5163"/>
    <cellStyle name="40% - Accent2 3 47 2" xfId="19805"/>
    <cellStyle name="40% - Accent2 3 47 2 2" xfId="46813"/>
    <cellStyle name="40% - Accent2 3 47 3" xfId="33309"/>
    <cellStyle name="40% - Accent2 3 48" xfId="5269"/>
    <cellStyle name="40% - Accent2 3 48 2" xfId="19897"/>
    <cellStyle name="40% - Accent2 3 48 2 2" xfId="46905"/>
    <cellStyle name="40% - Accent2 3 48 3" xfId="33401"/>
    <cellStyle name="40% - Accent2 3 49" xfId="5375"/>
    <cellStyle name="40% - Accent2 3 49 2" xfId="19989"/>
    <cellStyle name="40% - Accent2 3 49 2 2" xfId="46997"/>
    <cellStyle name="40% - Accent2 3 49 3" xfId="33493"/>
    <cellStyle name="40% - Accent2 3 5" xfId="711"/>
    <cellStyle name="40% - Accent2 3 5 2" xfId="15941"/>
    <cellStyle name="40% - Accent2 3 5 2 2" xfId="42949"/>
    <cellStyle name="40% - Accent2 3 5 3" xfId="29445"/>
    <cellStyle name="40% - Accent2 3 50" xfId="5481"/>
    <cellStyle name="40% - Accent2 3 50 2" xfId="20081"/>
    <cellStyle name="40% - Accent2 3 50 2 2" xfId="47089"/>
    <cellStyle name="40% - Accent2 3 50 3" xfId="33585"/>
    <cellStyle name="40% - Accent2 3 51" xfId="5587"/>
    <cellStyle name="40% - Accent2 3 51 2" xfId="20173"/>
    <cellStyle name="40% - Accent2 3 51 2 2" xfId="47181"/>
    <cellStyle name="40% - Accent2 3 51 3" xfId="33677"/>
    <cellStyle name="40% - Accent2 3 52" xfId="5693"/>
    <cellStyle name="40% - Accent2 3 52 2" xfId="20265"/>
    <cellStyle name="40% - Accent2 3 52 2 2" xfId="47273"/>
    <cellStyle name="40% - Accent2 3 52 3" xfId="33769"/>
    <cellStyle name="40% - Accent2 3 53" xfId="5799"/>
    <cellStyle name="40% - Accent2 3 53 2" xfId="20357"/>
    <cellStyle name="40% - Accent2 3 53 2 2" xfId="47365"/>
    <cellStyle name="40% - Accent2 3 53 3" xfId="33861"/>
    <cellStyle name="40% - Accent2 3 54" xfId="5905"/>
    <cellStyle name="40% - Accent2 3 54 2" xfId="20449"/>
    <cellStyle name="40% - Accent2 3 54 2 2" xfId="47457"/>
    <cellStyle name="40% - Accent2 3 54 3" xfId="33953"/>
    <cellStyle name="40% - Accent2 3 55" xfId="6011"/>
    <cellStyle name="40% - Accent2 3 55 2" xfId="20541"/>
    <cellStyle name="40% - Accent2 3 55 2 2" xfId="47549"/>
    <cellStyle name="40% - Accent2 3 55 3" xfId="34045"/>
    <cellStyle name="40% - Accent2 3 56" xfId="6117"/>
    <cellStyle name="40% - Accent2 3 56 2" xfId="20633"/>
    <cellStyle name="40% - Accent2 3 56 2 2" xfId="47641"/>
    <cellStyle name="40% - Accent2 3 56 3" xfId="34137"/>
    <cellStyle name="40% - Accent2 3 57" xfId="6223"/>
    <cellStyle name="40% - Accent2 3 57 2" xfId="20725"/>
    <cellStyle name="40% - Accent2 3 57 2 2" xfId="47733"/>
    <cellStyle name="40% - Accent2 3 57 3" xfId="34229"/>
    <cellStyle name="40% - Accent2 3 58" xfId="6329"/>
    <cellStyle name="40% - Accent2 3 58 2" xfId="20817"/>
    <cellStyle name="40% - Accent2 3 58 2 2" xfId="47825"/>
    <cellStyle name="40% - Accent2 3 58 3" xfId="34321"/>
    <cellStyle name="40% - Accent2 3 59" xfId="6435"/>
    <cellStyle name="40% - Accent2 3 59 2" xfId="20909"/>
    <cellStyle name="40% - Accent2 3 59 2 2" xfId="47917"/>
    <cellStyle name="40% - Accent2 3 59 3" xfId="34413"/>
    <cellStyle name="40% - Accent2 3 6" xfId="817"/>
    <cellStyle name="40% - Accent2 3 6 2" xfId="16033"/>
    <cellStyle name="40% - Accent2 3 6 2 2" xfId="43041"/>
    <cellStyle name="40% - Accent2 3 6 3" xfId="29537"/>
    <cellStyle name="40% - Accent2 3 60" xfId="6541"/>
    <cellStyle name="40% - Accent2 3 60 2" xfId="21001"/>
    <cellStyle name="40% - Accent2 3 60 2 2" xfId="48009"/>
    <cellStyle name="40% - Accent2 3 60 3" xfId="34505"/>
    <cellStyle name="40% - Accent2 3 61" xfId="6646"/>
    <cellStyle name="40% - Accent2 3 61 2" xfId="21092"/>
    <cellStyle name="40% - Accent2 3 61 2 2" xfId="48100"/>
    <cellStyle name="40% - Accent2 3 61 3" xfId="34596"/>
    <cellStyle name="40% - Accent2 3 62" xfId="6751"/>
    <cellStyle name="40% - Accent2 3 62 2" xfId="21183"/>
    <cellStyle name="40% - Accent2 3 62 2 2" xfId="48191"/>
    <cellStyle name="40% - Accent2 3 62 3" xfId="34687"/>
    <cellStyle name="40% - Accent2 3 63" xfId="6856"/>
    <cellStyle name="40% - Accent2 3 63 2" xfId="21274"/>
    <cellStyle name="40% - Accent2 3 63 2 2" xfId="48282"/>
    <cellStyle name="40% - Accent2 3 63 3" xfId="34778"/>
    <cellStyle name="40% - Accent2 3 64" xfId="6961"/>
    <cellStyle name="40% - Accent2 3 64 2" xfId="21365"/>
    <cellStyle name="40% - Accent2 3 64 2 2" xfId="48373"/>
    <cellStyle name="40% - Accent2 3 64 3" xfId="34869"/>
    <cellStyle name="40% - Accent2 3 65" xfId="7065"/>
    <cellStyle name="40% - Accent2 3 65 2" xfId="21455"/>
    <cellStyle name="40% - Accent2 3 65 2 2" xfId="48463"/>
    <cellStyle name="40% - Accent2 3 65 3" xfId="34959"/>
    <cellStyle name="40% - Accent2 3 66" xfId="7169"/>
    <cellStyle name="40% - Accent2 3 66 2" xfId="21545"/>
    <cellStyle name="40% - Accent2 3 66 2 2" xfId="48553"/>
    <cellStyle name="40% - Accent2 3 66 3" xfId="35049"/>
    <cellStyle name="40% - Accent2 3 67" xfId="7272"/>
    <cellStyle name="40% - Accent2 3 67 2" xfId="21634"/>
    <cellStyle name="40% - Accent2 3 67 2 2" xfId="48642"/>
    <cellStyle name="40% - Accent2 3 67 3" xfId="35138"/>
    <cellStyle name="40% - Accent2 3 68" xfId="7372"/>
    <cellStyle name="40% - Accent2 3 68 2" xfId="21721"/>
    <cellStyle name="40% - Accent2 3 68 2 2" xfId="48729"/>
    <cellStyle name="40% - Accent2 3 68 3" xfId="35225"/>
    <cellStyle name="40% - Accent2 3 69" xfId="7470"/>
    <cellStyle name="40% - Accent2 3 69 2" xfId="21806"/>
    <cellStyle name="40% - Accent2 3 69 2 2" xfId="48814"/>
    <cellStyle name="40% - Accent2 3 69 3" xfId="35310"/>
    <cellStyle name="40% - Accent2 3 7" xfId="923"/>
    <cellStyle name="40% - Accent2 3 7 2" xfId="16125"/>
    <cellStyle name="40% - Accent2 3 7 2 2" xfId="43133"/>
    <cellStyle name="40% - Accent2 3 7 3" xfId="29629"/>
    <cellStyle name="40% - Accent2 3 70" xfId="7559"/>
    <cellStyle name="40% - Accent2 3 70 2" xfId="21884"/>
    <cellStyle name="40% - Accent2 3 70 2 2" xfId="48892"/>
    <cellStyle name="40% - Accent2 3 70 3" xfId="35388"/>
    <cellStyle name="40% - Accent2 3 71" xfId="7637"/>
    <cellStyle name="40% - Accent2 3 71 2" xfId="21954"/>
    <cellStyle name="40% - Accent2 3 71 2 2" xfId="48962"/>
    <cellStyle name="40% - Accent2 3 71 3" xfId="35458"/>
    <cellStyle name="40% - Accent2 3 72" xfId="7789"/>
    <cellStyle name="40% - Accent2 3 72 2" xfId="22079"/>
    <cellStyle name="40% - Accent2 3 72 2 2" xfId="49087"/>
    <cellStyle name="40% - Accent2 3 72 3" xfId="35583"/>
    <cellStyle name="40% - Accent2 3 73" xfId="7931"/>
    <cellStyle name="40% - Accent2 3 73 2" xfId="22207"/>
    <cellStyle name="40% - Accent2 3 73 2 2" xfId="49215"/>
    <cellStyle name="40% - Accent2 3 73 3" xfId="35711"/>
    <cellStyle name="40% - Accent2 3 74" xfId="8073"/>
    <cellStyle name="40% - Accent2 3 74 2" xfId="22335"/>
    <cellStyle name="40% - Accent2 3 74 2 2" xfId="49343"/>
    <cellStyle name="40% - Accent2 3 74 3" xfId="35839"/>
    <cellStyle name="40% - Accent2 3 75" xfId="8215"/>
    <cellStyle name="40% - Accent2 3 75 2" xfId="22463"/>
    <cellStyle name="40% - Accent2 3 75 2 2" xfId="49471"/>
    <cellStyle name="40% - Accent2 3 75 3" xfId="35967"/>
    <cellStyle name="40% - Accent2 3 76" xfId="8357"/>
    <cellStyle name="40% - Accent2 3 76 2" xfId="22591"/>
    <cellStyle name="40% - Accent2 3 76 2 2" xfId="49599"/>
    <cellStyle name="40% - Accent2 3 76 3" xfId="36095"/>
    <cellStyle name="40% - Accent2 3 77" xfId="8499"/>
    <cellStyle name="40% - Accent2 3 77 2" xfId="22719"/>
    <cellStyle name="40% - Accent2 3 77 2 2" xfId="49727"/>
    <cellStyle name="40% - Accent2 3 77 3" xfId="36223"/>
    <cellStyle name="40% - Accent2 3 78" xfId="8641"/>
    <cellStyle name="40% - Accent2 3 78 2" xfId="22847"/>
    <cellStyle name="40% - Accent2 3 78 2 2" xfId="49855"/>
    <cellStyle name="40% - Accent2 3 78 3" xfId="36351"/>
    <cellStyle name="40% - Accent2 3 79" xfId="8783"/>
    <cellStyle name="40% - Accent2 3 79 2" xfId="22975"/>
    <cellStyle name="40% - Accent2 3 79 2 2" xfId="49983"/>
    <cellStyle name="40% - Accent2 3 79 3" xfId="36479"/>
    <cellStyle name="40% - Accent2 3 8" xfId="1029"/>
    <cellStyle name="40% - Accent2 3 8 2" xfId="16217"/>
    <cellStyle name="40% - Accent2 3 8 2 2" xfId="43225"/>
    <cellStyle name="40% - Accent2 3 8 3" xfId="29721"/>
    <cellStyle name="40% - Accent2 3 80" xfId="8925"/>
    <cellStyle name="40% - Accent2 3 80 2" xfId="23103"/>
    <cellStyle name="40% - Accent2 3 80 2 2" xfId="50111"/>
    <cellStyle name="40% - Accent2 3 80 3" xfId="36607"/>
    <cellStyle name="40% - Accent2 3 81" xfId="9067"/>
    <cellStyle name="40% - Accent2 3 81 2" xfId="23231"/>
    <cellStyle name="40% - Accent2 3 81 2 2" xfId="50239"/>
    <cellStyle name="40% - Accent2 3 81 3" xfId="36735"/>
    <cellStyle name="40% - Accent2 3 82" xfId="9209"/>
    <cellStyle name="40% - Accent2 3 82 2" xfId="23359"/>
    <cellStyle name="40% - Accent2 3 82 2 2" xfId="50367"/>
    <cellStyle name="40% - Accent2 3 82 3" xfId="36863"/>
    <cellStyle name="40% - Accent2 3 83" xfId="9351"/>
    <cellStyle name="40% - Accent2 3 83 2" xfId="23487"/>
    <cellStyle name="40% - Accent2 3 83 2 2" xfId="50495"/>
    <cellStyle name="40% - Accent2 3 83 3" xfId="36991"/>
    <cellStyle name="40% - Accent2 3 84" xfId="9493"/>
    <cellStyle name="40% - Accent2 3 84 2" xfId="23615"/>
    <cellStyle name="40% - Accent2 3 84 2 2" xfId="50623"/>
    <cellStyle name="40% - Accent2 3 84 3" xfId="37119"/>
    <cellStyle name="40% - Accent2 3 85" xfId="9635"/>
    <cellStyle name="40% - Accent2 3 85 2" xfId="23743"/>
    <cellStyle name="40% - Accent2 3 85 2 2" xfId="50751"/>
    <cellStyle name="40% - Accent2 3 85 3" xfId="37247"/>
    <cellStyle name="40% - Accent2 3 86" xfId="9777"/>
    <cellStyle name="40% - Accent2 3 86 2" xfId="23871"/>
    <cellStyle name="40% - Accent2 3 86 2 2" xfId="50879"/>
    <cellStyle name="40% - Accent2 3 86 3" xfId="37375"/>
    <cellStyle name="40% - Accent2 3 87" xfId="9919"/>
    <cellStyle name="40% - Accent2 3 87 2" xfId="23999"/>
    <cellStyle name="40% - Accent2 3 87 2 2" xfId="51007"/>
    <cellStyle name="40% - Accent2 3 87 3" xfId="37503"/>
    <cellStyle name="40% - Accent2 3 88" xfId="10061"/>
    <cellStyle name="40% - Accent2 3 88 2" xfId="24127"/>
    <cellStyle name="40% - Accent2 3 88 2 2" xfId="51135"/>
    <cellStyle name="40% - Accent2 3 88 3" xfId="37631"/>
    <cellStyle name="40% - Accent2 3 89" xfId="10203"/>
    <cellStyle name="40% - Accent2 3 89 2" xfId="24255"/>
    <cellStyle name="40% - Accent2 3 89 2 2" xfId="51263"/>
    <cellStyle name="40% - Accent2 3 89 3" xfId="37759"/>
    <cellStyle name="40% - Accent2 3 9" xfId="1135"/>
    <cellStyle name="40% - Accent2 3 9 2" xfId="16309"/>
    <cellStyle name="40% - Accent2 3 9 2 2" xfId="43317"/>
    <cellStyle name="40% - Accent2 3 9 3" xfId="29813"/>
    <cellStyle name="40% - Accent2 3 90" xfId="10345"/>
    <cellStyle name="40% - Accent2 3 90 2" xfId="24383"/>
    <cellStyle name="40% - Accent2 3 90 2 2" xfId="51391"/>
    <cellStyle name="40% - Accent2 3 90 3" xfId="37887"/>
    <cellStyle name="40% - Accent2 3 91" xfId="10487"/>
    <cellStyle name="40% - Accent2 3 91 2" xfId="24511"/>
    <cellStyle name="40% - Accent2 3 91 2 2" xfId="51519"/>
    <cellStyle name="40% - Accent2 3 91 3" xfId="38015"/>
    <cellStyle name="40% - Accent2 3 92" xfId="10629"/>
    <cellStyle name="40% - Accent2 3 92 2" xfId="24639"/>
    <cellStyle name="40% - Accent2 3 92 2 2" xfId="51647"/>
    <cellStyle name="40% - Accent2 3 92 3" xfId="38143"/>
    <cellStyle name="40% - Accent2 3 93" xfId="10771"/>
    <cellStyle name="40% - Accent2 3 93 2" xfId="24767"/>
    <cellStyle name="40% - Accent2 3 93 2 2" xfId="51775"/>
    <cellStyle name="40% - Accent2 3 93 3" xfId="38271"/>
    <cellStyle name="40% - Accent2 3 94" xfId="10913"/>
    <cellStyle name="40% - Accent2 3 94 2" xfId="24895"/>
    <cellStyle name="40% - Accent2 3 94 2 2" xfId="51903"/>
    <cellStyle name="40% - Accent2 3 94 3" xfId="38399"/>
    <cellStyle name="40% - Accent2 3 95" xfId="11055"/>
    <cellStyle name="40% - Accent2 3 95 2" xfId="25023"/>
    <cellStyle name="40% - Accent2 3 95 2 2" xfId="52031"/>
    <cellStyle name="40% - Accent2 3 95 3" xfId="38527"/>
    <cellStyle name="40% - Accent2 3 96" xfId="11197"/>
    <cellStyle name="40% - Accent2 3 96 2" xfId="25151"/>
    <cellStyle name="40% - Accent2 3 96 2 2" xfId="52159"/>
    <cellStyle name="40% - Accent2 3 96 3" xfId="38655"/>
    <cellStyle name="40% - Accent2 3 97" xfId="11339"/>
    <cellStyle name="40% - Accent2 3 97 2" xfId="25279"/>
    <cellStyle name="40% - Accent2 3 97 2 2" xfId="52287"/>
    <cellStyle name="40% - Accent2 3 97 3" xfId="38783"/>
    <cellStyle name="40% - Accent2 3 98" xfId="11481"/>
    <cellStyle name="40% - Accent2 3 98 2" xfId="25407"/>
    <cellStyle name="40% - Accent2 3 98 2 2" xfId="52415"/>
    <cellStyle name="40% - Accent2 3 98 3" xfId="38911"/>
    <cellStyle name="40% - Accent2 3 99" xfId="11623"/>
    <cellStyle name="40% - Accent2 3 99 2" xfId="25535"/>
    <cellStyle name="40% - Accent2 3 99 2 2" xfId="52543"/>
    <cellStyle name="40% - Accent2 3 99 3" xfId="39039"/>
    <cellStyle name="40% - Accent2 4" xfId="391"/>
    <cellStyle name="40% - Accent2 4 10" xfId="9028"/>
    <cellStyle name="40% - Accent2 4 10 2" xfId="23199"/>
    <cellStyle name="40% - Accent2 4 10 2 2" xfId="50207"/>
    <cellStyle name="40% - Accent2 4 10 3" xfId="36703"/>
    <cellStyle name="40% - Accent2 4 11" xfId="9170"/>
    <cellStyle name="40% - Accent2 4 11 2" xfId="23327"/>
    <cellStyle name="40% - Accent2 4 11 2 2" xfId="50335"/>
    <cellStyle name="40% - Accent2 4 11 3" xfId="36831"/>
    <cellStyle name="40% - Accent2 4 12" xfId="9312"/>
    <cellStyle name="40% - Accent2 4 12 2" xfId="23455"/>
    <cellStyle name="40% - Accent2 4 12 2 2" xfId="50463"/>
    <cellStyle name="40% - Accent2 4 12 3" xfId="36959"/>
    <cellStyle name="40% - Accent2 4 13" xfId="9454"/>
    <cellStyle name="40% - Accent2 4 13 2" xfId="23583"/>
    <cellStyle name="40% - Accent2 4 13 2 2" xfId="50591"/>
    <cellStyle name="40% - Accent2 4 13 3" xfId="37087"/>
    <cellStyle name="40% - Accent2 4 14" xfId="9596"/>
    <cellStyle name="40% - Accent2 4 14 2" xfId="23711"/>
    <cellStyle name="40% - Accent2 4 14 2 2" xfId="50719"/>
    <cellStyle name="40% - Accent2 4 14 3" xfId="37215"/>
    <cellStyle name="40% - Accent2 4 15" xfId="9738"/>
    <cellStyle name="40% - Accent2 4 15 2" xfId="23839"/>
    <cellStyle name="40% - Accent2 4 15 2 2" xfId="50847"/>
    <cellStyle name="40% - Accent2 4 15 3" xfId="37343"/>
    <cellStyle name="40% - Accent2 4 16" xfId="9880"/>
    <cellStyle name="40% - Accent2 4 16 2" xfId="23967"/>
    <cellStyle name="40% - Accent2 4 16 2 2" xfId="50975"/>
    <cellStyle name="40% - Accent2 4 16 3" xfId="37471"/>
    <cellStyle name="40% - Accent2 4 17" xfId="10022"/>
    <cellStyle name="40% - Accent2 4 17 2" xfId="24095"/>
    <cellStyle name="40% - Accent2 4 17 2 2" xfId="51103"/>
    <cellStyle name="40% - Accent2 4 17 3" xfId="37599"/>
    <cellStyle name="40% - Accent2 4 18" xfId="10164"/>
    <cellStyle name="40% - Accent2 4 18 2" xfId="24223"/>
    <cellStyle name="40% - Accent2 4 18 2 2" xfId="51231"/>
    <cellStyle name="40% - Accent2 4 18 3" xfId="37727"/>
    <cellStyle name="40% - Accent2 4 19" xfId="10306"/>
    <cellStyle name="40% - Accent2 4 19 2" xfId="24351"/>
    <cellStyle name="40% - Accent2 4 19 2 2" xfId="51359"/>
    <cellStyle name="40% - Accent2 4 19 3" xfId="37855"/>
    <cellStyle name="40% - Accent2 4 2" xfId="7892"/>
    <cellStyle name="40% - Accent2 4 2 2" xfId="22175"/>
    <cellStyle name="40% - Accent2 4 2 2 2" xfId="49183"/>
    <cellStyle name="40% - Accent2 4 2 3" xfId="35679"/>
    <cellStyle name="40% - Accent2 4 20" xfId="10448"/>
    <cellStyle name="40% - Accent2 4 20 2" xfId="24479"/>
    <cellStyle name="40% - Accent2 4 20 2 2" xfId="51487"/>
    <cellStyle name="40% - Accent2 4 20 3" xfId="37983"/>
    <cellStyle name="40% - Accent2 4 21" xfId="10590"/>
    <cellStyle name="40% - Accent2 4 21 2" xfId="24607"/>
    <cellStyle name="40% - Accent2 4 21 2 2" xfId="51615"/>
    <cellStyle name="40% - Accent2 4 21 3" xfId="38111"/>
    <cellStyle name="40% - Accent2 4 22" xfId="10732"/>
    <cellStyle name="40% - Accent2 4 22 2" xfId="24735"/>
    <cellStyle name="40% - Accent2 4 22 2 2" xfId="51743"/>
    <cellStyle name="40% - Accent2 4 22 3" xfId="38239"/>
    <cellStyle name="40% - Accent2 4 23" xfId="10874"/>
    <cellStyle name="40% - Accent2 4 23 2" xfId="24863"/>
    <cellStyle name="40% - Accent2 4 23 2 2" xfId="51871"/>
    <cellStyle name="40% - Accent2 4 23 3" xfId="38367"/>
    <cellStyle name="40% - Accent2 4 24" xfId="11016"/>
    <cellStyle name="40% - Accent2 4 24 2" xfId="24991"/>
    <cellStyle name="40% - Accent2 4 24 2 2" xfId="51999"/>
    <cellStyle name="40% - Accent2 4 24 3" xfId="38495"/>
    <cellStyle name="40% - Accent2 4 25" xfId="11158"/>
    <cellStyle name="40% - Accent2 4 25 2" xfId="25119"/>
    <cellStyle name="40% - Accent2 4 25 2 2" xfId="52127"/>
    <cellStyle name="40% - Accent2 4 25 3" xfId="38623"/>
    <cellStyle name="40% - Accent2 4 26" xfId="11300"/>
    <cellStyle name="40% - Accent2 4 26 2" xfId="25247"/>
    <cellStyle name="40% - Accent2 4 26 2 2" xfId="52255"/>
    <cellStyle name="40% - Accent2 4 26 3" xfId="38751"/>
    <cellStyle name="40% - Accent2 4 27" xfId="11442"/>
    <cellStyle name="40% - Accent2 4 27 2" xfId="25375"/>
    <cellStyle name="40% - Accent2 4 27 2 2" xfId="52383"/>
    <cellStyle name="40% - Accent2 4 27 3" xfId="38879"/>
    <cellStyle name="40% - Accent2 4 28" xfId="11584"/>
    <cellStyle name="40% - Accent2 4 28 2" xfId="25503"/>
    <cellStyle name="40% - Accent2 4 28 2 2" xfId="52511"/>
    <cellStyle name="40% - Accent2 4 28 3" xfId="39007"/>
    <cellStyle name="40% - Accent2 4 29" xfId="11726"/>
    <cellStyle name="40% - Accent2 4 29 2" xfId="25631"/>
    <cellStyle name="40% - Accent2 4 29 2 2" xfId="52639"/>
    <cellStyle name="40% - Accent2 4 29 3" xfId="39135"/>
    <cellStyle name="40% - Accent2 4 3" xfId="8034"/>
    <cellStyle name="40% - Accent2 4 3 2" xfId="22303"/>
    <cellStyle name="40% - Accent2 4 3 2 2" xfId="49311"/>
    <cellStyle name="40% - Accent2 4 3 3" xfId="35807"/>
    <cellStyle name="40% - Accent2 4 30" xfId="11868"/>
    <cellStyle name="40% - Accent2 4 30 2" xfId="25759"/>
    <cellStyle name="40% - Accent2 4 30 2 2" xfId="52767"/>
    <cellStyle name="40% - Accent2 4 30 3" xfId="39263"/>
    <cellStyle name="40% - Accent2 4 31" xfId="12010"/>
    <cellStyle name="40% - Accent2 4 31 2" xfId="25887"/>
    <cellStyle name="40% - Accent2 4 31 2 2" xfId="52895"/>
    <cellStyle name="40% - Accent2 4 31 3" xfId="39391"/>
    <cellStyle name="40% - Accent2 4 32" xfId="12152"/>
    <cellStyle name="40% - Accent2 4 32 2" xfId="26015"/>
    <cellStyle name="40% - Accent2 4 32 2 2" xfId="53023"/>
    <cellStyle name="40% - Accent2 4 32 3" xfId="39519"/>
    <cellStyle name="40% - Accent2 4 33" xfId="12294"/>
    <cellStyle name="40% - Accent2 4 33 2" xfId="26143"/>
    <cellStyle name="40% - Accent2 4 33 2 2" xfId="53151"/>
    <cellStyle name="40% - Accent2 4 33 3" xfId="39647"/>
    <cellStyle name="40% - Accent2 4 34" xfId="12436"/>
    <cellStyle name="40% - Accent2 4 34 2" xfId="26271"/>
    <cellStyle name="40% - Accent2 4 34 2 2" xfId="53279"/>
    <cellStyle name="40% - Accent2 4 34 3" xfId="39775"/>
    <cellStyle name="40% - Accent2 4 35" xfId="12578"/>
    <cellStyle name="40% - Accent2 4 35 2" xfId="26399"/>
    <cellStyle name="40% - Accent2 4 35 2 2" xfId="53407"/>
    <cellStyle name="40% - Accent2 4 35 3" xfId="39903"/>
    <cellStyle name="40% - Accent2 4 36" xfId="12720"/>
    <cellStyle name="40% - Accent2 4 36 2" xfId="26527"/>
    <cellStyle name="40% - Accent2 4 36 2 2" xfId="53535"/>
    <cellStyle name="40% - Accent2 4 36 3" xfId="40031"/>
    <cellStyle name="40% - Accent2 4 37" xfId="12862"/>
    <cellStyle name="40% - Accent2 4 37 2" xfId="26655"/>
    <cellStyle name="40% - Accent2 4 37 2 2" xfId="53663"/>
    <cellStyle name="40% - Accent2 4 37 3" xfId="40159"/>
    <cellStyle name="40% - Accent2 4 38" xfId="13004"/>
    <cellStyle name="40% - Accent2 4 38 2" xfId="26783"/>
    <cellStyle name="40% - Accent2 4 38 2 2" xfId="53791"/>
    <cellStyle name="40% - Accent2 4 38 3" xfId="40287"/>
    <cellStyle name="40% - Accent2 4 39" xfId="13146"/>
    <cellStyle name="40% - Accent2 4 39 2" xfId="26911"/>
    <cellStyle name="40% - Accent2 4 39 2 2" xfId="53919"/>
    <cellStyle name="40% - Accent2 4 39 3" xfId="40415"/>
    <cellStyle name="40% - Accent2 4 4" xfId="8176"/>
    <cellStyle name="40% - Accent2 4 4 2" xfId="22431"/>
    <cellStyle name="40% - Accent2 4 4 2 2" xfId="49439"/>
    <cellStyle name="40% - Accent2 4 4 3" xfId="35935"/>
    <cellStyle name="40% - Accent2 4 40" xfId="13288"/>
    <cellStyle name="40% - Accent2 4 40 2" xfId="27039"/>
    <cellStyle name="40% - Accent2 4 40 2 2" xfId="54047"/>
    <cellStyle name="40% - Accent2 4 40 3" xfId="40543"/>
    <cellStyle name="40% - Accent2 4 41" xfId="13430"/>
    <cellStyle name="40% - Accent2 4 41 2" xfId="27167"/>
    <cellStyle name="40% - Accent2 4 41 2 2" xfId="54175"/>
    <cellStyle name="40% - Accent2 4 41 3" xfId="40671"/>
    <cellStyle name="40% - Accent2 4 42" xfId="13572"/>
    <cellStyle name="40% - Accent2 4 42 2" xfId="27295"/>
    <cellStyle name="40% - Accent2 4 42 2 2" xfId="54303"/>
    <cellStyle name="40% - Accent2 4 42 3" xfId="40799"/>
    <cellStyle name="40% - Accent2 4 43" xfId="13714"/>
    <cellStyle name="40% - Accent2 4 43 2" xfId="27423"/>
    <cellStyle name="40% - Accent2 4 43 2 2" xfId="54431"/>
    <cellStyle name="40% - Accent2 4 43 3" xfId="40927"/>
    <cellStyle name="40% - Accent2 4 44" xfId="13855"/>
    <cellStyle name="40% - Accent2 4 44 2" xfId="27550"/>
    <cellStyle name="40% - Accent2 4 44 2 2" xfId="54558"/>
    <cellStyle name="40% - Accent2 4 44 3" xfId="41054"/>
    <cellStyle name="40% - Accent2 4 45" xfId="13996"/>
    <cellStyle name="40% - Accent2 4 45 2" xfId="27677"/>
    <cellStyle name="40% - Accent2 4 45 2 2" xfId="54685"/>
    <cellStyle name="40% - Accent2 4 45 3" xfId="41181"/>
    <cellStyle name="40% - Accent2 4 46" xfId="14137"/>
    <cellStyle name="40% - Accent2 4 46 2" xfId="27804"/>
    <cellStyle name="40% - Accent2 4 46 2 2" xfId="54812"/>
    <cellStyle name="40% - Accent2 4 46 3" xfId="41308"/>
    <cellStyle name="40% - Accent2 4 47" xfId="14278"/>
    <cellStyle name="40% - Accent2 4 47 2" xfId="27931"/>
    <cellStyle name="40% - Accent2 4 47 2 2" xfId="54939"/>
    <cellStyle name="40% - Accent2 4 47 3" xfId="41435"/>
    <cellStyle name="40% - Accent2 4 48" xfId="14419"/>
    <cellStyle name="40% - Accent2 4 48 2" xfId="28058"/>
    <cellStyle name="40% - Accent2 4 48 2 2" xfId="55066"/>
    <cellStyle name="40% - Accent2 4 48 3" xfId="41562"/>
    <cellStyle name="40% - Accent2 4 49" xfId="14559"/>
    <cellStyle name="40% - Accent2 4 49 2" xfId="28184"/>
    <cellStyle name="40% - Accent2 4 49 2 2" xfId="55192"/>
    <cellStyle name="40% - Accent2 4 49 3" xfId="41688"/>
    <cellStyle name="40% - Accent2 4 5" xfId="8318"/>
    <cellStyle name="40% - Accent2 4 5 2" xfId="22559"/>
    <cellStyle name="40% - Accent2 4 5 2 2" xfId="49567"/>
    <cellStyle name="40% - Accent2 4 5 3" xfId="36063"/>
    <cellStyle name="40% - Accent2 4 50" xfId="14698"/>
    <cellStyle name="40% - Accent2 4 50 2" xfId="28309"/>
    <cellStyle name="40% - Accent2 4 50 2 2" xfId="55317"/>
    <cellStyle name="40% - Accent2 4 50 3" xfId="41813"/>
    <cellStyle name="40% - Accent2 4 51" xfId="14833"/>
    <cellStyle name="40% - Accent2 4 51 2" xfId="28431"/>
    <cellStyle name="40% - Accent2 4 51 2 2" xfId="55439"/>
    <cellStyle name="40% - Accent2 4 51 3" xfId="41935"/>
    <cellStyle name="40% - Accent2 4 52" xfId="14967"/>
    <cellStyle name="40% - Accent2 4 52 2" xfId="28552"/>
    <cellStyle name="40% - Accent2 4 52 2 2" xfId="55560"/>
    <cellStyle name="40% - Accent2 4 52 3" xfId="42056"/>
    <cellStyle name="40% - Accent2 4 53" xfId="15099"/>
    <cellStyle name="40% - Accent2 4 53 2" xfId="28672"/>
    <cellStyle name="40% - Accent2 4 53 2 2" xfId="55680"/>
    <cellStyle name="40% - Accent2 4 53 3" xfId="42176"/>
    <cellStyle name="40% - Accent2 4 54" xfId="15224"/>
    <cellStyle name="40% - Accent2 4 54 2" xfId="28788"/>
    <cellStyle name="40% - Accent2 4 54 2 2" xfId="55796"/>
    <cellStyle name="40% - Accent2 4 54 3" xfId="42292"/>
    <cellStyle name="40% - Accent2 4 55" xfId="15334"/>
    <cellStyle name="40% - Accent2 4 55 2" xfId="28894"/>
    <cellStyle name="40% - Accent2 4 55 2 2" xfId="55902"/>
    <cellStyle name="40% - Accent2 4 55 3" xfId="42398"/>
    <cellStyle name="40% - Accent2 4 56" xfId="15672"/>
    <cellStyle name="40% - Accent2 4 56 2" xfId="42680"/>
    <cellStyle name="40% - Accent2 4 57" xfId="29176"/>
    <cellStyle name="40% - Accent2 4 6" xfId="8460"/>
    <cellStyle name="40% - Accent2 4 6 2" xfId="22687"/>
    <cellStyle name="40% - Accent2 4 6 2 2" xfId="49695"/>
    <cellStyle name="40% - Accent2 4 6 3" xfId="36191"/>
    <cellStyle name="40% - Accent2 4 7" xfId="8602"/>
    <cellStyle name="40% - Accent2 4 7 2" xfId="22815"/>
    <cellStyle name="40% - Accent2 4 7 2 2" xfId="49823"/>
    <cellStyle name="40% - Accent2 4 7 3" xfId="36319"/>
    <cellStyle name="40% - Accent2 4 8" xfId="8744"/>
    <cellStyle name="40% - Accent2 4 8 2" xfId="22943"/>
    <cellStyle name="40% - Accent2 4 8 2 2" xfId="49951"/>
    <cellStyle name="40% - Accent2 4 8 3" xfId="36447"/>
    <cellStyle name="40% - Accent2 4 9" xfId="8886"/>
    <cellStyle name="40% - Accent2 4 9 2" xfId="23071"/>
    <cellStyle name="40% - Accent2 4 9 2 2" xfId="50079"/>
    <cellStyle name="40% - Accent2 4 9 3" xfId="36575"/>
    <cellStyle name="40% - Accent2 5" xfId="15379"/>
    <cellStyle name="40% - Accent2 5 2" xfId="28920"/>
    <cellStyle name="40% - Accent2 5 2 2" xfId="55928"/>
    <cellStyle name="40% - Accent2 5 3" xfId="42424"/>
    <cellStyle name="40% - Accent2 6" xfId="15423"/>
    <cellStyle name="40% - Accent2 6 2" xfId="28936"/>
    <cellStyle name="40% - Accent2 6 2 2" xfId="55944"/>
    <cellStyle name="40% - Accent2 6 3" xfId="42440"/>
    <cellStyle name="40% - Accent2 7" xfId="15446"/>
    <cellStyle name="40% - Accent2 7 2" xfId="42454"/>
    <cellStyle name="40% - Accent2 8" xfId="28950"/>
    <cellStyle name="40% - Accent2 9" xfId="43"/>
    <cellStyle name="40% - Accent3 2" xfId="118"/>
    <cellStyle name="40% - Accent3 2 10" xfId="270"/>
    <cellStyle name="40% - Accent3 2 10 2" xfId="15580"/>
    <cellStyle name="40% - Accent3 2 10 2 2" xfId="42588"/>
    <cellStyle name="40% - Accent3 2 10 3" xfId="29084"/>
    <cellStyle name="40% - Accent3 2 100" xfId="10600"/>
    <cellStyle name="40% - Accent3 2 100 2" xfId="24615"/>
    <cellStyle name="40% - Accent3 2 100 2 2" xfId="51623"/>
    <cellStyle name="40% - Accent3 2 100 3" xfId="38119"/>
    <cellStyle name="40% - Accent3 2 101" xfId="10742"/>
    <cellStyle name="40% - Accent3 2 101 2" xfId="24743"/>
    <cellStyle name="40% - Accent3 2 101 2 2" xfId="51751"/>
    <cellStyle name="40% - Accent3 2 101 3" xfId="38247"/>
    <cellStyle name="40% - Accent3 2 102" xfId="10884"/>
    <cellStyle name="40% - Accent3 2 102 2" xfId="24871"/>
    <cellStyle name="40% - Accent3 2 102 2 2" xfId="51879"/>
    <cellStyle name="40% - Accent3 2 102 3" xfId="38375"/>
    <cellStyle name="40% - Accent3 2 103" xfId="11026"/>
    <cellStyle name="40% - Accent3 2 103 2" xfId="24999"/>
    <cellStyle name="40% - Accent3 2 103 2 2" xfId="52007"/>
    <cellStyle name="40% - Accent3 2 103 3" xfId="38503"/>
    <cellStyle name="40% - Accent3 2 104" xfId="11168"/>
    <cellStyle name="40% - Accent3 2 104 2" xfId="25127"/>
    <cellStyle name="40% - Accent3 2 104 2 2" xfId="52135"/>
    <cellStyle name="40% - Accent3 2 104 3" xfId="38631"/>
    <cellStyle name="40% - Accent3 2 105" xfId="11310"/>
    <cellStyle name="40% - Accent3 2 105 2" xfId="25255"/>
    <cellStyle name="40% - Accent3 2 105 2 2" xfId="52263"/>
    <cellStyle name="40% - Accent3 2 105 3" xfId="38759"/>
    <cellStyle name="40% - Accent3 2 106" xfId="11452"/>
    <cellStyle name="40% - Accent3 2 106 2" xfId="25383"/>
    <cellStyle name="40% - Accent3 2 106 2 2" xfId="52391"/>
    <cellStyle name="40% - Accent3 2 106 3" xfId="38887"/>
    <cellStyle name="40% - Accent3 2 107" xfId="11594"/>
    <cellStyle name="40% - Accent3 2 107 2" xfId="25511"/>
    <cellStyle name="40% - Accent3 2 107 2 2" xfId="52519"/>
    <cellStyle name="40% - Accent3 2 107 3" xfId="39015"/>
    <cellStyle name="40% - Accent3 2 108" xfId="11736"/>
    <cellStyle name="40% - Accent3 2 108 2" xfId="25639"/>
    <cellStyle name="40% - Accent3 2 108 2 2" xfId="52647"/>
    <cellStyle name="40% - Accent3 2 108 3" xfId="39143"/>
    <cellStyle name="40% - Accent3 2 109" xfId="11878"/>
    <cellStyle name="40% - Accent3 2 109 2" xfId="25767"/>
    <cellStyle name="40% - Accent3 2 109 2 2" xfId="52775"/>
    <cellStyle name="40% - Accent3 2 109 3" xfId="39271"/>
    <cellStyle name="40% - Accent3 2 11" xfId="451"/>
    <cellStyle name="40% - Accent3 2 11 2" xfId="15715"/>
    <cellStyle name="40% - Accent3 2 11 2 2" xfId="42723"/>
    <cellStyle name="40% - Accent3 2 11 3" xfId="29219"/>
    <cellStyle name="40% - Accent3 2 110" xfId="12020"/>
    <cellStyle name="40% - Accent3 2 110 2" xfId="25895"/>
    <cellStyle name="40% - Accent3 2 110 2 2" xfId="52903"/>
    <cellStyle name="40% - Accent3 2 110 3" xfId="39399"/>
    <cellStyle name="40% - Accent3 2 111" xfId="12162"/>
    <cellStyle name="40% - Accent3 2 111 2" xfId="26023"/>
    <cellStyle name="40% - Accent3 2 111 2 2" xfId="53031"/>
    <cellStyle name="40% - Accent3 2 111 3" xfId="39527"/>
    <cellStyle name="40% - Accent3 2 112" xfId="12304"/>
    <cellStyle name="40% - Accent3 2 112 2" xfId="26151"/>
    <cellStyle name="40% - Accent3 2 112 2 2" xfId="53159"/>
    <cellStyle name="40% - Accent3 2 112 3" xfId="39655"/>
    <cellStyle name="40% - Accent3 2 113" xfId="12446"/>
    <cellStyle name="40% - Accent3 2 113 2" xfId="26279"/>
    <cellStyle name="40% - Accent3 2 113 2 2" xfId="53287"/>
    <cellStyle name="40% - Accent3 2 113 3" xfId="39783"/>
    <cellStyle name="40% - Accent3 2 114" xfId="12588"/>
    <cellStyle name="40% - Accent3 2 114 2" xfId="26407"/>
    <cellStyle name="40% - Accent3 2 114 2 2" xfId="53415"/>
    <cellStyle name="40% - Accent3 2 114 3" xfId="39911"/>
    <cellStyle name="40% - Accent3 2 115" xfId="12730"/>
    <cellStyle name="40% - Accent3 2 115 2" xfId="26535"/>
    <cellStyle name="40% - Accent3 2 115 2 2" xfId="53543"/>
    <cellStyle name="40% - Accent3 2 115 3" xfId="40039"/>
    <cellStyle name="40% - Accent3 2 116" xfId="12872"/>
    <cellStyle name="40% - Accent3 2 116 2" xfId="26663"/>
    <cellStyle name="40% - Accent3 2 116 2 2" xfId="53671"/>
    <cellStyle name="40% - Accent3 2 116 3" xfId="40167"/>
    <cellStyle name="40% - Accent3 2 117" xfId="13014"/>
    <cellStyle name="40% - Accent3 2 117 2" xfId="26791"/>
    <cellStyle name="40% - Accent3 2 117 2 2" xfId="53799"/>
    <cellStyle name="40% - Accent3 2 117 3" xfId="40295"/>
    <cellStyle name="40% - Accent3 2 118" xfId="13156"/>
    <cellStyle name="40% - Accent3 2 118 2" xfId="26919"/>
    <cellStyle name="40% - Accent3 2 118 2 2" xfId="53927"/>
    <cellStyle name="40% - Accent3 2 118 3" xfId="40423"/>
    <cellStyle name="40% - Accent3 2 119" xfId="13298"/>
    <cellStyle name="40% - Accent3 2 119 2" xfId="27047"/>
    <cellStyle name="40% - Accent3 2 119 2 2" xfId="54055"/>
    <cellStyle name="40% - Accent3 2 119 3" xfId="40551"/>
    <cellStyle name="40% - Accent3 2 12" xfId="587"/>
    <cellStyle name="40% - Accent3 2 12 2" xfId="15833"/>
    <cellStyle name="40% - Accent3 2 12 2 2" xfId="42841"/>
    <cellStyle name="40% - Accent3 2 12 3" xfId="29337"/>
    <cellStyle name="40% - Accent3 2 120" xfId="13440"/>
    <cellStyle name="40% - Accent3 2 120 2" xfId="27175"/>
    <cellStyle name="40% - Accent3 2 120 2 2" xfId="54183"/>
    <cellStyle name="40% - Accent3 2 120 3" xfId="40679"/>
    <cellStyle name="40% - Accent3 2 121" xfId="13582"/>
    <cellStyle name="40% - Accent3 2 121 2" xfId="27303"/>
    <cellStyle name="40% - Accent3 2 121 2 2" xfId="54311"/>
    <cellStyle name="40% - Accent3 2 121 3" xfId="40807"/>
    <cellStyle name="40% - Accent3 2 122" xfId="13724"/>
    <cellStyle name="40% - Accent3 2 122 2" xfId="27431"/>
    <cellStyle name="40% - Accent3 2 122 2 2" xfId="54439"/>
    <cellStyle name="40% - Accent3 2 122 3" xfId="40935"/>
    <cellStyle name="40% - Accent3 2 123" xfId="13865"/>
    <cellStyle name="40% - Accent3 2 123 2" xfId="27558"/>
    <cellStyle name="40% - Accent3 2 123 2 2" xfId="54566"/>
    <cellStyle name="40% - Accent3 2 123 3" xfId="41062"/>
    <cellStyle name="40% - Accent3 2 124" xfId="14006"/>
    <cellStyle name="40% - Accent3 2 124 2" xfId="27685"/>
    <cellStyle name="40% - Accent3 2 124 2 2" xfId="54693"/>
    <cellStyle name="40% - Accent3 2 124 3" xfId="41189"/>
    <cellStyle name="40% - Accent3 2 125" xfId="14147"/>
    <cellStyle name="40% - Accent3 2 125 2" xfId="27812"/>
    <cellStyle name="40% - Accent3 2 125 2 2" xfId="54820"/>
    <cellStyle name="40% - Accent3 2 125 3" xfId="41316"/>
    <cellStyle name="40% - Accent3 2 126" xfId="14288"/>
    <cellStyle name="40% - Accent3 2 126 2" xfId="27939"/>
    <cellStyle name="40% - Accent3 2 126 2 2" xfId="54947"/>
    <cellStyle name="40% - Accent3 2 126 3" xfId="41443"/>
    <cellStyle name="40% - Accent3 2 127" xfId="15476"/>
    <cellStyle name="40% - Accent3 2 127 2" xfId="42484"/>
    <cellStyle name="40% - Accent3 2 128" xfId="28980"/>
    <cellStyle name="40% - Accent3 2 13" xfId="693"/>
    <cellStyle name="40% - Accent3 2 13 2" xfId="15925"/>
    <cellStyle name="40% - Accent3 2 13 2 2" xfId="42933"/>
    <cellStyle name="40% - Accent3 2 13 3" xfId="29429"/>
    <cellStyle name="40% - Accent3 2 14" xfId="799"/>
    <cellStyle name="40% - Accent3 2 14 2" xfId="16017"/>
    <cellStyle name="40% - Accent3 2 14 2 2" xfId="43025"/>
    <cellStyle name="40% - Accent3 2 14 3" xfId="29521"/>
    <cellStyle name="40% - Accent3 2 15" xfId="905"/>
    <cellStyle name="40% - Accent3 2 15 2" xfId="16109"/>
    <cellStyle name="40% - Accent3 2 15 2 2" xfId="43117"/>
    <cellStyle name="40% - Accent3 2 15 3" xfId="29613"/>
    <cellStyle name="40% - Accent3 2 16" xfId="1011"/>
    <cellStyle name="40% - Accent3 2 16 2" xfId="16201"/>
    <cellStyle name="40% - Accent3 2 16 2 2" xfId="43209"/>
    <cellStyle name="40% - Accent3 2 16 3" xfId="29705"/>
    <cellStyle name="40% - Accent3 2 17" xfId="1117"/>
    <cellStyle name="40% - Accent3 2 17 2" xfId="16293"/>
    <cellStyle name="40% - Accent3 2 17 2 2" xfId="43301"/>
    <cellStyle name="40% - Accent3 2 17 3" xfId="29797"/>
    <cellStyle name="40% - Accent3 2 18" xfId="1223"/>
    <cellStyle name="40% - Accent3 2 18 2" xfId="16385"/>
    <cellStyle name="40% - Accent3 2 18 2 2" xfId="43393"/>
    <cellStyle name="40% - Accent3 2 18 3" xfId="29889"/>
    <cellStyle name="40% - Accent3 2 19" xfId="1329"/>
    <cellStyle name="40% - Accent3 2 19 2" xfId="16477"/>
    <cellStyle name="40% - Accent3 2 19 2 2" xfId="43485"/>
    <cellStyle name="40% - Accent3 2 19 3" xfId="29981"/>
    <cellStyle name="40% - Accent3 2 2" xfId="230"/>
    <cellStyle name="40% - Accent3 2 2 10" xfId="8932"/>
    <cellStyle name="40% - Accent3 2 2 10 2" xfId="23110"/>
    <cellStyle name="40% - Accent3 2 2 10 2 2" xfId="50118"/>
    <cellStyle name="40% - Accent3 2 2 10 3" xfId="36614"/>
    <cellStyle name="40% - Accent3 2 2 11" xfId="9074"/>
    <cellStyle name="40% - Accent3 2 2 11 2" xfId="23238"/>
    <cellStyle name="40% - Accent3 2 2 11 2 2" xfId="50246"/>
    <cellStyle name="40% - Accent3 2 2 11 3" xfId="36742"/>
    <cellStyle name="40% - Accent3 2 2 12" xfId="9216"/>
    <cellStyle name="40% - Accent3 2 2 12 2" xfId="23366"/>
    <cellStyle name="40% - Accent3 2 2 12 2 2" xfId="50374"/>
    <cellStyle name="40% - Accent3 2 2 12 3" xfId="36870"/>
    <cellStyle name="40% - Accent3 2 2 13" xfId="9358"/>
    <cellStyle name="40% - Accent3 2 2 13 2" xfId="23494"/>
    <cellStyle name="40% - Accent3 2 2 13 2 2" xfId="50502"/>
    <cellStyle name="40% - Accent3 2 2 13 3" xfId="36998"/>
    <cellStyle name="40% - Accent3 2 2 14" xfId="9500"/>
    <cellStyle name="40% - Accent3 2 2 14 2" xfId="23622"/>
    <cellStyle name="40% - Accent3 2 2 14 2 2" xfId="50630"/>
    <cellStyle name="40% - Accent3 2 2 14 3" xfId="37126"/>
    <cellStyle name="40% - Accent3 2 2 15" xfId="9642"/>
    <cellStyle name="40% - Accent3 2 2 15 2" xfId="23750"/>
    <cellStyle name="40% - Accent3 2 2 15 2 2" xfId="50758"/>
    <cellStyle name="40% - Accent3 2 2 15 3" xfId="37254"/>
    <cellStyle name="40% - Accent3 2 2 16" xfId="9784"/>
    <cellStyle name="40% - Accent3 2 2 16 2" xfId="23878"/>
    <cellStyle name="40% - Accent3 2 2 16 2 2" xfId="50886"/>
    <cellStyle name="40% - Accent3 2 2 16 3" xfId="37382"/>
    <cellStyle name="40% - Accent3 2 2 17" xfId="9926"/>
    <cellStyle name="40% - Accent3 2 2 17 2" xfId="24006"/>
    <cellStyle name="40% - Accent3 2 2 17 2 2" xfId="51014"/>
    <cellStyle name="40% - Accent3 2 2 17 3" xfId="37510"/>
    <cellStyle name="40% - Accent3 2 2 18" xfId="10068"/>
    <cellStyle name="40% - Accent3 2 2 18 2" xfId="24134"/>
    <cellStyle name="40% - Accent3 2 2 18 2 2" xfId="51142"/>
    <cellStyle name="40% - Accent3 2 2 18 3" xfId="37638"/>
    <cellStyle name="40% - Accent3 2 2 19" xfId="10210"/>
    <cellStyle name="40% - Accent3 2 2 19 2" xfId="24262"/>
    <cellStyle name="40% - Accent3 2 2 19 2 2" xfId="51270"/>
    <cellStyle name="40% - Accent3 2 2 19 3" xfId="37766"/>
    <cellStyle name="40% - Accent3 2 2 2" xfId="7796"/>
    <cellStyle name="40% - Accent3 2 2 2 2" xfId="22086"/>
    <cellStyle name="40% - Accent3 2 2 2 2 2" xfId="49094"/>
    <cellStyle name="40% - Accent3 2 2 2 3" xfId="35590"/>
    <cellStyle name="40% - Accent3 2 2 20" xfId="10352"/>
    <cellStyle name="40% - Accent3 2 2 20 2" xfId="24390"/>
    <cellStyle name="40% - Accent3 2 2 20 2 2" xfId="51398"/>
    <cellStyle name="40% - Accent3 2 2 20 3" xfId="37894"/>
    <cellStyle name="40% - Accent3 2 2 21" xfId="10494"/>
    <cellStyle name="40% - Accent3 2 2 21 2" xfId="24518"/>
    <cellStyle name="40% - Accent3 2 2 21 2 2" xfId="51526"/>
    <cellStyle name="40% - Accent3 2 2 21 3" xfId="38022"/>
    <cellStyle name="40% - Accent3 2 2 22" xfId="10636"/>
    <cellStyle name="40% - Accent3 2 2 22 2" xfId="24646"/>
    <cellStyle name="40% - Accent3 2 2 22 2 2" xfId="51654"/>
    <cellStyle name="40% - Accent3 2 2 22 3" xfId="38150"/>
    <cellStyle name="40% - Accent3 2 2 23" xfId="10778"/>
    <cellStyle name="40% - Accent3 2 2 23 2" xfId="24774"/>
    <cellStyle name="40% - Accent3 2 2 23 2 2" xfId="51782"/>
    <cellStyle name="40% - Accent3 2 2 23 3" xfId="38278"/>
    <cellStyle name="40% - Accent3 2 2 24" xfId="10920"/>
    <cellStyle name="40% - Accent3 2 2 24 2" xfId="24902"/>
    <cellStyle name="40% - Accent3 2 2 24 2 2" xfId="51910"/>
    <cellStyle name="40% - Accent3 2 2 24 3" xfId="38406"/>
    <cellStyle name="40% - Accent3 2 2 25" xfId="11062"/>
    <cellStyle name="40% - Accent3 2 2 25 2" xfId="25030"/>
    <cellStyle name="40% - Accent3 2 2 25 2 2" xfId="52038"/>
    <cellStyle name="40% - Accent3 2 2 25 3" xfId="38534"/>
    <cellStyle name="40% - Accent3 2 2 26" xfId="11204"/>
    <cellStyle name="40% - Accent3 2 2 26 2" xfId="25158"/>
    <cellStyle name="40% - Accent3 2 2 26 2 2" xfId="52166"/>
    <cellStyle name="40% - Accent3 2 2 26 3" xfId="38662"/>
    <cellStyle name="40% - Accent3 2 2 27" xfId="11346"/>
    <cellStyle name="40% - Accent3 2 2 27 2" xfId="25286"/>
    <cellStyle name="40% - Accent3 2 2 27 2 2" xfId="52294"/>
    <cellStyle name="40% - Accent3 2 2 27 3" xfId="38790"/>
    <cellStyle name="40% - Accent3 2 2 28" xfId="11488"/>
    <cellStyle name="40% - Accent3 2 2 28 2" xfId="25414"/>
    <cellStyle name="40% - Accent3 2 2 28 2 2" xfId="52422"/>
    <cellStyle name="40% - Accent3 2 2 28 3" xfId="38918"/>
    <cellStyle name="40% - Accent3 2 2 29" xfId="11630"/>
    <cellStyle name="40% - Accent3 2 2 29 2" xfId="25542"/>
    <cellStyle name="40% - Accent3 2 2 29 2 2" xfId="52550"/>
    <cellStyle name="40% - Accent3 2 2 29 3" xfId="39046"/>
    <cellStyle name="40% - Accent3 2 2 3" xfId="7938"/>
    <cellStyle name="40% - Accent3 2 2 3 2" xfId="22214"/>
    <cellStyle name="40% - Accent3 2 2 3 2 2" xfId="49222"/>
    <cellStyle name="40% - Accent3 2 2 3 3" xfId="35718"/>
    <cellStyle name="40% - Accent3 2 2 30" xfId="11772"/>
    <cellStyle name="40% - Accent3 2 2 30 2" xfId="25670"/>
    <cellStyle name="40% - Accent3 2 2 30 2 2" xfId="52678"/>
    <cellStyle name="40% - Accent3 2 2 30 3" xfId="39174"/>
    <cellStyle name="40% - Accent3 2 2 31" xfId="11914"/>
    <cellStyle name="40% - Accent3 2 2 31 2" xfId="25798"/>
    <cellStyle name="40% - Accent3 2 2 31 2 2" xfId="52806"/>
    <cellStyle name="40% - Accent3 2 2 31 3" xfId="39302"/>
    <cellStyle name="40% - Accent3 2 2 32" xfId="12056"/>
    <cellStyle name="40% - Accent3 2 2 32 2" xfId="25926"/>
    <cellStyle name="40% - Accent3 2 2 32 2 2" xfId="52934"/>
    <cellStyle name="40% - Accent3 2 2 32 3" xfId="39430"/>
    <cellStyle name="40% - Accent3 2 2 33" xfId="12198"/>
    <cellStyle name="40% - Accent3 2 2 33 2" xfId="26054"/>
    <cellStyle name="40% - Accent3 2 2 33 2 2" xfId="53062"/>
    <cellStyle name="40% - Accent3 2 2 33 3" xfId="39558"/>
    <cellStyle name="40% - Accent3 2 2 34" xfId="12340"/>
    <cellStyle name="40% - Accent3 2 2 34 2" xfId="26182"/>
    <cellStyle name="40% - Accent3 2 2 34 2 2" xfId="53190"/>
    <cellStyle name="40% - Accent3 2 2 34 3" xfId="39686"/>
    <cellStyle name="40% - Accent3 2 2 35" xfId="12482"/>
    <cellStyle name="40% - Accent3 2 2 35 2" xfId="26310"/>
    <cellStyle name="40% - Accent3 2 2 35 2 2" xfId="53318"/>
    <cellStyle name="40% - Accent3 2 2 35 3" xfId="39814"/>
    <cellStyle name="40% - Accent3 2 2 36" xfId="12624"/>
    <cellStyle name="40% - Accent3 2 2 36 2" xfId="26438"/>
    <cellStyle name="40% - Accent3 2 2 36 2 2" xfId="53446"/>
    <cellStyle name="40% - Accent3 2 2 36 3" xfId="39942"/>
    <cellStyle name="40% - Accent3 2 2 37" xfId="12766"/>
    <cellStyle name="40% - Accent3 2 2 37 2" xfId="26566"/>
    <cellStyle name="40% - Accent3 2 2 37 2 2" xfId="53574"/>
    <cellStyle name="40% - Accent3 2 2 37 3" xfId="40070"/>
    <cellStyle name="40% - Accent3 2 2 38" xfId="12908"/>
    <cellStyle name="40% - Accent3 2 2 38 2" xfId="26694"/>
    <cellStyle name="40% - Accent3 2 2 38 2 2" xfId="53702"/>
    <cellStyle name="40% - Accent3 2 2 38 3" xfId="40198"/>
    <cellStyle name="40% - Accent3 2 2 39" xfId="13050"/>
    <cellStyle name="40% - Accent3 2 2 39 2" xfId="26822"/>
    <cellStyle name="40% - Accent3 2 2 39 2 2" xfId="53830"/>
    <cellStyle name="40% - Accent3 2 2 39 3" xfId="40326"/>
    <cellStyle name="40% - Accent3 2 2 4" xfId="8080"/>
    <cellStyle name="40% - Accent3 2 2 4 2" xfId="22342"/>
    <cellStyle name="40% - Accent3 2 2 4 2 2" xfId="49350"/>
    <cellStyle name="40% - Accent3 2 2 4 3" xfId="35846"/>
    <cellStyle name="40% - Accent3 2 2 40" xfId="13192"/>
    <cellStyle name="40% - Accent3 2 2 40 2" xfId="26950"/>
    <cellStyle name="40% - Accent3 2 2 40 2 2" xfId="53958"/>
    <cellStyle name="40% - Accent3 2 2 40 3" xfId="40454"/>
    <cellStyle name="40% - Accent3 2 2 41" xfId="13334"/>
    <cellStyle name="40% - Accent3 2 2 41 2" xfId="27078"/>
    <cellStyle name="40% - Accent3 2 2 41 2 2" xfId="54086"/>
    <cellStyle name="40% - Accent3 2 2 41 3" xfId="40582"/>
    <cellStyle name="40% - Accent3 2 2 42" xfId="13476"/>
    <cellStyle name="40% - Accent3 2 2 42 2" xfId="27206"/>
    <cellStyle name="40% - Accent3 2 2 42 2 2" xfId="54214"/>
    <cellStyle name="40% - Accent3 2 2 42 3" xfId="40710"/>
    <cellStyle name="40% - Accent3 2 2 43" xfId="13618"/>
    <cellStyle name="40% - Accent3 2 2 43 2" xfId="27334"/>
    <cellStyle name="40% - Accent3 2 2 43 2 2" xfId="54342"/>
    <cellStyle name="40% - Accent3 2 2 43 3" xfId="40838"/>
    <cellStyle name="40% - Accent3 2 2 44" xfId="13760"/>
    <cellStyle name="40% - Accent3 2 2 44 2" xfId="27462"/>
    <cellStyle name="40% - Accent3 2 2 44 2 2" xfId="54470"/>
    <cellStyle name="40% - Accent3 2 2 44 3" xfId="40966"/>
    <cellStyle name="40% - Accent3 2 2 45" xfId="13901"/>
    <cellStyle name="40% - Accent3 2 2 45 2" xfId="27589"/>
    <cellStyle name="40% - Accent3 2 2 45 2 2" xfId="54597"/>
    <cellStyle name="40% - Accent3 2 2 45 3" xfId="41093"/>
    <cellStyle name="40% - Accent3 2 2 46" xfId="14042"/>
    <cellStyle name="40% - Accent3 2 2 46 2" xfId="27716"/>
    <cellStyle name="40% - Accent3 2 2 46 2 2" xfId="54724"/>
    <cellStyle name="40% - Accent3 2 2 46 3" xfId="41220"/>
    <cellStyle name="40% - Accent3 2 2 47" xfId="14183"/>
    <cellStyle name="40% - Accent3 2 2 47 2" xfId="27843"/>
    <cellStyle name="40% - Accent3 2 2 47 2 2" xfId="54851"/>
    <cellStyle name="40% - Accent3 2 2 47 3" xfId="41347"/>
    <cellStyle name="40% - Accent3 2 2 48" xfId="14324"/>
    <cellStyle name="40% - Accent3 2 2 48 2" xfId="27970"/>
    <cellStyle name="40% - Accent3 2 2 48 2 2" xfId="54978"/>
    <cellStyle name="40% - Accent3 2 2 48 3" xfId="41474"/>
    <cellStyle name="40% - Accent3 2 2 49" xfId="14464"/>
    <cellStyle name="40% - Accent3 2 2 49 2" xfId="28096"/>
    <cellStyle name="40% - Accent3 2 2 49 2 2" xfId="55104"/>
    <cellStyle name="40% - Accent3 2 2 49 3" xfId="41600"/>
    <cellStyle name="40% - Accent3 2 2 5" xfId="8222"/>
    <cellStyle name="40% - Accent3 2 2 5 2" xfId="22470"/>
    <cellStyle name="40% - Accent3 2 2 5 2 2" xfId="49478"/>
    <cellStyle name="40% - Accent3 2 2 5 3" xfId="35974"/>
    <cellStyle name="40% - Accent3 2 2 50" xfId="14604"/>
    <cellStyle name="40% - Accent3 2 2 50 2" xfId="28222"/>
    <cellStyle name="40% - Accent3 2 2 50 2 2" xfId="55230"/>
    <cellStyle name="40% - Accent3 2 2 50 3" xfId="41726"/>
    <cellStyle name="40% - Accent3 2 2 51" xfId="14743"/>
    <cellStyle name="40% - Accent3 2 2 51 2" xfId="28347"/>
    <cellStyle name="40% - Accent3 2 2 51 2 2" xfId="55355"/>
    <cellStyle name="40% - Accent3 2 2 51 3" xfId="41851"/>
    <cellStyle name="40% - Accent3 2 2 52" xfId="14878"/>
    <cellStyle name="40% - Accent3 2 2 52 2" xfId="28469"/>
    <cellStyle name="40% - Accent3 2 2 52 2 2" xfId="55477"/>
    <cellStyle name="40% - Accent3 2 2 52 3" xfId="41973"/>
    <cellStyle name="40% - Accent3 2 2 53" xfId="15012"/>
    <cellStyle name="40% - Accent3 2 2 53 2" xfId="28590"/>
    <cellStyle name="40% - Accent3 2 2 53 2 2" xfId="55598"/>
    <cellStyle name="40% - Accent3 2 2 53 3" xfId="42094"/>
    <cellStyle name="40% - Accent3 2 2 54" xfId="15140"/>
    <cellStyle name="40% - Accent3 2 2 54 2" xfId="28707"/>
    <cellStyle name="40% - Accent3 2 2 54 2 2" xfId="55715"/>
    <cellStyle name="40% - Accent3 2 2 54 3" xfId="42211"/>
    <cellStyle name="40% - Accent3 2 2 55" xfId="15261"/>
    <cellStyle name="40% - Accent3 2 2 55 2" xfId="28821"/>
    <cellStyle name="40% - Accent3 2 2 55 2 2" xfId="55829"/>
    <cellStyle name="40% - Accent3 2 2 55 3" xfId="42325"/>
    <cellStyle name="40% - Accent3 2 2 56" xfId="15558"/>
    <cellStyle name="40% - Accent3 2 2 56 2" xfId="42566"/>
    <cellStyle name="40% - Accent3 2 2 57" xfId="29062"/>
    <cellStyle name="40% - Accent3 2 2 6" xfId="8364"/>
    <cellStyle name="40% - Accent3 2 2 6 2" xfId="22598"/>
    <cellStyle name="40% - Accent3 2 2 6 2 2" xfId="49606"/>
    <cellStyle name="40% - Accent3 2 2 6 3" xfId="36102"/>
    <cellStyle name="40% - Accent3 2 2 7" xfId="8506"/>
    <cellStyle name="40% - Accent3 2 2 7 2" xfId="22726"/>
    <cellStyle name="40% - Accent3 2 2 7 2 2" xfId="49734"/>
    <cellStyle name="40% - Accent3 2 2 7 3" xfId="36230"/>
    <cellStyle name="40% - Accent3 2 2 8" xfId="8648"/>
    <cellStyle name="40% - Accent3 2 2 8 2" xfId="22854"/>
    <cellStyle name="40% - Accent3 2 2 8 2 2" xfId="49862"/>
    <cellStyle name="40% - Accent3 2 2 8 3" xfId="36358"/>
    <cellStyle name="40% - Accent3 2 2 9" xfId="8790"/>
    <cellStyle name="40% - Accent3 2 2 9 2" xfId="22982"/>
    <cellStyle name="40% - Accent3 2 2 9 2 2" xfId="49990"/>
    <cellStyle name="40% - Accent3 2 2 9 3" xfId="36486"/>
    <cellStyle name="40% - Accent3 2 20" xfId="1435"/>
    <cellStyle name="40% - Accent3 2 20 2" xfId="16569"/>
    <cellStyle name="40% - Accent3 2 20 2 2" xfId="43577"/>
    <cellStyle name="40% - Accent3 2 20 3" xfId="30073"/>
    <cellStyle name="40% - Accent3 2 21" xfId="1541"/>
    <cellStyle name="40% - Accent3 2 21 2" xfId="16661"/>
    <cellStyle name="40% - Accent3 2 21 2 2" xfId="43669"/>
    <cellStyle name="40% - Accent3 2 21 3" xfId="30165"/>
    <cellStyle name="40% - Accent3 2 22" xfId="1647"/>
    <cellStyle name="40% - Accent3 2 22 2" xfId="16753"/>
    <cellStyle name="40% - Accent3 2 22 2 2" xfId="43761"/>
    <cellStyle name="40% - Accent3 2 22 3" xfId="30257"/>
    <cellStyle name="40% - Accent3 2 23" xfId="1753"/>
    <cellStyle name="40% - Accent3 2 23 2" xfId="16845"/>
    <cellStyle name="40% - Accent3 2 23 2 2" xfId="43853"/>
    <cellStyle name="40% - Accent3 2 23 3" xfId="30349"/>
    <cellStyle name="40% - Accent3 2 24" xfId="1859"/>
    <cellStyle name="40% - Accent3 2 24 2" xfId="16937"/>
    <cellStyle name="40% - Accent3 2 24 2 2" xfId="43945"/>
    <cellStyle name="40% - Accent3 2 24 3" xfId="30441"/>
    <cellStyle name="40% - Accent3 2 25" xfId="1965"/>
    <cellStyle name="40% - Accent3 2 25 2" xfId="17029"/>
    <cellStyle name="40% - Accent3 2 25 2 2" xfId="44037"/>
    <cellStyle name="40% - Accent3 2 25 3" xfId="30533"/>
    <cellStyle name="40% - Accent3 2 26" xfId="2071"/>
    <cellStyle name="40% - Accent3 2 26 2" xfId="17121"/>
    <cellStyle name="40% - Accent3 2 26 2 2" xfId="44129"/>
    <cellStyle name="40% - Accent3 2 26 3" xfId="30625"/>
    <cellStyle name="40% - Accent3 2 27" xfId="2177"/>
    <cellStyle name="40% - Accent3 2 27 2" xfId="17213"/>
    <cellStyle name="40% - Accent3 2 27 2 2" xfId="44221"/>
    <cellStyle name="40% - Accent3 2 27 3" xfId="30717"/>
    <cellStyle name="40% - Accent3 2 28" xfId="2283"/>
    <cellStyle name="40% - Accent3 2 28 2" xfId="17305"/>
    <cellStyle name="40% - Accent3 2 28 2 2" xfId="44313"/>
    <cellStyle name="40% - Accent3 2 28 3" xfId="30809"/>
    <cellStyle name="40% - Accent3 2 29" xfId="2389"/>
    <cellStyle name="40% - Accent3 2 29 2" xfId="17397"/>
    <cellStyle name="40% - Accent3 2 29 2 2" xfId="44405"/>
    <cellStyle name="40% - Accent3 2 29 3" xfId="30901"/>
    <cellStyle name="40% - Accent3 2 3" xfId="418"/>
    <cellStyle name="40% - Accent3 2 3 10" xfId="9054"/>
    <cellStyle name="40% - Accent3 2 3 10 2" xfId="23222"/>
    <cellStyle name="40% - Accent3 2 3 10 2 2" xfId="50230"/>
    <cellStyle name="40% - Accent3 2 3 10 3" xfId="36726"/>
    <cellStyle name="40% - Accent3 2 3 11" xfId="9196"/>
    <cellStyle name="40% - Accent3 2 3 11 2" xfId="23350"/>
    <cellStyle name="40% - Accent3 2 3 11 2 2" xfId="50358"/>
    <cellStyle name="40% - Accent3 2 3 11 3" xfId="36854"/>
    <cellStyle name="40% - Accent3 2 3 12" xfId="9338"/>
    <cellStyle name="40% - Accent3 2 3 12 2" xfId="23478"/>
    <cellStyle name="40% - Accent3 2 3 12 2 2" xfId="50486"/>
    <cellStyle name="40% - Accent3 2 3 12 3" xfId="36982"/>
    <cellStyle name="40% - Accent3 2 3 13" xfId="9480"/>
    <cellStyle name="40% - Accent3 2 3 13 2" xfId="23606"/>
    <cellStyle name="40% - Accent3 2 3 13 2 2" xfId="50614"/>
    <cellStyle name="40% - Accent3 2 3 13 3" xfId="37110"/>
    <cellStyle name="40% - Accent3 2 3 14" xfId="9622"/>
    <cellStyle name="40% - Accent3 2 3 14 2" xfId="23734"/>
    <cellStyle name="40% - Accent3 2 3 14 2 2" xfId="50742"/>
    <cellStyle name="40% - Accent3 2 3 14 3" xfId="37238"/>
    <cellStyle name="40% - Accent3 2 3 15" xfId="9764"/>
    <cellStyle name="40% - Accent3 2 3 15 2" xfId="23862"/>
    <cellStyle name="40% - Accent3 2 3 15 2 2" xfId="50870"/>
    <cellStyle name="40% - Accent3 2 3 15 3" xfId="37366"/>
    <cellStyle name="40% - Accent3 2 3 16" xfId="9906"/>
    <cellStyle name="40% - Accent3 2 3 16 2" xfId="23990"/>
    <cellStyle name="40% - Accent3 2 3 16 2 2" xfId="50998"/>
    <cellStyle name="40% - Accent3 2 3 16 3" xfId="37494"/>
    <cellStyle name="40% - Accent3 2 3 17" xfId="10048"/>
    <cellStyle name="40% - Accent3 2 3 17 2" xfId="24118"/>
    <cellStyle name="40% - Accent3 2 3 17 2 2" xfId="51126"/>
    <cellStyle name="40% - Accent3 2 3 17 3" xfId="37622"/>
    <cellStyle name="40% - Accent3 2 3 18" xfId="10190"/>
    <cellStyle name="40% - Accent3 2 3 18 2" xfId="24246"/>
    <cellStyle name="40% - Accent3 2 3 18 2 2" xfId="51254"/>
    <cellStyle name="40% - Accent3 2 3 18 3" xfId="37750"/>
    <cellStyle name="40% - Accent3 2 3 19" xfId="10332"/>
    <cellStyle name="40% - Accent3 2 3 19 2" xfId="24374"/>
    <cellStyle name="40% - Accent3 2 3 19 2 2" xfId="51382"/>
    <cellStyle name="40% - Accent3 2 3 19 3" xfId="37878"/>
    <cellStyle name="40% - Accent3 2 3 2" xfId="7918"/>
    <cellStyle name="40% - Accent3 2 3 2 2" xfId="22198"/>
    <cellStyle name="40% - Accent3 2 3 2 2 2" xfId="49206"/>
    <cellStyle name="40% - Accent3 2 3 2 3" xfId="35702"/>
    <cellStyle name="40% - Accent3 2 3 20" xfId="10474"/>
    <cellStyle name="40% - Accent3 2 3 20 2" xfId="24502"/>
    <cellStyle name="40% - Accent3 2 3 20 2 2" xfId="51510"/>
    <cellStyle name="40% - Accent3 2 3 20 3" xfId="38006"/>
    <cellStyle name="40% - Accent3 2 3 21" xfId="10616"/>
    <cellStyle name="40% - Accent3 2 3 21 2" xfId="24630"/>
    <cellStyle name="40% - Accent3 2 3 21 2 2" xfId="51638"/>
    <cellStyle name="40% - Accent3 2 3 21 3" xfId="38134"/>
    <cellStyle name="40% - Accent3 2 3 22" xfId="10758"/>
    <cellStyle name="40% - Accent3 2 3 22 2" xfId="24758"/>
    <cellStyle name="40% - Accent3 2 3 22 2 2" xfId="51766"/>
    <cellStyle name="40% - Accent3 2 3 22 3" xfId="38262"/>
    <cellStyle name="40% - Accent3 2 3 23" xfId="10900"/>
    <cellStyle name="40% - Accent3 2 3 23 2" xfId="24886"/>
    <cellStyle name="40% - Accent3 2 3 23 2 2" xfId="51894"/>
    <cellStyle name="40% - Accent3 2 3 23 3" xfId="38390"/>
    <cellStyle name="40% - Accent3 2 3 24" xfId="11042"/>
    <cellStyle name="40% - Accent3 2 3 24 2" xfId="25014"/>
    <cellStyle name="40% - Accent3 2 3 24 2 2" xfId="52022"/>
    <cellStyle name="40% - Accent3 2 3 24 3" xfId="38518"/>
    <cellStyle name="40% - Accent3 2 3 25" xfId="11184"/>
    <cellStyle name="40% - Accent3 2 3 25 2" xfId="25142"/>
    <cellStyle name="40% - Accent3 2 3 25 2 2" xfId="52150"/>
    <cellStyle name="40% - Accent3 2 3 25 3" xfId="38646"/>
    <cellStyle name="40% - Accent3 2 3 26" xfId="11326"/>
    <cellStyle name="40% - Accent3 2 3 26 2" xfId="25270"/>
    <cellStyle name="40% - Accent3 2 3 26 2 2" xfId="52278"/>
    <cellStyle name="40% - Accent3 2 3 26 3" xfId="38774"/>
    <cellStyle name="40% - Accent3 2 3 27" xfId="11468"/>
    <cellStyle name="40% - Accent3 2 3 27 2" xfId="25398"/>
    <cellStyle name="40% - Accent3 2 3 27 2 2" xfId="52406"/>
    <cellStyle name="40% - Accent3 2 3 27 3" xfId="38902"/>
    <cellStyle name="40% - Accent3 2 3 28" xfId="11610"/>
    <cellStyle name="40% - Accent3 2 3 28 2" xfId="25526"/>
    <cellStyle name="40% - Accent3 2 3 28 2 2" xfId="52534"/>
    <cellStyle name="40% - Accent3 2 3 28 3" xfId="39030"/>
    <cellStyle name="40% - Accent3 2 3 29" xfId="11752"/>
    <cellStyle name="40% - Accent3 2 3 29 2" xfId="25654"/>
    <cellStyle name="40% - Accent3 2 3 29 2 2" xfId="52662"/>
    <cellStyle name="40% - Accent3 2 3 29 3" xfId="39158"/>
    <cellStyle name="40% - Accent3 2 3 3" xfId="8060"/>
    <cellStyle name="40% - Accent3 2 3 3 2" xfId="22326"/>
    <cellStyle name="40% - Accent3 2 3 3 2 2" xfId="49334"/>
    <cellStyle name="40% - Accent3 2 3 3 3" xfId="35830"/>
    <cellStyle name="40% - Accent3 2 3 30" xfId="11894"/>
    <cellStyle name="40% - Accent3 2 3 30 2" xfId="25782"/>
    <cellStyle name="40% - Accent3 2 3 30 2 2" xfId="52790"/>
    <cellStyle name="40% - Accent3 2 3 30 3" xfId="39286"/>
    <cellStyle name="40% - Accent3 2 3 31" xfId="12036"/>
    <cellStyle name="40% - Accent3 2 3 31 2" xfId="25910"/>
    <cellStyle name="40% - Accent3 2 3 31 2 2" xfId="52918"/>
    <cellStyle name="40% - Accent3 2 3 31 3" xfId="39414"/>
    <cellStyle name="40% - Accent3 2 3 32" xfId="12178"/>
    <cellStyle name="40% - Accent3 2 3 32 2" xfId="26038"/>
    <cellStyle name="40% - Accent3 2 3 32 2 2" xfId="53046"/>
    <cellStyle name="40% - Accent3 2 3 32 3" xfId="39542"/>
    <cellStyle name="40% - Accent3 2 3 33" xfId="12320"/>
    <cellStyle name="40% - Accent3 2 3 33 2" xfId="26166"/>
    <cellStyle name="40% - Accent3 2 3 33 2 2" xfId="53174"/>
    <cellStyle name="40% - Accent3 2 3 33 3" xfId="39670"/>
    <cellStyle name="40% - Accent3 2 3 34" xfId="12462"/>
    <cellStyle name="40% - Accent3 2 3 34 2" xfId="26294"/>
    <cellStyle name="40% - Accent3 2 3 34 2 2" xfId="53302"/>
    <cellStyle name="40% - Accent3 2 3 34 3" xfId="39798"/>
    <cellStyle name="40% - Accent3 2 3 35" xfId="12604"/>
    <cellStyle name="40% - Accent3 2 3 35 2" xfId="26422"/>
    <cellStyle name="40% - Accent3 2 3 35 2 2" xfId="53430"/>
    <cellStyle name="40% - Accent3 2 3 35 3" xfId="39926"/>
    <cellStyle name="40% - Accent3 2 3 36" xfId="12746"/>
    <cellStyle name="40% - Accent3 2 3 36 2" xfId="26550"/>
    <cellStyle name="40% - Accent3 2 3 36 2 2" xfId="53558"/>
    <cellStyle name="40% - Accent3 2 3 36 3" xfId="40054"/>
    <cellStyle name="40% - Accent3 2 3 37" xfId="12888"/>
    <cellStyle name="40% - Accent3 2 3 37 2" xfId="26678"/>
    <cellStyle name="40% - Accent3 2 3 37 2 2" xfId="53686"/>
    <cellStyle name="40% - Accent3 2 3 37 3" xfId="40182"/>
    <cellStyle name="40% - Accent3 2 3 38" xfId="13030"/>
    <cellStyle name="40% - Accent3 2 3 38 2" xfId="26806"/>
    <cellStyle name="40% - Accent3 2 3 38 2 2" xfId="53814"/>
    <cellStyle name="40% - Accent3 2 3 38 3" xfId="40310"/>
    <cellStyle name="40% - Accent3 2 3 39" xfId="13172"/>
    <cellStyle name="40% - Accent3 2 3 39 2" xfId="26934"/>
    <cellStyle name="40% - Accent3 2 3 39 2 2" xfId="53942"/>
    <cellStyle name="40% - Accent3 2 3 39 3" xfId="40438"/>
    <cellStyle name="40% - Accent3 2 3 4" xfId="8202"/>
    <cellStyle name="40% - Accent3 2 3 4 2" xfId="22454"/>
    <cellStyle name="40% - Accent3 2 3 4 2 2" xfId="49462"/>
    <cellStyle name="40% - Accent3 2 3 4 3" xfId="35958"/>
    <cellStyle name="40% - Accent3 2 3 40" xfId="13314"/>
    <cellStyle name="40% - Accent3 2 3 40 2" xfId="27062"/>
    <cellStyle name="40% - Accent3 2 3 40 2 2" xfId="54070"/>
    <cellStyle name="40% - Accent3 2 3 40 3" xfId="40566"/>
    <cellStyle name="40% - Accent3 2 3 41" xfId="13456"/>
    <cellStyle name="40% - Accent3 2 3 41 2" xfId="27190"/>
    <cellStyle name="40% - Accent3 2 3 41 2 2" xfId="54198"/>
    <cellStyle name="40% - Accent3 2 3 41 3" xfId="40694"/>
    <cellStyle name="40% - Accent3 2 3 42" xfId="13598"/>
    <cellStyle name="40% - Accent3 2 3 42 2" xfId="27318"/>
    <cellStyle name="40% - Accent3 2 3 42 2 2" xfId="54326"/>
    <cellStyle name="40% - Accent3 2 3 42 3" xfId="40822"/>
    <cellStyle name="40% - Accent3 2 3 43" xfId="13740"/>
    <cellStyle name="40% - Accent3 2 3 43 2" xfId="27446"/>
    <cellStyle name="40% - Accent3 2 3 43 2 2" xfId="54454"/>
    <cellStyle name="40% - Accent3 2 3 43 3" xfId="40950"/>
    <cellStyle name="40% - Accent3 2 3 44" xfId="13881"/>
    <cellStyle name="40% - Accent3 2 3 44 2" xfId="27573"/>
    <cellStyle name="40% - Accent3 2 3 44 2 2" xfId="54581"/>
    <cellStyle name="40% - Accent3 2 3 44 3" xfId="41077"/>
    <cellStyle name="40% - Accent3 2 3 45" xfId="14022"/>
    <cellStyle name="40% - Accent3 2 3 45 2" xfId="27700"/>
    <cellStyle name="40% - Accent3 2 3 45 2 2" xfId="54708"/>
    <cellStyle name="40% - Accent3 2 3 45 3" xfId="41204"/>
    <cellStyle name="40% - Accent3 2 3 46" xfId="14163"/>
    <cellStyle name="40% - Accent3 2 3 46 2" xfId="27827"/>
    <cellStyle name="40% - Accent3 2 3 46 2 2" xfId="54835"/>
    <cellStyle name="40% - Accent3 2 3 46 3" xfId="41331"/>
    <cellStyle name="40% - Accent3 2 3 47" xfId="14304"/>
    <cellStyle name="40% - Accent3 2 3 47 2" xfId="27954"/>
    <cellStyle name="40% - Accent3 2 3 47 2 2" xfId="54962"/>
    <cellStyle name="40% - Accent3 2 3 47 3" xfId="41458"/>
    <cellStyle name="40% - Accent3 2 3 48" xfId="14444"/>
    <cellStyle name="40% - Accent3 2 3 48 2" xfId="28080"/>
    <cellStyle name="40% - Accent3 2 3 48 2 2" xfId="55088"/>
    <cellStyle name="40% - Accent3 2 3 48 3" xfId="41584"/>
    <cellStyle name="40% - Accent3 2 3 49" xfId="14584"/>
    <cellStyle name="40% - Accent3 2 3 49 2" xfId="28206"/>
    <cellStyle name="40% - Accent3 2 3 49 2 2" xfId="55214"/>
    <cellStyle name="40% - Accent3 2 3 49 3" xfId="41710"/>
    <cellStyle name="40% - Accent3 2 3 5" xfId="8344"/>
    <cellStyle name="40% - Accent3 2 3 5 2" xfId="22582"/>
    <cellStyle name="40% - Accent3 2 3 5 2 2" xfId="49590"/>
    <cellStyle name="40% - Accent3 2 3 5 3" xfId="36086"/>
    <cellStyle name="40% - Accent3 2 3 50" xfId="14723"/>
    <cellStyle name="40% - Accent3 2 3 50 2" xfId="28331"/>
    <cellStyle name="40% - Accent3 2 3 50 2 2" xfId="55339"/>
    <cellStyle name="40% - Accent3 2 3 50 3" xfId="41835"/>
    <cellStyle name="40% - Accent3 2 3 51" xfId="14858"/>
    <cellStyle name="40% - Accent3 2 3 51 2" xfId="28453"/>
    <cellStyle name="40% - Accent3 2 3 51 2 2" xfId="55461"/>
    <cellStyle name="40% - Accent3 2 3 51 3" xfId="41957"/>
    <cellStyle name="40% - Accent3 2 3 52" xfId="14992"/>
    <cellStyle name="40% - Accent3 2 3 52 2" xfId="28574"/>
    <cellStyle name="40% - Accent3 2 3 52 2 2" xfId="55582"/>
    <cellStyle name="40% - Accent3 2 3 52 3" xfId="42078"/>
    <cellStyle name="40% - Accent3 2 3 53" xfId="15121"/>
    <cellStyle name="40% - Accent3 2 3 53 2" xfId="28691"/>
    <cellStyle name="40% - Accent3 2 3 53 2 2" xfId="55699"/>
    <cellStyle name="40% - Accent3 2 3 53 3" xfId="42195"/>
    <cellStyle name="40% - Accent3 2 3 54" xfId="15243"/>
    <cellStyle name="40% - Accent3 2 3 54 2" xfId="28805"/>
    <cellStyle name="40% - Accent3 2 3 54 2 2" xfId="55813"/>
    <cellStyle name="40% - Accent3 2 3 54 3" xfId="42309"/>
    <cellStyle name="40% - Accent3 2 3 55" xfId="15348"/>
    <cellStyle name="40% - Accent3 2 3 55 2" xfId="28908"/>
    <cellStyle name="40% - Accent3 2 3 55 2 2" xfId="55916"/>
    <cellStyle name="40% - Accent3 2 3 55 3" xfId="42412"/>
    <cellStyle name="40% - Accent3 2 3 56" xfId="15686"/>
    <cellStyle name="40% - Accent3 2 3 56 2" xfId="42694"/>
    <cellStyle name="40% - Accent3 2 3 57" xfId="29190"/>
    <cellStyle name="40% - Accent3 2 3 6" xfId="8486"/>
    <cellStyle name="40% - Accent3 2 3 6 2" xfId="22710"/>
    <cellStyle name="40% - Accent3 2 3 6 2 2" xfId="49718"/>
    <cellStyle name="40% - Accent3 2 3 6 3" xfId="36214"/>
    <cellStyle name="40% - Accent3 2 3 7" xfId="8628"/>
    <cellStyle name="40% - Accent3 2 3 7 2" xfId="22838"/>
    <cellStyle name="40% - Accent3 2 3 7 2 2" xfId="49846"/>
    <cellStyle name="40% - Accent3 2 3 7 3" xfId="36342"/>
    <cellStyle name="40% - Accent3 2 3 8" xfId="8770"/>
    <cellStyle name="40% - Accent3 2 3 8 2" xfId="22966"/>
    <cellStyle name="40% - Accent3 2 3 8 2 2" xfId="49974"/>
    <cellStyle name="40% - Accent3 2 3 8 3" xfId="36470"/>
    <cellStyle name="40% - Accent3 2 3 9" xfId="8912"/>
    <cellStyle name="40% - Accent3 2 3 9 2" xfId="23094"/>
    <cellStyle name="40% - Accent3 2 3 9 2 2" xfId="50102"/>
    <cellStyle name="40% - Accent3 2 3 9 3" xfId="36598"/>
    <cellStyle name="40% - Accent3 2 30" xfId="2495"/>
    <cellStyle name="40% - Accent3 2 30 2" xfId="17489"/>
    <cellStyle name="40% - Accent3 2 30 2 2" xfId="44497"/>
    <cellStyle name="40% - Accent3 2 30 3" xfId="30993"/>
    <cellStyle name="40% - Accent3 2 31" xfId="2601"/>
    <cellStyle name="40% - Accent3 2 31 2" xfId="17581"/>
    <cellStyle name="40% - Accent3 2 31 2 2" xfId="44589"/>
    <cellStyle name="40% - Accent3 2 31 3" xfId="31085"/>
    <cellStyle name="40% - Accent3 2 32" xfId="2707"/>
    <cellStyle name="40% - Accent3 2 32 2" xfId="17673"/>
    <cellStyle name="40% - Accent3 2 32 2 2" xfId="44681"/>
    <cellStyle name="40% - Accent3 2 32 3" xfId="31177"/>
    <cellStyle name="40% - Accent3 2 33" xfId="2813"/>
    <cellStyle name="40% - Accent3 2 33 2" xfId="17765"/>
    <cellStyle name="40% - Accent3 2 33 2 2" xfId="44773"/>
    <cellStyle name="40% - Accent3 2 33 3" xfId="31269"/>
    <cellStyle name="40% - Accent3 2 34" xfId="2919"/>
    <cellStyle name="40% - Accent3 2 34 2" xfId="17857"/>
    <cellStyle name="40% - Accent3 2 34 2 2" xfId="44865"/>
    <cellStyle name="40% - Accent3 2 34 3" xfId="31361"/>
    <cellStyle name="40% - Accent3 2 35" xfId="3025"/>
    <cellStyle name="40% - Accent3 2 35 2" xfId="17949"/>
    <cellStyle name="40% - Accent3 2 35 2 2" xfId="44957"/>
    <cellStyle name="40% - Accent3 2 35 3" xfId="31453"/>
    <cellStyle name="40% - Accent3 2 36" xfId="3131"/>
    <cellStyle name="40% - Accent3 2 36 2" xfId="18041"/>
    <cellStyle name="40% - Accent3 2 36 2 2" xfId="45049"/>
    <cellStyle name="40% - Accent3 2 36 3" xfId="31545"/>
    <cellStyle name="40% - Accent3 2 37" xfId="3237"/>
    <cellStyle name="40% - Accent3 2 37 2" xfId="18133"/>
    <cellStyle name="40% - Accent3 2 37 2 2" xfId="45141"/>
    <cellStyle name="40% - Accent3 2 37 3" xfId="31637"/>
    <cellStyle name="40% - Accent3 2 38" xfId="3343"/>
    <cellStyle name="40% - Accent3 2 38 2" xfId="18225"/>
    <cellStyle name="40% - Accent3 2 38 2 2" xfId="45233"/>
    <cellStyle name="40% - Accent3 2 38 3" xfId="31729"/>
    <cellStyle name="40% - Accent3 2 39" xfId="3449"/>
    <cellStyle name="40% - Accent3 2 39 2" xfId="18317"/>
    <cellStyle name="40% - Accent3 2 39 2 2" xfId="45325"/>
    <cellStyle name="40% - Accent3 2 39 3" xfId="31821"/>
    <cellStyle name="40% - Accent3 2 4" xfId="292"/>
    <cellStyle name="40% - Accent3 2 4 2" xfId="15594"/>
    <cellStyle name="40% - Accent3 2 4 2 2" xfId="42602"/>
    <cellStyle name="40% - Accent3 2 4 3" xfId="29098"/>
    <cellStyle name="40% - Accent3 2 40" xfId="3555"/>
    <cellStyle name="40% - Accent3 2 40 2" xfId="18409"/>
    <cellStyle name="40% - Accent3 2 40 2 2" xfId="45417"/>
    <cellStyle name="40% - Accent3 2 40 3" xfId="31913"/>
    <cellStyle name="40% - Accent3 2 41" xfId="3661"/>
    <cellStyle name="40% - Accent3 2 41 2" xfId="18501"/>
    <cellStyle name="40% - Accent3 2 41 2 2" xfId="45509"/>
    <cellStyle name="40% - Accent3 2 41 3" xfId="32005"/>
    <cellStyle name="40% - Accent3 2 42" xfId="3767"/>
    <cellStyle name="40% - Accent3 2 42 2" xfId="18593"/>
    <cellStyle name="40% - Accent3 2 42 2 2" xfId="45601"/>
    <cellStyle name="40% - Accent3 2 42 3" xfId="32097"/>
    <cellStyle name="40% - Accent3 2 43" xfId="3873"/>
    <cellStyle name="40% - Accent3 2 43 2" xfId="18685"/>
    <cellStyle name="40% - Accent3 2 43 2 2" xfId="45693"/>
    <cellStyle name="40% - Accent3 2 43 3" xfId="32189"/>
    <cellStyle name="40% - Accent3 2 44" xfId="3979"/>
    <cellStyle name="40% - Accent3 2 44 2" xfId="18777"/>
    <cellStyle name="40% - Accent3 2 44 2 2" xfId="45785"/>
    <cellStyle name="40% - Accent3 2 44 3" xfId="32281"/>
    <cellStyle name="40% - Accent3 2 45" xfId="4085"/>
    <cellStyle name="40% - Accent3 2 45 2" xfId="18869"/>
    <cellStyle name="40% - Accent3 2 45 2 2" xfId="45877"/>
    <cellStyle name="40% - Accent3 2 45 3" xfId="32373"/>
    <cellStyle name="40% - Accent3 2 46" xfId="4191"/>
    <cellStyle name="40% - Accent3 2 46 2" xfId="18961"/>
    <cellStyle name="40% - Accent3 2 46 2 2" xfId="45969"/>
    <cellStyle name="40% - Accent3 2 46 3" xfId="32465"/>
    <cellStyle name="40% - Accent3 2 47" xfId="4297"/>
    <cellStyle name="40% - Accent3 2 47 2" xfId="19053"/>
    <cellStyle name="40% - Accent3 2 47 2 2" xfId="46061"/>
    <cellStyle name="40% - Accent3 2 47 3" xfId="32557"/>
    <cellStyle name="40% - Accent3 2 48" xfId="4403"/>
    <cellStyle name="40% - Accent3 2 48 2" xfId="19145"/>
    <cellStyle name="40% - Accent3 2 48 2 2" xfId="46153"/>
    <cellStyle name="40% - Accent3 2 48 3" xfId="32649"/>
    <cellStyle name="40% - Accent3 2 49" xfId="4509"/>
    <cellStyle name="40% - Accent3 2 49 2" xfId="19237"/>
    <cellStyle name="40% - Accent3 2 49 2 2" xfId="46245"/>
    <cellStyle name="40% - Accent3 2 49 3" xfId="32741"/>
    <cellStyle name="40% - Accent3 2 5" xfId="434"/>
    <cellStyle name="40% - Accent3 2 5 2" xfId="15700"/>
    <cellStyle name="40% - Accent3 2 5 2 2" xfId="42708"/>
    <cellStyle name="40% - Accent3 2 5 3" xfId="29204"/>
    <cellStyle name="40% - Accent3 2 50" xfId="4615"/>
    <cellStyle name="40% - Accent3 2 50 2" xfId="19329"/>
    <cellStyle name="40% - Accent3 2 50 2 2" xfId="46337"/>
    <cellStyle name="40% - Accent3 2 50 3" xfId="32833"/>
    <cellStyle name="40% - Accent3 2 51" xfId="4721"/>
    <cellStyle name="40% - Accent3 2 51 2" xfId="19421"/>
    <cellStyle name="40% - Accent3 2 51 2 2" xfId="46429"/>
    <cellStyle name="40% - Accent3 2 51 3" xfId="32925"/>
    <cellStyle name="40% - Accent3 2 52" xfId="4827"/>
    <cellStyle name="40% - Accent3 2 52 2" xfId="19513"/>
    <cellStyle name="40% - Accent3 2 52 2 2" xfId="46521"/>
    <cellStyle name="40% - Accent3 2 52 3" xfId="33017"/>
    <cellStyle name="40% - Accent3 2 53" xfId="4933"/>
    <cellStyle name="40% - Accent3 2 53 2" xfId="19605"/>
    <cellStyle name="40% - Accent3 2 53 2 2" xfId="46613"/>
    <cellStyle name="40% - Accent3 2 53 3" xfId="33109"/>
    <cellStyle name="40% - Accent3 2 54" xfId="5039"/>
    <cellStyle name="40% - Accent3 2 54 2" xfId="19697"/>
    <cellStyle name="40% - Accent3 2 54 2 2" xfId="46705"/>
    <cellStyle name="40% - Accent3 2 54 3" xfId="33201"/>
    <cellStyle name="40% - Accent3 2 55" xfId="5145"/>
    <cellStyle name="40% - Accent3 2 55 2" xfId="19789"/>
    <cellStyle name="40% - Accent3 2 55 2 2" xfId="46797"/>
    <cellStyle name="40% - Accent3 2 55 3" xfId="33293"/>
    <cellStyle name="40% - Accent3 2 56" xfId="5251"/>
    <cellStyle name="40% - Accent3 2 56 2" xfId="19881"/>
    <cellStyle name="40% - Accent3 2 56 2 2" xfId="46889"/>
    <cellStyle name="40% - Accent3 2 56 3" xfId="33385"/>
    <cellStyle name="40% - Accent3 2 57" xfId="5357"/>
    <cellStyle name="40% - Accent3 2 57 2" xfId="19973"/>
    <cellStyle name="40% - Accent3 2 57 2 2" xfId="46981"/>
    <cellStyle name="40% - Accent3 2 57 3" xfId="33477"/>
    <cellStyle name="40% - Accent3 2 58" xfId="5463"/>
    <cellStyle name="40% - Accent3 2 58 2" xfId="20065"/>
    <cellStyle name="40% - Accent3 2 58 2 2" xfId="47073"/>
    <cellStyle name="40% - Accent3 2 58 3" xfId="33569"/>
    <cellStyle name="40% - Accent3 2 59" xfId="5569"/>
    <cellStyle name="40% - Accent3 2 59 2" xfId="20157"/>
    <cellStyle name="40% - Accent3 2 59 2 2" xfId="47165"/>
    <cellStyle name="40% - Accent3 2 59 3" xfId="33661"/>
    <cellStyle name="40% - Accent3 2 6" xfId="205"/>
    <cellStyle name="40% - Accent3 2 6 2" xfId="15552"/>
    <cellStyle name="40% - Accent3 2 6 2 2" xfId="42560"/>
    <cellStyle name="40% - Accent3 2 6 3" xfId="29056"/>
    <cellStyle name="40% - Accent3 2 60" xfId="5675"/>
    <cellStyle name="40% - Accent3 2 60 2" xfId="20249"/>
    <cellStyle name="40% - Accent3 2 60 2 2" xfId="47257"/>
    <cellStyle name="40% - Accent3 2 60 3" xfId="33753"/>
    <cellStyle name="40% - Accent3 2 61" xfId="5781"/>
    <cellStyle name="40% - Accent3 2 61 2" xfId="20341"/>
    <cellStyle name="40% - Accent3 2 61 2 2" xfId="47349"/>
    <cellStyle name="40% - Accent3 2 61 3" xfId="33845"/>
    <cellStyle name="40% - Accent3 2 62" xfId="5887"/>
    <cellStyle name="40% - Accent3 2 62 2" xfId="20433"/>
    <cellStyle name="40% - Accent3 2 62 2 2" xfId="47441"/>
    <cellStyle name="40% - Accent3 2 62 3" xfId="33937"/>
    <cellStyle name="40% - Accent3 2 63" xfId="5993"/>
    <cellStyle name="40% - Accent3 2 63 2" xfId="20525"/>
    <cellStyle name="40% - Accent3 2 63 2 2" xfId="47533"/>
    <cellStyle name="40% - Accent3 2 63 3" xfId="34029"/>
    <cellStyle name="40% - Accent3 2 64" xfId="6099"/>
    <cellStyle name="40% - Accent3 2 64 2" xfId="20617"/>
    <cellStyle name="40% - Accent3 2 64 2 2" xfId="47625"/>
    <cellStyle name="40% - Accent3 2 64 3" xfId="34121"/>
    <cellStyle name="40% - Accent3 2 65" xfId="6205"/>
    <cellStyle name="40% - Accent3 2 65 2" xfId="20709"/>
    <cellStyle name="40% - Accent3 2 65 2 2" xfId="47717"/>
    <cellStyle name="40% - Accent3 2 65 3" xfId="34213"/>
    <cellStyle name="40% - Accent3 2 66" xfId="6311"/>
    <cellStyle name="40% - Accent3 2 66 2" xfId="20801"/>
    <cellStyle name="40% - Accent3 2 66 2 2" xfId="47809"/>
    <cellStyle name="40% - Accent3 2 66 3" xfId="34305"/>
    <cellStyle name="40% - Accent3 2 67" xfId="6417"/>
    <cellStyle name="40% - Accent3 2 67 2" xfId="20893"/>
    <cellStyle name="40% - Accent3 2 67 2 2" xfId="47901"/>
    <cellStyle name="40% - Accent3 2 67 3" xfId="34397"/>
    <cellStyle name="40% - Accent3 2 68" xfId="6523"/>
    <cellStyle name="40% - Accent3 2 68 2" xfId="20985"/>
    <cellStyle name="40% - Accent3 2 68 2 2" xfId="47993"/>
    <cellStyle name="40% - Accent3 2 68 3" xfId="34489"/>
    <cellStyle name="40% - Accent3 2 69" xfId="6628"/>
    <cellStyle name="40% - Accent3 2 69 2" xfId="21076"/>
    <cellStyle name="40% - Accent3 2 69 2 2" xfId="48084"/>
    <cellStyle name="40% - Accent3 2 69 3" xfId="34580"/>
    <cellStyle name="40% - Accent3 2 7" xfId="452"/>
    <cellStyle name="40% - Accent3 2 7 2" xfId="15716"/>
    <cellStyle name="40% - Accent3 2 7 2 2" xfId="42724"/>
    <cellStyle name="40% - Accent3 2 7 3" xfId="29220"/>
    <cellStyle name="40% - Accent3 2 70" xfId="6733"/>
    <cellStyle name="40% - Accent3 2 70 2" xfId="21167"/>
    <cellStyle name="40% - Accent3 2 70 2 2" xfId="48175"/>
    <cellStyle name="40% - Accent3 2 70 3" xfId="34671"/>
    <cellStyle name="40% - Accent3 2 71" xfId="6838"/>
    <cellStyle name="40% - Accent3 2 71 2" xfId="21258"/>
    <cellStyle name="40% - Accent3 2 71 2 2" xfId="48266"/>
    <cellStyle name="40% - Accent3 2 71 3" xfId="34762"/>
    <cellStyle name="40% - Accent3 2 72" xfId="6943"/>
    <cellStyle name="40% - Accent3 2 72 2" xfId="21349"/>
    <cellStyle name="40% - Accent3 2 72 2 2" xfId="48357"/>
    <cellStyle name="40% - Accent3 2 72 3" xfId="34853"/>
    <cellStyle name="40% - Accent3 2 73" xfId="7728"/>
    <cellStyle name="40% - Accent3 2 73 2" xfId="22030"/>
    <cellStyle name="40% - Accent3 2 73 2 2" xfId="49038"/>
    <cellStyle name="40% - Accent3 2 73 3" xfId="35534"/>
    <cellStyle name="40% - Accent3 2 74" xfId="7745"/>
    <cellStyle name="40% - Accent3 2 74 2" xfId="22045"/>
    <cellStyle name="40% - Accent3 2 74 2 2" xfId="49053"/>
    <cellStyle name="40% - Accent3 2 74 3" xfId="35549"/>
    <cellStyle name="40% - Accent3 2 75" xfId="7696"/>
    <cellStyle name="40% - Accent3 2 75 2" xfId="22009"/>
    <cellStyle name="40% - Accent3 2 75 2 2" xfId="49017"/>
    <cellStyle name="40% - Accent3 2 75 3" xfId="35513"/>
    <cellStyle name="40% - Accent3 2 76" xfId="7763"/>
    <cellStyle name="40% - Accent3 2 76 2" xfId="22061"/>
    <cellStyle name="40% - Accent3 2 76 2 2" xfId="49069"/>
    <cellStyle name="40% - Accent3 2 76 3" xfId="35565"/>
    <cellStyle name="40% - Accent3 2 77" xfId="7734"/>
    <cellStyle name="40% - Accent3 2 77 2" xfId="22036"/>
    <cellStyle name="40% - Accent3 2 77 2 2" xfId="49044"/>
    <cellStyle name="40% - Accent3 2 77 3" xfId="35540"/>
    <cellStyle name="40% - Accent3 2 78" xfId="7753"/>
    <cellStyle name="40% - Accent3 2 78 2" xfId="22051"/>
    <cellStyle name="40% - Accent3 2 78 2 2" xfId="49059"/>
    <cellStyle name="40% - Accent3 2 78 3" xfId="35555"/>
    <cellStyle name="40% - Accent3 2 79" xfId="7691"/>
    <cellStyle name="40% - Accent3 2 79 2" xfId="22007"/>
    <cellStyle name="40% - Accent3 2 79 2 2" xfId="49015"/>
    <cellStyle name="40% - Accent3 2 79 3" xfId="35511"/>
    <cellStyle name="40% - Accent3 2 8" xfId="291"/>
    <cellStyle name="40% - Accent3 2 8 2" xfId="15593"/>
    <cellStyle name="40% - Accent3 2 8 2 2" xfId="42601"/>
    <cellStyle name="40% - Accent3 2 8 3" xfId="29097"/>
    <cellStyle name="40% - Accent3 2 80" xfId="7762"/>
    <cellStyle name="40% - Accent3 2 80 2" xfId="22060"/>
    <cellStyle name="40% - Accent3 2 80 2 2" xfId="49068"/>
    <cellStyle name="40% - Accent3 2 80 3" xfId="35564"/>
    <cellStyle name="40% - Accent3 2 81" xfId="7902"/>
    <cellStyle name="40% - Accent3 2 81 2" xfId="22183"/>
    <cellStyle name="40% - Accent3 2 81 2 2" xfId="49191"/>
    <cellStyle name="40% - Accent3 2 81 3" xfId="35687"/>
    <cellStyle name="40% - Accent3 2 82" xfId="8044"/>
    <cellStyle name="40% - Accent3 2 82 2" xfId="22311"/>
    <cellStyle name="40% - Accent3 2 82 2 2" xfId="49319"/>
    <cellStyle name="40% - Accent3 2 82 3" xfId="35815"/>
    <cellStyle name="40% - Accent3 2 83" xfId="8186"/>
    <cellStyle name="40% - Accent3 2 83 2" xfId="22439"/>
    <cellStyle name="40% - Accent3 2 83 2 2" xfId="49447"/>
    <cellStyle name="40% - Accent3 2 83 3" xfId="35943"/>
    <cellStyle name="40% - Accent3 2 84" xfId="8328"/>
    <cellStyle name="40% - Accent3 2 84 2" xfId="22567"/>
    <cellStyle name="40% - Accent3 2 84 2 2" xfId="49575"/>
    <cellStyle name="40% - Accent3 2 84 3" xfId="36071"/>
    <cellStyle name="40% - Accent3 2 85" xfId="8470"/>
    <cellStyle name="40% - Accent3 2 85 2" xfId="22695"/>
    <cellStyle name="40% - Accent3 2 85 2 2" xfId="49703"/>
    <cellStyle name="40% - Accent3 2 85 3" xfId="36199"/>
    <cellStyle name="40% - Accent3 2 86" xfId="8612"/>
    <cellStyle name="40% - Accent3 2 86 2" xfId="22823"/>
    <cellStyle name="40% - Accent3 2 86 2 2" xfId="49831"/>
    <cellStyle name="40% - Accent3 2 86 3" xfId="36327"/>
    <cellStyle name="40% - Accent3 2 87" xfId="8754"/>
    <cellStyle name="40% - Accent3 2 87 2" xfId="22951"/>
    <cellStyle name="40% - Accent3 2 87 2 2" xfId="49959"/>
    <cellStyle name="40% - Accent3 2 87 3" xfId="36455"/>
    <cellStyle name="40% - Accent3 2 88" xfId="8896"/>
    <cellStyle name="40% - Accent3 2 88 2" xfId="23079"/>
    <cellStyle name="40% - Accent3 2 88 2 2" xfId="50087"/>
    <cellStyle name="40% - Accent3 2 88 3" xfId="36583"/>
    <cellStyle name="40% - Accent3 2 89" xfId="9038"/>
    <cellStyle name="40% - Accent3 2 89 2" xfId="23207"/>
    <cellStyle name="40% - Accent3 2 89 2 2" xfId="50215"/>
    <cellStyle name="40% - Accent3 2 89 3" xfId="36711"/>
    <cellStyle name="40% - Accent3 2 9" xfId="442"/>
    <cellStyle name="40% - Accent3 2 9 2" xfId="15706"/>
    <cellStyle name="40% - Accent3 2 9 2 2" xfId="42714"/>
    <cellStyle name="40% - Accent3 2 9 3" xfId="29210"/>
    <cellStyle name="40% - Accent3 2 90" xfId="9180"/>
    <cellStyle name="40% - Accent3 2 90 2" xfId="23335"/>
    <cellStyle name="40% - Accent3 2 90 2 2" xfId="50343"/>
    <cellStyle name="40% - Accent3 2 90 3" xfId="36839"/>
    <cellStyle name="40% - Accent3 2 91" xfId="9322"/>
    <cellStyle name="40% - Accent3 2 91 2" xfId="23463"/>
    <cellStyle name="40% - Accent3 2 91 2 2" xfId="50471"/>
    <cellStyle name="40% - Accent3 2 91 3" xfId="36967"/>
    <cellStyle name="40% - Accent3 2 92" xfId="9464"/>
    <cellStyle name="40% - Accent3 2 92 2" xfId="23591"/>
    <cellStyle name="40% - Accent3 2 92 2 2" xfId="50599"/>
    <cellStyle name="40% - Accent3 2 92 3" xfId="37095"/>
    <cellStyle name="40% - Accent3 2 93" xfId="9606"/>
    <cellStyle name="40% - Accent3 2 93 2" xfId="23719"/>
    <cellStyle name="40% - Accent3 2 93 2 2" xfId="50727"/>
    <cellStyle name="40% - Accent3 2 93 3" xfId="37223"/>
    <cellStyle name="40% - Accent3 2 94" xfId="9748"/>
    <cellStyle name="40% - Accent3 2 94 2" xfId="23847"/>
    <cellStyle name="40% - Accent3 2 94 2 2" xfId="50855"/>
    <cellStyle name="40% - Accent3 2 94 3" xfId="37351"/>
    <cellStyle name="40% - Accent3 2 95" xfId="9890"/>
    <cellStyle name="40% - Accent3 2 95 2" xfId="23975"/>
    <cellStyle name="40% - Accent3 2 95 2 2" xfId="50983"/>
    <cellStyle name="40% - Accent3 2 95 3" xfId="37479"/>
    <cellStyle name="40% - Accent3 2 96" xfId="10032"/>
    <cellStyle name="40% - Accent3 2 96 2" xfId="24103"/>
    <cellStyle name="40% - Accent3 2 96 2 2" xfId="51111"/>
    <cellStyle name="40% - Accent3 2 96 3" xfId="37607"/>
    <cellStyle name="40% - Accent3 2 97" xfId="10174"/>
    <cellStyle name="40% - Accent3 2 97 2" xfId="24231"/>
    <cellStyle name="40% - Accent3 2 97 2 2" xfId="51239"/>
    <cellStyle name="40% - Accent3 2 97 3" xfId="37735"/>
    <cellStyle name="40% - Accent3 2 98" xfId="10316"/>
    <cellStyle name="40% - Accent3 2 98 2" xfId="24359"/>
    <cellStyle name="40% - Accent3 2 98 2 2" xfId="51367"/>
    <cellStyle name="40% - Accent3 2 98 3" xfId="37863"/>
    <cellStyle name="40% - Accent3 2 99" xfId="10458"/>
    <cellStyle name="40% - Accent3 2 99 2" xfId="24487"/>
    <cellStyle name="40% - Accent3 2 99 2 2" xfId="51495"/>
    <cellStyle name="40% - Accent3 2 99 3" xfId="37991"/>
    <cellStyle name="40% - Accent3 3" xfId="96"/>
    <cellStyle name="40% - Accent3 3 10" xfId="1222"/>
    <cellStyle name="40% - Accent3 3 10 2" xfId="16384"/>
    <cellStyle name="40% - Accent3 3 10 2 2" xfId="43392"/>
    <cellStyle name="40% - Accent3 3 10 3" xfId="29888"/>
    <cellStyle name="40% - Accent3 3 100" xfId="11735"/>
    <cellStyle name="40% - Accent3 3 100 2" xfId="25638"/>
    <cellStyle name="40% - Accent3 3 100 2 2" xfId="52646"/>
    <cellStyle name="40% - Accent3 3 100 3" xfId="39142"/>
    <cellStyle name="40% - Accent3 3 101" xfId="11877"/>
    <cellStyle name="40% - Accent3 3 101 2" xfId="25766"/>
    <cellStyle name="40% - Accent3 3 101 2 2" xfId="52774"/>
    <cellStyle name="40% - Accent3 3 101 3" xfId="39270"/>
    <cellStyle name="40% - Accent3 3 102" xfId="12019"/>
    <cellStyle name="40% - Accent3 3 102 2" xfId="25894"/>
    <cellStyle name="40% - Accent3 3 102 2 2" xfId="52902"/>
    <cellStyle name="40% - Accent3 3 102 3" xfId="39398"/>
    <cellStyle name="40% - Accent3 3 103" xfId="12161"/>
    <cellStyle name="40% - Accent3 3 103 2" xfId="26022"/>
    <cellStyle name="40% - Accent3 3 103 2 2" xfId="53030"/>
    <cellStyle name="40% - Accent3 3 103 3" xfId="39526"/>
    <cellStyle name="40% - Accent3 3 104" xfId="12303"/>
    <cellStyle name="40% - Accent3 3 104 2" xfId="26150"/>
    <cellStyle name="40% - Accent3 3 104 2 2" xfId="53158"/>
    <cellStyle name="40% - Accent3 3 104 3" xfId="39654"/>
    <cellStyle name="40% - Accent3 3 105" xfId="12445"/>
    <cellStyle name="40% - Accent3 3 105 2" xfId="26278"/>
    <cellStyle name="40% - Accent3 3 105 2 2" xfId="53286"/>
    <cellStyle name="40% - Accent3 3 105 3" xfId="39782"/>
    <cellStyle name="40% - Accent3 3 106" xfId="12587"/>
    <cellStyle name="40% - Accent3 3 106 2" xfId="26406"/>
    <cellStyle name="40% - Accent3 3 106 2 2" xfId="53414"/>
    <cellStyle name="40% - Accent3 3 106 3" xfId="39910"/>
    <cellStyle name="40% - Accent3 3 107" xfId="12729"/>
    <cellStyle name="40% - Accent3 3 107 2" xfId="26534"/>
    <cellStyle name="40% - Accent3 3 107 2 2" xfId="53542"/>
    <cellStyle name="40% - Accent3 3 107 3" xfId="40038"/>
    <cellStyle name="40% - Accent3 3 108" xfId="12871"/>
    <cellStyle name="40% - Accent3 3 108 2" xfId="26662"/>
    <cellStyle name="40% - Accent3 3 108 2 2" xfId="53670"/>
    <cellStyle name="40% - Accent3 3 108 3" xfId="40166"/>
    <cellStyle name="40% - Accent3 3 109" xfId="13013"/>
    <cellStyle name="40% - Accent3 3 109 2" xfId="26790"/>
    <cellStyle name="40% - Accent3 3 109 2 2" xfId="53798"/>
    <cellStyle name="40% - Accent3 3 109 3" xfId="40294"/>
    <cellStyle name="40% - Accent3 3 11" xfId="1328"/>
    <cellStyle name="40% - Accent3 3 11 2" xfId="16476"/>
    <cellStyle name="40% - Accent3 3 11 2 2" xfId="43484"/>
    <cellStyle name="40% - Accent3 3 11 3" xfId="29980"/>
    <cellStyle name="40% - Accent3 3 110" xfId="13155"/>
    <cellStyle name="40% - Accent3 3 110 2" xfId="26918"/>
    <cellStyle name="40% - Accent3 3 110 2 2" xfId="53926"/>
    <cellStyle name="40% - Accent3 3 110 3" xfId="40422"/>
    <cellStyle name="40% - Accent3 3 111" xfId="13297"/>
    <cellStyle name="40% - Accent3 3 111 2" xfId="27046"/>
    <cellStyle name="40% - Accent3 3 111 2 2" xfId="54054"/>
    <cellStyle name="40% - Accent3 3 111 3" xfId="40550"/>
    <cellStyle name="40% - Accent3 3 112" xfId="13439"/>
    <cellStyle name="40% - Accent3 3 112 2" xfId="27174"/>
    <cellStyle name="40% - Accent3 3 112 2 2" xfId="54182"/>
    <cellStyle name="40% - Accent3 3 112 3" xfId="40678"/>
    <cellStyle name="40% - Accent3 3 113" xfId="13581"/>
    <cellStyle name="40% - Accent3 3 113 2" xfId="27302"/>
    <cellStyle name="40% - Accent3 3 113 2 2" xfId="54310"/>
    <cellStyle name="40% - Accent3 3 113 3" xfId="40806"/>
    <cellStyle name="40% - Accent3 3 114" xfId="13723"/>
    <cellStyle name="40% - Accent3 3 114 2" xfId="27430"/>
    <cellStyle name="40% - Accent3 3 114 2 2" xfId="54438"/>
    <cellStyle name="40% - Accent3 3 114 3" xfId="40934"/>
    <cellStyle name="40% - Accent3 3 115" xfId="13864"/>
    <cellStyle name="40% - Accent3 3 115 2" xfId="27557"/>
    <cellStyle name="40% - Accent3 3 115 2 2" xfId="54565"/>
    <cellStyle name="40% - Accent3 3 115 3" xfId="41061"/>
    <cellStyle name="40% - Accent3 3 116" xfId="14005"/>
    <cellStyle name="40% - Accent3 3 116 2" xfId="27684"/>
    <cellStyle name="40% - Accent3 3 116 2 2" xfId="54692"/>
    <cellStyle name="40% - Accent3 3 116 3" xfId="41188"/>
    <cellStyle name="40% - Accent3 3 117" xfId="14146"/>
    <cellStyle name="40% - Accent3 3 117 2" xfId="27811"/>
    <cellStyle name="40% - Accent3 3 117 2 2" xfId="54819"/>
    <cellStyle name="40% - Accent3 3 117 3" xfId="41315"/>
    <cellStyle name="40% - Accent3 3 118" xfId="14287"/>
    <cellStyle name="40% - Accent3 3 118 2" xfId="27938"/>
    <cellStyle name="40% - Accent3 3 118 2 2" xfId="54946"/>
    <cellStyle name="40% - Accent3 3 118 3" xfId="41442"/>
    <cellStyle name="40% - Accent3 3 119" xfId="14428"/>
    <cellStyle name="40% - Accent3 3 119 2" xfId="28065"/>
    <cellStyle name="40% - Accent3 3 119 2 2" xfId="55073"/>
    <cellStyle name="40% - Accent3 3 119 3" xfId="41569"/>
    <cellStyle name="40% - Accent3 3 12" xfId="1434"/>
    <cellStyle name="40% - Accent3 3 12 2" xfId="16568"/>
    <cellStyle name="40% - Accent3 3 12 2 2" xfId="43576"/>
    <cellStyle name="40% - Accent3 3 12 3" xfId="30072"/>
    <cellStyle name="40% - Accent3 3 120" xfId="14568"/>
    <cellStyle name="40% - Accent3 3 120 2" xfId="28191"/>
    <cellStyle name="40% - Accent3 3 120 2 2" xfId="55199"/>
    <cellStyle name="40% - Accent3 3 120 3" xfId="41695"/>
    <cellStyle name="40% - Accent3 3 121" xfId="14707"/>
    <cellStyle name="40% - Accent3 3 121 2" xfId="28316"/>
    <cellStyle name="40% - Accent3 3 121 2 2" xfId="55324"/>
    <cellStyle name="40% - Accent3 3 121 3" xfId="41820"/>
    <cellStyle name="40% - Accent3 3 122" xfId="14842"/>
    <cellStyle name="40% - Accent3 3 122 2" xfId="28438"/>
    <cellStyle name="40% - Accent3 3 122 2 2" xfId="55446"/>
    <cellStyle name="40% - Accent3 3 122 3" xfId="41942"/>
    <cellStyle name="40% - Accent3 3 123" xfId="14976"/>
    <cellStyle name="40% - Accent3 3 123 2" xfId="28559"/>
    <cellStyle name="40% - Accent3 3 123 2 2" xfId="55567"/>
    <cellStyle name="40% - Accent3 3 123 3" xfId="42063"/>
    <cellStyle name="40% - Accent3 3 124" xfId="15107"/>
    <cellStyle name="40% - Accent3 3 124 2" xfId="28678"/>
    <cellStyle name="40% - Accent3 3 124 2 2" xfId="55686"/>
    <cellStyle name="40% - Accent3 3 124 3" xfId="42182"/>
    <cellStyle name="40% - Accent3 3 125" xfId="15230"/>
    <cellStyle name="40% - Accent3 3 125 2" xfId="28793"/>
    <cellStyle name="40% - Accent3 3 125 2 2" xfId="55801"/>
    <cellStyle name="40% - Accent3 3 125 3" xfId="42297"/>
    <cellStyle name="40% - Accent3 3 126" xfId="15464"/>
    <cellStyle name="40% - Accent3 3 126 2" xfId="42472"/>
    <cellStyle name="40% - Accent3 3 127" xfId="28968"/>
    <cellStyle name="40% - Accent3 3 13" xfId="1540"/>
    <cellStyle name="40% - Accent3 3 13 2" xfId="16660"/>
    <cellStyle name="40% - Accent3 3 13 2 2" xfId="43668"/>
    <cellStyle name="40% - Accent3 3 13 3" xfId="30164"/>
    <cellStyle name="40% - Accent3 3 14" xfId="1646"/>
    <cellStyle name="40% - Accent3 3 14 2" xfId="16752"/>
    <cellStyle name="40% - Accent3 3 14 2 2" xfId="43760"/>
    <cellStyle name="40% - Accent3 3 14 3" xfId="30256"/>
    <cellStyle name="40% - Accent3 3 15" xfId="1752"/>
    <cellStyle name="40% - Accent3 3 15 2" xfId="16844"/>
    <cellStyle name="40% - Accent3 3 15 2 2" xfId="43852"/>
    <cellStyle name="40% - Accent3 3 15 3" xfId="30348"/>
    <cellStyle name="40% - Accent3 3 16" xfId="1858"/>
    <cellStyle name="40% - Accent3 3 16 2" xfId="16936"/>
    <cellStyle name="40% - Accent3 3 16 2 2" xfId="43944"/>
    <cellStyle name="40% - Accent3 3 16 3" xfId="30440"/>
    <cellStyle name="40% - Accent3 3 17" xfId="1964"/>
    <cellStyle name="40% - Accent3 3 17 2" xfId="17028"/>
    <cellStyle name="40% - Accent3 3 17 2 2" xfId="44036"/>
    <cellStyle name="40% - Accent3 3 17 3" xfId="30532"/>
    <cellStyle name="40% - Accent3 3 18" xfId="2070"/>
    <cellStyle name="40% - Accent3 3 18 2" xfId="17120"/>
    <cellStyle name="40% - Accent3 3 18 2 2" xfId="44128"/>
    <cellStyle name="40% - Accent3 3 18 3" xfId="30624"/>
    <cellStyle name="40% - Accent3 3 19" xfId="2176"/>
    <cellStyle name="40% - Accent3 3 19 2" xfId="17212"/>
    <cellStyle name="40% - Accent3 3 19 2 2" xfId="44220"/>
    <cellStyle name="40% - Accent3 3 19 3" xfId="30716"/>
    <cellStyle name="40% - Accent3 3 2" xfId="275"/>
    <cellStyle name="40% - Accent3 3 2 2" xfId="15584"/>
    <cellStyle name="40% - Accent3 3 2 2 2" xfId="42592"/>
    <cellStyle name="40% - Accent3 3 2 3" xfId="29088"/>
    <cellStyle name="40% - Accent3 3 20" xfId="2282"/>
    <cellStyle name="40% - Accent3 3 20 2" xfId="17304"/>
    <cellStyle name="40% - Accent3 3 20 2 2" xfId="44312"/>
    <cellStyle name="40% - Accent3 3 20 3" xfId="30808"/>
    <cellStyle name="40% - Accent3 3 21" xfId="2388"/>
    <cellStyle name="40% - Accent3 3 21 2" xfId="17396"/>
    <cellStyle name="40% - Accent3 3 21 2 2" xfId="44404"/>
    <cellStyle name="40% - Accent3 3 21 3" xfId="30900"/>
    <cellStyle name="40% - Accent3 3 22" xfId="2494"/>
    <cellStyle name="40% - Accent3 3 22 2" xfId="17488"/>
    <cellStyle name="40% - Accent3 3 22 2 2" xfId="44496"/>
    <cellStyle name="40% - Accent3 3 22 3" xfId="30992"/>
    <cellStyle name="40% - Accent3 3 23" xfId="2600"/>
    <cellStyle name="40% - Accent3 3 23 2" xfId="17580"/>
    <cellStyle name="40% - Accent3 3 23 2 2" xfId="44588"/>
    <cellStyle name="40% - Accent3 3 23 3" xfId="31084"/>
    <cellStyle name="40% - Accent3 3 24" xfId="2706"/>
    <cellStyle name="40% - Accent3 3 24 2" xfId="17672"/>
    <cellStyle name="40% - Accent3 3 24 2 2" xfId="44680"/>
    <cellStyle name="40% - Accent3 3 24 3" xfId="31176"/>
    <cellStyle name="40% - Accent3 3 25" xfId="2812"/>
    <cellStyle name="40% - Accent3 3 25 2" xfId="17764"/>
    <cellStyle name="40% - Accent3 3 25 2 2" xfId="44772"/>
    <cellStyle name="40% - Accent3 3 25 3" xfId="31268"/>
    <cellStyle name="40% - Accent3 3 26" xfId="2918"/>
    <cellStyle name="40% - Accent3 3 26 2" xfId="17856"/>
    <cellStyle name="40% - Accent3 3 26 2 2" xfId="44864"/>
    <cellStyle name="40% - Accent3 3 26 3" xfId="31360"/>
    <cellStyle name="40% - Accent3 3 27" xfId="3024"/>
    <cellStyle name="40% - Accent3 3 27 2" xfId="17948"/>
    <cellStyle name="40% - Accent3 3 27 2 2" xfId="44956"/>
    <cellStyle name="40% - Accent3 3 27 3" xfId="31452"/>
    <cellStyle name="40% - Accent3 3 28" xfId="3130"/>
    <cellStyle name="40% - Accent3 3 28 2" xfId="18040"/>
    <cellStyle name="40% - Accent3 3 28 2 2" xfId="45048"/>
    <cellStyle name="40% - Accent3 3 28 3" xfId="31544"/>
    <cellStyle name="40% - Accent3 3 29" xfId="3236"/>
    <cellStyle name="40% - Accent3 3 29 2" xfId="18132"/>
    <cellStyle name="40% - Accent3 3 29 2 2" xfId="45140"/>
    <cellStyle name="40% - Accent3 3 29 3" xfId="31636"/>
    <cellStyle name="40% - Accent3 3 3" xfId="465"/>
    <cellStyle name="40% - Accent3 3 3 2" xfId="15726"/>
    <cellStyle name="40% - Accent3 3 3 2 2" xfId="42734"/>
    <cellStyle name="40% - Accent3 3 3 3" xfId="29230"/>
    <cellStyle name="40% - Accent3 3 30" xfId="3342"/>
    <cellStyle name="40% - Accent3 3 30 2" xfId="18224"/>
    <cellStyle name="40% - Accent3 3 30 2 2" xfId="45232"/>
    <cellStyle name="40% - Accent3 3 30 3" xfId="31728"/>
    <cellStyle name="40% - Accent3 3 31" xfId="3448"/>
    <cellStyle name="40% - Accent3 3 31 2" xfId="18316"/>
    <cellStyle name="40% - Accent3 3 31 2 2" xfId="45324"/>
    <cellStyle name="40% - Accent3 3 31 3" xfId="31820"/>
    <cellStyle name="40% - Accent3 3 32" xfId="3554"/>
    <cellStyle name="40% - Accent3 3 32 2" xfId="18408"/>
    <cellStyle name="40% - Accent3 3 32 2 2" xfId="45416"/>
    <cellStyle name="40% - Accent3 3 32 3" xfId="31912"/>
    <cellStyle name="40% - Accent3 3 33" xfId="3660"/>
    <cellStyle name="40% - Accent3 3 33 2" xfId="18500"/>
    <cellStyle name="40% - Accent3 3 33 2 2" xfId="45508"/>
    <cellStyle name="40% - Accent3 3 33 3" xfId="32004"/>
    <cellStyle name="40% - Accent3 3 34" xfId="3766"/>
    <cellStyle name="40% - Accent3 3 34 2" xfId="18592"/>
    <cellStyle name="40% - Accent3 3 34 2 2" xfId="45600"/>
    <cellStyle name="40% - Accent3 3 34 3" xfId="32096"/>
    <cellStyle name="40% - Accent3 3 35" xfId="3872"/>
    <cellStyle name="40% - Accent3 3 35 2" xfId="18684"/>
    <cellStyle name="40% - Accent3 3 35 2 2" xfId="45692"/>
    <cellStyle name="40% - Accent3 3 35 3" xfId="32188"/>
    <cellStyle name="40% - Accent3 3 36" xfId="3978"/>
    <cellStyle name="40% - Accent3 3 36 2" xfId="18776"/>
    <cellStyle name="40% - Accent3 3 36 2 2" xfId="45784"/>
    <cellStyle name="40% - Accent3 3 36 3" xfId="32280"/>
    <cellStyle name="40% - Accent3 3 37" xfId="4084"/>
    <cellStyle name="40% - Accent3 3 37 2" xfId="18868"/>
    <cellStyle name="40% - Accent3 3 37 2 2" xfId="45876"/>
    <cellStyle name="40% - Accent3 3 37 3" xfId="32372"/>
    <cellStyle name="40% - Accent3 3 38" xfId="4190"/>
    <cellStyle name="40% - Accent3 3 38 2" xfId="18960"/>
    <cellStyle name="40% - Accent3 3 38 2 2" xfId="45968"/>
    <cellStyle name="40% - Accent3 3 38 3" xfId="32464"/>
    <cellStyle name="40% - Accent3 3 39" xfId="4296"/>
    <cellStyle name="40% - Accent3 3 39 2" xfId="19052"/>
    <cellStyle name="40% - Accent3 3 39 2 2" xfId="46060"/>
    <cellStyle name="40% - Accent3 3 39 3" xfId="32556"/>
    <cellStyle name="40% - Accent3 3 4" xfId="586"/>
    <cellStyle name="40% - Accent3 3 4 2" xfId="15832"/>
    <cellStyle name="40% - Accent3 3 4 2 2" xfId="42840"/>
    <cellStyle name="40% - Accent3 3 4 3" xfId="29336"/>
    <cellStyle name="40% - Accent3 3 40" xfId="4402"/>
    <cellStyle name="40% - Accent3 3 40 2" xfId="19144"/>
    <cellStyle name="40% - Accent3 3 40 2 2" xfId="46152"/>
    <cellStyle name="40% - Accent3 3 40 3" xfId="32648"/>
    <cellStyle name="40% - Accent3 3 41" xfId="4508"/>
    <cellStyle name="40% - Accent3 3 41 2" xfId="19236"/>
    <cellStyle name="40% - Accent3 3 41 2 2" xfId="46244"/>
    <cellStyle name="40% - Accent3 3 41 3" xfId="32740"/>
    <cellStyle name="40% - Accent3 3 42" xfId="4614"/>
    <cellStyle name="40% - Accent3 3 42 2" xfId="19328"/>
    <cellStyle name="40% - Accent3 3 42 2 2" xfId="46336"/>
    <cellStyle name="40% - Accent3 3 42 3" xfId="32832"/>
    <cellStyle name="40% - Accent3 3 43" xfId="4720"/>
    <cellStyle name="40% - Accent3 3 43 2" xfId="19420"/>
    <cellStyle name="40% - Accent3 3 43 2 2" xfId="46428"/>
    <cellStyle name="40% - Accent3 3 43 3" xfId="32924"/>
    <cellStyle name="40% - Accent3 3 44" xfId="4826"/>
    <cellStyle name="40% - Accent3 3 44 2" xfId="19512"/>
    <cellStyle name="40% - Accent3 3 44 2 2" xfId="46520"/>
    <cellStyle name="40% - Accent3 3 44 3" xfId="33016"/>
    <cellStyle name="40% - Accent3 3 45" xfId="4932"/>
    <cellStyle name="40% - Accent3 3 45 2" xfId="19604"/>
    <cellStyle name="40% - Accent3 3 45 2 2" xfId="46612"/>
    <cellStyle name="40% - Accent3 3 45 3" xfId="33108"/>
    <cellStyle name="40% - Accent3 3 46" xfId="5038"/>
    <cellStyle name="40% - Accent3 3 46 2" xfId="19696"/>
    <cellStyle name="40% - Accent3 3 46 2 2" xfId="46704"/>
    <cellStyle name="40% - Accent3 3 46 3" xfId="33200"/>
    <cellStyle name="40% - Accent3 3 47" xfId="5144"/>
    <cellStyle name="40% - Accent3 3 47 2" xfId="19788"/>
    <cellStyle name="40% - Accent3 3 47 2 2" xfId="46796"/>
    <cellStyle name="40% - Accent3 3 47 3" xfId="33292"/>
    <cellStyle name="40% - Accent3 3 48" xfId="5250"/>
    <cellStyle name="40% - Accent3 3 48 2" xfId="19880"/>
    <cellStyle name="40% - Accent3 3 48 2 2" xfId="46888"/>
    <cellStyle name="40% - Accent3 3 48 3" xfId="33384"/>
    <cellStyle name="40% - Accent3 3 49" xfId="5356"/>
    <cellStyle name="40% - Accent3 3 49 2" xfId="19972"/>
    <cellStyle name="40% - Accent3 3 49 2 2" xfId="46980"/>
    <cellStyle name="40% - Accent3 3 49 3" xfId="33476"/>
    <cellStyle name="40% - Accent3 3 5" xfId="692"/>
    <cellStyle name="40% - Accent3 3 5 2" xfId="15924"/>
    <cellStyle name="40% - Accent3 3 5 2 2" xfId="42932"/>
    <cellStyle name="40% - Accent3 3 5 3" xfId="29428"/>
    <cellStyle name="40% - Accent3 3 50" xfId="5462"/>
    <cellStyle name="40% - Accent3 3 50 2" xfId="20064"/>
    <cellStyle name="40% - Accent3 3 50 2 2" xfId="47072"/>
    <cellStyle name="40% - Accent3 3 50 3" xfId="33568"/>
    <cellStyle name="40% - Accent3 3 51" xfId="5568"/>
    <cellStyle name="40% - Accent3 3 51 2" xfId="20156"/>
    <cellStyle name="40% - Accent3 3 51 2 2" xfId="47164"/>
    <cellStyle name="40% - Accent3 3 51 3" xfId="33660"/>
    <cellStyle name="40% - Accent3 3 52" xfId="5674"/>
    <cellStyle name="40% - Accent3 3 52 2" xfId="20248"/>
    <cellStyle name="40% - Accent3 3 52 2 2" xfId="47256"/>
    <cellStyle name="40% - Accent3 3 52 3" xfId="33752"/>
    <cellStyle name="40% - Accent3 3 53" xfId="5780"/>
    <cellStyle name="40% - Accent3 3 53 2" xfId="20340"/>
    <cellStyle name="40% - Accent3 3 53 2 2" xfId="47348"/>
    <cellStyle name="40% - Accent3 3 53 3" xfId="33844"/>
    <cellStyle name="40% - Accent3 3 54" xfId="5886"/>
    <cellStyle name="40% - Accent3 3 54 2" xfId="20432"/>
    <cellStyle name="40% - Accent3 3 54 2 2" xfId="47440"/>
    <cellStyle name="40% - Accent3 3 54 3" xfId="33936"/>
    <cellStyle name="40% - Accent3 3 55" xfId="5992"/>
    <cellStyle name="40% - Accent3 3 55 2" xfId="20524"/>
    <cellStyle name="40% - Accent3 3 55 2 2" xfId="47532"/>
    <cellStyle name="40% - Accent3 3 55 3" xfId="34028"/>
    <cellStyle name="40% - Accent3 3 56" xfId="6098"/>
    <cellStyle name="40% - Accent3 3 56 2" xfId="20616"/>
    <cellStyle name="40% - Accent3 3 56 2 2" xfId="47624"/>
    <cellStyle name="40% - Accent3 3 56 3" xfId="34120"/>
    <cellStyle name="40% - Accent3 3 57" xfId="6204"/>
    <cellStyle name="40% - Accent3 3 57 2" xfId="20708"/>
    <cellStyle name="40% - Accent3 3 57 2 2" xfId="47716"/>
    <cellStyle name="40% - Accent3 3 57 3" xfId="34212"/>
    <cellStyle name="40% - Accent3 3 58" xfId="6310"/>
    <cellStyle name="40% - Accent3 3 58 2" xfId="20800"/>
    <cellStyle name="40% - Accent3 3 58 2 2" xfId="47808"/>
    <cellStyle name="40% - Accent3 3 58 3" xfId="34304"/>
    <cellStyle name="40% - Accent3 3 59" xfId="6416"/>
    <cellStyle name="40% - Accent3 3 59 2" xfId="20892"/>
    <cellStyle name="40% - Accent3 3 59 2 2" xfId="47900"/>
    <cellStyle name="40% - Accent3 3 59 3" xfId="34396"/>
    <cellStyle name="40% - Accent3 3 6" xfId="798"/>
    <cellStyle name="40% - Accent3 3 6 2" xfId="16016"/>
    <cellStyle name="40% - Accent3 3 6 2 2" xfId="43024"/>
    <cellStyle name="40% - Accent3 3 6 3" xfId="29520"/>
    <cellStyle name="40% - Accent3 3 60" xfId="6522"/>
    <cellStyle name="40% - Accent3 3 60 2" xfId="20984"/>
    <cellStyle name="40% - Accent3 3 60 2 2" xfId="47992"/>
    <cellStyle name="40% - Accent3 3 60 3" xfId="34488"/>
    <cellStyle name="40% - Accent3 3 61" xfId="6627"/>
    <cellStyle name="40% - Accent3 3 61 2" xfId="21075"/>
    <cellStyle name="40% - Accent3 3 61 2 2" xfId="48083"/>
    <cellStyle name="40% - Accent3 3 61 3" xfId="34579"/>
    <cellStyle name="40% - Accent3 3 62" xfId="6732"/>
    <cellStyle name="40% - Accent3 3 62 2" xfId="21166"/>
    <cellStyle name="40% - Accent3 3 62 2 2" xfId="48174"/>
    <cellStyle name="40% - Accent3 3 62 3" xfId="34670"/>
    <cellStyle name="40% - Accent3 3 63" xfId="6837"/>
    <cellStyle name="40% - Accent3 3 63 2" xfId="21257"/>
    <cellStyle name="40% - Accent3 3 63 2 2" xfId="48265"/>
    <cellStyle name="40% - Accent3 3 63 3" xfId="34761"/>
    <cellStyle name="40% - Accent3 3 64" xfId="6942"/>
    <cellStyle name="40% - Accent3 3 64 2" xfId="21348"/>
    <cellStyle name="40% - Accent3 3 64 2 2" xfId="48356"/>
    <cellStyle name="40% - Accent3 3 64 3" xfId="34852"/>
    <cellStyle name="40% - Accent3 3 65" xfId="7047"/>
    <cellStyle name="40% - Accent3 3 65 2" xfId="21439"/>
    <cellStyle name="40% - Accent3 3 65 2 2" xfId="48447"/>
    <cellStyle name="40% - Accent3 3 65 3" xfId="34943"/>
    <cellStyle name="40% - Accent3 3 66" xfId="7151"/>
    <cellStyle name="40% - Accent3 3 66 2" xfId="21529"/>
    <cellStyle name="40% - Accent3 3 66 2 2" xfId="48537"/>
    <cellStyle name="40% - Accent3 3 66 3" xfId="35033"/>
    <cellStyle name="40% - Accent3 3 67" xfId="7254"/>
    <cellStyle name="40% - Accent3 3 67 2" xfId="21618"/>
    <cellStyle name="40% - Accent3 3 67 2 2" xfId="48626"/>
    <cellStyle name="40% - Accent3 3 67 3" xfId="35122"/>
    <cellStyle name="40% - Accent3 3 68" xfId="7354"/>
    <cellStyle name="40% - Accent3 3 68 2" xfId="21705"/>
    <cellStyle name="40% - Accent3 3 68 2 2" xfId="48713"/>
    <cellStyle name="40% - Accent3 3 68 3" xfId="35209"/>
    <cellStyle name="40% - Accent3 3 69" xfId="7452"/>
    <cellStyle name="40% - Accent3 3 69 2" xfId="21790"/>
    <cellStyle name="40% - Accent3 3 69 2 2" xfId="48798"/>
    <cellStyle name="40% - Accent3 3 69 3" xfId="35294"/>
    <cellStyle name="40% - Accent3 3 7" xfId="904"/>
    <cellStyle name="40% - Accent3 3 7 2" xfId="16108"/>
    <cellStyle name="40% - Accent3 3 7 2 2" xfId="43116"/>
    <cellStyle name="40% - Accent3 3 7 3" xfId="29612"/>
    <cellStyle name="40% - Accent3 3 70" xfId="7544"/>
    <cellStyle name="40% - Accent3 3 70 2" xfId="21871"/>
    <cellStyle name="40% - Accent3 3 70 2 2" xfId="48879"/>
    <cellStyle name="40% - Accent3 3 70 3" xfId="35375"/>
    <cellStyle name="40% - Accent3 3 71" xfId="7628"/>
    <cellStyle name="40% - Accent3 3 71 2" xfId="21947"/>
    <cellStyle name="40% - Accent3 3 71 2 2" xfId="48955"/>
    <cellStyle name="40% - Accent3 3 71 3" xfId="35451"/>
    <cellStyle name="40% - Accent3 3 72" xfId="7776"/>
    <cellStyle name="40% - Accent3 3 72 2" xfId="22071"/>
    <cellStyle name="40% - Accent3 3 72 2 2" xfId="49079"/>
    <cellStyle name="40% - Accent3 3 72 3" xfId="35575"/>
    <cellStyle name="40% - Accent3 3 73" xfId="7901"/>
    <cellStyle name="40% - Accent3 3 73 2" xfId="22182"/>
    <cellStyle name="40% - Accent3 3 73 2 2" xfId="49190"/>
    <cellStyle name="40% - Accent3 3 73 3" xfId="35686"/>
    <cellStyle name="40% - Accent3 3 74" xfId="8043"/>
    <cellStyle name="40% - Accent3 3 74 2" xfId="22310"/>
    <cellStyle name="40% - Accent3 3 74 2 2" xfId="49318"/>
    <cellStyle name="40% - Accent3 3 74 3" xfId="35814"/>
    <cellStyle name="40% - Accent3 3 75" xfId="8185"/>
    <cellStyle name="40% - Accent3 3 75 2" xfId="22438"/>
    <cellStyle name="40% - Accent3 3 75 2 2" xfId="49446"/>
    <cellStyle name="40% - Accent3 3 75 3" xfId="35942"/>
    <cellStyle name="40% - Accent3 3 76" xfId="8327"/>
    <cellStyle name="40% - Accent3 3 76 2" xfId="22566"/>
    <cellStyle name="40% - Accent3 3 76 2 2" xfId="49574"/>
    <cellStyle name="40% - Accent3 3 76 3" xfId="36070"/>
    <cellStyle name="40% - Accent3 3 77" xfId="8469"/>
    <cellStyle name="40% - Accent3 3 77 2" xfId="22694"/>
    <cellStyle name="40% - Accent3 3 77 2 2" xfId="49702"/>
    <cellStyle name="40% - Accent3 3 77 3" xfId="36198"/>
    <cellStyle name="40% - Accent3 3 78" xfId="8611"/>
    <cellStyle name="40% - Accent3 3 78 2" xfId="22822"/>
    <cellStyle name="40% - Accent3 3 78 2 2" xfId="49830"/>
    <cellStyle name="40% - Accent3 3 78 3" xfId="36326"/>
    <cellStyle name="40% - Accent3 3 79" xfId="8753"/>
    <cellStyle name="40% - Accent3 3 79 2" xfId="22950"/>
    <cellStyle name="40% - Accent3 3 79 2 2" xfId="49958"/>
    <cellStyle name="40% - Accent3 3 79 3" xfId="36454"/>
    <cellStyle name="40% - Accent3 3 8" xfId="1010"/>
    <cellStyle name="40% - Accent3 3 8 2" xfId="16200"/>
    <cellStyle name="40% - Accent3 3 8 2 2" xfId="43208"/>
    <cellStyle name="40% - Accent3 3 8 3" xfId="29704"/>
    <cellStyle name="40% - Accent3 3 80" xfId="8895"/>
    <cellStyle name="40% - Accent3 3 80 2" xfId="23078"/>
    <cellStyle name="40% - Accent3 3 80 2 2" xfId="50086"/>
    <cellStyle name="40% - Accent3 3 80 3" xfId="36582"/>
    <cellStyle name="40% - Accent3 3 81" xfId="9037"/>
    <cellStyle name="40% - Accent3 3 81 2" xfId="23206"/>
    <cellStyle name="40% - Accent3 3 81 2 2" xfId="50214"/>
    <cellStyle name="40% - Accent3 3 81 3" xfId="36710"/>
    <cellStyle name="40% - Accent3 3 82" xfId="9179"/>
    <cellStyle name="40% - Accent3 3 82 2" xfId="23334"/>
    <cellStyle name="40% - Accent3 3 82 2 2" xfId="50342"/>
    <cellStyle name="40% - Accent3 3 82 3" xfId="36838"/>
    <cellStyle name="40% - Accent3 3 83" xfId="9321"/>
    <cellStyle name="40% - Accent3 3 83 2" xfId="23462"/>
    <cellStyle name="40% - Accent3 3 83 2 2" xfId="50470"/>
    <cellStyle name="40% - Accent3 3 83 3" xfId="36966"/>
    <cellStyle name="40% - Accent3 3 84" xfId="9463"/>
    <cellStyle name="40% - Accent3 3 84 2" xfId="23590"/>
    <cellStyle name="40% - Accent3 3 84 2 2" xfId="50598"/>
    <cellStyle name="40% - Accent3 3 84 3" xfId="37094"/>
    <cellStyle name="40% - Accent3 3 85" xfId="9605"/>
    <cellStyle name="40% - Accent3 3 85 2" xfId="23718"/>
    <cellStyle name="40% - Accent3 3 85 2 2" xfId="50726"/>
    <cellStyle name="40% - Accent3 3 85 3" xfId="37222"/>
    <cellStyle name="40% - Accent3 3 86" xfId="9747"/>
    <cellStyle name="40% - Accent3 3 86 2" xfId="23846"/>
    <cellStyle name="40% - Accent3 3 86 2 2" xfId="50854"/>
    <cellStyle name="40% - Accent3 3 86 3" xfId="37350"/>
    <cellStyle name="40% - Accent3 3 87" xfId="9889"/>
    <cellStyle name="40% - Accent3 3 87 2" xfId="23974"/>
    <cellStyle name="40% - Accent3 3 87 2 2" xfId="50982"/>
    <cellStyle name="40% - Accent3 3 87 3" xfId="37478"/>
    <cellStyle name="40% - Accent3 3 88" xfId="10031"/>
    <cellStyle name="40% - Accent3 3 88 2" xfId="24102"/>
    <cellStyle name="40% - Accent3 3 88 2 2" xfId="51110"/>
    <cellStyle name="40% - Accent3 3 88 3" xfId="37606"/>
    <cellStyle name="40% - Accent3 3 89" xfId="10173"/>
    <cellStyle name="40% - Accent3 3 89 2" xfId="24230"/>
    <cellStyle name="40% - Accent3 3 89 2 2" xfId="51238"/>
    <cellStyle name="40% - Accent3 3 89 3" xfId="37734"/>
    <cellStyle name="40% - Accent3 3 9" xfId="1116"/>
    <cellStyle name="40% - Accent3 3 9 2" xfId="16292"/>
    <cellStyle name="40% - Accent3 3 9 2 2" xfId="43300"/>
    <cellStyle name="40% - Accent3 3 9 3" xfId="29796"/>
    <cellStyle name="40% - Accent3 3 90" xfId="10315"/>
    <cellStyle name="40% - Accent3 3 90 2" xfId="24358"/>
    <cellStyle name="40% - Accent3 3 90 2 2" xfId="51366"/>
    <cellStyle name="40% - Accent3 3 90 3" xfId="37862"/>
    <cellStyle name="40% - Accent3 3 91" xfId="10457"/>
    <cellStyle name="40% - Accent3 3 91 2" xfId="24486"/>
    <cellStyle name="40% - Accent3 3 91 2 2" xfId="51494"/>
    <cellStyle name="40% - Accent3 3 91 3" xfId="37990"/>
    <cellStyle name="40% - Accent3 3 92" xfId="10599"/>
    <cellStyle name="40% - Accent3 3 92 2" xfId="24614"/>
    <cellStyle name="40% - Accent3 3 92 2 2" xfId="51622"/>
    <cellStyle name="40% - Accent3 3 92 3" xfId="38118"/>
    <cellStyle name="40% - Accent3 3 93" xfId="10741"/>
    <cellStyle name="40% - Accent3 3 93 2" xfId="24742"/>
    <cellStyle name="40% - Accent3 3 93 2 2" xfId="51750"/>
    <cellStyle name="40% - Accent3 3 93 3" xfId="38246"/>
    <cellStyle name="40% - Accent3 3 94" xfId="10883"/>
    <cellStyle name="40% - Accent3 3 94 2" xfId="24870"/>
    <cellStyle name="40% - Accent3 3 94 2 2" xfId="51878"/>
    <cellStyle name="40% - Accent3 3 94 3" xfId="38374"/>
    <cellStyle name="40% - Accent3 3 95" xfId="11025"/>
    <cellStyle name="40% - Accent3 3 95 2" xfId="24998"/>
    <cellStyle name="40% - Accent3 3 95 2 2" xfId="52006"/>
    <cellStyle name="40% - Accent3 3 95 3" xfId="38502"/>
    <cellStyle name="40% - Accent3 3 96" xfId="11167"/>
    <cellStyle name="40% - Accent3 3 96 2" xfId="25126"/>
    <cellStyle name="40% - Accent3 3 96 2 2" xfId="52134"/>
    <cellStyle name="40% - Accent3 3 96 3" xfId="38630"/>
    <cellStyle name="40% - Accent3 3 97" xfId="11309"/>
    <cellStyle name="40% - Accent3 3 97 2" xfId="25254"/>
    <cellStyle name="40% - Accent3 3 97 2 2" xfId="52262"/>
    <cellStyle name="40% - Accent3 3 97 3" xfId="38758"/>
    <cellStyle name="40% - Accent3 3 98" xfId="11451"/>
    <cellStyle name="40% - Accent3 3 98 2" xfId="25382"/>
    <cellStyle name="40% - Accent3 3 98 2 2" xfId="52390"/>
    <cellStyle name="40% - Accent3 3 98 3" xfId="38886"/>
    <cellStyle name="40% - Accent3 3 99" xfId="11593"/>
    <cellStyle name="40% - Accent3 3 99 2" xfId="25510"/>
    <cellStyle name="40% - Accent3 3 99 2 2" xfId="52518"/>
    <cellStyle name="40% - Accent3 3 99 3" xfId="39014"/>
    <cellStyle name="40% - Accent3 4" xfId="395"/>
    <cellStyle name="40% - Accent3 4 10" xfId="9032"/>
    <cellStyle name="40% - Accent3 4 10 2" xfId="23201"/>
    <cellStyle name="40% - Accent3 4 10 2 2" xfId="50209"/>
    <cellStyle name="40% - Accent3 4 10 3" xfId="36705"/>
    <cellStyle name="40% - Accent3 4 11" xfId="9174"/>
    <cellStyle name="40% - Accent3 4 11 2" xfId="23329"/>
    <cellStyle name="40% - Accent3 4 11 2 2" xfId="50337"/>
    <cellStyle name="40% - Accent3 4 11 3" xfId="36833"/>
    <cellStyle name="40% - Accent3 4 12" xfId="9316"/>
    <cellStyle name="40% - Accent3 4 12 2" xfId="23457"/>
    <cellStyle name="40% - Accent3 4 12 2 2" xfId="50465"/>
    <cellStyle name="40% - Accent3 4 12 3" xfId="36961"/>
    <cellStyle name="40% - Accent3 4 13" xfId="9458"/>
    <cellStyle name="40% - Accent3 4 13 2" xfId="23585"/>
    <cellStyle name="40% - Accent3 4 13 2 2" xfId="50593"/>
    <cellStyle name="40% - Accent3 4 13 3" xfId="37089"/>
    <cellStyle name="40% - Accent3 4 14" xfId="9600"/>
    <cellStyle name="40% - Accent3 4 14 2" xfId="23713"/>
    <cellStyle name="40% - Accent3 4 14 2 2" xfId="50721"/>
    <cellStyle name="40% - Accent3 4 14 3" xfId="37217"/>
    <cellStyle name="40% - Accent3 4 15" xfId="9742"/>
    <cellStyle name="40% - Accent3 4 15 2" xfId="23841"/>
    <cellStyle name="40% - Accent3 4 15 2 2" xfId="50849"/>
    <cellStyle name="40% - Accent3 4 15 3" xfId="37345"/>
    <cellStyle name="40% - Accent3 4 16" xfId="9884"/>
    <cellStyle name="40% - Accent3 4 16 2" xfId="23969"/>
    <cellStyle name="40% - Accent3 4 16 2 2" xfId="50977"/>
    <cellStyle name="40% - Accent3 4 16 3" xfId="37473"/>
    <cellStyle name="40% - Accent3 4 17" xfId="10026"/>
    <cellStyle name="40% - Accent3 4 17 2" xfId="24097"/>
    <cellStyle name="40% - Accent3 4 17 2 2" xfId="51105"/>
    <cellStyle name="40% - Accent3 4 17 3" xfId="37601"/>
    <cellStyle name="40% - Accent3 4 18" xfId="10168"/>
    <cellStyle name="40% - Accent3 4 18 2" xfId="24225"/>
    <cellStyle name="40% - Accent3 4 18 2 2" xfId="51233"/>
    <cellStyle name="40% - Accent3 4 18 3" xfId="37729"/>
    <cellStyle name="40% - Accent3 4 19" xfId="10310"/>
    <cellStyle name="40% - Accent3 4 19 2" xfId="24353"/>
    <cellStyle name="40% - Accent3 4 19 2 2" xfId="51361"/>
    <cellStyle name="40% - Accent3 4 19 3" xfId="37857"/>
    <cellStyle name="40% - Accent3 4 2" xfId="7896"/>
    <cellStyle name="40% - Accent3 4 2 2" xfId="22177"/>
    <cellStyle name="40% - Accent3 4 2 2 2" xfId="49185"/>
    <cellStyle name="40% - Accent3 4 2 3" xfId="35681"/>
    <cellStyle name="40% - Accent3 4 20" xfId="10452"/>
    <cellStyle name="40% - Accent3 4 20 2" xfId="24481"/>
    <cellStyle name="40% - Accent3 4 20 2 2" xfId="51489"/>
    <cellStyle name="40% - Accent3 4 20 3" xfId="37985"/>
    <cellStyle name="40% - Accent3 4 21" xfId="10594"/>
    <cellStyle name="40% - Accent3 4 21 2" xfId="24609"/>
    <cellStyle name="40% - Accent3 4 21 2 2" xfId="51617"/>
    <cellStyle name="40% - Accent3 4 21 3" xfId="38113"/>
    <cellStyle name="40% - Accent3 4 22" xfId="10736"/>
    <cellStyle name="40% - Accent3 4 22 2" xfId="24737"/>
    <cellStyle name="40% - Accent3 4 22 2 2" xfId="51745"/>
    <cellStyle name="40% - Accent3 4 22 3" xfId="38241"/>
    <cellStyle name="40% - Accent3 4 23" xfId="10878"/>
    <cellStyle name="40% - Accent3 4 23 2" xfId="24865"/>
    <cellStyle name="40% - Accent3 4 23 2 2" xfId="51873"/>
    <cellStyle name="40% - Accent3 4 23 3" xfId="38369"/>
    <cellStyle name="40% - Accent3 4 24" xfId="11020"/>
    <cellStyle name="40% - Accent3 4 24 2" xfId="24993"/>
    <cellStyle name="40% - Accent3 4 24 2 2" xfId="52001"/>
    <cellStyle name="40% - Accent3 4 24 3" xfId="38497"/>
    <cellStyle name="40% - Accent3 4 25" xfId="11162"/>
    <cellStyle name="40% - Accent3 4 25 2" xfId="25121"/>
    <cellStyle name="40% - Accent3 4 25 2 2" xfId="52129"/>
    <cellStyle name="40% - Accent3 4 25 3" xfId="38625"/>
    <cellStyle name="40% - Accent3 4 26" xfId="11304"/>
    <cellStyle name="40% - Accent3 4 26 2" xfId="25249"/>
    <cellStyle name="40% - Accent3 4 26 2 2" xfId="52257"/>
    <cellStyle name="40% - Accent3 4 26 3" xfId="38753"/>
    <cellStyle name="40% - Accent3 4 27" xfId="11446"/>
    <cellStyle name="40% - Accent3 4 27 2" xfId="25377"/>
    <cellStyle name="40% - Accent3 4 27 2 2" xfId="52385"/>
    <cellStyle name="40% - Accent3 4 27 3" xfId="38881"/>
    <cellStyle name="40% - Accent3 4 28" xfId="11588"/>
    <cellStyle name="40% - Accent3 4 28 2" xfId="25505"/>
    <cellStyle name="40% - Accent3 4 28 2 2" xfId="52513"/>
    <cellStyle name="40% - Accent3 4 28 3" xfId="39009"/>
    <cellStyle name="40% - Accent3 4 29" xfId="11730"/>
    <cellStyle name="40% - Accent3 4 29 2" xfId="25633"/>
    <cellStyle name="40% - Accent3 4 29 2 2" xfId="52641"/>
    <cellStyle name="40% - Accent3 4 29 3" xfId="39137"/>
    <cellStyle name="40% - Accent3 4 3" xfId="8038"/>
    <cellStyle name="40% - Accent3 4 3 2" xfId="22305"/>
    <cellStyle name="40% - Accent3 4 3 2 2" xfId="49313"/>
    <cellStyle name="40% - Accent3 4 3 3" xfId="35809"/>
    <cellStyle name="40% - Accent3 4 30" xfId="11872"/>
    <cellStyle name="40% - Accent3 4 30 2" xfId="25761"/>
    <cellStyle name="40% - Accent3 4 30 2 2" xfId="52769"/>
    <cellStyle name="40% - Accent3 4 30 3" xfId="39265"/>
    <cellStyle name="40% - Accent3 4 31" xfId="12014"/>
    <cellStyle name="40% - Accent3 4 31 2" xfId="25889"/>
    <cellStyle name="40% - Accent3 4 31 2 2" xfId="52897"/>
    <cellStyle name="40% - Accent3 4 31 3" xfId="39393"/>
    <cellStyle name="40% - Accent3 4 32" xfId="12156"/>
    <cellStyle name="40% - Accent3 4 32 2" xfId="26017"/>
    <cellStyle name="40% - Accent3 4 32 2 2" xfId="53025"/>
    <cellStyle name="40% - Accent3 4 32 3" xfId="39521"/>
    <cellStyle name="40% - Accent3 4 33" xfId="12298"/>
    <cellStyle name="40% - Accent3 4 33 2" xfId="26145"/>
    <cellStyle name="40% - Accent3 4 33 2 2" xfId="53153"/>
    <cellStyle name="40% - Accent3 4 33 3" xfId="39649"/>
    <cellStyle name="40% - Accent3 4 34" xfId="12440"/>
    <cellStyle name="40% - Accent3 4 34 2" xfId="26273"/>
    <cellStyle name="40% - Accent3 4 34 2 2" xfId="53281"/>
    <cellStyle name="40% - Accent3 4 34 3" xfId="39777"/>
    <cellStyle name="40% - Accent3 4 35" xfId="12582"/>
    <cellStyle name="40% - Accent3 4 35 2" xfId="26401"/>
    <cellStyle name="40% - Accent3 4 35 2 2" xfId="53409"/>
    <cellStyle name="40% - Accent3 4 35 3" xfId="39905"/>
    <cellStyle name="40% - Accent3 4 36" xfId="12724"/>
    <cellStyle name="40% - Accent3 4 36 2" xfId="26529"/>
    <cellStyle name="40% - Accent3 4 36 2 2" xfId="53537"/>
    <cellStyle name="40% - Accent3 4 36 3" xfId="40033"/>
    <cellStyle name="40% - Accent3 4 37" xfId="12866"/>
    <cellStyle name="40% - Accent3 4 37 2" xfId="26657"/>
    <cellStyle name="40% - Accent3 4 37 2 2" xfId="53665"/>
    <cellStyle name="40% - Accent3 4 37 3" xfId="40161"/>
    <cellStyle name="40% - Accent3 4 38" xfId="13008"/>
    <cellStyle name="40% - Accent3 4 38 2" xfId="26785"/>
    <cellStyle name="40% - Accent3 4 38 2 2" xfId="53793"/>
    <cellStyle name="40% - Accent3 4 38 3" xfId="40289"/>
    <cellStyle name="40% - Accent3 4 39" xfId="13150"/>
    <cellStyle name="40% - Accent3 4 39 2" xfId="26913"/>
    <cellStyle name="40% - Accent3 4 39 2 2" xfId="53921"/>
    <cellStyle name="40% - Accent3 4 39 3" xfId="40417"/>
    <cellStyle name="40% - Accent3 4 4" xfId="8180"/>
    <cellStyle name="40% - Accent3 4 4 2" xfId="22433"/>
    <cellStyle name="40% - Accent3 4 4 2 2" xfId="49441"/>
    <cellStyle name="40% - Accent3 4 4 3" xfId="35937"/>
    <cellStyle name="40% - Accent3 4 40" xfId="13292"/>
    <cellStyle name="40% - Accent3 4 40 2" xfId="27041"/>
    <cellStyle name="40% - Accent3 4 40 2 2" xfId="54049"/>
    <cellStyle name="40% - Accent3 4 40 3" xfId="40545"/>
    <cellStyle name="40% - Accent3 4 41" xfId="13434"/>
    <cellStyle name="40% - Accent3 4 41 2" xfId="27169"/>
    <cellStyle name="40% - Accent3 4 41 2 2" xfId="54177"/>
    <cellStyle name="40% - Accent3 4 41 3" xfId="40673"/>
    <cellStyle name="40% - Accent3 4 42" xfId="13576"/>
    <cellStyle name="40% - Accent3 4 42 2" xfId="27297"/>
    <cellStyle name="40% - Accent3 4 42 2 2" xfId="54305"/>
    <cellStyle name="40% - Accent3 4 42 3" xfId="40801"/>
    <cellStyle name="40% - Accent3 4 43" xfId="13718"/>
    <cellStyle name="40% - Accent3 4 43 2" xfId="27425"/>
    <cellStyle name="40% - Accent3 4 43 2 2" xfId="54433"/>
    <cellStyle name="40% - Accent3 4 43 3" xfId="40929"/>
    <cellStyle name="40% - Accent3 4 44" xfId="13859"/>
    <cellStyle name="40% - Accent3 4 44 2" xfId="27552"/>
    <cellStyle name="40% - Accent3 4 44 2 2" xfId="54560"/>
    <cellStyle name="40% - Accent3 4 44 3" xfId="41056"/>
    <cellStyle name="40% - Accent3 4 45" xfId="14000"/>
    <cellStyle name="40% - Accent3 4 45 2" xfId="27679"/>
    <cellStyle name="40% - Accent3 4 45 2 2" xfId="54687"/>
    <cellStyle name="40% - Accent3 4 45 3" xfId="41183"/>
    <cellStyle name="40% - Accent3 4 46" xfId="14141"/>
    <cellStyle name="40% - Accent3 4 46 2" xfId="27806"/>
    <cellStyle name="40% - Accent3 4 46 2 2" xfId="54814"/>
    <cellStyle name="40% - Accent3 4 46 3" xfId="41310"/>
    <cellStyle name="40% - Accent3 4 47" xfId="14282"/>
    <cellStyle name="40% - Accent3 4 47 2" xfId="27933"/>
    <cellStyle name="40% - Accent3 4 47 2 2" xfId="54941"/>
    <cellStyle name="40% - Accent3 4 47 3" xfId="41437"/>
    <cellStyle name="40% - Accent3 4 48" xfId="14423"/>
    <cellStyle name="40% - Accent3 4 48 2" xfId="28060"/>
    <cellStyle name="40% - Accent3 4 48 2 2" xfId="55068"/>
    <cellStyle name="40% - Accent3 4 48 3" xfId="41564"/>
    <cellStyle name="40% - Accent3 4 49" xfId="14563"/>
    <cellStyle name="40% - Accent3 4 49 2" xfId="28186"/>
    <cellStyle name="40% - Accent3 4 49 2 2" xfId="55194"/>
    <cellStyle name="40% - Accent3 4 49 3" xfId="41690"/>
    <cellStyle name="40% - Accent3 4 5" xfId="8322"/>
    <cellStyle name="40% - Accent3 4 5 2" xfId="22561"/>
    <cellStyle name="40% - Accent3 4 5 2 2" xfId="49569"/>
    <cellStyle name="40% - Accent3 4 5 3" xfId="36065"/>
    <cellStyle name="40% - Accent3 4 50" xfId="14702"/>
    <cellStyle name="40% - Accent3 4 50 2" xfId="28311"/>
    <cellStyle name="40% - Accent3 4 50 2 2" xfId="55319"/>
    <cellStyle name="40% - Accent3 4 50 3" xfId="41815"/>
    <cellStyle name="40% - Accent3 4 51" xfId="14837"/>
    <cellStyle name="40% - Accent3 4 51 2" xfId="28433"/>
    <cellStyle name="40% - Accent3 4 51 2 2" xfId="55441"/>
    <cellStyle name="40% - Accent3 4 51 3" xfId="41937"/>
    <cellStyle name="40% - Accent3 4 52" xfId="14971"/>
    <cellStyle name="40% - Accent3 4 52 2" xfId="28554"/>
    <cellStyle name="40% - Accent3 4 52 2 2" xfId="55562"/>
    <cellStyle name="40% - Accent3 4 52 3" xfId="42058"/>
    <cellStyle name="40% - Accent3 4 53" xfId="15103"/>
    <cellStyle name="40% - Accent3 4 53 2" xfId="28674"/>
    <cellStyle name="40% - Accent3 4 53 2 2" xfId="55682"/>
    <cellStyle name="40% - Accent3 4 53 3" xfId="42178"/>
    <cellStyle name="40% - Accent3 4 54" xfId="15227"/>
    <cellStyle name="40% - Accent3 4 54 2" xfId="28790"/>
    <cellStyle name="40% - Accent3 4 54 2 2" xfId="55798"/>
    <cellStyle name="40% - Accent3 4 54 3" xfId="42294"/>
    <cellStyle name="40% - Accent3 4 55" xfId="15336"/>
    <cellStyle name="40% - Accent3 4 55 2" xfId="28896"/>
    <cellStyle name="40% - Accent3 4 55 2 2" xfId="55904"/>
    <cellStyle name="40% - Accent3 4 55 3" xfId="42400"/>
    <cellStyle name="40% - Accent3 4 56" xfId="15674"/>
    <cellStyle name="40% - Accent3 4 56 2" xfId="42682"/>
    <cellStyle name="40% - Accent3 4 57" xfId="29178"/>
    <cellStyle name="40% - Accent3 4 6" xfId="8464"/>
    <cellStyle name="40% - Accent3 4 6 2" xfId="22689"/>
    <cellStyle name="40% - Accent3 4 6 2 2" xfId="49697"/>
    <cellStyle name="40% - Accent3 4 6 3" xfId="36193"/>
    <cellStyle name="40% - Accent3 4 7" xfId="8606"/>
    <cellStyle name="40% - Accent3 4 7 2" xfId="22817"/>
    <cellStyle name="40% - Accent3 4 7 2 2" xfId="49825"/>
    <cellStyle name="40% - Accent3 4 7 3" xfId="36321"/>
    <cellStyle name="40% - Accent3 4 8" xfId="8748"/>
    <cellStyle name="40% - Accent3 4 8 2" xfId="22945"/>
    <cellStyle name="40% - Accent3 4 8 2 2" xfId="49953"/>
    <cellStyle name="40% - Accent3 4 8 3" xfId="36449"/>
    <cellStyle name="40% - Accent3 4 9" xfId="8890"/>
    <cellStyle name="40% - Accent3 4 9 2" xfId="23073"/>
    <cellStyle name="40% - Accent3 4 9 2 2" xfId="50081"/>
    <cellStyle name="40% - Accent3 4 9 3" xfId="36577"/>
    <cellStyle name="40% - Accent3 5" xfId="15383"/>
    <cellStyle name="40% - Accent3 5 2" xfId="28922"/>
    <cellStyle name="40% - Accent3 5 2 2" xfId="55930"/>
    <cellStyle name="40% - Accent3 5 3" xfId="42426"/>
    <cellStyle name="40% - Accent3 6" xfId="15427"/>
    <cellStyle name="40% - Accent3 6 2" xfId="28938"/>
    <cellStyle name="40% - Accent3 6 2 2" xfId="55946"/>
    <cellStyle name="40% - Accent3 6 3" xfId="42442"/>
    <cellStyle name="40% - Accent3 7" xfId="15448"/>
    <cellStyle name="40% - Accent3 7 2" xfId="42456"/>
    <cellStyle name="40% - Accent3 8" xfId="28952"/>
    <cellStyle name="40% - Accent3 9" xfId="47"/>
    <cellStyle name="40% - Accent4 2" xfId="121"/>
    <cellStyle name="40% - Accent4 2 10" xfId="1007"/>
    <cellStyle name="40% - Accent4 2 10 2" xfId="16198"/>
    <cellStyle name="40% - Accent4 2 10 2 2" xfId="43206"/>
    <cellStyle name="40% - Accent4 2 10 3" xfId="29702"/>
    <cellStyle name="40% - Accent4 2 100" xfId="11448"/>
    <cellStyle name="40% - Accent4 2 100 2" xfId="25379"/>
    <cellStyle name="40% - Accent4 2 100 2 2" xfId="52387"/>
    <cellStyle name="40% - Accent4 2 100 3" xfId="38883"/>
    <cellStyle name="40% - Accent4 2 101" xfId="11590"/>
    <cellStyle name="40% - Accent4 2 101 2" xfId="25507"/>
    <cellStyle name="40% - Accent4 2 101 2 2" xfId="52515"/>
    <cellStyle name="40% - Accent4 2 101 3" xfId="39011"/>
    <cellStyle name="40% - Accent4 2 102" xfId="11732"/>
    <cellStyle name="40% - Accent4 2 102 2" xfId="25635"/>
    <cellStyle name="40% - Accent4 2 102 2 2" xfId="52643"/>
    <cellStyle name="40% - Accent4 2 102 3" xfId="39139"/>
    <cellStyle name="40% - Accent4 2 103" xfId="11874"/>
    <cellStyle name="40% - Accent4 2 103 2" xfId="25763"/>
    <cellStyle name="40% - Accent4 2 103 2 2" xfId="52771"/>
    <cellStyle name="40% - Accent4 2 103 3" xfId="39267"/>
    <cellStyle name="40% - Accent4 2 104" xfId="12016"/>
    <cellStyle name="40% - Accent4 2 104 2" xfId="25891"/>
    <cellStyle name="40% - Accent4 2 104 2 2" xfId="52899"/>
    <cellStyle name="40% - Accent4 2 104 3" xfId="39395"/>
    <cellStyle name="40% - Accent4 2 105" xfId="12158"/>
    <cellStyle name="40% - Accent4 2 105 2" xfId="26019"/>
    <cellStyle name="40% - Accent4 2 105 2 2" xfId="53027"/>
    <cellStyle name="40% - Accent4 2 105 3" xfId="39523"/>
    <cellStyle name="40% - Accent4 2 106" xfId="12300"/>
    <cellStyle name="40% - Accent4 2 106 2" xfId="26147"/>
    <cellStyle name="40% - Accent4 2 106 2 2" xfId="53155"/>
    <cellStyle name="40% - Accent4 2 106 3" xfId="39651"/>
    <cellStyle name="40% - Accent4 2 107" xfId="12442"/>
    <cellStyle name="40% - Accent4 2 107 2" xfId="26275"/>
    <cellStyle name="40% - Accent4 2 107 2 2" xfId="53283"/>
    <cellStyle name="40% - Accent4 2 107 3" xfId="39779"/>
    <cellStyle name="40% - Accent4 2 108" xfId="12584"/>
    <cellStyle name="40% - Accent4 2 108 2" xfId="26403"/>
    <cellStyle name="40% - Accent4 2 108 2 2" xfId="53411"/>
    <cellStyle name="40% - Accent4 2 108 3" xfId="39907"/>
    <cellStyle name="40% - Accent4 2 109" xfId="12726"/>
    <cellStyle name="40% - Accent4 2 109 2" xfId="26531"/>
    <cellStyle name="40% - Accent4 2 109 2 2" xfId="53539"/>
    <cellStyle name="40% - Accent4 2 109 3" xfId="40035"/>
    <cellStyle name="40% - Accent4 2 11" xfId="1113"/>
    <cellStyle name="40% - Accent4 2 11 2" xfId="16290"/>
    <cellStyle name="40% - Accent4 2 11 2 2" xfId="43298"/>
    <cellStyle name="40% - Accent4 2 11 3" xfId="29794"/>
    <cellStyle name="40% - Accent4 2 110" xfId="12868"/>
    <cellStyle name="40% - Accent4 2 110 2" xfId="26659"/>
    <cellStyle name="40% - Accent4 2 110 2 2" xfId="53667"/>
    <cellStyle name="40% - Accent4 2 110 3" xfId="40163"/>
    <cellStyle name="40% - Accent4 2 111" xfId="13010"/>
    <cellStyle name="40% - Accent4 2 111 2" xfId="26787"/>
    <cellStyle name="40% - Accent4 2 111 2 2" xfId="53795"/>
    <cellStyle name="40% - Accent4 2 111 3" xfId="40291"/>
    <cellStyle name="40% - Accent4 2 112" xfId="13152"/>
    <cellStyle name="40% - Accent4 2 112 2" xfId="26915"/>
    <cellStyle name="40% - Accent4 2 112 2 2" xfId="53923"/>
    <cellStyle name="40% - Accent4 2 112 3" xfId="40419"/>
    <cellStyle name="40% - Accent4 2 113" xfId="13294"/>
    <cellStyle name="40% - Accent4 2 113 2" xfId="27043"/>
    <cellStyle name="40% - Accent4 2 113 2 2" xfId="54051"/>
    <cellStyle name="40% - Accent4 2 113 3" xfId="40547"/>
    <cellStyle name="40% - Accent4 2 114" xfId="13436"/>
    <cellStyle name="40% - Accent4 2 114 2" xfId="27171"/>
    <cellStyle name="40% - Accent4 2 114 2 2" xfId="54179"/>
    <cellStyle name="40% - Accent4 2 114 3" xfId="40675"/>
    <cellStyle name="40% - Accent4 2 115" xfId="13578"/>
    <cellStyle name="40% - Accent4 2 115 2" xfId="27299"/>
    <cellStyle name="40% - Accent4 2 115 2 2" xfId="54307"/>
    <cellStyle name="40% - Accent4 2 115 3" xfId="40803"/>
    <cellStyle name="40% - Accent4 2 116" xfId="13720"/>
    <cellStyle name="40% - Accent4 2 116 2" xfId="27427"/>
    <cellStyle name="40% - Accent4 2 116 2 2" xfId="54435"/>
    <cellStyle name="40% - Accent4 2 116 3" xfId="40931"/>
    <cellStyle name="40% - Accent4 2 117" xfId="13861"/>
    <cellStyle name="40% - Accent4 2 117 2" xfId="27554"/>
    <cellStyle name="40% - Accent4 2 117 2 2" xfId="54562"/>
    <cellStyle name="40% - Accent4 2 117 3" xfId="41058"/>
    <cellStyle name="40% - Accent4 2 118" xfId="14002"/>
    <cellStyle name="40% - Accent4 2 118 2" xfId="27681"/>
    <cellStyle name="40% - Accent4 2 118 2 2" xfId="54689"/>
    <cellStyle name="40% - Accent4 2 118 3" xfId="41185"/>
    <cellStyle name="40% - Accent4 2 119" xfId="14143"/>
    <cellStyle name="40% - Accent4 2 119 2" xfId="27808"/>
    <cellStyle name="40% - Accent4 2 119 2 2" xfId="54816"/>
    <cellStyle name="40% - Accent4 2 119 3" xfId="41312"/>
    <cellStyle name="40% - Accent4 2 12" xfId="1219"/>
    <cellStyle name="40% - Accent4 2 12 2" xfId="16382"/>
    <cellStyle name="40% - Accent4 2 12 2 2" xfId="43390"/>
    <cellStyle name="40% - Accent4 2 12 3" xfId="29886"/>
    <cellStyle name="40% - Accent4 2 120" xfId="14284"/>
    <cellStyle name="40% - Accent4 2 120 2" xfId="27935"/>
    <cellStyle name="40% - Accent4 2 120 2 2" xfId="54943"/>
    <cellStyle name="40% - Accent4 2 120 3" xfId="41439"/>
    <cellStyle name="40% - Accent4 2 121" xfId="14425"/>
    <cellStyle name="40% - Accent4 2 121 2" xfId="28062"/>
    <cellStyle name="40% - Accent4 2 121 2 2" xfId="55070"/>
    <cellStyle name="40% - Accent4 2 121 3" xfId="41566"/>
    <cellStyle name="40% - Accent4 2 122" xfId="14565"/>
    <cellStyle name="40% - Accent4 2 122 2" xfId="28188"/>
    <cellStyle name="40% - Accent4 2 122 2 2" xfId="55196"/>
    <cellStyle name="40% - Accent4 2 122 3" xfId="41692"/>
    <cellStyle name="40% - Accent4 2 123" xfId="14704"/>
    <cellStyle name="40% - Accent4 2 123 2" xfId="28313"/>
    <cellStyle name="40% - Accent4 2 123 2 2" xfId="55321"/>
    <cellStyle name="40% - Accent4 2 123 3" xfId="41817"/>
    <cellStyle name="40% - Accent4 2 124" xfId="14839"/>
    <cellStyle name="40% - Accent4 2 124 2" xfId="28435"/>
    <cellStyle name="40% - Accent4 2 124 2 2" xfId="55443"/>
    <cellStyle name="40% - Accent4 2 124 3" xfId="41939"/>
    <cellStyle name="40% - Accent4 2 125" xfId="14973"/>
    <cellStyle name="40% - Accent4 2 125 2" xfId="28556"/>
    <cellStyle name="40% - Accent4 2 125 2 2" xfId="55564"/>
    <cellStyle name="40% - Accent4 2 125 3" xfId="42060"/>
    <cellStyle name="40% - Accent4 2 126" xfId="15104"/>
    <cellStyle name="40% - Accent4 2 126 2" xfId="28675"/>
    <cellStyle name="40% - Accent4 2 126 2 2" xfId="55683"/>
    <cellStyle name="40% - Accent4 2 126 3" xfId="42179"/>
    <cellStyle name="40% - Accent4 2 127" xfId="15479"/>
    <cellStyle name="40% - Accent4 2 127 2" xfId="42487"/>
    <cellStyle name="40% - Accent4 2 128" xfId="28983"/>
    <cellStyle name="40% - Accent4 2 13" xfId="1325"/>
    <cellStyle name="40% - Accent4 2 13 2" xfId="16474"/>
    <cellStyle name="40% - Accent4 2 13 2 2" xfId="43482"/>
    <cellStyle name="40% - Accent4 2 13 3" xfId="29978"/>
    <cellStyle name="40% - Accent4 2 14" xfId="1431"/>
    <cellStyle name="40% - Accent4 2 14 2" xfId="16566"/>
    <cellStyle name="40% - Accent4 2 14 2 2" xfId="43574"/>
    <cellStyle name="40% - Accent4 2 14 3" xfId="30070"/>
    <cellStyle name="40% - Accent4 2 15" xfId="1537"/>
    <cellStyle name="40% - Accent4 2 15 2" xfId="16658"/>
    <cellStyle name="40% - Accent4 2 15 2 2" xfId="43666"/>
    <cellStyle name="40% - Accent4 2 15 3" xfId="30162"/>
    <cellStyle name="40% - Accent4 2 16" xfId="1643"/>
    <cellStyle name="40% - Accent4 2 16 2" xfId="16750"/>
    <cellStyle name="40% - Accent4 2 16 2 2" xfId="43758"/>
    <cellStyle name="40% - Accent4 2 16 3" xfId="30254"/>
    <cellStyle name="40% - Accent4 2 17" xfId="1749"/>
    <cellStyle name="40% - Accent4 2 17 2" xfId="16842"/>
    <cellStyle name="40% - Accent4 2 17 2 2" xfId="43850"/>
    <cellStyle name="40% - Accent4 2 17 3" xfId="30346"/>
    <cellStyle name="40% - Accent4 2 18" xfId="1855"/>
    <cellStyle name="40% - Accent4 2 18 2" xfId="16934"/>
    <cellStyle name="40% - Accent4 2 18 2 2" xfId="43942"/>
    <cellStyle name="40% - Accent4 2 18 3" xfId="30438"/>
    <cellStyle name="40% - Accent4 2 19" xfId="1961"/>
    <cellStyle name="40% - Accent4 2 19 2" xfId="17026"/>
    <cellStyle name="40% - Accent4 2 19 2 2" xfId="44034"/>
    <cellStyle name="40% - Accent4 2 19 3" xfId="30530"/>
    <cellStyle name="40% - Accent4 2 2" xfId="234"/>
    <cellStyle name="40% - Accent4 2 2 10" xfId="8935"/>
    <cellStyle name="40% - Accent4 2 2 10 2" xfId="23113"/>
    <cellStyle name="40% - Accent4 2 2 10 2 2" xfId="50121"/>
    <cellStyle name="40% - Accent4 2 2 10 3" xfId="36617"/>
    <cellStyle name="40% - Accent4 2 2 11" xfId="9077"/>
    <cellStyle name="40% - Accent4 2 2 11 2" xfId="23241"/>
    <cellStyle name="40% - Accent4 2 2 11 2 2" xfId="50249"/>
    <cellStyle name="40% - Accent4 2 2 11 3" xfId="36745"/>
    <cellStyle name="40% - Accent4 2 2 12" xfId="9219"/>
    <cellStyle name="40% - Accent4 2 2 12 2" xfId="23369"/>
    <cellStyle name="40% - Accent4 2 2 12 2 2" xfId="50377"/>
    <cellStyle name="40% - Accent4 2 2 12 3" xfId="36873"/>
    <cellStyle name="40% - Accent4 2 2 13" xfId="9361"/>
    <cellStyle name="40% - Accent4 2 2 13 2" xfId="23497"/>
    <cellStyle name="40% - Accent4 2 2 13 2 2" xfId="50505"/>
    <cellStyle name="40% - Accent4 2 2 13 3" xfId="37001"/>
    <cellStyle name="40% - Accent4 2 2 14" xfId="9503"/>
    <cellStyle name="40% - Accent4 2 2 14 2" xfId="23625"/>
    <cellStyle name="40% - Accent4 2 2 14 2 2" xfId="50633"/>
    <cellStyle name="40% - Accent4 2 2 14 3" xfId="37129"/>
    <cellStyle name="40% - Accent4 2 2 15" xfId="9645"/>
    <cellStyle name="40% - Accent4 2 2 15 2" xfId="23753"/>
    <cellStyle name="40% - Accent4 2 2 15 2 2" xfId="50761"/>
    <cellStyle name="40% - Accent4 2 2 15 3" xfId="37257"/>
    <cellStyle name="40% - Accent4 2 2 16" xfId="9787"/>
    <cellStyle name="40% - Accent4 2 2 16 2" xfId="23881"/>
    <cellStyle name="40% - Accent4 2 2 16 2 2" xfId="50889"/>
    <cellStyle name="40% - Accent4 2 2 16 3" xfId="37385"/>
    <cellStyle name="40% - Accent4 2 2 17" xfId="9929"/>
    <cellStyle name="40% - Accent4 2 2 17 2" xfId="24009"/>
    <cellStyle name="40% - Accent4 2 2 17 2 2" xfId="51017"/>
    <cellStyle name="40% - Accent4 2 2 17 3" xfId="37513"/>
    <cellStyle name="40% - Accent4 2 2 18" xfId="10071"/>
    <cellStyle name="40% - Accent4 2 2 18 2" xfId="24137"/>
    <cellStyle name="40% - Accent4 2 2 18 2 2" xfId="51145"/>
    <cellStyle name="40% - Accent4 2 2 18 3" xfId="37641"/>
    <cellStyle name="40% - Accent4 2 2 19" xfId="10213"/>
    <cellStyle name="40% - Accent4 2 2 19 2" xfId="24265"/>
    <cellStyle name="40% - Accent4 2 2 19 2 2" xfId="51273"/>
    <cellStyle name="40% - Accent4 2 2 19 3" xfId="37769"/>
    <cellStyle name="40% - Accent4 2 2 2" xfId="7799"/>
    <cellStyle name="40% - Accent4 2 2 2 2" xfId="22089"/>
    <cellStyle name="40% - Accent4 2 2 2 2 2" xfId="49097"/>
    <cellStyle name="40% - Accent4 2 2 2 3" xfId="35593"/>
    <cellStyle name="40% - Accent4 2 2 20" xfId="10355"/>
    <cellStyle name="40% - Accent4 2 2 20 2" xfId="24393"/>
    <cellStyle name="40% - Accent4 2 2 20 2 2" xfId="51401"/>
    <cellStyle name="40% - Accent4 2 2 20 3" xfId="37897"/>
    <cellStyle name="40% - Accent4 2 2 21" xfId="10497"/>
    <cellStyle name="40% - Accent4 2 2 21 2" xfId="24521"/>
    <cellStyle name="40% - Accent4 2 2 21 2 2" xfId="51529"/>
    <cellStyle name="40% - Accent4 2 2 21 3" xfId="38025"/>
    <cellStyle name="40% - Accent4 2 2 22" xfId="10639"/>
    <cellStyle name="40% - Accent4 2 2 22 2" xfId="24649"/>
    <cellStyle name="40% - Accent4 2 2 22 2 2" xfId="51657"/>
    <cellStyle name="40% - Accent4 2 2 22 3" xfId="38153"/>
    <cellStyle name="40% - Accent4 2 2 23" xfId="10781"/>
    <cellStyle name="40% - Accent4 2 2 23 2" xfId="24777"/>
    <cellStyle name="40% - Accent4 2 2 23 2 2" xfId="51785"/>
    <cellStyle name="40% - Accent4 2 2 23 3" xfId="38281"/>
    <cellStyle name="40% - Accent4 2 2 24" xfId="10923"/>
    <cellStyle name="40% - Accent4 2 2 24 2" xfId="24905"/>
    <cellStyle name="40% - Accent4 2 2 24 2 2" xfId="51913"/>
    <cellStyle name="40% - Accent4 2 2 24 3" xfId="38409"/>
    <cellStyle name="40% - Accent4 2 2 25" xfId="11065"/>
    <cellStyle name="40% - Accent4 2 2 25 2" xfId="25033"/>
    <cellStyle name="40% - Accent4 2 2 25 2 2" xfId="52041"/>
    <cellStyle name="40% - Accent4 2 2 25 3" xfId="38537"/>
    <cellStyle name="40% - Accent4 2 2 26" xfId="11207"/>
    <cellStyle name="40% - Accent4 2 2 26 2" xfId="25161"/>
    <cellStyle name="40% - Accent4 2 2 26 2 2" xfId="52169"/>
    <cellStyle name="40% - Accent4 2 2 26 3" xfId="38665"/>
    <cellStyle name="40% - Accent4 2 2 27" xfId="11349"/>
    <cellStyle name="40% - Accent4 2 2 27 2" xfId="25289"/>
    <cellStyle name="40% - Accent4 2 2 27 2 2" xfId="52297"/>
    <cellStyle name="40% - Accent4 2 2 27 3" xfId="38793"/>
    <cellStyle name="40% - Accent4 2 2 28" xfId="11491"/>
    <cellStyle name="40% - Accent4 2 2 28 2" xfId="25417"/>
    <cellStyle name="40% - Accent4 2 2 28 2 2" xfId="52425"/>
    <cellStyle name="40% - Accent4 2 2 28 3" xfId="38921"/>
    <cellStyle name="40% - Accent4 2 2 29" xfId="11633"/>
    <cellStyle name="40% - Accent4 2 2 29 2" xfId="25545"/>
    <cellStyle name="40% - Accent4 2 2 29 2 2" xfId="52553"/>
    <cellStyle name="40% - Accent4 2 2 29 3" xfId="39049"/>
    <cellStyle name="40% - Accent4 2 2 3" xfId="7941"/>
    <cellStyle name="40% - Accent4 2 2 3 2" xfId="22217"/>
    <cellStyle name="40% - Accent4 2 2 3 2 2" xfId="49225"/>
    <cellStyle name="40% - Accent4 2 2 3 3" xfId="35721"/>
    <cellStyle name="40% - Accent4 2 2 30" xfId="11775"/>
    <cellStyle name="40% - Accent4 2 2 30 2" xfId="25673"/>
    <cellStyle name="40% - Accent4 2 2 30 2 2" xfId="52681"/>
    <cellStyle name="40% - Accent4 2 2 30 3" xfId="39177"/>
    <cellStyle name="40% - Accent4 2 2 31" xfId="11917"/>
    <cellStyle name="40% - Accent4 2 2 31 2" xfId="25801"/>
    <cellStyle name="40% - Accent4 2 2 31 2 2" xfId="52809"/>
    <cellStyle name="40% - Accent4 2 2 31 3" xfId="39305"/>
    <cellStyle name="40% - Accent4 2 2 32" xfId="12059"/>
    <cellStyle name="40% - Accent4 2 2 32 2" xfId="25929"/>
    <cellStyle name="40% - Accent4 2 2 32 2 2" xfId="52937"/>
    <cellStyle name="40% - Accent4 2 2 32 3" xfId="39433"/>
    <cellStyle name="40% - Accent4 2 2 33" xfId="12201"/>
    <cellStyle name="40% - Accent4 2 2 33 2" xfId="26057"/>
    <cellStyle name="40% - Accent4 2 2 33 2 2" xfId="53065"/>
    <cellStyle name="40% - Accent4 2 2 33 3" xfId="39561"/>
    <cellStyle name="40% - Accent4 2 2 34" xfId="12343"/>
    <cellStyle name="40% - Accent4 2 2 34 2" xfId="26185"/>
    <cellStyle name="40% - Accent4 2 2 34 2 2" xfId="53193"/>
    <cellStyle name="40% - Accent4 2 2 34 3" xfId="39689"/>
    <cellStyle name="40% - Accent4 2 2 35" xfId="12485"/>
    <cellStyle name="40% - Accent4 2 2 35 2" xfId="26313"/>
    <cellStyle name="40% - Accent4 2 2 35 2 2" xfId="53321"/>
    <cellStyle name="40% - Accent4 2 2 35 3" xfId="39817"/>
    <cellStyle name="40% - Accent4 2 2 36" xfId="12627"/>
    <cellStyle name="40% - Accent4 2 2 36 2" xfId="26441"/>
    <cellStyle name="40% - Accent4 2 2 36 2 2" xfId="53449"/>
    <cellStyle name="40% - Accent4 2 2 36 3" xfId="39945"/>
    <cellStyle name="40% - Accent4 2 2 37" xfId="12769"/>
    <cellStyle name="40% - Accent4 2 2 37 2" xfId="26569"/>
    <cellStyle name="40% - Accent4 2 2 37 2 2" xfId="53577"/>
    <cellStyle name="40% - Accent4 2 2 37 3" xfId="40073"/>
    <cellStyle name="40% - Accent4 2 2 38" xfId="12911"/>
    <cellStyle name="40% - Accent4 2 2 38 2" xfId="26697"/>
    <cellStyle name="40% - Accent4 2 2 38 2 2" xfId="53705"/>
    <cellStyle name="40% - Accent4 2 2 38 3" xfId="40201"/>
    <cellStyle name="40% - Accent4 2 2 39" xfId="13053"/>
    <cellStyle name="40% - Accent4 2 2 39 2" xfId="26825"/>
    <cellStyle name="40% - Accent4 2 2 39 2 2" xfId="53833"/>
    <cellStyle name="40% - Accent4 2 2 39 3" xfId="40329"/>
    <cellStyle name="40% - Accent4 2 2 4" xfId="8083"/>
    <cellStyle name="40% - Accent4 2 2 4 2" xfId="22345"/>
    <cellStyle name="40% - Accent4 2 2 4 2 2" xfId="49353"/>
    <cellStyle name="40% - Accent4 2 2 4 3" xfId="35849"/>
    <cellStyle name="40% - Accent4 2 2 40" xfId="13195"/>
    <cellStyle name="40% - Accent4 2 2 40 2" xfId="26953"/>
    <cellStyle name="40% - Accent4 2 2 40 2 2" xfId="53961"/>
    <cellStyle name="40% - Accent4 2 2 40 3" xfId="40457"/>
    <cellStyle name="40% - Accent4 2 2 41" xfId="13337"/>
    <cellStyle name="40% - Accent4 2 2 41 2" xfId="27081"/>
    <cellStyle name="40% - Accent4 2 2 41 2 2" xfId="54089"/>
    <cellStyle name="40% - Accent4 2 2 41 3" xfId="40585"/>
    <cellStyle name="40% - Accent4 2 2 42" xfId="13479"/>
    <cellStyle name="40% - Accent4 2 2 42 2" xfId="27209"/>
    <cellStyle name="40% - Accent4 2 2 42 2 2" xfId="54217"/>
    <cellStyle name="40% - Accent4 2 2 42 3" xfId="40713"/>
    <cellStyle name="40% - Accent4 2 2 43" xfId="13621"/>
    <cellStyle name="40% - Accent4 2 2 43 2" xfId="27337"/>
    <cellStyle name="40% - Accent4 2 2 43 2 2" xfId="54345"/>
    <cellStyle name="40% - Accent4 2 2 43 3" xfId="40841"/>
    <cellStyle name="40% - Accent4 2 2 44" xfId="13763"/>
    <cellStyle name="40% - Accent4 2 2 44 2" xfId="27465"/>
    <cellStyle name="40% - Accent4 2 2 44 2 2" xfId="54473"/>
    <cellStyle name="40% - Accent4 2 2 44 3" xfId="40969"/>
    <cellStyle name="40% - Accent4 2 2 45" xfId="13904"/>
    <cellStyle name="40% - Accent4 2 2 45 2" xfId="27592"/>
    <cellStyle name="40% - Accent4 2 2 45 2 2" xfId="54600"/>
    <cellStyle name="40% - Accent4 2 2 45 3" xfId="41096"/>
    <cellStyle name="40% - Accent4 2 2 46" xfId="14045"/>
    <cellStyle name="40% - Accent4 2 2 46 2" xfId="27719"/>
    <cellStyle name="40% - Accent4 2 2 46 2 2" xfId="54727"/>
    <cellStyle name="40% - Accent4 2 2 46 3" xfId="41223"/>
    <cellStyle name="40% - Accent4 2 2 47" xfId="14186"/>
    <cellStyle name="40% - Accent4 2 2 47 2" xfId="27846"/>
    <cellStyle name="40% - Accent4 2 2 47 2 2" xfId="54854"/>
    <cellStyle name="40% - Accent4 2 2 47 3" xfId="41350"/>
    <cellStyle name="40% - Accent4 2 2 48" xfId="14327"/>
    <cellStyle name="40% - Accent4 2 2 48 2" xfId="27973"/>
    <cellStyle name="40% - Accent4 2 2 48 2 2" xfId="54981"/>
    <cellStyle name="40% - Accent4 2 2 48 3" xfId="41477"/>
    <cellStyle name="40% - Accent4 2 2 49" xfId="14467"/>
    <cellStyle name="40% - Accent4 2 2 49 2" xfId="28099"/>
    <cellStyle name="40% - Accent4 2 2 49 2 2" xfId="55107"/>
    <cellStyle name="40% - Accent4 2 2 49 3" xfId="41603"/>
    <cellStyle name="40% - Accent4 2 2 5" xfId="8225"/>
    <cellStyle name="40% - Accent4 2 2 5 2" xfId="22473"/>
    <cellStyle name="40% - Accent4 2 2 5 2 2" xfId="49481"/>
    <cellStyle name="40% - Accent4 2 2 5 3" xfId="35977"/>
    <cellStyle name="40% - Accent4 2 2 50" xfId="14607"/>
    <cellStyle name="40% - Accent4 2 2 50 2" xfId="28225"/>
    <cellStyle name="40% - Accent4 2 2 50 2 2" xfId="55233"/>
    <cellStyle name="40% - Accent4 2 2 50 3" xfId="41729"/>
    <cellStyle name="40% - Accent4 2 2 51" xfId="14746"/>
    <cellStyle name="40% - Accent4 2 2 51 2" xfId="28350"/>
    <cellStyle name="40% - Accent4 2 2 51 2 2" xfId="55358"/>
    <cellStyle name="40% - Accent4 2 2 51 3" xfId="41854"/>
    <cellStyle name="40% - Accent4 2 2 52" xfId="14881"/>
    <cellStyle name="40% - Accent4 2 2 52 2" xfId="28472"/>
    <cellStyle name="40% - Accent4 2 2 52 2 2" xfId="55480"/>
    <cellStyle name="40% - Accent4 2 2 52 3" xfId="41976"/>
    <cellStyle name="40% - Accent4 2 2 53" xfId="15015"/>
    <cellStyle name="40% - Accent4 2 2 53 2" xfId="28593"/>
    <cellStyle name="40% - Accent4 2 2 53 2 2" xfId="55601"/>
    <cellStyle name="40% - Accent4 2 2 53 3" xfId="42097"/>
    <cellStyle name="40% - Accent4 2 2 54" xfId="15143"/>
    <cellStyle name="40% - Accent4 2 2 54 2" xfId="28710"/>
    <cellStyle name="40% - Accent4 2 2 54 2 2" xfId="55718"/>
    <cellStyle name="40% - Accent4 2 2 54 3" xfId="42214"/>
    <cellStyle name="40% - Accent4 2 2 55" xfId="15264"/>
    <cellStyle name="40% - Accent4 2 2 55 2" xfId="28824"/>
    <cellStyle name="40% - Accent4 2 2 55 2 2" xfId="55832"/>
    <cellStyle name="40% - Accent4 2 2 55 3" xfId="42328"/>
    <cellStyle name="40% - Accent4 2 2 56" xfId="15560"/>
    <cellStyle name="40% - Accent4 2 2 56 2" xfId="42568"/>
    <cellStyle name="40% - Accent4 2 2 57" xfId="29064"/>
    <cellStyle name="40% - Accent4 2 2 6" xfId="8367"/>
    <cellStyle name="40% - Accent4 2 2 6 2" xfId="22601"/>
    <cellStyle name="40% - Accent4 2 2 6 2 2" xfId="49609"/>
    <cellStyle name="40% - Accent4 2 2 6 3" xfId="36105"/>
    <cellStyle name="40% - Accent4 2 2 7" xfId="8509"/>
    <cellStyle name="40% - Accent4 2 2 7 2" xfId="22729"/>
    <cellStyle name="40% - Accent4 2 2 7 2 2" xfId="49737"/>
    <cellStyle name="40% - Accent4 2 2 7 3" xfId="36233"/>
    <cellStyle name="40% - Accent4 2 2 8" xfId="8651"/>
    <cellStyle name="40% - Accent4 2 2 8 2" xfId="22857"/>
    <cellStyle name="40% - Accent4 2 2 8 2 2" xfId="49865"/>
    <cellStyle name="40% - Accent4 2 2 8 3" xfId="36361"/>
    <cellStyle name="40% - Accent4 2 2 9" xfId="8793"/>
    <cellStyle name="40% - Accent4 2 2 9 2" xfId="22985"/>
    <cellStyle name="40% - Accent4 2 2 9 2 2" xfId="49993"/>
    <cellStyle name="40% - Accent4 2 2 9 3" xfId="36489"/>
    <cellStyle name="40% - Accent4 2 20" xfId="2067"/>
    <cellStyle name="40% - Accent4 2 20 2" xfId="17118"/>
    <cellStyle name="40% - Accent4 2 20 2 2" xfId="44126"/>
    <cellStyle name="40% - Accent4 2 20 3" xfId="30622"/>
    <cellStyle name="40% - Accent4 2 21" xfId="2173"/>
    <cellStyle name="40% - Accent4 2 21 2" xfId="17210"/>
    <cellStyle name="40% - Accent4 2 21 2 2" xfId="44218"/>
    <cellStyle name="40% - Accent4 2 21 3" xfId="30714"/>
    <cellStyle name="40% - Accent4 2 22" xfId="2279"/>
    <cellStyle name="40% - Accent4 2 22 2" xfId="17302"/>
    <cellStyle name="40% - Accent4 2 22 2 2" xfId="44310"/>
    <cellStyle name="40% - Accent4 2 22 3" xfId="30806"/>
    <cellStyle name="40% - Accent4 2 23" xfId="2385"/>
    <cellStyle name="40% - Accent4 2 23 2" xfId="17394"/>
    <cellStyle name="40% - Accent4 2 23 2 2" xfId="44402"/>
    <cellStyle name="40% - Accent4 2 23 3" xfId="30898"/>
    <cellStyle name="40% - Accent4 2 24" xfId="2491"/>
    <cellStyle name="40% - Accent4 2 24 2" xfId="17486"/>
    <cellStyle name="40% - Accent4 2 24 2 2" xfId="44494"/>
    <cellStyle name="40% - Accent4 2 24 3" xfId="30990"/>
    <cellStyle name="40% - Accent4 2 25" xfId="2597"/>
    <cellStyle name="40% - Accent4 2 25 2" xfId="17578"/>
    <cellStyle name="40% - Accent4 2 25 2 2" xfId="44586"/>
    <cellStyle name="40% - Accent4 2 25 3" xfId="31082"/>
    <cellStyle name="40% - Accent4 2 26" xfId="2703"/>
    <cellStyle name="40% - Accent4 2 26 2" xfId="17670"/>
    <cellStyle name="40% - Accent4 2 26 2 2" xfId="44678"/>
    <cellStyle name="40% - Accent4 2 26 3" xfId="31174"/>
    <cellStyle name="40% - Accent4 2 27" xfId="2809"/>
    <cellStyle name="40% - Accent4 2 27 2" xfId="17762"/>
    <cellStyle name="40% - Accent4 2 27 2 2" xfId="44770"/>
    <cellStyle name="40% - Accent4 2 27 3" xfId="31266"/>
    <cellStyle name="40% - Accent4 2 28" xfId="2915"/>
    <cellStyle name="40% - Accent4 2 28 2" xfId="17854"/>
    <cellStyle name="40% - Accent4 2 28 2 2" xfId="44862"/>
    <cellStyle name="40% - Accent4 2 28 3" xfId="31358"/>
    <cellStyle name="40% - Accent4 2 29" xfId="3021"/>
    <cellStyle name="40% - Accent4 2 29 2" xfId="17946"/>
    <cellStyle name="40% - Accent4 2 29 2 2" xfId="44954"/>
    <cellStyle name="40% - Accent4 2 29 3" xfId="31450"/>
    <cellStyle name="40% - Accent4 2 3" xfId="420"/>
    <cellStyle name="40% - Accent4 2 3 10" xfId="9056"/>
    <cellStyle name="40% - Accent4 2 3 10 2" xfId="23224"/>
    <cellStyle name="40% - Accent4 2 3 10 2 2" xfId="50232"/>
    <cellStyle name="40% - Accent4 2 3 10 3" xfId="36728"/>
    <cellStyle name="40% - Accent4 2 3 11" xfId="9198"/>
    <cellStyle name="40% - Accent4 2 3 11 2" xfId="23352"/>
    <cellStyle name="40% - Accent4 2 3 11 2 2" xfId="50360"/>
    <cellStyle name="40% - Accent4 2 3 11 3" xfId="36856"/>
    <cellStyle name="40% - Accent4 2 3 12" xfId="9340"/>
    <cellStyle name="40% - Accent4 2 3 12 2" xfId="23480"/>
    <cellStyle name="40% - Accent4 2 3 12 2 2" xfId="50488"/>
    <cellStyle name="40% - Accent4 2 3 12 3" xfId="36984"/>
    <cellStyle name="40% - Accent4 2 3 13" xfId="9482"/>
    <cellStyle name="40% - Accent4 2 3 13 2" xfId="23608"/>
    <cellStyle name="40% - Accent4 2 3 13 2 2" xfId="50616"/>
    <cellStyle name="40% - Accent4 2 3 13 3" xfId="37112"/>
    <cellStyle name="40% - Accent4 2 3 14" xfId="9624"/>
    <cellStyle name="40% - Accent4 2 3 14 2" xfId="23736"/>
    <cellStyle name="40% - Accent4 2 3 14 2 2" xfId="50744"/>
    <cellStyle name="40% - Accent4 2 3 14 3" xfId="37240"/>
    <cellStyle name="40% - Accent4 2 3 15" xfId="9766"/>
    <cellStyle name="40% - Accent4 2 3 15 2" xfId="23864"/>
    <cellStyle name="40% - Accent4 2 3 15 2 2" xfId="50872"/>
    <cellStyle name="40% - Accent4 2 3 15 3" xfId="37368"/>
    <cellStyle name="40% - Accent4 2 3 16" xfId="9908"/>
    <cellStyle name="40% - Accent4 2 3 16 2" xfId="23992"/>
    <cellStyle name="40% - Accent4 2 3 16 2 2" xfId="51000"/>
    <cellStyle name="40% - Accent4 2 3 16 3" xfId="37496"/>
    <cellStyle name="40% - Accent4 2 3 17" xfId="10050"/>
    <cellStyle name="40% - Accent4 2 3 17 2" xfId="24120"/>
    <cellStyle name="40% - Accent4 2 3 17 2 2" xfId="51128"/>
    <cellStyle name="40% - Accent4 2 3 17 3" xfId="37624"/>
    <cellStyle name="40% - Accent4 2 3 18" xfId="10192"/>
    <cellStyle name="40% - Accent4 2 3 18 2" xfId="24248"/>
    <cellStyle name="40% - Accent4 2 3 18 2 2" xfId="51256"/>
    <cellStyle name="40% - Accent4 2 3 18 3" xfId="37752"/>
    <cellStyle name="40% - Accent4 2 3 19" xfId="10334"/>
    <cellStyle name="40% - Accent4 2 3 19 2" xfId="24376"/>
    <cellStyle name="40% - Accent4 2 3 19 2 2" xfId="51384"/>
    <cellStyle name="40% - Accent4 2 3 19 3" xfId="37880"/>
    <cellStyle name="40% - Accent4 2 3 2" xfId="7920"/>
    <cellStyle name="40% - Accent4 2 3 2 2" xfId="22200"/>
    <cellStyle name="40% - Accent4 2 3 2 2 2" xfId="49208"/>
    <cellStyle name="40% - Accent4 2 3 2 3" xfId="35704"/>
    <cellStyle name="40% - Accent4 2 3 20" xfId="10476"/>
    <cellStyle name="40% - Accent4 2 3 20 2" xfId="24504"/>
    <cellStyle name="40% - Accent4 2 3 20 2 2" xfId="51512"/>
    <cellStyle name="40% - Accent4 2 3 20 3" xfId="38008"/>
    <cellStyle name="40% - Accent4 2 3 21" xfId="10618"/>
    <cellStyle name="40% - Accent4 2 3 21 2" xfId="24632"/>
    <cellStyle name="40% - Accent4 2 3 21 2 2" xfId="51640"/>
    <cellStyle name="40% - Accent4 2 3 21 3" xfId="38136"/>
    <cellStyle name="40% - Accent4 2 3 22" xfId="10760"/>
    <cellStyle name="40% - Accent4 2 3 22 2" xfId="24760"/>
    <cellStyle name="40% - Accent4 2 3 22 2 2" xfId="51768"/>
    <cellStyle name="40% - Accent4 2 3 22 3" xfId="38264"/>
    <cellStyle name="40% - Accent4 2 3 23" xfId="10902"/>
    <cellStyle name="40% - Accent4 2 3 23 2" xfId="24888"/>
    <cellStyle name="40% - Accent4 2 3 23 2 2" xfId="51896"/>
    <cellStyle name="40% - Accent4 2 3 23 3" xfId="38392"/>
    <cellStyle name="40% - Accent4 2 3 24" xfId="11044"/>
    <cellStyle name="40% - Accent4 2 3 24 2" xfId="25016"/>
    <cellStyle name="40% - Accent4 2 3 24 2 2" xfId="52024"/>
    <cellStyle name="40% - Accent4 2 3 24 3" xfId="38520"/>
    <cellStyle name="40% - Accent4 2 3 25" xfId="11186"/>
    <cellStyle name="40% - Accent4 2 3 25 2" xfId="25144"/>
    <cellStyle name="40% - Accent4 2 3 25 2 2" xfId="52152"/>
    <cellStyle name="40% - Accent4 2 3 25 3" xfId="38648"/>
    <cellStyle name="40% - Accent4 2 3 26" xfId="11328"/>
    <cellStyle name="40% - Accent4 2 3 26 2" xfId="25272"/>
    <cellStyle name="40% - Accent4 2 3 26 2 2" xfId="52280"/>
    <cellStyle name="40% - Accent4 2 3 26 3" xfId="38776"/>
    <cellStyle name="40% - Accent4 2 3 27" xfId="11470"/>
    <cellStyle name="40% - Accent4 2 3 27 2" xfId="25400"/>
    <cellStyle name="40% - Accent4 2 3 27 2 2" xfId="52408"/>
    <cellStyle name="40% - Accent4 2 3 27 3" xfId="38904"/>
    <cellStyle name="40% - Accent4 2 3 28" xfId="11612"/>
    <cellStyle name="40% - Accent4 2 3 28 2" xfId="25528"/>
    <cellStyle name="40% - Accent4 2 3 28 2 2" xfId="52536"/>
    <cellStyle name="40% - Accent4 2 3 28 3" xfId="39032"/>
    <cellStyle name="40% - Accent4 2 3 29" xfId="11754"/>
    <cellStyle name="40% - Accent4 2 3 29 2" xfId="25656"/>
    <cellStyle name="40% - Accent4 2 3 29 2 2" xfId="52664"/>
    <cellStyle name="40% - Accent4 2 3 29 3" xfId="39160"/>
    <cellStyle name="40% - Accent4 2 3 3" xfId="8062"/>
    <cellStyle name="40% - Accent4 2 3 3 2" xfId="22328"/>
    <cellStyle name="40% - Accent4 2 3 3 2 2" xfId="49336"/>
    <cellStyle name="40% - Accent4 2 3 3 3" xfId="35832"/>
    <cellStyle name="40% - Accent4 2 3 30" xfId="11896"/>
    <cellStyle name="40% - Accent4 2 3 30 2" xfId="25784"/>
    <cellStyle name="40% - Accent4 2 3 30 2 2" xfId="52792"/>
    <cellStyle name="40% - Accent4 2 3 30 3" xfId="39288"/>
    <cellStyle name="40% - Accent4 2 3 31" xfId="12038"/>
    <cellStyle name="40% - Accent4 2 3 31 2" xfId="25912"/>
    <cellStyle name="40% - Accent4 2 3 31 2 2" xfId="52920"/>
    <cellStyle name="40% - Accent4 2 3 31 3" xfId="39416"/>
    <cellStyle name="40% - Accent4 2 3 32" xfId="12180"/>
    <cellStyle name="40% - Accent4 2 3 32 2" xfId="26040"/>
    <cellStyle name="40% - Accent4 2 3 32 2 2" xfId="53048"/>
    <cellStyle name="40% - Accent4 2 3 32 3" xfId="39544"/>
    <cellStyle name="40% - Accent4 2 3 33" xfId="12322"/>
    <cellStyle name="40% - Accent4 2 3 33 2" xfId="26168"/>
    <cellStyle name="40% - Accent4 2 3 33 2 2" xfId="53176"/>
    <cellStyle name="40% - Accent4 2 3 33 3" xfId="39672"/>
    <cellStyle name="40% - Accent4 2 3 34" xfId="12464"/>
    <cellStyle name="40% - Accent4 2 3 34 2" xfId="26296"/>
    <cellStyle name="40% - Accent4 2 3 34 2 2" xfId="53304"/>
    <cellStyle name="40% - Accent4 2 3 34 3" xfId="39800"/>
    <cellStyle name="40% - Accent4 2 3 35" xfId="12606"/>
    <cellStyle name="40% - Accent4 2 3 35 2" xfId="26424"/>
    <cellStyle name="40% - Accent4 2 3 35 2 2" xfId="53432"/>
    <cellStyle name="40% - Accent4 2 3 35 3" xfId="39928"/>
    <cellStyle name="40% - Accent4 2 3 36" xfId="12748"/>
    <cellStyle name="40% - Accent4 2 3 36 2" xfId="26552"/>
    <cellStyle name="40% - Accent4 2 3 36 2 2" xfId="53560"/>
    <cellStyle name="40% - Accent4 2 3 36 3" xfId="40056"/>
    <cellStyle name="40% - Accent4 2 3 37" xfId="12890"/>
    <cellStyle name="40% - Accent4 2 3 37 2" xfId="26680"/>
    <cellStyle name="40% - Accent4 2 3 37 2 2" xfId="53688"/>
    <cellStyle name="40% - Accent4 2 3 37 3" xfId="40184"/>
    <cellStyle name="40% - Accent4 2 3 38" xfId="13032"/>
    <cellStyle name="40% - Accent4 2 3 38 2" xfId="26808"/>
    <cellStyle name="40% - Accent4 2 3 38 2 2" xfId="53816"/>
    <cellStyle name="40% - Accent4 2 3 38 3" xfId="40312"/>
    <cellStyle name="40% - Accent4 2 3 39" xfId="13174"/>
    <cellStyle name="40% - Accent4 2 3 39 2" xfId="26936"/>
    <cellStyle name="40% - Accent4 2 3 39 2 2" xfId="53944"/>
    <cellStyle name="40% - Accent4 2 3 39 3" xfId="40440"/>
    <cellStyle name="40% - Accent4 2 3 4" xfId="8204"/>
    <cellStyle name="40% - Accent4 2 3 4 2" xfId="22456"/>
    <cellStyle name="40% - Accent4 2 3 4 2 2" xfId="49464"/>
    <cellStyle name="40% - Accent4 2 3 4 3" xfId="35960"/>
    <cellStyle name="40% - Accent4 2 3 40" xfId="13316"/>
    <cellStyle name="40% - Accent4 2 3 40 2" xfId="27064"/>
    <cellStyle name="40% - Accent4 2 3 40 2 2" xfId="54072"/>
    <cellStyle name="40% - Accent4 2 3 40 3" xfId="40568"/>
    <cellStyle name="40% - Accent4 2 3 41" xfId="13458"/>
    <cellStyle name="40% - Accent4 2 3 41 2" xfId="27192"/>
    <cellStyle name="40% - Accent4 2 3 41 2 2" xfId="54200"/>
    <cellStyle name="40% - Accent4 2 3 41 3" xfId="40696"/>
    <cellStyle name="40% - Accent4 2 3 42" xfId="13600"/>
    <cellStyle name="40% - Accent4 2 3 42 2" xfId="27320"/>
    <cellStyle name="40% - Accent4 2 3 42 2 2" xfId="54328"/>
    <cellStyle name="40% - Accent4 2 3 42 3" xfId="40824"/>
    <cellStyle name="40% - Accent4 2 3 43" xfId="13742"/>
    <cellStyle name="40% - Accent4 2 3 43 2" xfId="27448"/>
    <cellStyle name="40% - Accent4 2 3 43 2 2" xfId="54456"/>
    <cellStyle name="40% - Accent4 2 3 43 3" xfId="40952"/>
    <cellStyle name="40% - Accent4 2 3 44" xfId="13883"/>
    <cellStyle name="40% - Accent4 2 3 44 2" xfId="27575"/>
    <cellStyle name="40% - Accent4 2 3 44 2 2" xfId="54583"/>
    <cellStyle name="40% - Accent4 2 3 44 3" xfId="41079"/>
    <cellStyle name="40% - Accent4 2 3 45" xfId="14024"/>
    <cellStyle name="40% - Accent4 2 3 45 2" xfId="27702"/>
    <cellStyle name="40% - Accent4 2 3 45 2 2" xfId="54710"/>
    <cellStyle name="40% - Accent4 2 3 45 3" xfId="41206"/>
    <cellStyle name="40% - Accent4 2 3 46" xfId="14165"/>
    <cellStyle name="40% - Accent4 2 3 46 2" xfId="27829"/>
    <cellStyle name="40% - Accent4 2 3 46 2 2" xfId="54837"/>
    <cellStyle name="40% - Accent4 2 3 46 3" xfId="41333"/>
    <cellStyle name="40% - Accent4 2 3 47" xfId="14306"/>
    <cellStyle name="40% - Accent4 2 3 47 2" xfId="27956"/>
    <cellStyle name="40% - Accent4 2 3 47 2 2" xfId="54964"/>
    <cellStyle name="40% - Accent4 2 3 47 3" xfId="41460"/>
    <cellStyle name="40% - Accent4 2 3 48" xfId="14446"/>
    <cellStyle name="40% - Accent4 2 3 48 2" xfId="28082"/>
    <cellStyle name="40% - Accent4 2 3 48 2 2" xfId="55090"/>
    <cellStyle name="40% - Accent4 2 3 48 3" xfId="41586"/>
    <cellStyle name="40% - Accent4 2 3 49" xfId="14586"/>
    <cellStyle name="40% - Accent4 2 3 49 2" xfId="28208"/>
    <cellStyle name="40% - Accent4 2 3 49 2 2" xfId="55216"/>
    <cellStyle name="40% - Accent4 2 3 49 3" xfId="41712"/>
    <cellStyle name="40% - Accent4 2 3 5" xfId="8346"/>
    <cellStyle name="40% - Accent4 2 3 5 2" xfId="22584"/>
    <cellStyle name="40% - Accent4 2 3 5 2 2" xfId="49592"/>
    <cellStyle name="40% - Accent4 2 3 5 3" xfId="36088"/>
    <cellStyle name="40% - Accent4 2 3 50" xfId="14725"/>
    <cellStyle name="40% - Accent4 2 3 50 2" xfId="28333"/>
    <cellStyle name="40% - Accent4 2 3 50 2 2" xfId="55341"/>
    <cellStyle name="40% - Accent4 2 3 50 3" xfId="41837"/>
    <cellStyle name="40% - Accent4 2 3 51" xfId="14860"/>
    <cellStyle name="40% - Accent4 2 3 51 2" xfId="28455"/>
    <cellStyle name="40% - Accent4 2 3 51 2 2" xfId="55463"/>
    <cellStyle name="40% - Accent4 2 3 51 3" xfId="41959"/>
    <cellStyle name="40% - Accent4 2 3 52" xfId="14994"/>
    <cellStyle name="40% - Accent4 2 3 52 2" xfId="28576"/>
    <cellStyle name="40% - Accent4 2 3 52 2 2" xfId="55584"/>
    <cellStyle name="40% - Accent4 2 3 52 3" xfId="42080"/>
    <cellStyle name="40% - Accent4 2 3 53" xfId="15123"/>
    <cellStyle name="40% - Accent4 2 3 53 2" xfId="28693"/>
    <cellStyle name="40% - Accent4 2 3 53 2 2" xfId="55701"/>
    <cellStyle name="40% - Accent4 2 3 53 3" xfId="42197"/>
    <cellStyle name="40% - Accent4 2 3 54" xfId="15245"/>
    <cellStyle name="40% - Accent4 2 3 54 2" xfId="28807"/>
    <cellStyle name="40% - Accent4 2 3 54 2 2" xfId="55815"/>
    <cellStyle name="40% - Accent4 2 3 54 3" xfId="42311"/>
    <cellStyle name="40% - Accent4 2 3 55" xfId="15350"/>
    <cellStyle name="40% - Accent4 2 3 55 2" xfId="28910"/>
    <cellStyle name="40% - Accent4 2 3 55 2 2" xfId="55918"/>
    <cellStyle name="40% - Accent4 2 3 55 3" xfId="42414"/>
    <cellStyle name="40% - Accent4 2 3 56" xfId="15688"/>
    <cellStyle name="40% - Accent4 2 3 56 2" xfId="42696"/>
    <cellStyle name="40% - Accent4 2 3 57" xfId="29192"/>
    <cellStyle name="40% - Accent4 2 3 6" xfId="8488"/>
    <cellStyle name="40% - Accent4 2 3 6 2" xfId="22712"/>
    <cellStyle name="40% - Accent4 2 3 6 2 2" xfId="49720"/>
    <cellStyle name="40% - Accent4 2 3 6 3" xfId="36216"/>
    <cellStyle name="40% - Accent4 2 3 7" xfId="8630"/>
    <cellStyle name="40% - Accent4 2 3 7 2" xfId="22840"/>
    <cellStyle name="40% - Accent4 2 3 7 2 2" xfId="49848"/>
    <cellStyle name="40% - Accent4 2 3 7 3" xfId="36344"/>
    <cellStyle name="40% - Accent4 2 3 8" xfId="8772"/>
    <cellStyle name="40% - Accent4 2 3 8 2" xfId="22968"/>
    <cellStyle name="40% - Accent4 2 3 8 2 2" xfId="49976"/>
    <cellStyle name="40% - Accent4 2 3 8 3" xfId="36472"/>
    <cellStyle name="40% - Accent4 2 3 9" xfId="8914"/>
    <cellStyle name="40% - Accent4 2 3 9 2" xfId="23096"/>
    <cellStyle name="40% - Accent4 2 3 9 2 2" xfId="50104"/>
    <cellStyle name="40% - Accent4 2 3 9 3" xfId="36600"/>
    <cellStyle name="40% - Accent4 2 30" xfId="3127"/>
    <cellStyle name="40% - Accent4 2 30 2" xfId="18038"/>
    <cellStyle name="40% - Accent4 2 30 2 2" xfId="45046"/>
    <cellStyle name="40% - Accent4 2 30 3" xfId="31542"/>
    <cellStyle name="40% - Accent4 2 31" xfId="3233"/>
    <cellStyle name="40% - Accent4 2 31 2" xfId="18130"/>
    <cellStyle name="40% - Accent4 2 31 2 2" xfId="45138"/>
    <cellStyle name="40% - Accent4 2 31 3" xfId="31634"/>
    <cellStyle name="40% - Accent4 2 32" xfId="3339"/>
    <cellStyle name="40% - Accent4 2 32 2" xfId="18222"/>
    <cellStyle name="40% - Accent4 2 32 2 2" xfId="45230"/>
    <cellStyle name="40% - Accent4 2 32 3" xfId="31726"/>
    <cellStyle name="40% - Accent4 2 33" xfId="3445"/>
    <cellStyle name="40% - Accent4 2 33 2" xfId="18314"/>
    <cellStyle name="40% - Accent4 2 33 2 2" xfId="45322"/>
    <cellStyle name="40% - Accent4 2 33 3" xfId="31818"/>
    <cellStyle name="40% - Accent4 2 34" xfId="3551"/>
    <cellStyle name="40% - Accent4 2 34 2" xfId="18406"/>
    <cellStyle name="40% - Accent4 2 34 2 2" xfId="45414"/>
    <cellStyle name="40% - Accent4 2 34 3" xfId="31910"/>
    <cellStyle name="40% - Accent4 2 35" xfId="3657"/>
    <cellStyle name="40% - Accent4 2 35 2" xfId="18498"/>
    <cellStyle name="40% - Accent4 2 35 2 2" xfId="45506"/>
    <cellStyle name="40% - Accent4 2 35 3" xfId="32002"/>
    <cellStyle name="40% - Accent4 2 36" xfId="3763"/>
    <cellStyle name="40% - Accent4 2 36 2" xfId="18590"/>
    <cellStyle name="40% - Accent4 2 36 2 2" xfId="45598"/>
    <cellStyle name="40% - Accent4 2 36 3" xfId="32094"/>
    <cellStyle name="40% - Accent4 2 37" xfId="3869"/>
    <cellStyle name="40% - Accent4 2 37 2" xfId="18682"/>
    <cellStyle name="40% - Accent4 2 37 2 2" xfId="45690"/>
    <cellStyle name="40% - Accent4 2 37 3" xfId="32186"/>
    <cellStyle name="40% - Accent4 2 38" xfId="3975"/>
    <cellStyle name="40% - Accent4 2 38 2" xfId="18774"/>
    <cellStyle name="40% - Accent4 2 38 2 2" xfId="45782"/>
    <cellStyle name="40% - Accent4 2 38 3" xfId="32278"/>
    <cellStyle name="40% - Accent4 2 39" xfId="4081"/>
    <cellStyle name="40% - Accent4 2 39 2" xfId="18866"/>
    <cellStyle name="40% - Accent4 2 39 2 2" xfId="45874"/>
    <cellStyle name="40% - Accent4 2 39 3" xfId="32370"/>
    <cellStyle name="40% - Accent4 2 4" xfId="297"/>
    <cellStyle name="40% - Accent4 2 4 2" xfId="15599"/>
    <cellStyle name="40% - Accent4 2 4 2 2" xfId="42607"/>
    <cellStyle name="40% - Accent4 2 4 3" xfId="29103"/>
    <cellStyle name="40% - Accent4 2 40" xfId="4187"/>
    <cellStyle name="40% - Accent4 2 40 2" xfId="18958"/>
    <cellStyle name="40% - Accent4 2 40 2 2" xfId="45966"/>
    <cellStyle name="40% - Accent4 2 40 3" xfId="32462"/>
    <cellStyle name="40% - Accent4 2 41" xfId="4293"/>
    <cellStyle name="40% - Accent4 2 41 2" xfId="19050"/>
    <cellStyle name="40% - Accent4 2 41 2 2" xfId="46058"/>
    <cellStyle name="40% - Accent4 2 41 3" xfId="32554"/>
    <cellStyle name="40% - Accent4 2 42" xfId="4399"/>
    <cellStyle name="40% - Accent4 2 42 2" xfId="19142"/>
    <cellStyle name="40% - Accent4 2 42 2 2" xfId="46150"/>
    <cellStyle name="40% - Accent4 2 42 3" xfId="32646"/>
    <cellStyle name="40% - Accent4 2 43" xfId="4505"/>
    <cellStyle name="40% - Accent4 2 43 2" xfId="19234"/>
    <cellStyle name="40% - Accent4 2 43 2 2" xfId="46242"/>
    <cellStyle name="40% - Accent4 2 43 3" xfId="32738"/>
    <cellStyle name="40% - Accent4 2 44" xfId="4611"/>
    <cellStyle name="40% - Accent4 2 44 2" xfId="19326"/>
    <cellStyle name="40% - Accent4 2 44 2 2" xfId="46334"/>
    <cellStyle name="40% - Accent4 2 44 3" xfId="32830"/>
    <cellStyle name="40% - Accent4 2 45" xfId="4717"/>
    <cellStyle name="40% - Accent4 2 45 2" xfId="19418"/>
    <cellStyle name="40% - Accent4 2 45 2 2" xfId="46426"/>
    <cellStyle name="40% - Accent4 2 45 3" xfId="32922"/>
    <cellStyle name="40% - Accent4 2 46" xfId="4823"/>
    <cellStyle name="40% - Accent4 2 46 2" xfId="19510"/>
    <cellStyle name="40% - Accent4 2 46 2 2" xfId="46518"/>
    <cellStyle name="40% - Accent4 2 46 3" xfId="33014"/>
    <cellStyle name="40% - Accent4 2 47" xfId="4929"/>
    <cellStyle name="40% - Accent4 2 47 2" xfId="19602"/>
    <cellStyle name="40% - Accent4 2 47 2 2" xfId="46610"/>
    <cellStyle name="40% - Accent4 2 47 3" xfId="33106"/>
    <cellStyle name="40% - Accent4 2 48" xfId="5035"/>
    <cellStyle name="40% - Accent4 2 48 2" xfId="19694"/>
    <cellStyle name="40% - Accent4 2 48 2 2" xfId="46702"/>
    <cellStyle name="40% - Accent4 2 48 3" xfId="33198"/>
    <cellStyle name="40% - Accent4 2 49" xfId="5141"/>
    <cellStyle name="40% - Accent4 2 49 2" xfId="19786"/>
    <cellStyle name="40% - Accent4 2 49 2 2" xfId="46794"/>
    <cellStyle name="40% - Accent4 2 49 3" xfId="33290"/>
    <cellStyle name="40% - Accent4 2 5" xfId="453"/>
    <cellStyle name="40% - Accent4 2 5 2" xfId="15717"/>
    <cellStyle name="40% - Accent4 2 5 2 2" xfId="42725"/>
    <cellStyle name="40% - Accent4 2 5 3" xfId="29221"/>
    <cellStyle name="40% - Accent4 2 50" xfId="5247"/>
    <cellStyle name="40% - Accent4 2 50 2" xfId="19878"/>
    <cellStyle name="40% - Accent4 2 50 2 2" xfId="46886"/>
    <cellStyle name="40% - Accent4 2 50 3" xfId="33382"/>
    <cellStyle name="40% - Accent4 2 51" xfId="5353"/>
    <cellStyle name="40% - Accent4 2 51 2" xfId="19970"/>
    <cellStyle name="40% - Accent4 2 51 2 2" xfId="46978"/>
    <cellStyle name="40% - Accent4 2 51 3" xfId="33474"/>
    <cellStyle name="40% - Accent4 2 52" xfId="5459"/>
    <cellStyle name="40% - Accent4 2 52 2" xfId="20062"/>
    <cellStyle name="40% - Accent4 2 52 2 2" xfId="47070"/>
    <cellStyle name="40% - Accent4 2 52 3" xfId="33566"/>
    <cellStyle name="40% - Accent4 2 53" xfId="5565"/>
    <cellStyle name="40% - Accent4 2 53 2" xfId="20154"/>
    <cellStyle name="40% - Accent4 2 53 2 2" xfId="47162"/>
    <cellStyle name="40% - Accent4 2 53 3" xfId="33658"/>
    <cellStyle name="40% - Accent4 2 54" xfId="5671"/>
    <cellStyle name="40% - Accent4 2 54 2" xfId="20246"/>
    <cellStyle name="40% - Accent4 2 54 2 2" xfId="47254"/>
    <cellStyle name="40% - Accent4 2 54 3" xfId="33750"/>
    <cellStyle name="40% - Accent4 2 55" xfId="5777"/>
    <cellStyle name="40% - Accent4 2 55 2" xfId="20338"/>
    <cellStyle name="40% - Accent4 2 55 2 2" xfId="47346"/>
    <cellStyle name="40% - Accent4 2 55 3" xfId="33842"/>
    <cellStyle name="40% - Accent4 2 56" xfId="5883"/>
    <cellStyle name="40% - Accent4 2 56 2" xfId="20430"/>
    <cellStyle name="40% - Accent4 2 56 2 2" xfId="47438"/>
    <cellStyle name="40% - Accent4 2 56 3" xfId="33934"/>
    <cellStyle name="40% - Accent4 2 57" xfId="5989"/>
    <cellStyle name="40% - Accent4 2 57 2" xfId="20522"/>
    <cellStyle name="40% - Accent4 2 57 2 2" xfId="47530"/>
    <cellStyle name="40% - Accent4 2 57 3" xfId="34026"/>
    <cellStyle name="40% - Accent4 2 58" xfId="6095"/>
    <cellStyle name="40% - Accent4 2 58 2" xfId="20614"/>
    <cellStyle name="40% - Accent4 2 58 2 2" xfId="47622"/>
    <cellStyle name="40% - Accent4 2 58 3" xfId="34118"/>
    <cellStyle name="40% - Accent4 2 59" xfId="6201"/>
    <cellStyle name="40% - Accent4 2 59 2" xfId="20706"/>
    <cellStyle name="40% - Accent4 2 59 2 2" xfId="47714"/>
    <cellStyle name="40% - Accent4 2 59 3" xfId="34210"/>
    <cellStyle name="40% - Accent4 2 6" xfId="583"/>
    <cellStyle name="40% - Accent4 2 6 2" xfId="15830"/>
    <cellStyle name="40% - Accent4 2 6 2 2" xfId="42838"/>
    <cellStyle name="40% - Accent4 2 6 3" xfId="29334"/>
    <cellStyle name="40% - Accent4 2 60" xfId="6307"/>
    <cellStyle name="40% - Accent4 2 60 2" xfId="20798"/>
    <cellStyle name="40% - Accent4 2 60 2 2" xfId="47806"/>
    <cellStyle name="40% - Accent4 2 60 3" xfId="34302"/>
    <cellStyle name="40% - Accent4 2 61" xfId="6413"/>
    <cellStyle name="40% - Accent4 2 61 2" xfId="20890"/>
    <cellStyle name="40% - Accent4 2 61 2 2" xfId="47898"/>
    <cellStyle name="40% - Accent4 2 61 3" xfId="34394"/>
    <cellStyle name="40% - Accent4 2 62" xfId="6519"/>
    <cellStyle name="40% - Accent4 2 62 2" xfId="20982"/>
    <cellStyle name="40% - Accent4 2 62 2 2" xfId="47990"/>
    <cellStyle name="40% - Accent4 2 62 3" xfId="34486"/>
    <cellStyle name="40% - Accent4 2 63" xfId="6624"/>
    <cellStyle name="40% - Accent4 2 63 2" xfId="21073"/>
    <cellStyle name="40% - Accent4 2 63 2 2" xfId="48081"/>
    <cellStyle name="40% - Accent4 2 63 3" xfId="34577"/>
    <cellStyle name="40% - Accent4 2 64" xfId="6729"/>
    <cellStyle name="40% - Accent4 2 64 2" xfId="21164"/>
    <cellStyle name="40% - Accent4 2 64 2 2" xfId="48172"/>
    <cellStyle name="40% - Accent4 2 64 3" xfId="34668"/>
    <cellStyle name="40% - Accent4 2 65" xfId="6834"/>
    <cellStyle name="40% - Accent4 2 65 2" xfId="21255"/>
    <cellStyle name="40% - Accent4 2 65 2 2" xfId="48263"/>
    <cellStyle name="40% - Accent4 2 65 3" xfId="34759"/>
    <cellStyle name="40% - Accent4 2 66" xfId="6939"/>
    <cellStyle name="40% - Accent4 2 66 2" xfId="21346"/>
    <cellStyle name="40% - Accent4 2 66 2 2" xfId="48354"/>
    <cellStyle name="40% - Accent4 2 66 3" xfId="34850"/>
    <cellStyle name="40% - Accent4 2 67" xfId="7044"/>
    <cellStyle name="40% - Accent4 2 67 2" xfId="21437"/>
    <cellStyle name="40% - Accent4 2 67 2 2" xfId="48445"/>
    <cellStyle name="40% - Accent4 2 67 3" xfId="34941"/>
    <cellStyle name="40% - Accent4 2 68" xfId="7148"/>
    <cellStyle name="40% - Accent4 2 68 2" xfId="21527"/>
    <cellStyle name="40% - Accent4 2 68 2 2" xfId="48535"/>
    <cellStyle name="40% - Accent4 2 68 3" xfId="35031"/>
    <cellStyle name="40% - Accent4 2 69" xfId="7251"/>
    <cellStyle name="40% - Accent4 2 69 2" xfId="21616"/>
    <cellStyle name="40% - Accent4 2 69 2 2" xfId="48624"/>
    <cellStyle name="40% - Accent4 2 69 3" xfId="35120"/>
    <cellStyle name="40% - Accent4 2 7" xfId="689"/>
    <cellStyle name="40% - Accent4 2 7 2" xfId="15922"/>
    <cellStyle name="40% - Accent4 2 7 2 2" xfId="42930"/>
    <cellStyle name="40% - Accent4 2 7 3" xfId="29426"/>
    <cellStyle name="40% - Accent4 2 70" xfId="7351"/>
    <cellStyle name="40% - Accent4 2 70 2" xfId="21703"/>
    <cellStyle name="40% - Accent4 2 70 2 2" xfId="48711"/>
    <cellStyle name="40% - Accent4 2 70 3" xfId="35207"/>
    <cellStyle name="40% - Accent4 2 71" xfId="7449"/>
    <cellStyle name="40% - Accent4 2 71 2" xfId="21788"/>
    <cellStyle name="40% - Accent4 2 71 2 2" xfId="48796"/>
    <cellStyle name="40% - Accent4 2 71 3" xfId="35292"/>
    <cellStyle name="40% - Accent4 2 72" xfId="7542"/>
    <cellStyle name="40% - Accent4 2 72 2" xfId="21869"/>
    <cellStyle name="40% - Accent4 2 72 2 2" xfId="48877"/>
    <cellStyle name="40% - Accent4 2 72 3" xfId="35373"/>
    <cellStyle name="40% - Accent4 2 73" xfId="7732"/>
    <cellStyle name="40% - Accent4 2 73 2" xfId="22034"/>
    <cellStyle name="40% - Accent4 2 73 2 2" xfId="49042"/>
    <cellStyle name="40% - Accent4 2 73 3" xfId="35538"/>
    <cellStyle name="40% - Accent4 2 74" xfId="7764"/>
    <cellStyle name="40% - Accent4 2 74 2" xfId="22062"/>
    <cellStyle name="40% - Accent4 2 74 2 2" xfId="49070"/>
    <cellStyle name="40% - Accent4 2 74 3" xfId="35566"/>
    <cellStyle name="40% - Accent4 2 75" xfId="7898"/>
    <cellStyle name="40% - Accent4 2 75 2" xfId="22179"/>
    <cellStyle name="40% - Accent4 2 75 2 2" xfId="49187"/>
    <cellStyle name="40% - Accent4 2 75 3" xfId="35683"/>
    <cellStyle name="40% - Accent4 2 76" xfId="8040"/>
    <cellStyle name="40% - Accent4 2 76 2" xfId="22307"/>
    <cellStyle name="40% - Accent4 2 76 2 2" xfId="49315"/>
    <cellStyle name="40% - Accent4 2 76 3" xfId="35811"/>
    <cellStyle name="40% - Accent4 2 77" xfId="8182"/>
    <cellStyle name="40% - Accent4 2 77 2" xfId="22435"/>
    <cellStyle name="40% - Accent4 2 77 2 2" xfId="49443"/>
    <cellStyle name="40% - Accent4 2 77 3" xfId="35939"/>
    <cellStyle name="40% - Accent4 2 78" xfId="8324"/>
    <cellStyle name="40% - Accent4 2 78 2" xfId="22563"/>
    <cellStyle name="40% - Accent4 2 78 2 2" xfId="49571"/>
    <cellStyle name="40% - Accent4 2 78 3" xfId="36067"/>
    <cellStyle name="40% - Accent4 2 79" xfId="8466"/>
    <cellStyle name="40% - Accent4 2 79 2" xfId="22691"/>
    <cellStyle name="40% - Accent4 2 79 2 2" xfId="49699"/>
    <cellStyle name="40% - Accent4 2 79 3" xfId="36195"/>
    <cellStyle name="40% - Accent4 2 8" xfId="795"/>
    <cellStyle name="40% - Accent4 2 8 2" xfId="16014"/>
    <cellStyle name="40% - Accent4 2 8 2 2" xfId="43022"/>
    <cellStyle name="40% - Accent4 2 8 3" xfId="29518"/>
    <cellStyle name="40% - Accent4 2 80" xfId="8608"/>
    <cellStyle name="40% - Accent4 2 80 2" xfId="22819"/>
    <cellStyle name="40% - Accent4 2 80 2 2" xfId="49827"/>
    <cellStyle name="40% - Accent4 2 80 3" xfId="36323"/>
    <cellStyle name="40% - Accent4 2 81" xfId="8750"/>
    <cellStyle name="40% - Accent4 2 81 2" xfId="22947"/>
    <cellStyle name="40% - Accent4 2 81 2 2" xfId="49955"/>
    <cellStyle name="40% - Accent4 2 81 3" xfId="36451"/>
    <cellStyle name="40% - Accent4 2 82" xfId="8892"/>
    <cellStyle name="40% - Accent4 2 82 2" xfId="23075"/>
    <cellStyle name="40% - Accent4 2 82 2 2" xfId="50083"/>
    <cellStyle name="40% - Accent4 2 82 3" xfId="36579"/>
    <cellStyle name="40% - Accent4 2 83" xfId="9034"/>
    <cellStyle name="40% - Accent4 2 83 2" xfId="23203"/>
    <cellStyle name="40% - Accent4 2 83 2 2" xfId="50211"/>
    <cellStyle name="40% - Accent4 2 83 3" xfId="36707"/>
    <cellStyle name="40% - Accent4 2 84" xfId="9176"/>
    <cellStyle name="40% - Accent4 2 84 2" xfId="23331"/>
    <cellStyle name="40% - Accent4 2 84 2 2" xfId="50339"/>
    <cellStyle name="40% - Accent4 2 84 3" xfId="36835"/>
    <cellStyle name="40% - Accent4 2 85" xfId="9318"/>
    <cellStyle name="40% - Accent4 2 85 2" xfId="23459"/>
    <cellStyle name="40% - Accent4 2 85 2 2" xfId="50467"/>
    <cellStyle name="40% - Accent4 2 85 3" xfId="36963"/>
    <cellStyle name="40% - Accent4 2 86" xfId="9460"/>
    <cellStyle name="40% - Accent4 2 86 2" xfId="23587"/>
    <cellStyle name="40% - Accent4 2 86 2 2" xfId="50595"/>
    <cellStyle name="40% - Accent4 2 86 3" xfId="37091"/>
    <cellStyle name="40% - Accent4 2 87" xfId="9602"/>
    <cellStyle name="40% - Accent4 2 87 2" xfId="23715"/>
    <cellStyle name="40% - Accent4 2 87 2 2" xfId="50723"/>
    <cellStyle name="40% - Accent4 2 87 3" xfId="37219"/>
    <cellStyle name="40% - Accent4 2 88" xfId="9744"/>
    <cellStyle name="40% - Accent4 2 88 2" xfId="23843"/>
    <cellStyle name="40% - Accent4 2 88 2 2" xfId="50851"/>
    <cellStyle name="40% - Accent4 2 88 3" xfId="37347"/>
    <cellStyle name="40% - Accent4 2 89" xfId="9886"/>
    <cellStyle name="40% - Accent4 2 89 2" xfId="23971"/>
    <cellStyle name="40% - Accent4 2 89 2 2" xfId="50979"/>
    <cellStyle name="40% - Accent4 2 89 3" xfId="37475"/>
    <cellStyle name="40% - Accent4 2 9" xfId="901"/>
    <cellStyle name="40% - Accent4 2 9 2" xfId="16106"/>
    <cellStyle name="40% - Accent4 2 9 2 2" xfId="43114"/>
    <cellStyle name="40% - Accent4 2 9 3" xfId="29610"/>
    <cellStyle name="40% - Accent4 2 90" xfId="10028"/>
    <cellStyle name="40% - Accent4 2 90 2" xfId="24099"/>
    <cellStyle name="40% - Accent4 2 90 2 2" xfId="51107"/>
    <cellStyle name="40% - Accent4 2 90 3" xfId="37603"/>
    <cellStyle name="40% - Accent4 2 91" xfId="10170"/>
    <cellStyle name="40% - Accent4 2 91 2" xfId="24227"/>
    <cellStyle name="40% - Accent4 2 91 2 2" xfId="51235"/>
    <cellStyle name="40% - Accent4 2 91 3" xfId="37731"/>
    <cellStyle name="40% - Accent4 2 92" xfId="10312"/>
    <cellStyle name="40% - Accent4 2 92 2" xfId="24355"/>
    <cellStyle name="40% - Accent4 2 92 2 2" xfId="51363"/>
    <cellStyle name="40% - Accent4 2 92 3" xfId="37859"/>
    <cellStyle name="40% - Accent4 2 93" xfId="10454"/>
    <cellStyle name="40% - Accent4 2 93 2" xfId="24483"/>
    <cellStyle name="40% - Accent4 2 93 2 2" xfId="51491"/>
    <cellStyle name="40% - Accent4 2 93 3" xfId="37987"/>
    <cellStyle name="40% - Accent4 2 94" xfId="10596"/>
    <cellStyle name="40% - Accent4 2 94 2" xfId="24611"/>
    <cellStyle name="40% - Accent4 2 94 2 2" xfId="51619"/>
    <cellStyle name="40% - Accent4 2 94 3" xfId="38115"/>
    <cellStyle name="40% - Accent4 2 95" xfId="10738"/>
    <cellStyle name="40% - Accent4 2 95 2" xfId="24739"/>
    <cellStyle name="40% - Accent4 2 95 2 2" xfId="51747"/>
    <cellStyle name="40% - Accent4 2 95 3" xfId="38243"/>
    <cellStyle name="40% - Accent4 2 96" xfId="10880"/>
    <cellStyle name="40% - Accent4 2 96 2" xfId="24867"/>
    <cellStyle name="40% - Accent4 2 96 2 2" xfId="51875"/>
    <cellStyle name="40% - Accent4 2 96 3" xfId="38371"/>
    <cellStyle name="40% - Accent4 2 97" xfId="11022"/>
    <cellStyle name="40% - Accent4 2 97 2" xfId="24995"/>
    <cellStyle name="40% - Accent4 2 97 2 2" xfId="52003"/>
    <cellStyle name="40% - Accent4 2 97 3" xfId="38499"/>
    <cellStyle name="40% - Accent4 2 98" xfId="11164"/>
    <cellStyle name="40% - Accent4 2 98 2" xfId="25123"/>
    <cellStyle name="40% - Accent4 2 98 2 2" xfId="52131"/>
    <cellStyle name="40% - Accent4 2 98 3" xfId="38627"/>
    <cellStyle name="40% - Accent4 2 99" xfId="11306"/>
    <cellStyle name="40% - Accent4 2 99 2" xfId="25251"/>
    <cellStyle name="40% - Accent4 2 99 2 2" xfId="52259"/>
    <cellStyle name="40% - Accent4 2 99 3" xfId="38755"/>
    <cellStyle name="40% - Accent4 3" xfId="107"/>
    <cellStyle name="40% - Accent4 3 10" xfId="1225"/>
    <cellStyle name="40% - Accent4 3 10 2" xfId="16387"/>
    <cellStyle name="40% - Accent4 3 10 2 2" xfId="43395"/>
    <cellStyle name="40% - Accent4 3 10 3" xfId="29891"/>
    <cellStyle name="40% - Accent4 3 100" xfId="11761"/>
    <cellStyle name="40% - Accent4 3 100 2" xfId="25661"/>
    <cellStyle name="40% - Accent4 3 100 2 2" xfId="52669"/>
    <cellStyle name="40% - Accent4 3 100 3" xfId="39165"/>
    <cellStyle name="40% - Accent4 3 101" xfId="11903"/>
    <cellStyle name="40% - Accent4 3 101 2" xfId="25789"/>
    <cellStyle name="40% - Accent4 3 101 2 2" xfId="52797"/>
    <cellStyle name="40% - Accent4 3 101 3" xfId="39293"/>
    <cellStyle name="40% - Accent4 3 102" xfId="12045"/>
    <cellStyle name="40% - Accent4 3 102 2" xfId="25917"/>
    <cellStyle name="40% - Accent4 3 102 2 2" xfId="52925"/>
    <cellStyle name="40% - Accent4 3 102 3" xfId="39421"/>
    <cellStyle name="40% - Accent4 3 103" xfId="12187"/>
    <cellStyle name="40% - Accent4 3 103 2" xfId="26045"/>
    <cellStyle name="40% - Accent4 3 103 2 2" xfId="53053"/>
    <cellStyle name="40% - Accent4 3 103 3" xfId="39549"/>
    <cellStyle name="40% - Accent4 3 104" xfId="12329"/>
    <cellStyle name="40% - Accent4 3 104 2" xfId="26173"/>
    <cellStyle name="40% - Accent4 3 104 2 2" xfId="53181"/>
    <cellStyle name="40% - Accent4 3 104 3" xfId="39677"/>
    <cellStyle name="40% - Accent4 3 105" xfId="12471"/>
    <cellStyle name="40% - Accent4 3 105 2" xfId="26301"/>
    <cellStyle name="40% - Accent4 3 105 2 2" xfId="53309"/>
    <cellStyle name="40% - Accent4 3 105 3" xfId="39805"/>
    <cellStyle name="40% - Accent4 3 106" xfId="12613"/>
    <cellStyle name="40% - Accent4 3 106 2" xfId="26429"/>
    <cellStyle name="40% - Accent4 3 106 2 2" xfId="53437"/>
    <cellStyle name="40% - Accent4 3 106 3" xfId="39933"/>
    <cellStyle name="40% - Accent4 3 107" xfId="12755"/>
    <cellStyle name="40% - Accent4 3 107 2" xfId="26557"/>
    <cellStyle name="40% - Accent4 3 107 2 2" xfId="53565"/>
    <cellStyle name="40% - Accent4 3 107 3" xfId="40061"/>
    <cellStyle name="40% - Accent4 3 108" xfId="12897"/>
    <cellStyle name="40% - Accent4 3 108 2" xfId="26685"/>
    <cellStyle name="40% - Accent4 3 108 2 2" xfId="53693"/>
    <cellStyle name="40% - Accent4 3 108 3" xfId="40189"/>
    <cellStyle name="40% - Accent4 3 109" xfId="13039"/>
    <cellStyle name="40% - Accent4 3 109 2" xfId="26813"/>
    <cellStyle name="40% - Accent4 3 109 2 2" xfId="53821"/>
    <cellStyle name="40% - Accent4 3 109 3" xfId="40317"/>
    <cellStyle name="40% - Accent4 3 11" xfId="1331"/>
    <cellStyle name="40% - Accent4 3 11 2" xfId="16479"/>
    <cellStyle name="40% - Accent4 3 11 2 2" xfId="43487"/>
    <cellStyle name="40% - Accent4 3 11 3" xfId="29983"/>
    <cellStyle name="40% - Accent4 3 110" xfId="13181"/>
    <cellStyle name="40% - Accent4 3 110 2" xfId="26941"/>
    <cellStyle name="40% - Accent4 3 110 2 2" xfId="53949"/>
    <cellStyle name="40% - Accent4 3 110 3" xfId="40445"/>
    <cellStyle name="40% - Accent4 3 111" xfId="13323"/>
    <cellStyle name="40% - Accent4 3 111 2" xfId="27069"/>
    <cellStyle name="40% - Accent4 3 111 2 2" xfId="54077"/>
    <cellStyle name="40% - Accent4 3 111 3" xfId="40573"/>
    <cellStyle name="40% - Accent4 3 112" xfId="13465"/>
    <cellStyle name="40% - Accent4 3 112 2" xfId="27197"/>
    <cellStyle name="40% - Accent4 3 112 2 2" xfId="54205"/>
    <cellStyle name="40% - Accent4 3 112 3" xfId="40701"/>
    <cellStyle name="40% - Accent4 3 113" xfId="13607"/>
    <cellStyle name="40% - Accent4 3 113 2" xfId="27325"/>
    <cellStyle name="40% - Accent4 3 113 2 2" xfId="54333"/>
    <cellStyle name="40% - Accent4 3 113 3" xfId="40829"/>
    <cellStyle name="40% - Accent4 3 114" xfId="13749"/>
    <cellStyle name="40% - Accent4 3 114 2" xfId="27453"/>
    <cellStyle name="40% - Accent4 3 114 2 2" xfId="54461"/>
    <cellStyle name="40% - Accent4 3 114 3" xfId="40957"/>
    <cellStyle name="40% - Accent4 3 115" xfId="13890"/>
    <cellStyle name="40% - Accent4 3 115 2" xfId="27580"/>
    <cellStyle name="40% - Accent4 3 115 2 2" xfId="54588"/>
    <cellStyle name="40% - Accent4 3 115 3" xfId="41084"/>
    <cellStyle name="40% - Accent4 3 116" xfId="14031"/>
    <cellStyle name="40% - Accent4 3 116 2" xfId="27707"/>
    <cellStyle name="40% - Accent4 3 116 2 2" xfId="54715"/>
    <cellStyle name="40% - Accent4 3 116 3" xfId="41211"/>
    <cellStyle name="40% - Accent4 3 117" xfId="14172"/>
    <cellStyle name="40% - Accent4 3 117 2" xfId="27834"/>
    <cellStyle name="40% - Accent4 3 117 2 2" xfId="54842"/>
    <cellStyle name="40% - Accent4 3 117 3" xfId="41338"/>
    <cellStyle name="40% - Accent4 3 118" xfId="14313"/>
    <cellStyle name="40% - Accent4 3 118 2" xfId="27961"/>
    <cellStyle name="40% - Accent4 3 118 2 2" xfId="54969"/>
    <cellStyle name="40% - Accent4 3 118 3" xfId="41465"/>
    <cellStyle name="40% - Accent4 3 119" xfId="14453"/>
    <cellStyle name="40% - Accent4 3 119 2" xfId="28087"/>
    <cellStyle name="40% - Accent4 3 119 2 2" xfId="55095"/>
    <cellStyle name="40% - Accent4 3 119 3" xfId="41591"/>
    <cellStyle name="40% - Accent4 3 12" xfId="1437"/>
    <cellStyle name="40% - Accent4 3 12 2" xfId="16571"/>
    <cellStyle name="40% - Accent4 3 12 2 2" xfId="43579"/>
    <cellStyle name="40% - Accent4 3 12 3" xfId="30075"/>
    <cellStyle name="40% - Accent4 3 120" xfId="14593"/>
    <cellStyle name="40% - Accent4 3 120 2" xfId="28213"/>
    <cellStyle name="40% - Accent4 3 120 2 2" xfId="55221"/>
    <cellStyle name="40% - Accent4 3 120 3" xfId="41717"/>
    <cellStyle name="40% - Accent4 3 121" xfId="14732"/>
    <cellStyle name="40% - Accent4 3 121 2" xfId="28338"/>
    <cellStyle name="40% - Accent4 3 121 2 2" xfId="55346"/>
    <cellStyle name="40% - Accent4 3 121 3" xfId="41842"/>
    <cellStyle name="40% - Accent4 3 122" xfId="14867"/>
    <cellStyle name="40% - Accent4 3 122 2" xfId="28460"/>
    <cellStyle name="40% - Accent4 3 122 2 2" xfId="55468"/>
    <cellStyle name="40% - Accent4 3 122 3" xfId="41964"/>
    <cellStyle name="40% - Accent4 3 123" xfId="15001"/>
    <cellStyle name="40% - Accent4 3 123 2" xfId="28581"/>
    <cellStyle name="40% - Accent4 3 123 2 2" xfId="55589"/>
    <cellStyle name="40% - Accent4 3 123 3" xfId="42085"/>
    <cellStyle name="40% - Accent4 3 124" xfId="15130"/>
    <cellStyle name="40% - Accent4 3 124 2" xfId="28698"/>
    <cellStyle name="40% - Accent4 3 124 2 2" xfId="55706"/>
    <cellStyle name="40% - Accent4 3 124 3" xfId="42202"/>
    <cellStyle name="40% - Accent4 3 125" xfId="15252"/>
    <cellStyle name="40% - Accent4 3 125 2" xfId="28812"/>
    <cellStyle name="40% - Accent4 3 125 2 2" xfId="55820"/>
    <cellStyle name="40% - Accent4 3 125 3" xfId="42316"/>
    <cellStyle name="40% - Accent4 3 126" xfId="15467"/>
    <cellStyle name="40% - Accent4 3 126 2" xfId="42475"/>
    <cellStyle name="40% - Accent4 3 127" xfId="28971"/>
    <cellStyle name="40% - Accent4 3 13" xfId="1543"/>
    <cellStyle name="40% - Accent4 3 13 2" xfId="16663"/>
    <cellStyle name="40% - Accent4 3 13 2 2" xfId="43671"/>
    <cellStyle name="40% - Accent4 3 13 3" xfId="30167"/>
    <cellStyle name="40% - Accent4 3 14" xfId="1649"/>
    <cellStyle name="40% - Accent4 3 14 2" xfId="16755"/>
    <cellStyle name="40% - Accent4 3 14 2 2" xfId="43763"/>
    <cellStyle name="40% - Accent4 3 14 3" xfId="30259"/>
    <cellStyle name="40% - Accent4 3 15" xfId="1755"/>
    <cellStyle name="40% - Accent4 3 15 2" xfId="16847"/>
    <cellStyle name="40% - Accent4 3 15 2 2" xfId="43855"/>
    <cellStyle name="40% - Accent4 3 15 3" xfId="30351"/>
    <cellStyle name="40% - Accent4 3 16" xfId="1861"/>
    <cellStyle name="40% - Accent4 3 16 2" xfId="16939"/>
    <cellStyle name="40% - Accent4 3 16 2 2" xfId="43947"/>
    <cellStyle name="40% - Accent4 3 16 3" xfId="30443"/>
    <cellStyle name="40% - Accent4 3 17" xfId="1967"/>
    <cellStyle name="40% - Accent4 3 17 2" xfId="17031"/>
    <cellStyle name="40% - Accent4 3 17 2 2" xfId="44039"/>
    <cellStyle name="40% - Accent4 3 17 3" xfId="30535"/>
    <cellStyle name="40% - Accent4 3 18" xfId="2073"/>
    <cellStyle name="40% - Accent4 3 18 2" xfId="17123"/>
    <cellStyle name="40% - Accent4 3 18 2 2" xfId="44131"/>
    <cellStyle name="40% - Accent4 3 18 3" xfId="30627"/>
    <cellStyle name="40% - Accent4 3 19" xfId="2179"/>
    <cellStyle name="40% - Accent4 3 19 2" xfId="17215"/>
    <cellStyle name="40% - Accent4 3 19 2 2" xfId="44223"/>
    <cellStyle name="40% - Accent4 3 19 3" xfId="30719"/>
    <cellStyle name="40% - Accent4 3 2" xfId="284"/>
    <cellStyle name="40% - Accent4 3 2 2" xfId="15588"/>
    <cellStyle name="40% - Accent4 3 2 2 2" xfId="42596"/>
    <cellStyle name="40% - Accent4 3 2 3" xfId="29092"/>
    <cellStyle name="40% - Accent4 3 20" xfId="2285"/>
    <cellStyle name="40% - Accent4 3 20 2" xfId="17307"/>
    <cellStyle name="40% - Accent4 3 20 2 2" xfId="44315"/>
    <cellStyle name="40% - Accent4 3 20 3" xfId="30811"/>
    <cellStyle name="40% - Accent4 3 21" xfId="2391"/>
    <cellStyle name="40% - Accent4 3 21 2" xfId="17399"/>
    <cellStyle name="40% - Accent4 3 21 2 2" xfId="44407"/>
    <cellStyle name="40% - Accent4 3 21 3" xfId="30903"/>
    <cellStyle name="40% - Accent4 3 22" xfId="2497"/>
    <cellStyle name="40% - Accent4 3 22 2" xfId="17491"/>
    <cellStyle name="40% - Accent4 3 22 2 2" xfId="44499"/>
    <cellStyle name="40% - Accent4 3 22 3" xfId="30995"/>
    <cellStyle name="40% - Accent4 3 23" xfId="2603"/>
    <cellStyle name="40% - Accent4 3 23 2" xfId="17583"/>
    <cellStyle name="40% - Accent4 3 23 2 2" xfId="44591"/>
    <cellStyle name="40% - Accent4 3 23 3" xfId="31087"/>
    <cellStyle name="40% - Accent4 3 24" xfId="2709"/>
    <cellStyle name="40% - Accent4 3 24 2" xfId="17675"/>
    <cellStyle name="40% - Accent4 3 24 2 2" xfId="44683"/>
    <cellStyle name="40% - Accent4 3 24 3" xfId="31179"/>
    <cellStyle name="40% - Accent4 3 25" xfId="2815"/>
    <cellStyle name="40% - Accent4 3 25 2" xfId="17767"/>
    <cellStyle name="40% - Accent4 3 25 2 2" xfId="44775"/>
    <cellStyle name="40% - Accent4 3 25 3" xfId="31271"/>
    <cellStyle name="40% - Accent4 3 26" xfId="2921"/>
    <cellStyle name="40% - Accent4 3 26 2" xfId="17859"/>
    <cellStyle name="40% - Accent4 3 26 2 2" xfId="44867"/>
    <cellStyle name="40% - Accent4 3 26 3" xfId="31363"/>
    <cellStyle name="40% - Accent4 3 27" xfId="3027"/>
    <cellStyle name="40% - Accent4 3 27 2" xfId="17951"/>
    <cellStyle name="40% - Accent4 3 27 2 2" xfId="44959"/>
    <cellStyle name="40% - Accent4 3 27 3" xfId="31455"/>
    <cellStyle name="40% - Accent4 3 28" xfId="3133"/>
    <cellStyle name="40% - Accent4 3 28 2" xfId="18043"/>
    <cellStyle name="40% - Accent4 3 28 2 2" xfId="45051"/>
    <cellStyle name="40% - Accent4 3 28 3" xfId="31547"/>
    <cellStyle name="40% - Accent4 3 29" xfId="3239"/>
    <cellStyle name="40% - Accent4 3 29 2" xfId="18135"/>
    <cellStyle name="40% - Accent4 3 29 2 2" xfId="45143"/>
    <cellStyle name="40% - Accent4 3 29 3" xfId="31639"/>
    <cellStyle name="40% - Accent4 3 3" xfId="474"/>
    <cellStyle name="40% - Accent4 3 3 2" xfId="15732"/>
    <cellStyle name="40% - Accent4 3 3 2 2" xfId="42740"/>
    <cellStyle name="40% - Accent4 3 3 3" xfId="29236"/>
    <cellStyle name="40% - Accent4 3 30" xfId="3345"/>
    <cellStyle name="40% - Accent4 3 30 2" xfId="18227"/>
    <cellStyle name="40% - Accent4 3 30 2 2" xfId="45235"/>
    <cellStyle name="40% - Accent4 3 30 3" xfId="31731"/>
    <cellStyle name="40% - Accent4 3 31" xfId="3451"/>
    <cellStyle name="40% - Accent4 3 31 2" xfId="18319"/>
    <cellStyle name="40% - Accent4 3 31 2 2" xfId="45327"/>
    <cellStyle name="40% - Accent4 3 31 3" xfId="31823"/>
    <cellStyle name="40% - Accent4 3 32" xfId="3557"/>
    <cellStyle name="40% - Accent4 3 32 2" xfId="18411"/>
    <cellStyle name="40% - Accent4 3 32 2 2" xfId="45419"/>
    <cellStyle name="40% - Accent4 3 32 3" xfId="31915"/>
    <cellStyle name="40% - Accent4 3 33" xfId="3663"/>
    <cellStyle name="40% - Accent4 3 33 2" xfId="18503"/>
    <cellStyle name="40% - Accent4 3 33 2 2" xfId="45511"/>
    <cellStyle name="40% - Accent4 3 33 3" xfId="32007"/>
    <cellStyle name="40% - Accent4 3 34" xfId="3769"/>
    <cellStyle name="40% - Accent4 3 34 2" xfId="18595"/>
    <cellStyle name="40% - Accent4 3 34 2 2" xfId="45603"/>
    <cellStyle name="40% - Accent4 3 34 3" xfId="32099"/>
    <cellStyle name="40% - Accent4 3 35" xfId="3875"/>
    <cellStyle name="40% - Accent4 3 35 2" xfId="18687"/>
    <cellStyle name="40% - Accent4 3 35 2 2" xfId="45695"/>
    <cellStyle name="40% - Accent4 3 35 3" xfId="32191"/>
    <cellStyle name="40% - Accent4 3 36" xfId="3981"/>
    <cellStyle name="40% - Accent4 3 36 2" xfId="18779"/>
    <cellStyle name="40% - Accent4 3 36 2 2" xfId="45787"/>
    <cellStyle name="40% - Accent4 3 36 3" xfId="32283"/>
    <cellStyle name="40% - Accent4 3 37" xfId="4087"/>
    <cellStyle name="40% - Accent4 3 37 2" xfId="18871"/>
    <cellStyle name="40% - Accent4 3 37 2 2" xfId="45879"/>
    <cellStyle name="40% - Accent4 3 37 3" xfId="32375"/>
    <cellStyle name="40% - Accent4 3 38" xfId="4193"/>
    <cellStyle name="40% - Accent4 3 38 2" xfId="18963"/>
    <cellStyle name="40% - Accent4 3 38 2 2" xfId="45971"/>
    <cellStyle name="40% - Accent4 3 38 3" xfId="32467"/>
    <cellStyle name="40% - Accent4 3 39" xfId="4299"/>
    <cellStyle name="40% - Accent4 3 39 2" xfId="19055"/>
    <cellStyle name="40% - Accent4 3 39 2 2" xfId="46063"/>
    <cellStyle name="40% - Accent4 3 39 3" xfId="32559"/>
    <cellStyle name="40% - Accent4 3 4" xfId="589"/>
    <cellStyle name="40% - Accent4 3 4 2" xfId="15835"/>
    <cellStyle name="40% - Accent4 3 4 2 2" xfId="42843"/>
    <cellStyle name="40% - Accent4 3 4 3" xfId="29339"/>
    <cellStyle name="40% - Accent4 3 40" xfId="4405"/>
    <cellStyle name="40% - Accent4 3 40 2" xfId="19147"/>
    <cellStyle name="40% - Accent4 3 40 2 2" xfId="46155"/>
    <cellStyle name="40% - Accent4 3 40 3" xfId="32651"/>
    <cellStyle name="40% - Accent4 3 41" xfId="4511"/>
    <cellStyle name="40% - Accent4 3 41 2" xfId="19239"/>
    <cellStyle name="40% - Accent4 3 41 2 2" xfId="46247"/>
    <cellStyle name="40% - Accent4 3 41 3" xfId="32743"/>
    <cellStyle name="40% - Accent4 3 42" xfId="4617"/>
    <cellStyle name="40% - Accent4 3 42 2" xfId="19331"/>
    <cellStyle name="40% - Accent4 3 42 2 2" xfId="46339"/>
    <cellStyle name="40% - Accent4 3 42 3" xfId="32835"/>
    <cellStyle name="40% - Accent4 3 43" xfId="4723"/>
    <cellStyle name="40% - Accent4 3 43 2" xfId="19423"/>
    <cellStyle name="40% - Accent4 3 43 2 2" xfId="46431"/>
    <cellStyle name="40% - Accent4 3 43 3" xfId="32927"/>
    <cellStyle name="40% - Accent4 3 44" xfId="4829"/>
    <cellStyle name="40% - Accent4 3 44 2" xfId="19515"/>
    <cellStyle name="40% - Accent4 3 44 2 2" xfId="46523"/>
    <cellStyle name="40% - Accent4 3 44 3" xfId="33019"/>
    <cellStyle name="40% - Accent4 3 45" xfId="4935"/>
    <cellStyle name="40% - Accent4 3 45 2" xfId="19607"/>
    <cellStyle name="40% - Accent4 3 45 2 2" xfId="46615"/>
    <cellStyle name="40% - Accent4 3 45 3" xfId="33111"/>
    <cellStyle name="40% - Accent4 3 46" xfId="5041"/>
    <cellStyle name="40% - Accent4 3 46 2" xfId="19699"/>
    <cellStyle name="40% - Accent4 3 46 2 2" xfId="46707"/>
    <cellStyle name="40% - Accent4 3 46 3" xfId="33203"/>
    <cellStyle name="40% - Accent4 3 47" xfId="5147"/>
    <cellStyle name="40% - Accent4 3 47 2" xfId="19791"/>
    <cellStyle name="40% - Accent4 3 47 2 2" xfId="46799"/>
    <cellStyle name="40% - Accent4 3 47 3" xfId="33295"/>
    <cellStyle name="40% - Accent4 3 48" xfId="5253"/>
    <cellStyle name="40% - Accent4 3 48 2" xfId="19883"/>
    <cellStyle name="40% - Accent4 3 48 2 2" xfId="46891"/>
    <cellStyle name="40% - Accent4 3 48 3" xfId="33387"/>
    <cellStyle name="40% - Accent4 3 49" xfId="5359"/>
    <cellStyle name="40% - Accent4 3 49 2" xfId="19975"/>
    <cellStyle name="40% - Accent4 3 49 2 2" xfId="46983"/>
    <cellStyle name="40% - Accent4 3 49 3" xfId="33479"/>
    <cellStyle name="40% - Accent4 3 5" xfId="695"/>
    <cellStyle name="40% - Accent4 3 5 2" xfId="15927"/>
    <cellStyle name="40% - Accent4 3 5 2 2" xfId="42935"/>
    <cellStyle name="40% - Accent4 3 5 3" xfId="29431"/>
    <cellStyle name="40% - Accent4 3 50" xfId="5465"/>
    <cellStyle name="40% - Accent4 3 50 2" xfId="20067"/>
    <cellStyle name="40% - Accent4 3 50 2 2" xfId="47075"/>
    <cellStyle name="40% - Accent4 3 50 3" xfId="33571"/>
    <cellStyle name="40% - Accent4 3 51" xfId="5571"/>
    <cellStyle name="40% - Accent4 3 51 2" xfId="20159"/>
    <cellStyle name="40% - Accent4 3 51 2 2" xfId="47167"/>
    <cellStyle name="40% - Accent4 3 51 3" xfId="33663"/>
    <cellStyle name="40% - Accent4 3 52" xfId="5677"/>
    <cellStyle name="40% - Accent4 3 52 2" xfId="20251"/>
    <cellStyle name="40% - Accent4 3 52 2 2" xfId="47259"/>
    <cellStyle name="40% - Accent4 3 52 3" xfId="33755"/>
    <cellStyle name="40% - Accent4 3 53" xfId="5783"/>
    <cellStyle name="40% - Accent4 3 53 2" xfId="20343"/>
    <cellStyle name="40% - Accent4 3 53 2 2" xfId="47351"/>
    <cellStyle name="40% - Accent4 3 53 3" xfId="33847"/>
    <cellStyle name="40% - Accent4 3 54" xfId="5889"/>
    <cellStyle name="40% - Accent4 3 54 2" xfId="20435"/>
    <cellStyle name="40% - Accent4 3 54 2 2" xfId="47443"/>
    <cellStyle name="40% - Accent4 3 54 3" xfId="33939"/>
    <cellStyle name="40% - Accent4 3 55" xfId="5995"/>
    <cellStyle name="40% - Accent4 3 55 2" xfId="20527"/>
    <cellStyle name="40% - Accent4 3 55 2 2" xfId="47535"/>
    <cellStyle name="40% - Accent4 3 55 3" xfId="34031"/>
    <cellStyle name="40% - Accent4 3 56" xfId="6101"/>
    <cellStyle name="40% - Accent4 3 56 2" xfId="20619"/>
    <cellStyle name="40% - Accent4 3 56 2 2" xfId="47627"/>
    <cellStyle name="40% - Accent4 3 56 3" xfId="34123"/>
    <cellStyle name="40% - Accent4 3 57" xfId="6207"/>
    <cellStyle name="40% - Accent4 3 57 2" xfId="20711"/>
    <cellStyle name="40% - Accent4 3 57 2 2" xfId="47719"/>
    <cellStyle name="40% - Accent4 3 57 3" xfId="34215"/>
    <cellStyle name="40% - Accent4 3 58" xfId="6313"/>
    <cellStyle name="40% - Accent4 3 58 2" xfId="20803"/>
    <cellStyle name="40% - Accent4 3 58 2 2" xfId="47811"/>
    <cellStyle name="40% - Accent4 3 58 3" xfId="34307"/>
    <cellStyle name="40% - Accent4 3 59" xfId="6419"/>
    <cellStyle name="40% - Accent4 3 59 2" xfId="20895"/>
    <cellStyle name="40% - Accent4 3 59 2 2" xfId="47903"/>
    <cellStyle name="40% - Accent4 3 59 3" xfId="34399"/>
    <cellStyle name="40% - Accent4 3 6" xfId="801"/>
    <cellStyle name="40% - Accent4 3 6 2" xfId="16019"/>
    <cellStyle name="40% - Accent4 3 6 2 2" xfId="43027"/>
    <cellStyle name="40% - Accent4 3 6 3" xfId="29523"/>
    <cellStyle name="40% - Accent4 3 60" xfId="6525"/>
    <cellStyle name="40% - Accent4 3 60 2" xfId="20987"/>
    <cellStyle name="40% - Accent4 3 60 2 2" xfId="47995"/>
    <cellStyle name="40% - Accent4 3 60 3" xfId="34491"/>
    <cellStyle name="40% - Accent4 3 61" xfId="6630"/>
    <cellStyle name="40% - Accent4 3 61 2" xfId="21078"/>
    <cellStyle name="40% - Accent4 3 61 2 2" xfId="48086"/>
    <cellStyle name="40% - Accent4 3 61 3" xfId="34582"/>
    <cellStyle name="40% - Accent4 3 62" xfId="6735"/>
    <cellStyle name="40% - Accent4 3 62 2" xfId="21169"/>
    <cellStyle name="40% - Accent4 3 62 2 2" xfId="48177"/>
    <cellStyle name="40% - Accent4 3 62 3" xfId="34673"/>
    <cellStyle name="40% - Accent4 3 63" xfId="6840"/>
    <cellStyle name="40% - Accent4 3 63 2" xfId="21260"/>
    <cellStyle name="40% - Accent4 3 63 2 2" xfId="48268"/>
    <cellStyle name="40% - Accent4 3 63 3" xfId="34764"/>
    <cellStyle name="40% - Accent4 3 64" xfId="6945"/>
    <cellStyle name="40% - Accent4 3 64 2" xfId="21351"/>
    <cellStyle name="40% - Accent4 3 64 2 2" xfId="48359"/>
    <cellStyle name="40% - Accent4 3 64 3" xfId="34855"/>
    <cellStyle name="40% - Accent4 3 65" xfId="7049"/>
    <cellStyle name="40% - Accent4 3 65 2" xfId="21441"/>
    <cellStyle name="40% - Accent4 3 65 2 2" xfId="48449"/>
    <cellStyle name="40% - Accent4 3 65 3" xfId="34945"/>
    <cellStyle name="40% - Accent4 3 66" xfId="7153"/>
    <cellStyle name="40% - Accent4 3 66 2" xfId="21531"/>
    <cellStyle name="40% - Accent4 3 66 2 2" xfId="48539"/>
    <cellStyle name="40% - Accent4 3 66 3" xfId="35035"/>
    <cellStyle name="40% - Accent4 3 67" xfId="7256"/>
    <cellStyle name="40% - Accent4 3 67 2" xfId="21620"/>
    <cellStyle name="40% - Accent4 3 67 2 2" xfId="48628"/>
    <cellStyle name="40% - Accent4 3 67 3" xfId="35124"/>
    <cellStyle name="40% - Accent4 3 68" xfId="7356"/>
    <cellStyle name="40% - Accent4 3 68 2" xfId="21707"/>
    <cellStyle name="40% - Accent4 3 68 2 2" xfId="48715"/>
    <cellStyle name="40% - Accent4 3 68 3" xfId="35211"/>
    <cellStyle name="40% - Accent4 3 69" xfId="7454"/>
    <cellStyle name="40% - Accent4 3 69 2" xfId="21792"/>
    <cellStyle name="40% - Accent4 3 69 2 2" xfId="48800"/>
    <cellStyle name="40% - Accent4 3 69 3" xfId="35296"/>
    <cellStyle name="40% - Accent4 3 7" xfId="907"/>
    <cellStyle name="40% - Accent4 3 7 2" xfId="16111"/>
    <cellStyle name="40% - Accent4 3 7 2 2" xfId="43119"/>
    <cellStyle name="40% - Accent4 3 7 3" xfId="29615"/>
    <cellStyle name="40% - Accent4 3 70" xfId="7546"/>
    <cellStyle name="40% - Accent4 3 70 2" xfId="21873"/>
    <cellStyle name="40% - Accent4 3 70 2 2" xfId="48881"/>
    <cellStyle name="40% - Accent4 3 70 3" xfId="35377"/>
    <cellStyle name="40% - Accent4 3 71" xfId="7629"/>
    <cellStyle name="40% - Accent4 3 71 2" xfId="21948"/>
    <cellStyle name="40% - Accent4 3 71 2 2" xfId="48956"/>
    <cellStyle name="40% - Accent4 3 71 3" xfId="35452"/>
    <cellStyle name="40% - Accent4 3 72" xfId="7785"/>
    <cellStyle name="40% - Accent4 3 72 2" xfId="22077"/>
    <cellStyle name="40% - Accent4 3 72 2 2" xfId="49085"/>
    <cellStyle name="40% - Accent4 3 72 3" xfId="35581"/>
    <cellStyle name="40% - Accent4 3 73" xfId="7927"/>
    <cellStyle name="40% - Accent4 3 73 2" xfId="22205"/>
    <cellStyle name="40% - Accent4 3 73 2 2" xfId="49213"/>
    <cellStyle name="40% - Accent4 3 73 3" xfId="35709"/>
    <cellStyle name="40% - Accent4 3 74" xfId="8069"/>
    <cellStyle name="40% - Accent4 3 74 2" xfId="22333"/>
    <cellStyle name="40% - Accent4 3 74 2 2" xfId="49341"/>
    <cellStyle name="40% - Accent4 3 74 3" xfId="35837"/>
    <cellStyle name="40% - Accent4 3 75" xfId="8211"/>
    <cellStyle name="40% - Accent4 3 75 2" xfId="22461"/>
    <cellStyle name="40% - Accent4 3 75 2 2" xfId="49469"/>
    <cellStyle name="40% - Accent4 3 75 3" xfId="35965"/>
    <cellStyle name="40% - Accent4 3 76" xfId="8353"/>
    <cellStyle name="40% - Accent4 3 76 2" xfId="22589"/>
    <cellStyle name="40% - Accent4 3 76 2 2" xfId="49597"/>
    <cellStyle name="40% - Accent4 3 76 3" xfId="36093"/>
    <cellStyle name="40% - Accent4 3 77" xfId="8495"/>
    <cellStyle name="40% - Accent4 3 77 2" xfId="22717"/>
    <cellStyle name="40% - Accent4 3 77 2 2" xfId="49725"/>
    <cellStyle name="40% - Accent4 3 77 3" xfId="36221"/>
    <cellStyle name="40% - Accent4 3 78" xfId="8637"/>
    <cellStyle name="40% - Accent4 3 78 2" xfId="22845"/>
    <cellStyle name="40% - Accent4 3 78 2 2" xfId="49853"/>
    <cellStyle name="40% - Accent4 3 78 3" xfId="36349"/>
    <cellStyle name="40% - Accent4 3 79" xfId="8779"/>
    <cellStyle name="40% - Accent4 3 79 2" xfId="22973"/>
    <cellStyle name="40% - Accent4 3 79 2 2" xfId="49981"/>
    <cellStyle name="40% - Accent4 3 79 3" xfId="36477"/>
    <cellStyle name="40% - Accent4 3 8" xfId="1013"/>
    <cellStyle name="40% - Accent4 3 8 2" xfId="16203"/>
    <cellStyle name="40% - Accent4 3 8 2 2" xfId="43211"/>
    <cellStyle name="40% - Accent4 3 8 3" xfId="29707"/>
    <cellStyle name="40% - Accent4 3 80" xfId="8921"/>
    <cellStyle name="40% - Accent4 3 80 2" xfId="23101"/>
    <cellStyle name="40% - Accent4 3 80 2 2" xfId="50109"/>
    <cellStyle name="40% - Accent4 3 80 3" xfId="36605"/>
    <cellStyle name="40% - Accent4 3 81" xfId="9063"/>
    <cellStyle name="40% - Accent4 3 81 2" xfId="23229"/>
    <cellStyle name="40% - Accent4 3 81 2 2" xfId="50237"/>
    <cellStyle name="40% - Accent4 3 81 3" xfId="36733"/>
    <cellStyle name="40% - Accent4 3 82" xfId="9205"/>
    <cellStyle name="40% - Accent4 3 82 2" xfId="23357"/>
    <cellStyle name="40% - Accent4 3 82 2 2" xfId="50365"/>
    <cellStyle name="40% - Accent4 3 82 3" xfId="36861"/>
    <cellStyle name="40% - Accent4 3 83" xfId="9347"/>
    <cellStyle name="40% - Accent4 3 83 2" xfId="23485"/>
    <cellStyle name="40% - Accent4 3 83 2 2" xfId="50493"/>
    <cellStyle name="40% - Accent4 3 83 3" xfId="36989"/>
    <cellStyle name="40% - Accent4 3 84" xfId="9489"/>
    <cellStyle name="40% - Accent4 3 84 2" xfId="23613"/>
    <cellStyle name="40% - Accent4 3 84 2 2" xfId="50621"/>
    <cellStyle name="40% - Accent4 3 84 3" xfId="37117"/>
    <cellStyle name="40% - Accent4 3 85" xfId="9631"/>
    <cellStyle name="40% - Accent4 3 85 2" xfId="23741"/>
    <cellStyle name="40% - Accent4 3 85 2 2" xfId="50749"/>
    <cellStyle name="40% - Accent4 3 85 3" xfId="37245"/>
    <cellStyle name="40% - Accent4 3 86" xfId="9773"/>
    <cellStyle name="40% - Accent4 3 86 2" xfId="23869"/>
    <cellStyle name="40% - Accent4 3 86 2 2" xfId="50877"/>
    <cellStyle name="40% - Accent4 3 86 3" xfId="37373"/>
    <cellStyle name="40% - Accent4 3 87" xfId="9915"/>
    <cellStyle name="40% - Accent4 3 87 2" xfId="23997"/>
    <cellStyle name="40% - Accent4 3 87 2 2" xfId="51005"/>
    <cellStyle name="40% - Accent4 3 87 3" xfId="37501"/>
    <cellStyle name="40% - Accent4 3 88" xfId="10057"/>
    <cellStyle name="40% - Accent4 3 88 2" xfId="24125"/>
    <cellStyle name="40% - Accent4 3 88 2 2" xfId="51133"/>
    <cellStyle name="40% - Accent4 3 88 3" xfId="37629"/>
    <cellStyle name="40% - Accent4 3 89" xfId="10199"/>
    <cellStyle name="40% - Accent4 3 89 2" xfId="24253"/>
    <cellStyle name="40% - Accent4 3 89 2 2" xfId="51261"/>
    <cellStyle name="40% - Accent4 3 89 3" xfId="37757"/>
    <cellStyle name="40% - Accent4 3 9" xfId="1119"/>
    <cellStyle name="40% - Accent4 3 9 2" xfId="16295"/>
    <cellStyle name="40% - Accent4 3 9 2 2" xfId="43303"/>
    <cellStyle name="40% - Accent4 3 9 3" xfId="29799"/>
    <cellStyle name="40% - Accent4 3 90" xfId="10341"/>
    <cellStyle name="40% - Accent4 3 90 2" xfId="24381"/>
    <cellStyle name="40% - Accent4 3 90 2 2" xfId="51389"/>
    <cellStyle name="40% - Accent4 3 90 3" xfId="37885"/>
    <cellStyle name="40% - Accent4 3 91" xfId="10483"/>
    <cellStyle name="40% - Accent4 3 91 2" xfId="24509"/>
    <cellStyle name="40% - Accent4 3 91 2 2" xfId="51517"/>
    <cellStyle name="40% - Accent4 3 91 3" xfId="38013"/>
    <cellStyle name="40% - Accent4 3 92" xfId="10625"/>
    <cellStyle name="40% - Accent4 3 92 2" xfId="24637"/>
    <cellStyle name="40% - Accent4 3 92 2 2" xfId="51645"/>
    <cellStyle name="40% - Accent4 3 92 3" xfId="38141"/>
    <cellStyle name="40% - Accent4 3 93" xfId="10767"/>
    <cellStyle name="40% - Accent4 3 93 2" xfId="24765"/>
    <cellStyle name="40% - Accent4 3 93 2 2" xfId="51773"/>
    <cellStyle name="40% - Accent4 3 93 3" xfId="38269"/>
    <cellStyle name="40% - Accent4 3 94" xfId="10909"/>
    <cellStyle name="40% - Accent4 3 94 2" xfId="24893"/>
    <cellStyle name="40% - Accent4 3 94 2 2" xfId="51901"/>
    <cellStyle name="40% - Accent4 3 94 3" xfId="38397"/>
    <cellStyle name="40% - Accent4 3 95" xfId="11051"/>
    <cellStyle name="40% - Accent4 3 95 2" xfId="25021"/>
    <cellStyle name="40% - Accent4 3 95 2 2" xfId="52029"/>
    <cellStyle name="40% - Accent4 3 95 3" xfId="38525"/>
    <cellStyle name="40% - Accent4 3 96" xfId="11193"/>
    <cellStyle name="40% - Accent4 3 96 2" xfId="25149"/>
    <cellStyle name="40% - Accent4 3 96 2 2" xfId="52157"/>
    <cellStyle name="40% - Accent4 3 96 3" xfId="38653"/>
    <cellStyle name="40% - Accent4 3 97" xfId="11335"/>
    <cellStyle name="40% - Accent4 3 97 2" xfId="25277"/>
    <cellStyle name="40% - Accent4 3 97 2 2" xfId="52285"/>
    <cellStyle name="40% - Accent4 3 97 3" xfId="38781"/>
    <cellStyle name="40% - Accent4 3 98" xfId="11477"/>
    <cellStyle name="40% - Accent4 3 98 2" xfId="25405"/>
    <cellStyle name="40% - Accent4 3 98 2 2" xfId="52413"/>
    <cellStyle name="40% - Accent4 3 98 3" xfId="38909"/>
    <cellStyle name="40% - Accent4 3 99" xfId="11619"/>
    <cellStyle name="40% - Accent4 3 99 2" xfId="25533"/>
    <cellStyle name="40% - Accent4 3 99 2 2" xfId="52541"/>
    <cellStyle name="40% - Accent4 3 99 3" xfId="39037"/>
    <cellStyle name="40% - Accent4 4" xfId="399"/>
    <cellStyle name="40% - Accent4 4 10" xfId="9036"/>
    <cellStyle name="40% - Accent4 4 10 2" xfId="23205"/>
    <cellStyle name="40% - Accent4 4 10 2 2" xfId="50213"/>
    <cellStyle name="40% - Accent4 4 10 3" xfId="36709"/>
    <cellStyle name="40% - Accent4 4 11" xfId="9178"/>
    <cellStyle name="40% - Accent4 4 11 2" xfId="23333"/>
    <cellStyle name="40% - Accent4 4 11 2 2" xfId="50341"/>
    <cellStyle name="40% - Accent4 4 11 3" xfId="36837"/>
    <cellStyle name="40% - Accent4 4 12" xfId="9320"/>
    <cellStyle name="40% - Accent4 4 12 2" xfId="23461"/>
    <cellStyle name="40% - Accent4 4 12 2 2" xfId="50469"/>
    <cellStyle name="40% - Accent4 4 12 3" xfId="36965"/>
    <cellStyle name="40% - Accent4 4 13" xfId="9462"/>
    <cellStyle name="40% - Accent4 4 13 2" xfId="23589"/>
    <cellStyle name="40% - Accent4 4 13 2 2" xfId="50597"/>
    <cellStyle name="40% - Accent4 4 13 3" xfId="37093"/>
    <cellStyle name="40% - Accent4 4 14" xfId="9604"/>
    <cellStyle name="40% - Accent4 4 14 2" xfId="23717"/>
    <cellStyle name="40% - Accent4 4 14 2 2" xfId="50725"/>
    <cellStyle name="40% - Accent4 4 14 3" xfId="37221"/>
    <cellStyle name="40% - Accent4 4 15" xfId="9746"/>
    <cellStyle name="40% - Accent4 4 15 2" xfId="23845"/>
    <cellStyle name="40% - Accent4 4 15 2 2" xfId="50853"/>
    <cellStyle name="40% - Accent4 4 15 3" xfId="37349"/>
    <cellStyle name="40% - Accent4 4 16" xfId="9888"/>
    <cellStyle name="40% - Accent4 4 16 2" xfId="23973"/>
    <cellStyle name="40% - Accent4 4 16 2 2" xfId="50981"/>
    <cellStyle name="40% - Accent4 4 16 3" xfId="37477"/>
    <cellStyle name="40% - Accent4 4 17" xfId="10030"/>
    <cellStyle name="40% - Accent4 4 17 2" xfId="24101"/>
    <cellStyle name="40% - Accent4 4 17 2 2" xfId="51109"/>
    <cellStyle name="40% - Accent4 4 17 3" xfId="37605"/>
    <cellStyle name="40% - Accent4 4 18" xfId="10172"/>
    <cellStyle name="40% - Accent4 4 18 2" xfId="24229"/>
    <cellStyle name="40% - Accent4 4 18 2 2" xfId="51237"/>
    <cellStyle name="40% - Accent4 4 18 3" xfId="37733"/>
    <cellStyle name="40% - Accent4 4 19" xfId="10314"/>
    <cellStyle name="40% - Accent4 4 19 2" xfId="24357"/>
    <cellStyle name="40% - Accent4 4 19 2 2" xfId="51365"/>
    <cellStyle name="40% - Accent4 4 19 3" xfId="37861"/>
    <cellStyle name="40% - Accent4 4 2" xfId="7900"/>
    <cellStyle name="40% - Accent4 4 2 2" xfId="22181"/>
    <cellStyle name="40% - Accent4 4 2 2 2" xfId="49189"/>
    <cellStyle name="40% - Accent4 4 2 3" xfId="35685"/>
    <cellStyle name="40% - Accent4 4 20" xfId="10456"/>
    <cellStyle name="40% - Accent4 4 20 2" xfId="24485"/>
    <cellStyle name="40% - Accent4 4 20 2 2" xfId="51493"/>
    <cellStyle name="40% - Accent4 4 20 3" xfId="37989"/>
    <cellStyle name="40% - Accent4 4 21" xfId="10598"/>
    <cellStyle name="40% - Accent4 4 21 2" xfId="24613"/>
    <cellStyle name="40% - Accent4 4 21 2 2" xfId="51621"/>
    <cellStyle name="40% - Accent4 4 21 3" xfId="38117"/>
    <cellStyle name="40% - Accent4 4 22" xfId="10740"/>
    <cellStyle name="40% - Accent4 4 22 2" xfId="24741"/>
    <cellStyle name="40% - Accent4 4 22 2 2" xfId="51749"/>
    <cellStyle name="40% - Accent4 4 22 3" xfId="38245"/>
    <cellStyle name="40% - Accent4 4 23" xfId="10882"/>
    <cellStyle name="40% - Accent4 4 23 2" xfId="24869"/>
    <cellStyle name="40% - Accent4 4 23 2 2" xfId="51877"/>
    <cellStyle name="40% - Accent4 4 23 3" xfId="38373"/>
    <cellStyle name="40% - Accent4 4 24" xfId="11024"/>
    <cellStyle name="40% - Accent4 4 24 2" xfId="24997"/>
    <cellStyle name="40% - Accent4 4 24 2 2" xfId="52005"/>
    <cellStyle name="40% - Accent4 4 24 3" xfId="38501"/>
    <cellStyle name="40% - Accent4 4 25" xfId="11166"/>
    <cellStyle name="40% - Accent4 4 25 2" xfId="25125"/>
    <cellStyle name="40% - Accent4 4 25 2 2" xfId="52133"/>
    <cellStyle name="40% - Accent4 4 25 3" xfId="38629"/>
    <cellStyle name="40% - Accent4 4 26" xfId="11308"/>
    <cellStyle name="40% - Accent4 4 26 2" xfId="25253"/>
    <cellStyle name="40% - Accent4 4 26 2 2" xfId="52261"/>
    <cellStyle name="40% - Accent4 4 26 3" xfId="38757"/>
    <cellStyle name="40% - Accent4 4 27" xfId="11450"/>
    <cellStyle name="40% - Accent4 4 27 2" xfId="25381"/>
    <cellStyle name="40% - Accent4 4 27 2 2" xfId="52389"/>
    <cellStyle name="40% - Accent4 4 27 3" xfId="38885"/>
    <cellStyle name="40% - Accent4 4 28" xfId="11592"/>
    <cellStyle name="40% - Accent4 4 28 2" xfId="25509"/>
    <cellStyle name="40% - Accent4 4 28 2 2" xfId="52517"/>
    <cellStyle name="40% - Accent4 4 28 3" xfId="39013"/>
    <cellStyle name="40% - Accent4 4 29" xfId="11734"/>
    <cellStyle name="40% - Accent4 4 29 2" xfId="25637"/>
    <cellStyle name="40% - Accent4 4 29 2 2" xfId="52645"/>
    <cellStyle name="40% - Accent4 4 29 3" xfId="39141"/>
    <cellStyle name="40% - Accent4 4 3" xfId="8042"/>
    <cellStyle name="40% - Accent4 4 3 2" xfId="22309"/>
    <cellStyle name="40% - Accent4 4 3 2 2" xfId="49317"/>
    <cellStyle name="40% - Accent4 4 3 3" xfId="35813"/>
    <cellStyle name="40% - Accent4 4 30" xfId="11876"/>
    <cellStyle name="40% - Accent4 4 30 2" xfId="25765"/>
    <cellStyle name="40% - Accent4 4 30 2 2" xfId="52773"/>
    <cellStyle name="40% - Accent4 4 30 3" xfId="39269"/>
    <cellStyle name="40% - Accent4 4 31" xfId="12018"/>
    <cellStyle name="40% - Accent4 4 31 2" xfId="25893"/>
    <cellStyle name="40% - Accent4 4 31 2 2" xfId="52901"/>
    <cellStyle name="40% - Accent4 4 31 3" xfId="39397"/>
    <cellStyle name="40% - Accent4 4 32" xfId="12160"/>
    <cellStyle name="40% - Accent4 4 32 2" xfId="26021"/>
    <cellStyle name="40% - Accent4 4 32 2 2" xfId="53029"/>
    <cellStyle name="40% - Accent4 4 32 3" xfId="39525"/>
    <cellStyle name="40% - Accent4 4 33" xfId="12302"/>
    <cellStyle name="40% - Accent4 4 33 2" xfId="26149"/>
    <cellStyle name="40% - Accent4 4 33 2 2" xfId="53157"/>
    <cellStyle name="40% - Accent4 4 33 3" xfId="39653"/>
    <cellStyle name="40% - Accent4 4 34" xfId="12444"/>
    <cellStyle name="40% - Accent4 4 34 2" xfId="26277"/>
    <cellStyle name="40% - Accent4 4 34 2 2" xfId="53285"/>
    <cellStyle name="40% - Accent4 4 34 3" xfId="39781"/>
    <cellStyle name="40% - Accent4 4 35" xfId="12586"/>
    <cellStyle name="40% - Accent4 4 35 2" xfId="26405"/>
    <cellStyle name="40% - Accent4 4 35 2 2" xfId="53413"/>
    <cellStyle name="40% - Accent4 4 35 3" xfId="39909"/>
    <cellStyle name="40% - Accent4 4 36" xfId="12728"/>
    <cellStyle name="40% - Accent4 4 36 2" xfId="26533"/>
    <cellStyle name="40% - Accent4 4 36 2 2" xfId="53541"/>
    <cellStyle name="40% - Accent4 4 36 3" xfId="40037"/>
    <cellStyle name="40% - Accent4 4 37" xfId="12870"/>
    <cellStyle name="40% - Accent4 4 37 2" xfId="26661"/>
    <cellStyle name="40% - Accent4 4 37 2 2" xfId="53669"/>
    <cellStyle name="40% - Accent4 4 37 3" xfId="40165"/>
    <cellStyle name="40% - Accent4 4 38" xfId="13012"/>
    <cellStyle name="40% - Accent4 4 38 2" xfId="26789"/>
    <cellStyle name="40% - Accent4 4 38 2 2" xfId="53797"/>
    <cellStyle name="40% - Accent4 4 38 3" xfId="40293"/>
    <cellStyle name="40% - Accent4 4 39" xfId="13154"/>
    <cellStyle name="40% - Accent4 4 39 2" xfId="26917"/>
    <cellStyle name="40% - Accent4 4 39 2 2" xfId="53925"/>
    <cellStyle name="40% - Accent4 4 39 3" xfId="40421"/>
    <cellStyle name="40% - Accent4 4 4" xfId="8184"/>
    <cellStyle name="40% - Accent4 4 4 2" xfId="22437"/>
    <cellStyle name="40% - Accent4 4 4 2 2" xfId="49445"/>
    <cellStyle name="40% - Accent4 4 4 3" xfId="35941"/>
    <cellStyle name="40% - Accent4 4 40" xfId="13296"/>
    <cellStyle name="40% - Accent4 4 40 2" xfId="27045"/>
    <cellStyle name="40% - Accent4 4 40 2 2" xfId="54053"/>
    <cellStyle name="40% - Accent4 4 40 3" xfId="40549"/>
    <cellStyle name="40% - Accent4 4 41" xfId="13438"/>
    <cellStyle name="40% - Accent4 4 41 2" xfId="27173"/>
    <cellStyle name="40% - Accent4 4 41 2 2" xfId="54181"/>
    <cellStyle name="40% - Accent4 4 41 3" xfId="40677"/>
    <cellStyle name="40% - Accent4 4 42" xfId="13580"/>
    <cellStyle name="40% - Accent4 4 42 2" xfId="27301"/>
    <cellStyle name="40% - Accent4 4 42 2 2" xfId="54309"/>
    <cellStyle name="40% - Accent4 4 42 3" xfId="40805"/>
    <cellStyle name="40% - Accent4 4 43" xfId="13722"/>
    <cellStyle name="40% - Accent4 4 43 2" xfId="27429"/>
    <cellStyle name="40% - Accent4 4 43 2 2" xfId="54437"/>
    <cellStyle name="40% - Accent4 4 43 3" xfId="40933"/>
    <cellStyle name="40% - Accent4 4 44" xfId="13863"/>
    <cellStyle name="40% - Accent4 4 44 2" xfId="27556"/>
    <cellStyle name="40% - Accent4 4 44 2 2" xfId="54564"/>
    <cellStyle name="40% - Accent4 4 44 3" xfId="41060"/>
    <cellStyle name="40% - Accent4 4 45" xfId="14004"/>
    <cellStyle name="40% - Accent4 4 45 2" xfId="27683"/>
    <cellStyle name="40% - Accent4 4 45 2 2" xfId="54691"/>
    <cellStyle name="40% - Accent4 4 45 3" xfId="41187"/>
    <cellStyle name="40% - Accent4 4 46" xfId="14145"/>
    <cellStyle name="40% - Accent4 4 46 2" xfId="27810"/>
    <cellStyle name="40% - Accent4 4 46 2 2" xfId="54818"/>
    <cellStyle name="40% - Accent4 4 46 3" xfId="41314"/>
    <cellStyle name="40% - Accent4 4 47" xfId="14286"/>
    <cellStyle name="40% - Accent4 4 47 2" xfId="27937"/>
    <cellStyle name="40% - Accent4 4 47 2 2" xfId="54945"/>
    <cellStyle name="40% - Accent4 4 47 3" xfId="41441"/>
    <cellStyle name="40% - Accent4 4 48" xfId="14427"/>
    <cellStyle name="40% - Accent4 4 48 2" xfId="28064"/>
    <cellStyle name="40% - Accent4 4 48 2 2" xfId="55072"/>
    <cellStyle name="40% - Accent4 4 48 3" xfId="41568"/>
    <cellStyle name="40% - Accent4 4 49" xfId="14567"/>
    <cellStyle name="40% - Accent4 4 49 2" xfId="28190"/>
    <cellStyle name="40% - Accent4 4 49 2 2" xfId="55198"/>
    <cellStyle name="40% - Accent4 4 49 3" xfId="41694"/>
    <cellStyle name="40% - Accent4 4 5" xfId="8326"/>
    <cellStyle name="40% - Accent4 4 5 2" xfId="22565"/>
    <cellStyle name="40% - Accent4 4 5 2 2" xfId="49573"/>
    <cellStyle name="40% - Accent4 4 5 3" xfId="36069"/>
    <cellStyle name="40% - Accent4 4 50" xfId="14706"/>
    <cellStyle name="40% - Accent4 4 50 2" xfId="28315"/>
    <cellStyle name="40% - Accent4 4 50 2 2" xfId="55323"/>
    <cellStyle name="40% - Accent4 4 50 3" xfId="41819"/>
    <cellStyle name="40% - Accent4 4 51" xfId="14841"/>
    <cellStyle name="40% - Accent4 4 51 2" xfId="28437"/>
    <cellStyle name="40% - Accent4 4 51 2 2" xfId="55445"/>
    <cellStyle name="40% - Accent4 4 51 3" xfId="41941"/>
    <cellStyle name="40% - Accent4 4 52" xfId="14975"/>
    <cellStyle name="40% - Accent4 4 52 2" xfId="28558"/>
    <cellStyle name="40% - Accent4 4 52 2 2" xfId="55566"/>
    <cellStyle name="40% - Accent4 4 52 3" xfId="42062"/>
    <cellStyle name="40% - Accent4 4 53" xfId="15106"/>
    <cellStyle name="40% - Accent4 4 53 2" xfId="28677"/>
    <cellStyle name="40% - Accent4 4 53 2 2" xfId="55685"/>
    <cellStyle name="40% - Accent4 4 53 3" xfId="42181"/>
    <cellStyle name="40% - Accent4 4 54" xfId="15229"/>
    <cellStyle name="40% - Accent4 4 54 2" xfId="28792"/>
    <cellStyle name="40% - Accent4 4 54 2 2" xfId="55800"/>
    <cellStyle name="40% - Accent4 4 54 3" xfId="42296"/>
    <cellStyle name="40% - Accent4 4 55" xfId="15338"/>
    <cellStyle name="40% - Accent4 4 55 2" xfId="28898"/>
    <cellStyle name="40% - Accent4 4 55 2 2" xfId="55906"/>
    <cellStyle name="40% - Accent4 4 55 3" xfId="42402"/>
    <cellStyle name="40% - Accent4 4 56" xfId="15676"/>
    <cellStyle name="40% - Accent4 4 56 2" xfId="42684"/>
    <cellStyle name="40% - Accent4 4 57" xfId="29180"/>
    <cellStyle name="40% - Accent4 4 6" xfId="8468"/>
    <cellStyle name="40% - Accent4 4 6 2" xfId="22693"/>
    <cellStyle name="40% - Accent4 4 6 2 2" xfId="49701"/>
    <cellStyle name="40% - Accent4 4 6 3" xfId="36197"/>
    <cellStyle name="40% - Accent4 4 7" xfId="8610"/>
    <cellStyle name="40% - Accent4 4 7 2" xfId="22821"/>
    <cellStyle name="40% - Accent4 4 7 2 2" xfId="49829"/>
    <cellStyle name="40% - Accent4 4 7 3" xfId="36325"/>
    <cellStyle name="40% - Accent4 4 8" xfId="8752"/>
    <cellStyle name="40% - Accent4 4 8 2" xfId="22949"/>
    <cellStyle name="40% - Accent4 4 8 2 2" xfId="49957"/>
    <cellStyle name="40% - Accent4 4 8 3" xfId="36453"/>
    <cellStyle name="40% - Accent4 4 9" xfId="8894"/>
    <cellStyle name="40% - Accent4 4 9 2" xfId="23077"/>
    <cellStyle name="40% - Accent4 4 9 2 2" xfId="50085"/>
    <cellStyle name="40% - Accent4 4 9 3" xfId="36581"/>
    <cellStyle name="40% - Accent4 5" xfId="15387"/>
    <cellStyle name="40% - Accent4 5 2" xfId="28924"/>
    <cellStyle name="40% - Accent4 5 2 2" xfId="55932"/>
    <cellStyle name="40% - Accent4 5 3" xfId="42428"/>
    <cellStyle name="40% - Accent4 6" xfId="15431"/>
    <cellStyle name="40% - Accent4 6 2" xfId="28940"/>
    <cellStyle name="40% - Accent4 6 2 2" xfId="55948"/>
    <cellStyle name="40% - Accent4 6 3" xfId="42444"/>
    <cellStyle name="40% - Accent4 7" xfId="15450"/>
    <cellStyle name="40% - Accent4 7 2" xfId="42458"/>
    <cellStyle name="40% - Accent4 8" xfId="28954"/>
    <cellStyle name="40% - Accent4 9" xfId="51"/>
    <cellStyle name="40% - Accent5 2" xfId="123"/>
    <cellStyle name="40% - Accent5 2 10" xfId="900"/>
    <cellStyle name="40% - Accent5 2 10 2" xfId="16105"/>
    <cellStyle name="40% - Accent5 2 10 2 2" xfId="43113"/>
    <cellStyle name="40% - Accent5 2 10 3" xfId="29609"/>
    <cellStyle name="40% - Accent5 2 100" xfId="11305"/>
    <cellStyle name="40% - Accent5 2 100 2" xfId="25250"/>
    <cellStyle name="40% - Accent5 2 100 2 2" xfId="52258"/>
    <cellStyle name="40% - Accent5 2 100 3" xfId="38754"/>
    <cellStyle name="40% - Accent5 2 101" xfId="11447"/>
    <cellStyle name="40% - Accent5 2 101 2" xfId="25378"/>
    <cellStyle name="40% - Accent5 2 101 2 2" xfId="52386"/>
    <cellStyle name="40% - Accent5 2 101 3" xfId="38882"/>
    <cellStyle name="40% - Accent5 2 102" xfId="11589"/>
    <cellStyle name="40% - Accent5 2 102 2" xfId="25506"/>
    <cellStyle name="40% - Accent5 2 102 2 2" xfId="52514"/>
    <cellStyle name="40% - Accent5 2 102 3" xfId="39010"/>
    <cellStyle name="40% - Accent5 2 103" xfId="11731"/>
    <cellStyle name="40% - Accent5 2 103 2" xfId="25634"/>
    <cellStyle name="40% - Accent5 2 103 2 2" xfId="52642"/>
    <cellStyle name="40% - Accent5 2 103 3" xfId="39138"/>
    <cellStyle name="40% - Accent5 2 104" xfId="11873"/>
    <cellStyle name="40% - Accent5 2 104 2" xfId="25762"/>
    <cellStyle name="40% - Accent5 2 104 2 2" xfId="52770"/>
    <cellStyle name="40% - Accent5 2 104 3" xfId="39266"/>
    <cellStyle name="40% - Accent5 2 105" xfId="12015"/>
    <cellStyle name="40% - Accent5 2 105 2" xfId="25890"/>
    <cellStyle name="40% - Accent5 2 105 2 2" xfId="52898"/>
    <cellStyle name="40% - Accent5 2 105 3" xfId="39394"/>
    <cellStyle name="40% - Accent5 2 106" xfId="12157"/>
    <cellStyle name="40% - Accent5 2 106 2" xfId="26018"/>
    <cellStyle name="40% - Accent5 2 106 2 2" xfId="53026"/>
    <cellStyle name="40% - Accent5 2 106 3" xfId="39522"/>
    <cellStyle name="40% - Accent5 2 107" xfId="12299"/>
    <cellStyle name="40% - Accent5 2 107 2" xfId="26146"/>
    <cellStyle name="40% - Accent5 2 107 2 2" xfId="53154"/>
    <cellStyle name="40% - Accent5 2 107 3" xfId="39650"/>
    <cellStyle name="40% - Accent5 2 108" xfId="12441"/>
    <cellStyle name="40% - Accent5 2 108 2" xfId="26274"/>
    <cellStyle name="40% - Accent5 2 108 2 2" xfId="53282"/>
    <cellStyle name="40% - Accent5 2 108 3" xfId="39778"/>
    <cellStyle name="40% - Accent5 2 109" xfId="12583"/>
    <cellStyle name="40% - Accent5 2 109 2" xfId="26402"/>
    <cellStyle name="40% - Accent5 2 109 2 2" xfId="53410"/>
    <cellStyle name="40% - Accent5 2 109 3" xfId="39906"/>
    <cellStyle name="40% - Accent5 2 11" xfId="1006"/>
    <cellStyle name="40% - Accent5 2 11 2" xfId="16197"/>
    <cellStyle name="40% - Accent5 2 11 2 2" xfId="43205"/>
    <cellStyle name="40% - Accent5 2 11 3" xfId="29701"/>
    <cellStyle name="40% - Accent5 2 110" xfId="12725"/>
    <cellStyle name="40% - Accent5 2 110 2" xfId="26530"/>
    <cellStyle name="40% - Accent5 2 110 2 2" xfId="53538"/>
    <cellStyle name="40% - Accent5 2 110 3" xfId="40034"/>
    <cellStyle name="40% - Accent5 2 111" xfId="12867"/>
    <cellStyle name="40% - Accent5 2 111 2" xfId="26658"/>
    <cellStyle name="40% - Accent5 2 111 2 2" xfId="53666"/>
    <cellStyle name="40% - Accent5 2 111 3" xfId="40162"/>
    <cellStyle name="40% - Accent5 2 112" xfId="13009"/>
    <cellStyle name="40% - Accent5 2 112 2" xfId="26786"/>
    <cellStyle name="40% - Accent5 2 112 2 2" xfId="53794"/>
    <cellStyle name="40% - Accent5 2 112 3" xfId="40290"/>
    <cellStyle name="40% - Accent5 2 113" xfId="13151"/>
    <cellStyle name="40% - Accent5 2 113 2" xfId="26914"/>
    <cellStyle name="40% - Accent5 2 113 2 2" xfId="53922"/>
    <cellStyle name="40% - Accent5 2 113 3" xfId="40418"/>
    <cellStyle name="40% - Accent5 2 114" xfId="13293"/>
    <cellStyle name="40% - Accent5 2 114 2" xfId="27042"/>
    <cellStyle name="40% - Accent5 2 114 2 2" xfId="54050"/>
    <cellStyle name="40% - Accent5 2 114 3" xfId="40546"/>
    <cellStyle name="40% - Accent5 2 115" xfId="13435"/>
    <cellStyle name="40% - Accent5 2 115 2" xfId="27170"/>
    <cellStyle name="40% - Accent5 2 115 2 2" xfId="54178"/>
    <cellStyle name="40% - Accent5 2 115 3" xfId="40674"/>
    <cellStyle name="40% - Accent5 2 116" xfId="13577"/>
    <cellStyle name="40% - Accent5 2 116 2" xfId="27298"/>
    <cellStyle name="40% - Accent5 2 116 2 2" xfId="54306"/>
    <cellStyle name="40% - Accent5 2 116 3" xfId="40802"/>
    <cellStyle name="40% - Accent5 2 117" xfId="13719"/>
    <cellStyle name="40% - Accent5 2 117 2" xfId="27426"/>
    <cellStyle name="40% - Accent5 2 117 2 2" xfId="54434"/>
    <cellStyle name="40% - Accent5 2 117 3" xfId="40930"/>
    <cellStyle name="40% - Accent5 2 118" xfId="13860"/>
    <cellStyle name="40% - Accent5 2 118 2" xfId="27553"/>
    <cellStyle name="40% - Accent5 2 118 2 2" xfId="54561"/>
    <cellStyle name="40% - Accent5 2 118 3" xfId="41057"/>
    <cellStyle name="40% - Accent5 2 119" xfId="14001"/>
    <cellStyle name="40% - Accent5 2 119 2" xfId="27680"/>
    <cellStyle name="40% - Accent5 2 119 2 2" xfId="54688"/>
    <cellStyle name="40% - Accent5 2 119 3" xfId="41184"/>
    <cellStyle name="40% - Accent5 2 12" xfId="1112"/>
    <cellStyle name="40% - Accent5 2 12 2" xfId="16289"/>
    <cellStyle name="40% - Accent5 2 12 2 2" xfId="43297"/>
    <cellStyle name="40% - Accent5 2 12 3" xfId="29793"/>
    <cellStyle name="40% - Accent5 2 120" xfId="14142"/>
    <cellStyle name="40% - Accent5 2 120 2" xfId="27807"/>
    <cellStyle name="40% - Accent5 2 120 2 2" xfId="54815"/>
    <cellStyle name="40% - Accent5 2 120 3" xfId="41311"/>
    <cellStyle name="40% - Accent5 2 121" xfId="14283"/>
    <cellStyle name="40% - Accent5 2 121 2" xfId="27934"/>
    <cellStyle name="40% - Accent5 2 121 2 2" xfId="54942"/>
    <cellStyle name="40% - Accent5 2 121 3" xfId="41438"/>
    <cellStyle name="40% - Accent5 2 122" xfId="14424"/>
    <cellStyle name="40% - Accent5 2 122 2" xfId="28061"/>
    <cellStyle name="40% - Accent5 2 122 2 2" xfId="55069"/>
    <cellStyle name="40% - Accent5 2 122 3" xfId="41565"/>
    <cellStyle name="40% - Accent5 2 123" xfId="14564"/>
    <cellStyle name="40% - Accent5 2 123 2" xfId="28187"/>
    <cellStyle name="40% - Accent5 2 123 2 2" xfId="55195"/>
    <cellStyle name="40% - Accent5 2 123 3" xfId="41691"/>
    <cellStyle name="40% - Accent5 2 124" xfId="14703"/>
    <cellStyle name="40% - Accent5 2 124 2" xfId="28312"/>
    <cellStyle name="40% - Accent5 2 124 2 2" xfId="55320"/>
    <cellStyle name="40% - Accent5 2 124 3" xfId="41816"/>
    <cellStyle name="40% - Accent5 2 125" xfId="14838"/>
    <cellStyle name="40% - Accent5 2 125 2" xfId="28434"/>
    <cellStyle name="40% - Accent5 2 125 2 2" xfId="55442"/>
    <cellStyle name="40% - Accent5 2 125 3" xfId="41938"/>
    <cellStyle name="40% - Accent5 2 126" xfId="14972"/>
    <cellStyle name="40% - Accent5 2 126 2" xfId="28555"/>
    <cellStyle name="40% - Accent5 2 126 2 2" xfId="55563"/>
    <cellStyle name="40% - Accent5 2 126 3" xfId="42059"/>
    <cellStyle name="40% - Accent5 2 127" xfId="15481"/>
    <cellStyle name="40% - Accent5 2 127 2" xfId="42489"/>
    <cellStyle name="40% - Accent5 2 128" xfId="28985"/>
    <cellStyle name="40% - Accent5 2 13" xfId="1218"/>
    <cellStyle name="40% - Accent5 2 13 2" xfId="16381"/>
    <cellStyle name="40% - Accent5 2 13 2 2" xfId="43389"/>
    <cellStyle name="40% - Accent5 2 13 3" xfId="29885"/>
    <cellStyle name="40% - Accent5 2 14" xfId="1324"/>
    <cellStyle name="40% - Accent5 2 14 2" xfId="16473"/>
    <cellStyle name="40% - Accent5 2 14 2 2" xfId="43481"/>
    <cellStyle name="40% - Accent5 2 14 3" xfId="29977"/>
    <cellStyle name="40% - Accent5 2 15" xfId="1430"/>
    <cellStyle name="40% - Accent5 2 15 2" xfId="16565"/>
    <cellStyle name="40% - Accent5 2 15 2 2" xfId="43573"/>
    <cellStyle name="40% - Accent5 2 15 3" xfId="30069"/>
    <cellStyle name="40% - Accent5 2 16" xfId="1536"/>
    <cellStyle name="40% - Accent5 2 16 2" xfId="16657"/>
    <cellStyle name="40% - Accent5 2 16 2 2" xfId="43665"/>
    <cellStyle name="40% - Accent5 2 16 3" xfId="30161"/>
    <cellStyle name="40% - Accent5 2 17" xfId="1642"/>
    <cellStyle name="40% - Accent5 2 17 2" xfId="16749"/>
    <cellStyle name="40% - Accent5 2 17 2 2" xfId="43757"/>
    <cellStyle name="40% - Accent5 2 17 3" xfId="30253"/>
    <cellStyle name="40% - Accent5 2 18" xfId="1748"/>
    <cellStyle name="40% - Accent5 2 18 2" xfId="16841"/>
    <cellStyle name="40% - Accent5 2 18 2 2" xfId="43849"/>
    <cellStyle name="40% - Accent5 2 18 3" xfId="30345"/>
    <cellStyle name="40% - Accent5 2 19" xfId="1854"/>
    <cellStyle name="40% - Accent5 2 19 2" xfId="16933"/>
    <cellStyle name="40% - Accent5 2 19 2 2" xfId="43941"/>
    <cellStyle name="40% - Accent5 2 19 3" xfId="30437"/>
    <cellStyle name="40% - Accent5 2 2" xfId="238"/>
    <cellStyle name="40% - Accent5 2 2 10" xfId="8937"/>
    <cellStyle name="40% - Accent5 2 2 10 2" xfId="23115"/>
    <cellStyle name="40% - Accent5 2 2 10 2 2" xfId="50123"/>
    <cellStyle name="40% - Accent5 2 2 10 3" xfId="36619"/>
    <cellStyle name="40% - Accent5 2 2 11" xfId="9079"/>
    <cellStyle name="40% - Accent5 2 2 11 2" xfId="23243"/>
    <cellStyle name="40% - Accent5 2 2 11 2 2" xfId="50251"/>
    <cellStyle name="40% - Accent5 2 2 11 3" xfId="36747"/>
    <cellStyle name="40% - Accent5 2 2 12" xfId="9221"/>
    <cellStyle name="40% - Accent5 2 2 12 2" xfId="23371"/>
    <cellStyle name="40% - Accent5 2 2 12 2 2" xfId="50379"/>
    <cellStyle name="40% - Accent5 2 2 12 3" xfId="36875"/>
    <cellStyle name="40% - Accent5 2 2 13" xfId="9363"/>
    <cellStyle name="40% - Accent5 2 2 13 2" xfId="23499"/>
    <cellStyle name="40% - Accent5 2 2 13 2 2" xfId="50507"/>
    <cellStyle name="40% - Accent5 2 2 13 3" xfId="37003"/>
    <cellStyle name="40% - Accent5 2 2 14" xfId="9505"/>
    <cellStyle name="40% - Accent5 2 2 14 2" xfId="23627"/>
    <cellStyle name="40% - Accent5 2 2 14 2 2" xfId="50635"/>
    <cellStyle name="40% - Accent5 2 2 14 3" xfId="37131"/>
    <cellStyle name="40% - Accent5 2 2 15" xfId="9647"/>
    <cellStyle name="40% - Accent5 2 2 15 2" xfId="23755"/>
    <cellStyle name="40% - Accent5 2 2 15 2 2" xfId="50763"/>
    <cellStyle name="40% - Accent5 2 2 15 3" xfId="37259"/>
    <cellStyle name="40% - Accent5 2 2 16" xfId="9789"/>
    <cellStyle name="40% - Accent5 2 2 16 2" xfId="23883"/>
    <cellStyle name="40% - Accent5 2 2 16 2 2" xfId="50891"/>
    <cellStyle name="40% - Accent5 2 2 16 3" xfId="37387"/>
    <cellStyle name="40% - Accent5 2 2 17" xfId="9931"/>
    <cellStyle name="40% - Accent5 2 2 17 2" xfId="24011"/>
    <cellStyle name="40% - Accent5 2 2 17 2 2" xfId="51019"/>
    <cellStyle name="40% - Accent5 2 2 17 3" xfId="37515"/>
    <cellStyle name="40% - Accent5 2 2 18" xfId="10073"/>
    <cellStyle name="40% - Accent5 2 2 18 2" xfId="24139"/>
    <cellStyle name="40% - Accent5 2 2 18 2 2" xfId="51147"/>
    <cellStyle name="40% - Accent5 2 2 18 3" xfId="37643"/>
    <cellStyle name="40% - Accent5 2 2 19" xfId="10215"/>
    <cellStyle name="40% - Accent5 2 2 19 2" xfId="24267"/>
    <cellStyle name="40% - Accent5 2 2 19 2 2" xfId="51275"/>
    <cellStyle name="40% - Accent5 2 2 19 3" xfId="37771"/>
    <cellStyle name="40% - Accent5 2 2 2" xfId="7801"/>
    <cellStyle name="40% - Accent5 2 2 2 2" xfId="22091"/>
    <cellStyle name="40% - Accent5 2 2 2 2 2" xfId="49099"/>
    <cellStyle name="40% - Accent5 2 2 2 3" xfId="35595"/>
    <cellStyle name="40% - Accent5 2 2 20" xfId="10357"/>
    <cellStyle name="40% - Accent5 2 2 20 2" xfId="24395"/>
    <cellStyle name="40% - Accent5 2 2 20 2 2" xfId="51403"/>
    <cellStyle name="40% - Accent5 2 2 20 3" xfId="37899"/>
    <cellStyle name="40% - Accent5 2 2 21" xfId="10499"/>
    <cellStyle name="40% - Accent5 2 2 21 2" xfId="24523"/>
    <cellStyle name="40% - Accent5 2 2 21 2 2" xfId="51531"/>
    <cellStyle name="40% - Accent5 2 2 21 3" xfId="38027"/>
    <cellStyle name="40% - Accent5 2 2 22" xfId="10641"/>
    <cellStyle name="40% - Accent5 2 2 22 2" xfId="24651"/>
    <cellStyle name="40% - Accent5 2 2 22 2 2" xfId="51659"/>
    <cellStyle name="40% - Accent5 2 2 22 3" xfId="38155"/>
    <cellStyle name="40% - Accent5 2 2 23" xfId="10783"/>
    <cellStyle name="40% - Accent5 2 2 23 2" xfId="24779"/>
    <cellStyle name="40% - Accent5 2 2 23 2 2" xfId="51787"/>
    <cellStyle name="40% - Accent5 2 2 23 3" xfId="38283"/>
    <cellStyle name="40% - Accent5 2 2 24" xfId="10925"/>
    <cellStyle name="40% - Accent5 2 2 24 2" xfId="24907"/>
    <cellStyle name="40% - Accent5 2 2 24 2 2" xfId="51915"/>
    <cellStyle name="40% - Accent5 2 2 24 3" xfId="38411"/>
    <cellStyle name="40% - Accent5 2 2 25" xfId="11067"/>
    <cellStyle name="40% - Accent5 2 2 25 2" xfId="25035"/>
    <cellStyle name="40% - Accent5 2 2 25 2 2" xfId="52043"/>
    <cellStyle name="40% - Accent5 2 2 25 3" xfId="38539"/>
    <cellStyle name="40% - Accent5 2 2 26" xfId="11209"/>
    <cellStyle name="40% - Accent5 2 2 26 2" xfId="25163"/>
    <cellStyle name="40% - Accent5 2 2 26 2 2" xfId="52171"/>
    <cellStyle name="40% - Accent5 2 2 26 3" xfId="38667"/>
    <cellStyle name="40% - Accent5 2 2 27" xfId="11351"/>
    <cellStyle name="40% - Accent5 2 2 27 2" xfId="25291"/>
    <cellStyle name="40% - Accent5 2 2 27 2 2" xfId="52299"/>
    <cellStyle name="40% - Accent5 2 2 27 3" xfId="38795"/>
    <cellStyle name="40% - Accent5 2 2 28" xfId="11493"/>
    <cellStyle name="40% - Accent5 2 2 28 2" xfId="25419"/>
    <cellStyle name="40% - Accent5 2 2 28 2 2" xfId="52427"/>
    <cellStyle name="40% - Accent5 2 2 28 3" xfId="38923"/>
    <cellStyle name="40% - Accent5 2 2 29" xfId="11635"/>
    <cellStyle name="40% - Accent5 2 2 29 2" xfId="25547"/>
    <cellStyle name="40% - Accent5 2 2 29 2 2" xfId="52555"/>
    <cellStyle name="40% - Accent5 2 2 29 3" xfId="39051"/>
    <cellStyle name="40% - Accent5 2 2 3" xfId="7943"/>
    <cellStyle name="40% - Accent5 2 2 3 2" xfId="22219"/>
    <cellStyle name="40% - Accent5 2 2 3 2 2" xfId="49227"/>
    <cellStyle name="40% - Accent5 2 2 3 3" xfId="35723"/>
    <cellStyle name="40% - Accent5 2 2 30" xfId="11777"/>
    <cellStyle name="40% - Accent5 2 2 30 2" xfId="25675"/>
    <cellStyle name="40% - Accent5 2 2 30 2 2" xfId="52683"/>
    <cellStyle name="40% - Accent5 2 2 30 3" xfId="39179"/>
    <cellStyle name="40% - Accent5 2 2 31" xfId="11919"/>
    <cellStyle name="40% - Accent5 2 2 31 2" xfId="25803"/>
    <cellStyle name="40% - Accent5 2 2 31 2 2" xfId="52811"/>
    <cellStyle name="40% - Accent5 2 2 31 3" xfId="39307"/>
    <cellStyle name="40% - Accent5 2 2 32" xfId="12061"/>
    <cellStyle name="40% - Accent5 2 2 32 2" xfId="25931"/>
    <cellStyle name="40% - Accent5 2 2 32 2 2" xfId="52939"/>
    <cellStyle name="40% - Accent5 2 2 32 3" xfId="39435"/>
    <cellStyle name="40% - Accent5 2 2 33" xfId="12203"/>
    <cellStyle name="40% - Accent5 2 2 33 2" xfId="26059"/>
    <cellStyle name="40% - Accent5 2 2 33 2 2" xfId="53067"/>
    <cellStyle name="40% - Accent5 2 2 33 3" xfId="39563"/>
    <cellStyle name="40% - Accent5 2 2 34" xfId="12345"/>
    <cellStyle name="40% - Accent5 2 2 34 2" xfId="26187"/>
    <cellStyle name="40% - Accent5 2 2 34 2 2" xfId="53195"/>
    <cellStyle name="40% - Accent5 2 2 34 3" xfId="39691"/>
    <cellStyle name="40% - Accent5 2 2 35" xfId="12487"/>
    <cellStyle name="40% - Accent5 2 2 35 2" xfId="26315"/>
    <cellStyle name="40% - Accent5 2 2 35 2 2" xfId="53323"/>
    <cellStyle name="40% - Accent5 2 2 35 3" xfId="39819"/>
    <cellStyle name="40% - Accent5 2 2 36" xfId="12629"/>
    <cellStyle name="40% - Accent5 2 2 36 2" xfId="26443"/>
    <cellStyle name="40% - Accent5 2 2 36 2 2" xfId="53451"/>
    <cellStyle name="40% - Accent5 2 2 36 3" xfId="39947"/>
    <cellStyle name="40% - Accent5 2 2 37" xfId="12771"/>
    <cellStyle name="40% - Accent5 2 2 37 2" xfId="26571"/>
    <cellStyle name="40% - Accent5 2 2 37 2 2" xfId="53579"/>
    <cellStyle name="40% - Accent5 2 2 37 3" xfId="40075"/>
    <cellStyle name="40% - Accent5 2 2 38" xfId="12913"/>
    <cellStyle name="40% - Accent5 2 2 38 2" xfId="26699"/>
    <cellStyle name="40% - Accent5 2 2 38 2 2" xfId="53707"/>
    <cellStyle name="40% - Accent5 2 2 38 3" xfId="40203"/>
    <cellStyle name="40% - Accent5 2 2 39" xfId="13055"/>
    <cellStyle name="40% - Accent5 2 2 39 2" xfId="26827"/>
    <cellStyle name="40% - Accent5 2 2 39 2 2" xfId="53835"/>
    <cellStyle name="40% - Accent5 2 2 39 3" xfId="40331"/>
    <cellStyle name="40% - Accent5 2 2 4" xfId="8085"/>
    <cellStyle name="40% - Accent5 2 2 4 2" xfId="22347"/>
    <cellStyle name="40% - Accent5 2 2 4 2 2" xfId="49355"/>
    <cellStyle name="40% - Accent5 2 2 4 3" xfId="35851"/>
    <cellStyle name="40% - Accent5 2 2 40" xfId="13197"/>
    <cellStyle name="40% - Accent5 2 2 40 2" xfId="26955"/>
    <cellStyle name="40% - Accent5 2 2 40 2 2" xfId="53963"/>
    <cellStyle name="40% - Accent5 2 2 40 3" xfId="40459"/>
    <cellStyle name="40% - Accent5 2 2 41" xfId="13339"/>
    <cellStyle name="40% - Accent5 2 2 41 2" xfId="27083"/>
    <cellStyle name="40% - Accent5 2 2 41 2 2" xfId="54091"/>
    <cellStyle name="40% - Accent5 2 2 41 3" xfId="40587"/>
    <cellStyle name="40% - Accent5 2 2 42" xfId="13481"/>
    <cellStyle name="40% - Accent5 2 2 42 2" xfId="27211"/>
    <cellStyle name="40% - Accent5 2 2 42 2 2" xfId="54219"/>
    <cellStyle name="40% - Accent5 2 2 42 3" xfId="40715"/>
    <cellStyle name="40% - Accent5 2 2 43" xfId="13623"/>
    <cellStyle name="40% - Accent5 2 2 43 2" xfId="27339"/>
    <cellStyle name="40% - Accent5 2 2 43 2 2" xfId="54347"/>
    <cellStyle name="40% - Accent5 2 2 43 3" xfId="40843"/>
    <cellStyle name="40% - Accent5 2 2 44" xfId="13765"/>
    <cellStyle name="40% - Accent5 2 2 44 2" xfId="27467"/>
    <cellStyle name="40% - Accent5 2 2 44 2 2" xfId="54475"/>
    <cellStyle name="40% - Accent5 2 2 44 3" xfId="40971"/>
    <cellStyle name="40% - Accent5 2 2 45" xfId="13906"/>
    <cellStyle name="40% - Accent5 2 2 45 2" xfId="27594"/>
    <cellStyle name="40% - Accent5 2 2 45 2 2" xfId="54602"/>
    <cellStyle name="40% - Accent5 2 2 45 3" xfId="41098"/>
    <cellStyle name="40% - Accent5 2 2 46" xfId="14047"/>
    <cellStyle name="40% - Accent5 2 2 46 2" xfId="27721"/>
    <cellStyle name="40% - Accent5 2 2 46 2 2" xfId="54729"/>
    <cellStyle name="40% - Accent5 2 2 46 3" xfId="41225"/>
    <cellStyle name="40% - Accent5 2 2 47" xfId="14188"/>
    <cellStyle name="40% - Accent5 2 2 47 2" xfId="27848"/>
    <cellStyle name="40% - Accent5 2 2 47 2 2" xfId="54856"/>
    <cellStyle name="40% - Accent5 2 2 47 3" xfId="41352"/>
    <cellStyle name="40% - Accent5 2 2 48" xfId="14329"/>
    <cellStyle name="40% - Accent5 2 2 48 2" xfId="27975"/>
    <cellStyle name="40% - Accent5 2 2 48 2 2" xfId="54983"/>
    <cellStyle name="40% - Accent5 2 2 48 3" xfId="41479"/>
    <cellStyle name="40% - Accent5 2 2 49" xfId="14469"/>
    <cellStyle name="40% - Accent5 2 2 49 2" xfId="28101"/>
    <cellStyle name="40% - Accent5 2 2 49 2 2" xfId="55109"/>
    <cellStyle name="40% - Accent5 2 2 49 3" xfId="41605"/>
    <cellStyle name="40% - Accent5 2 2 5" xfId="8227"/>
    <cellStyle name="40% - Accent5 2 2 5 2" xfId="22475"/>
    <cellStyle name="40% - Accent5 2 2 5 2 2" xfId="49483"/>
    <cellStyle name="40% - Accent5 2 2 5 3" xfId="35979"/>
    <cellStyle name="40% - Accent5 2 2 50" xfId="14609"/>
    <cellStyle name="40% - Accent5 2 2 50 2" xfId="28227"/>
    <cellStyle name="40% - Accent5 2 2 50 2 2" xfId="55235"/>
    <cellStyle name="40% - Accent5 2 2 50 3" xfId="41731"/>
    <cellStyle name="40% - Accent5 2 2 51" xfId="14748"/>
    <cellStyle name="40% - Accent5 2 2 51 2" xfId="28352"/>
    <cellStyle name="40% - Accent5 2 2 51 2 2" xfId="55360"/>
    <cellStyle name="40% - Accent5 2 2 51 3" xfId="41856"/>
    <cellStyle name="40% - Accent5 2 2 52" xfId="14883"/>
    <cellStyle name="40% - Accent5 2 2 52 2" xfId="28474"/>
    <cellStyle name="40% - Accent5 2 2 52 2 2" xfId="55482"/>
    <cellStyle name="40% - Accent5 2 2 52 3" xfId="41978"/>
    <cellStyle name="40% - Accent5 2 2 53" xfId="15017"/>
    <cellStyle name="40% - Accent5 2 2 53 2" xfId="28595"/>
    <cellStyle name="40% - Accent5 2 2 53 2 2" xfId="55603"/>
    <cellStyle name="40% - Accent5 2 2 53 3" xfId="42099"/>
    <cellStyle name="40% - Accent5 2 2 54" xfId="15145"/>
    <cellStyle name="40% - Accent5 2 2 54 2" xfId="28712"/>
    <cellStyle name="40% - Accent5 2 2 54 2 2" xfId="55720"/>
    <cellStyle name="40% - Accent5 2 2 54 3" xfId="42216"/>
    <cellStyle name="40% - Accent5 2 2 55" xfId="15266"/>
    <cellStyle name="40% - Accent5 2 2 55 2" xfId="28826"/>
    <cellStyle name="40% - Accent5 2 2 55 2 2" xfId="55834"/>
    <cellStyle name="40% - Accent5 2 2 55 3" xfId="42330"/>
    <cellStyle name="40% - Accent5 2 2 56" xfId="15562"/>
    <cellStyle name="40% - Accent5 2 2 56 2" xfId="42570"/>
    <cellStyle name="40% - Accent5 2 2 57" xfId="29066"/>
    <cellStyle name="40% - Accent5 2 2 6" xfId="8369"/>
    <cellStyle name="40% - Accent5 2 2 6 2" xfId="22603"/>
    <cellStyle name="40% - Accent5 2 2 6 2 2" xfId="49611"/>
    <cellStyle name="40% - Accent5 2 2 6 3" xfId="36107"/>
    <cellStyle name="40% - Accent5 2 2 7" xfId="8511"/>
    <cellStyle name="40% - Accent5 2 2 7 2" xfId="22731"/>
    <cellStyle name="40% - Accent5 2 2 7 2 2" xfId="49739"/>
    <cellStyle name="40% - Accent5 2 2 7 3" xfId="36235"/>
    <cellStyle name="40% - Accent5 2 2 8" xfId="8653"/>
    <cellStyle name="40% - Accent5 2 2 8 2" xfId="22859"/>
    <cellStyle name="40% - Accent5 2 2 8 2 2" xfId="49867"/>
    <cellStyle name="40% - Accent5 2 2 8 3" xfId="36363"/>
    <cellStyle name="40% - Accent5 2 2 9" xfId="8795"/>
    <cellStyle name="40% - Accent5 2 2 9 2" xfId="22987"/>
    <cellStyle name="40% - Accent5 2 2 9 2 2" xfId="49995"/>
    <cellStyle name="40% - Accent5 2 2 9 3" xfId="36491"/>
    <cellStyle name="40% - Accent5 2 20" xfId="1960"/>
    <cellStyle name="40% - Accent5 2 20 2" xfId="17025"/>
    <cellStyle name="40% - Accent5 2 20 2 2" xfId="44033"/>
    <cellStyle name="40% - Accent5 2 20 3" xfId="30529"/>
    <cellStyle name="40% - Accent5 2 21" xfId="2066"/>
    <cellStyle name="40% - Accent5 2 21 2" xfId="17117"/>
    <cellStyle name="40% - Accent5 2 21 2 2" xfId="44125"/>
    <cellStyle name="40% - Accent5 2 21 3" xfId="30621"/>
    <cellStyle name="40% - Accent5 2 22" xfId="2172"/>
    <cellStyle name="40% - Accent5 2 22 2" xfId="17209"/>
    <cellStyle name="40% - Accent5 2 22 2 2" xfId="44217"/>
    <cellStyle name="40% - Accent5 2 22 3" xfId="30713"/>
    <cellStyle name="40% - Accent5 2 23" xfId="2278"/>
    <cellStyle name="40% - Accent5 2 23 2" xfId="17301"/>
    <cellStyle name="40% - Accent5 2 23 2 2" xfId="44309"/>
    <cellStyle name="40% - Accent5 2 23 3" xfId="30805"/>
    <cellStyle name="40% - Accent5 2 24" xfId="2384"/>
    <cellStyle name="40% - Accent5 2 24 2" xfId="17393"/>
    <cellStyle name="40% - Accent5 2 24 2 2" xfId="44401"/>
    <cellStyle name="40% - Accent5 2 24 3" xfId="30897"/>
    <cellStyle name="40% - Accent5 2 25" xfId="2490"/>
    <cellStyle name="40% - Accent5 2 25 2" xfId="17485"/>
    <cellStyle name="40% - Accent5 2 25 2 2" xfId="44493"/>
    <cellStyle name="40% - Accent5 2 25 3" xfId="30989"/>
    <cellStyle name="40% - Accent5 2 26" xfId="2596"/>
    <cellStyle name="40% - Accent5 2 26 2" xfId="17577"/>
    <cellStyle name="40% - Accent5 2 26 2 2" xfId="44585"/>
    <cellStyle name="40% - Accent5 2 26 3" xfId="31081"/>
    <cellStyle name="40% - Accent5 2 27" xfId="2702"/>
    <cellStyle name="40% - Accent5 2 27 2" xfId="17669"/>
    <cellStyle name="40% - Accent5 2 27 2 2" xfId="44677"/>
    <cellStyle name="40% - Accent5 2 27 3" xfId="31173"/>
    <cellStyle name="40% - Accent5 2 28" xfId="2808"/>
    <cellStyle name="40% - Accent5 2 28 2" xfId="17761"/>
    <cellStyle name="40% - Accent5 2 28 2 2" xfId="44769"/>
    <cellStyle name="40% - Accent5 2 28 3" xfId="31265"/>
    <cellStyle name="40% - Accent5 2 29" xfId="2914"/>
    <cellStyle name="40% - Accent5 2 29 2" xfId="17853"/>
    <cellStyle name="40% - Accent5 2 29 2 2" xfId="44861"/>
    <cellStyle name="40% - Accent5 2 29 3" xfId="31357"/>
    <cellStyle name="40% - Accent5 2 3" xfId="422"/>
    <cellStyle name="40% - Accent5 2 3 10" xfId="9058"/>
    <cellStyle name="40% - Accent5 2 3 10 2" xfId="23226"/>
    <cellStyle name="40% - Accent5 2 3 10 2 2" xfId="50234"/>
    <cellStyle name="40% - Accent5 2 3 10 3" xfId="36730"/>
    <cellStyle name="40% - Accent5 2 3 11" xfId="9200"/>
    <cellStyle name="40% - Accent5 2 3 11 2" xfId="23354"/>
    <cellStyle name="40% - Accent5 2 3 11 2 2" xfId="50362"/>
    <cellStyle name="40% - Accent5 2 3 11 3" xfId="36858"/>
    <cellStyle name="40% - Accent5 2 3 12" xfId="9342"/>
    <cellStyle name="40% - Accent5 2 3 12 2" xfId="23482"/>
    <cellStyle name="40% - Accent5 2 3 12 2 2" xfId="50490"/>
    <cellStyle name="40% - Accent5 2 3 12 3" xfId="36986"/>
    <cellStyle name="40% - Accent5 2 3 13" xfId="9484"/>
    <cellStyle name="40% - Accent5 2 3 13 2" xfId="23610"/>
    <cellStyle name="40% - Accent5 2 3 13 2 2" xfId="50618"/>
    <cellStyle name="40% - Accent5 2 3 13 3" xfId="37114"/>
    <cellStyle name="40% - Accent5 2 3 14" xfId="9626"/>
    <cellStyle name="40% - Accent5 2 3 14 2" xfId="23738"/>
    <cellStyle name="40% - Accent5 2 3 14 2 2" xfId="50746"/>
    <cellStyle name="40% - Accent5 2 3 14 3" xfId="37242"/>
    <cellStyle name="40% - Accent5 2 3 15" xfId="9768"/>
    <cellStyle name="40% - Accent5 2 3 15 2" xfId="23866"/>
    <cellStyle name="40% - Accent5 2 3 15 2 2" xfId="50874"/>
    <cellStyle name="40% - Accent5 2 3 15 3" xfId="37370"/>
    <cellStyle name="40% - Accent5 2 3 16" xfId="9910"/>
    <cellStyle name="40% - Accent5 2 3 16 2" xfId="23994"/>
    <cellStyle name="40% - Accent5 2 3 16 2 2" xfId="51002"/>
    <cellStyle name="40% - Accent5 2 3 16 3" xfId="37498"/>
    <cellStyle name="40% - Accent5 2 3 17" xfId="10052"/>
    <cellStyle name="40% - Accent5 2 3 17 2" xfId="24122"/>
    <cellStyle name="40% - Accent5 2 3 17 2 2" xfId="51130"/>
    <cellStyle name="40% - Accent5 2 3 17 3" xfId="37626"/>
    <cellStyle name="40% - Accent5 2 3 18" xfId="10194"/>
    <cellStyle name="40% - Accent5 2 3 18 2" xfId="24250"/>
    <cellStyle name="40% - Accent5 2 3 18 2 2" xfId="51258"/>
    <cellStyle name="40% - Accent5 2 3 18 3" xfId="37754"/>
    <cellStyle name="40% - Accent5 2 3 19" xfId="10336"/>
    <cellStyle name="40% - Accent5 2 3 19 2" xfId="24378"/>
    <cellStyle name="40% - Accent5 2 3 19 2 2" xfId="51386"/>
    <cellStyle name="40% - Accent5 2 3 19 3" xfId="37882"/>
    <cellStyle name="40% - Accent5 2 3 2" xfId="7922"/>
    <cellStyle name="40% - Accent5 2 3 2 2" xfId="22202"/>
    <cellStyle name="40% - Accent5 2 3 2 2 2" xfId="49210"/>
    <cellStyle name="40% - Accent5 2 3 2 3" xfId="35706"/>
    <cellStyle name="40% - Accent5 2 3 20" xfId="10478"/>
    <cellStyle name="40% - Accent5 2 3 20 2" xfId="24506"/>
    <cellStyle name="40% - Accent5 2 3 20 2 2" xfId="51514"/>
    <cellStyle name="40% - Accent5 2 3 20 3" xfId="38010"/>
    <cellStyle name="40% - Accent5 2 3 21" xfId="10620"/>
    <cellStyle name="40% - Accent5 2 3 21 2" xfId="24634"/>
    <cellStyle name="40% - Accent5 2 3 21 2 2" xfId="51642"/>
    <cellStyle name="40% - Accent5 2 3 21 3" xfId="38138"/>
    <cellStyle name="40% - Accent5 2 3 22" xfId="10762"/>
    <cellStyle name="40% - Accent5 2 3 22 2" xfId="24762"/>
    <cellStyle name="40% - Accent5 2 3 22 2 2" xfId="51770"/>
    <cellStyle name="40% - Accent5 2 3 22 3" xfId="38266"/>
    <cellStyle name="40% - Accent5 2 3 23" xfId="10904"/>
    <cellStyle name="40% - Accent5 2 3 23 2" xfId="24890"/>
    <cellStyle name="40% - Accent5 2 3 23 2 2" xfId="51898"/>
    <cellStyle name="40% - Accent5 2 3 23 3" xfId="38394"/>
    <cellStyle name="40% - Accent5 2 3 24" xfId="11046"/>
    <cellStyle name="40% - Accent5 2 3 24 2" xfId="25018"/>
    <cellStyle name="40% - Accent5 2 3 24 2 2" xfId="52026"/>
    <cellStyle name="40% - Accent5 2 3 24 3" xfId="38522"/>
    <cellStyle name="40% - Accent5 2 3 25" xfId="11188"/>
    <cellStyle name="40% - Accent5 2 3 25 2" xfId="25146"/>
    <cellStyle name="40% - Accent5 2 3 25 2 2" xfId="52154"/>
    <cellStyle name="40% - Accent5 2 3 25 3" xfId="38650"/>
    <cellStyle name="40% - Accent5 2 3 26" xfId="11330"/>
    <cellStyle name="40% - Accent5 2 3 26 2" xfId="25274"/>
    <cellStyle name="40% - Accent5 2 3 26 2 2" xfId="52282"/>
    <cellStyle name="40% - Accent5 2 3 26 3" xfId="38778"/>
    <cellStyle name="40% - Accent5 2 3 27" xfId="11472"/>
    <cellStyle name="40% - Accent5 2 3 27 2" xfId="25402"/>
    <cellStyle name="40% - Accent5 2 3 27 2 2" xfId="52410"/>
    <cellStyle name="40% - Accent5 2 3 27 3" xfId="38906"/>
    <cellStyle name="40% - Accent5 2 3 28" xfId="11614"/>
    <cellStyle name="40% - Accent5 2 3 28 2" xfId="25530"/>
    <cellStyle name="40% - Accent5 2 3 28 2 2" xfId="52538"/>
    <cellStyle name="40% - Accent5 2 3 28 3" xfId="39034"/>
    <cellStyle name="40% - Accent5 2 3 29" xfId="11756"/>
    <cellStyle name="40% - Accent5 2 3 29 2" xfId="25658"/>
    <cellStyle name="40% - Accent5 2 3 29 2 2" xfId="52666"/>
    <cellStyle name="40% - Accent5 2 3 29 3" xfId="39162"/>
    <cellStyle name="40% - Accent5 2 3 3" xfId="8064"/>
    <cellStyle name="40% - Accent5 2 3 3 2" xfId="22330"/>
    <cellStyle name="40% - Accent5 2 3 3 2 2" xfId="49338"/>
    <cellStyle name="40% - Accent5 2 3 3 3" xfId="35834"/>
    <cellStyle name="40% - Accent5 2 3 30" xfId="11898"/>
    <cellStyle name="40% - Accent5 2 3 30 2" xfId="25786"/>
    <cellStyle name="40% - Accent5 2 3 30 2 2" xfId="52794"/>
    <cellStyle name="40% - Accent5 2 3 30 3" xfId="39290"/>
    <cellStyle name="40% - Accent5 2 3 31" xfId="12040"/>
    <cellStyle name="40% - Accent5 2 3 31 2" xfId="25914"/>
    <cellStyle name="40% - Accent5 2 3 31 2 2" xfId="52922"/>
    <cellStyle name="40% - Accent5 2 3 31 3" xfId="39418"/>
    <cellStyle name="40% - Accent5 2 3 32" xfId="12182"/>
    <cellStyle name="40% - Accent5 2 3 32 2" xfId="26042"/>
    <cellStyle name="40% - Accent5 2 3 32 2 2" xfId="53050"/>
    <cellStyle name="40% - Accent5 2 3 32 3" xfId="39546"/>
    <cellStyle name="40% - Accent5 2 3 33" xfId="12324"/>
    <cellStyle name="40% - Accent5 2 3 33 2" xfId="26170"/>
    <cellStyle name="40% - Accent5 2 3 33 2 2" xfId="53178"/>
    <cellStyle name="40% - Accent5 2 3 33 3" xfId="39674"/>
    <cellStyle name="40% - Accent5 2 3 34" xfId="12466"/>
    <cellStyle name="40% - Accent5 2 3 34 2" xfId="26298"/>
    <cellStyle name="40% - Accent5 2 3 34 2 2" xfId="53306"/>
    <cellStyle name="40% - Accent5 2 3 34 3" xfId="39802"/>
    <cellStyle name="40% - Accent5 2 3 35" xfId="12608"/>
    <cellStyle name="40% - Accent5 2 3 35 2" xfId="26426"/>
    <cellStyle name="40% - Accent5 2 3 35 2 2" xfId="53434"/>
    <cellStyle name="40% - Accent5 2 3 35 3" xfId="39930"/>
    <cellStyle name="40% - Accent5 2 3 36" xfId="12750"/>
    <cellStyle name="40% - Accent5 2 3 36 2" xfId="26554"/>
    <cellStyle name="40% - Accent5 2 3 36 2 2" xfId="53562"/>
    <cellStyle name="40% - Accent5 2 3 36 3" xfId="40058"/>
    <cellStyle name="40% - Accent5 2 3 37" xfId="12892"/>
    <cellStyle name="40% - Accent5 2 3 37 2" xfId="26682"/>
    <cellStyle name="40% - Accent5 2 3 37 2 2" xfId="53690"/>
    <cellStyle name="40% - Accent5 2 3 37 3" xfId="40186"/>
    <cellStyle name="40% - Accent5 2 3 38" xfId="13034"/>
    <cellStyle name="40% - Accent5 2 3 38 2" xfId="26810"/>
    <cellStyle name="40% - Accent5 2 3 38 2 2" xfId="53818"/>
    <cellStyle name="40% - Accent5 2 3 38 3" xfId="40314"/>
    <cellStyle name="40% - Accent5 2 3 39" xfId="13176"/>
    <cellStyle name="40% - Accent5 2 3 39 2" xfId="26938"/>
    <cellStyle name="40% - Accent5 2 3 39 2 2" xfId="53946"/>
    <cellStyle name="40% - Accent5 2 3 39 3" xfId="40442"/>
    <cellStyle name="40% - Accent5 2 3 4" xfId="8206"/>
    <cellStyle name="40% - Accent5 2 3 4 2" xfId="22458"/>
    <cellStyle name="40% - Accent5 2 3 4 2 2" xfId="49466"/>
    <cellStyle name="40% - Accent5 2 3 4 3" xfId="35962"/>
    <cellStyle name="40% - Accent5 2 3 40" xfId="13318"/>
    <cellStyle name="40% - Accent5 2 3 40 2" xfId="27066"/>
    <cellStyle name="40% - Accent5 2 3 40 2 2" xfId="54074"/>
    <cellStyle name="40% - Accent5 2 3 40 3" xfId="40570"/>
    <cellStyle name="40% - Accent5 2 3 41" xfId="13460"/>
    <cellStyle name="40% - Accent5 2 3 41 2" xfId="27194"/>
    <cellStyle name="40% - Accent5 2 3 41 2 2" xfId="54202"/>
    <cellStyle name="40% - Accent5 2 3 41 3" xfId="40698"/>
    <cellStyle name="40% - Accent5 2 3 42" xfId="13602"/>
    <cellStyle name="40% - Accent5 2 3 42 2" xfId="27322"/>
    <cellStyle name="40% - Accent5 2 3 42 2 2" xfId="54330"/>
    <cellStyle name="40% - Accent5 2 3 42 3" xfId="40826"/>
    <cellStyle name="40% - Accent5 2 3 43" xfId="13744"/>
    <cellStyle name="40% - Accent5 2 3 43 2" xfId="27450"/>
    <cellStyle name="40% - Accent5 2 3 43 2 2" xfId="54458"/>
    <cellStyle name="40% - Accent5 2 3 43 3" xfId="40954"/>
    <cellStyle name="40% - Accent5 2 3 44" xfId="13885"/>
    <cellStyle name="40% - Accent5 2 3 44 2" xfId="27577"/>
    <cellStyle name="40% - Accent5 2 3 44 2 2" xfId="54585"/>
    <cellStyle name="40% - Accent5 2 3 44 3" xfId="41081"/>
    <cellStyle name="40% - Accent5 2 3 45" xfId="14026"/>
    <cellStyle name="40% - Accent5 2 3 45 2" xfId="27704"/>
    <cellStyle name="40% - Accent5 2 3 45 2 2" xfId="54712"/>
    <cellStyle name="40% - Accent5 2 3 45 3" xfId="41208"/>
    <cellStyle name="40% - Accent5 2 3 46" xfId="14167"/>
    <cellStyle name="40% - Accent5 2 3 46 2" xfId="27831"/>
    <cellStyle name="40% - Accent5 2 3 46 2 2" xfId="54839"/>
    <cellStyle name="40% - Accent5 2 3 46 3" xfId="41335"/>
    <cellStyle name="40% - Accent5 2 3 47" xfId="14308"/>
    <cellStyle name="40% - Accent5 2 3 47 2" xfId="27958"/>
    <cellStyle name="40% - Accent5 2 3 47 2 2" xfId="54966"/>
    <cellStyle name="40% - Accent5 2 3 47 3" xfId="41462"/>
    <cellStyle name="40% - Accent5 2 3 48" xfId="14448"/>
    <cellStyle name="40% - Accent5 2 3 48 2" xfId="28084"/>
    <cellStyle name="40% - Accent5 2 3 48 2 2" xfId="55092"/>
    <cellStyle name="40% - Accent5 2 3 48 3" xfId="41588"/>
    <cellStyle name="40% - Accent5 2 3 49" xfId="14588"/>
    <cellStyle name="40% - Accent5 2 3 49 2" xfId="28210"/>
    <cellStyle name="40% - Accent5 2 3 49 2 2" xfId="55218"/>
    <cellStyle name="40% - Accent5 2 3 49 3" xfId="41714"/>
    <cellStyle name="40% - Accent5 2 3 5" xfId="8348"/>
    <cellStyle name="40% - Accent5 2 3 5 2" xfId="22586"/>
    <cellStyle name="40% - Accent5 2 3 5 2 2" xfId="49594"/>
    <cellStyle name="40% - Accent5 2 3 5 3" xfId="36090"/>
    <cellStyle name="40% - Accent5 2 3 50" xfId="14727"/>
    <cellStyle name="40% - Accent5 2 3 50 2" xfId="28335"/>
    <cellStyle name="40% - Accent5 2 3 50 2 2" xfId="55343"/>
    <cellStyle name="40% - Accent5 2 3 50 3" xfId="41839"/>
    <cellStyle name="40% - Accent5 2 3 51" xfId="14862"/>
    <cellStyle name="40% - Accent5 2 3 51 2" xfId="28457"/>
    <cellStyle name="40% - Accent5 2 3 51 2 2" xfId="55465"/>
    <cellStyle name="40% - Accent5 2 3 51 3" xfId="41961"/>
    <cellStyle name="40% - Accent5 2 3 52" xfId="14996"/>
    <cellStyle name="40% - Accent5 2 3 52 2" xfId="28578"/>
    <cellStyle name="40% - Accent5 2 3 52 2 2" xfId="55586"/>
    <cellStyle name="40% - Accent5 2 3 52 3" xfId="42082"/>
    <cellStyle name="40% - Accent5 2 3 53" xfId="15125"/>
    <cellStyle name="40% - Accent5 2 3 53 2" xfId="28695"/>
    <cellStyle name="40% - Accent5 2 3 53 2 2" xfId="55703"/>
    <cellStyle name="40% - Accent5 2 3 53 3" xfId="42199"/>
    <cellStyle name="40% - Accent5 2 3 54" xfId="15247"/>
    <cellStyle name="40% - Accent5 2 3 54 2" xfId="28809"/>
    <cellStyle name="40% - Accent5 2 3 54 2 2" xfId="55817"/>
    <cellStyle name="40% - Accent5 2 3 54 3" xfId="42313"/>
    <cellStyle name="40% - Accent5 2 3 55" xfId="15352"/>
    <cellStyle name="40% - Accent5 2 3 55 2" xfId="28912"/>
    <cellStyle name="40% - Accent5 2 3 55 2 2" xfId="55920"/>
    <cellStyle name="40% - Accent5 2 3 55 3" xfId="42416"/>
    <cellStyle name="40% - Accent5 2 3 56" xfId="15690"/>
    <cellStyle name="40% - Accent5 2 3 56 2" xfId="42698"/>
    <cellStyle name="40% - Accent5 2 3 57" xfId="29194"/>
    <cellStyle name="40% - Accent5 2 3 6" xfId="8490"/>
    <cellStyle name="40% - Accent5 2 3 6 2" xfId="22714"/>
    <cellStyle name="40% - Accent5 2 3 6 2 2" xfId="49722"/>
    <cellStyle name="40% - Accent5 2 3 6 3" xfId="36218"/>
    <cellStyle name="40% - Accent5 2 3 7" xfId="8632"/>
    <cellStyle name="40% - Accent5 2 3 7 2" xfId="22842"/>
    <cellStyle name="40% - Accent5 2 3 7 2 2" xfId="49850"/>
    <cellStyle name="40% - Accent5 2 3 7 3" xfId="36346"/>
    <cellStyle name="40% - Accent5 2 3 8" xfId="8774"/>
    <cellStyle name="40% - Accent5 2 3 8 2" xfId="22970"/>
    <cellStyle name="40% - Accent5 2 3 8 2 2" xfId="49978"/>
    <cellStyle name="40% - Accent5 2 3 8 3" xfId="36474"/>
    <cellStyle name="40% - Accent5 2 3 9" xfId="8916"/>
    <cellStyle name="40% - Accent5 2 3 9 2" xfId="23098"/>
    <cellStyle name="40% - Accent5 2 3 9 2 2" xfId="50106"/>
    <cellStyle name="40% - Accent5 2 3 9 3" xfId="36602"/>
    <cellStyle name="40% - Accent5 2 30" xfId="3020"/>
    <cellStyle name="40% - Accent5 2 30 2" xfId="17945"/>
    <cellStyle name="40% - Accent5 2 30 2 2" xfId="44953"/>
    <cellStyle name="40% - Accent5 2 30 3" xfId="31449"/>
    <cellStyle name="40% - Accent5 2 31" xfId="3126"/>
    <cellStyle name="40% - Accent5 2 31 2" xfId="18037"/>
    <cellStyle name="40% - Accent5 2 31 2 2" xfId="45045"/>
    <cellStyle name="40% - Accent5 2 31 3" xfId="31541"/>
    <cellStyle name="40% - Accent5 2 32" xfId="3232"/>
    <cellStyle name="40% - Accent5 2 32 2" xfId="18129"/>
    <cellStyle name="40% - Accent5 2 32 2 2" xfId="45137"/>
    <cellStyle name="40% - Accent5 2 32 3" xfId="31633"/>
    <cellStyle name="40% - Accent5 2 33" xfId="3338"/>
    <cellStyle name="40% - Accent5 2 33 2" xfId="18221"/>
    <cellStyle name="40% - Accent5 2 33 2 2" xfId="45229"/>
    <cellStyle name="40% - Accent5 2 33 3" xfId="31725"/>
    <cellStyle name="40% - Accent5 2 34" xfId="3444"/>
    <cellStyle name="40% - Accent5 2 34 2" xfId="18313"/>
    <cellStyle name="40% - Accent5 2 34 2 2" xfId="45321"/>
    <cellStyle name="40% - Accent5 2 34 3" xfId="31817"/>
    <cellStyle name="40% - Accent5 2 35" xfId="3550"/>
    <cellStyle name="40% - Accent5 2 35 2" xfId="18405"/>
    <cellStyle name="40% - Accent5 2 35 2 2" xfId="45413"/>
    <cellStyle name="40% - Accent5 2 35 3" xfId="31909"/>
    <cellStyle name="40% - Accent5 2 36" xfId="3656"/>
    <cellStyle name="40% - Accent5 2 36 2" xfId="18497"/>
    <cellStyle name="40% - Accent5 2 36 2 2" xfId="45505"/>
    <cellStyle name="40% - Accent5 2 36 3" xfId="32001"/>
    <cellStyle name="40% - Accent5 2 37" xfId="3762"/>
    <cellStyle name="40% - Accent5 2 37 2" xfId="18589"/>
    <cellStyle name="40% - Accent5 2 37 2 2" xfId="45597"/>
    <cellStyle name="40% - Accent5 2 37 3" xfId="32093"/>
    <cellStyle name="40% - Accent5 2 38" xfId="3868"/>
    <cellStyle name="40% - Accent5 2 38 2" xfId="18681"/>
    <cellStyle name="40% - Accent5 2 38 2 2" xfId="45689"/>
    <cellStyle name="40% - Accent5 2 38 3" xfId="32185"/>
    <cellStyle name="40% - Accent5 2 39" xfId="3974"/>
    <cellStyle name="40% - Accent5 2 39 2" xfId="18773"/>
    <cellStyle name="40% - Accent5 2 39 2 2" xfId="45781"/>
    <cellStyle name="40% - Accent5 2 39 3" xfId="32277"/>
    <cellStyle name="40% - Accent5 2 4" xfId="425"/>
    <cellStyle name="40% - Accent5 2 4 2" xfId="15693"/>
    <cellStyle name="40% - Accent5 2 4 2 2" xfId="42701"/>
    <cellStyle name="40% - Accent5 2 4 3" xfId="29197"/>
    <cellStyle name="40% - Accent5 2 40" xfId="4080"/>
    <cellStyle name="40% - Accent5 2 40 2" xfId="18865"/>
    <cellStyle name="40% - Accent5 2 40 2 2" xfId="45873"/>
    <cellStyle name="40% - Accent5 2 40 3" xfId="32369"/>
    <cellStyle name="40% - Accent5 2 41" xfId="4186"/>
    <cellStyle name="40% - Accent5 2 41 2" xfId="18957"/>
    <cellStyle name="40% - Accent5 2 41 2 2" xfId="45965"/>
    <cellStyle name="40% - Accent5 2 41 3" xfId="32461"/>
    <cellStyle name="40% - Accent5 2 42" xfId="4292"/>
    <cellStyle name="40% - Accent5 2 42 2" xfId="19049"/>
    <cellStyle name="40% - Accent5 2 42 2 2" xfId="46057"/>
    <cellStyle name="40% - Accent5 2 42 3" xfId="32553"/>
    <cellStyle name="40% - Accent5 2 43" xfId="4398"/>
    <cellStyle name="40% - Accent5 2 43 2" xfId="19141"/>
    <cellStyle name="40% - Accent5 2 43 2 2" xfId="46149"/>
    <cellStyle name="40% - Accent5 2 43 3" xfId="32645"/>
    <cellStyle name="40% - Accent5 2 44" xfId="4504"/>
    <cellStyle name="40% - Accent5 2 44 2" xfId="19233"/>
    <cellStyle name="40% - Accent5 2 44 2 2" xfId="46241"/>
    <cellStyle name="40% - Accent5 2 44 3" xfId="32737"/>
    <cellStyle name="40% - Accent5 2 45" xfId="4610"/>
    <cellStyle name="40% - Accent5 2 45 2" xfId="19325"/>
    <cellStyle name="40% - Accent5 2 45 2 2" xfId="46333"/>
    <cellStyle name="40% - Accent5 2 45 3" xfId="32829"/>
    <cellStyle name="40% - Accent5 2 46" xfId="4716"/>
    <cellStyle name="40% - Accent5 2 46 2" xfId="19417"/>
    <cellStyle name="40% - Accent5 2 46 2 2" xfId="46425"/>
    <cellStyle name="40% - Accent5 2 46 3" xfId="32921"/>
    <cellStyle name="40% - Accent5 2 47" xfId="4822"/>
    <cellStyle name="40% - Accent5 2 47 2" xfId="19509"/>
    <cellStyle name="40% - Accent5 2 47 2 2" xfId="46517"/>
    <cellStyle name="40% - Accent5 2 47 3" xfId="33013"/>
    <cellStyle name="40% - Accent5 2 48" xfId="4928"/>
    <cellStyle name="40% - Accent5 2 48 2" xfId="19601"/>
    <cellStyle name="40% - Accent5 2 48 2 2" xfId="46609"/>
    <cellStyle name="40% - Accent5 2 48 3" xfId="33105"/>
    <cellStyle name="40% - Accent5 2 49" xfId="5034"/>
    <cellStyle name="40% - Accent5 2 49 2" xfId="19693"/>
    <cellStyle name="40% - Accent5 2 49 2 2" xfId="46701"/>
    <cellStyle name="40% - Accent5 2 49 3" xfId="33197"/>
    <cellStyle name="40% - Accent5 2 5" xfId="436"/>
    <cellStyle name="40% - Accent5 2 5 2" xfId="15702"/>
    <cellStyle name="40% - Accent5 2 5 2 2" xfId="42710"/>
    <cellStyle name="40% - Accent5 2 5 3" xfId="29206"/>
    <cellStyle name="40% - Accent5 2 50" xfId="5140"/>
    <cellStyle name="40% - Accent5 2 50 2" xfId="19785"/>
    <cellStyle name="40% - Accent5 2 50 2 2" xfId="46793"/>
    <cellStyle name="40% - Accent5 2 50 3" xfId="33289"/>
    <cellStyle name="40% - Accent5 2 51" xfId="5246"/>
    <cellStyle name="40% - Accent5 2 51 2" xfId="19877"/>
    <cellStyle name="40% - Accent5 2 51 2 2" xfId="46885"/>
    <cellStyle name="40% - Accent5 2 51 3" xfId="33381"/>
    <cellStyle name="40% - Accent5 2 52" xfId="5352"/>
    <cellStyle name="40% - Accent5 2 52 2" xfId="19969"/>
    <cellStyle name="40% - Accent5 2 52 2 2" xfId="46977"/>
    <cellStyle name="40% - Accent5 2 52 3" xfId="33473"/>
    <cellStyle name="40% - Accent5 2 53" xfId="5458"/>
    <cellStyle name="40% - Accent5 2 53 2" xfId="20061"/>
    <cellStyle name="40% - Accent5 2 53 2 2" xfId="47069"/>
    <cellStyle name="40% - Accent5 2 53 3" xfId="33565"/>
    <cellStyle name="40% - Accent5 2 54" xfId="5564"/>
    <cellStyle name="40% - Accent5 2 54 2" xfId="20153"/>
    <cellStyle name="40% - Accent5 2 54 2 2" xfId="47161"/>
    <cellStyle name="40% - Accent5 2 54 3" xfId="33657"/>
    <cellStyle name="40% - Accent5 2 55" xfId="5670"/>
    <cellStyle name="40% - Accent5 2 55 2" xfId="20245"/>
    <cellStyle name="40% - Accent5 2 55 2 2" xfId="47253"/>
    <cellStyle name="40% - Accent5 2 55 3" xfId="33749"/>
    <cellStyle name="40% - Accent5 2 56" xfId="5776"/>
    <cellStyle name="40% - Accent5 2 56 2" xfId="20337"/>
    <cellStyle name="40% - Accent5 2 56 2 2" xfId="47345"/>
    <cellStyle name="40% - Accent5 2 56 3" xfId="33841"/>
    <cellStyle name="40% - Accent5 2 57" xfId="5882"/>
    <cellStyle name="40% - Accent5 2 57 2" xfId="20429"/>
    <cellStyle name="40% - Accent5 2 57 2 2" xfId="47437"/>
    <cellStyle name="40% - Accent5 2 57 3" xfId="33933"/>
    <cellStyle name="40% - Accent5 2 58" xfId="5988"/>
    <cellStyle name="40% - Accent5 2 58 2" xfId="20521"/>
    <cellStyle name="40% - Accent5 2 58 2 2" xfId="47529"/>
    <cellStyle name="40% - Accent5 2 58 3" xfId="34025"/>
    <cellStyle name="40% - Accent5 2 59" xfId="6094"/>
    <cellStyle name="40% - Accent5 2 59 2" xfId="20613"/>
    <cellStyle name="40% - Accent5 2 59 2 2" xfId="47621"/>
    <cellStyle name="40% - Accent5 2 59 3" xfId="34117"/>
    <cellStyle name="40% - Accent5 2 6" xfId="467"/>
    <cellStyle name="40% - Accent5 2 6 2" xfId="15728"/>
    <cellStyle name="40% - Accent5 2 6 2 2" xfId="42736"/>
    <cellStyle name="40% - Accent5 2 6 3" xfId="29232"/>
    <cellStyle name="40% - Accent5 2 60" xfId="6200"/>
    <cellStyle name="40% - Accent5 2 60 2" xfId="20705"/>
    <cellStyle name="40% - Accent5 2 60 2 2" xfId="47713"/>
    <cellStyle name="40% - Accent5 2 60 3" xfId="34209"/>
    <cellStyle name="40% - Accent5 2 61" xfId="6306"/>
    <cellStyle name="40% - Accent5 2 61 2" xfId="20797"/>
    <cellStyle name="40% - Accent5 2 61 2 2" xfId="47805"/>
    <cellStyle name="40% - Accent5 2 61 3" xfId="34301"/>
    <cellStyle name="40% - Accent5 2 62" xfId="6412"/>
    <cellStyle name="40% - Accent5 2 62 2" xfId="20889"/>
    <cellStyle name="40% - Accent5 2 62 2 2" xfId="47897"/>
    <cellStyle name="40% - Accent5 2 62 3" xfId="34393"/>
    <cellStyle name="40% - Accent5 2 63" xfId="6518"/>
    <cellStyle name="40% - Accent5 2 63 2" xfId="20981"/>
    <cellStyle name="40% - Accent5 2 63 2 2" xfId="47989"/>
    <cellStyle name="40% - Accent5 2 63 3" xfId="34485"/>
    <cellStyle name="40% - Accent5 2 64" xfId="6623"/>
    <cellStyle name="40% - Accent5 2 64 2" xfId="21072"/>
    <cellStyle name="40% - Accent5 2 64 2 2" xfId="48080"/>
    <cellStyle name="40% - Accent5 2 64 3" xfId="34576"/>
    <cellStyle name="40% - Accent5 2 65" xfId="6728"/>
    <cellStyle name="40% - Accent5 2 65 2" xfId="21163"/>
    <cellStyle name="40% - Accent5 2 65 2 2" xfId="48171"/>
    <cellStyle name="40% - Accent5 2 65 3" xfId="34667"/>
    <cellStyle name="40% - Accent5 2 66" xfId="6833"/>
    <cellStyle name="40% - Accent5 2 66 2" xfId="21254"/>
    <cellStyle name="40% - Accent5 2 66 2 2" xfId="48262"/>
    <cellStyle name="40% - Accent5 2 66 3" xfId="34758"/>
    <cellStyle name="40% - Accent5 2 67" xfId="6938"/>
    <cellStyle name="40% - Accent5 2 67 2" xfId="21345"/>
    <cellStyle name="40% - Accent5 2 67 2 2" xfId="48353"/>
    <cellStyle name="40% - Accent5 2 67 3" xfId="34849"/>
    <cellStyle name="40% - Accent5 2 68" xfId="7043"/>
    <cellStyle name="40% - Accent5 2 68 2" xfId="21436"/>
    <cellStyle name="40% - Accent5 2 68 2 2" xfId="48444"/>
    <cellStyle name="40% - Accent5 2 68 3" xfId="34940"/>
    <cellStyle name="40% - Accent5 2 69" xfId="7147"/>
    <cellStyle name="40% - Accent5 2 69 2" xfId="21526"/>
    <cellStyle name="40% - Accent5 2 69 2 2" xfId="48534"/>
    <cellStyle name="40% - Accent5 2 69 3" xfId="35030"/>
    <cellStyle name="40% - Accent5 2 7" xfId="582"/>
    <cellStyle name="40% - Accent5 2 7 2" xfId="15829"/>
    <cellStyle name="40% - Accent5 2 7 2 2" xfId="42837"/>
    <cellStyle name="40% - Accent5 2 7 3" xfId="29333"/>
    <cellStyle name="40% - Accent5 2 70" xfId="7250"/>
    <cellStyle name="40% - Accent5 2 70 2" xfId="21615"/>
    <cellStyle name="40% - Accent5 2 70 2 2" xfId="48623"/>
    <cellStyle name="40% - Accent5 2 70 3" xfId="35119"/>
    <cellStyle name="40% - Accent5 2 71" xfId="7350"/>
    <cellStyle name="40% - Accent5 2 71 2" xfId="21702"/>
    <cellStyle name="40% - Accent5 2 71 2 2" xfId="48710"/>
    <cellStyle name="40% - Accent5 2 71 3" xfId="35206"/>
    <cellStyle name="40% - Accent5 2 72" xfId="7448"/>
    <cellStyle name="40% - Accent5 2 72 2" xfId="21787"/>
    <cellStyle name="40% - Accent5 2 72 2 2" xfId="48795"/>
    <cellStyle name="40% - Accent5 2 72 3" xfId="35291"/>
    <cellStyle name="40% - Accent5 2 73" xfId="7736"/>
    <cellStyle name="40% - Accent5 2 73 2" xfId="22038"/>
    <cellStyle name="40% - Accent5 2 73 2 2" xfId="49046"/>
    <cellStyle name="40% - Accent5 2 73 3" xfId="35542"/>
    <cellStyle name="40% - Accent5 2 74" xfId="7747"/>
    <cellStyle name="40% - Accent5 2 74 2" xfId="22047"/>
    <cellStyle name="40% - Accent5 2 74 2 2" xfId="49055"/>
    <cellStyle name="40% - Accent5 2 74 3" xfId="35551"/>
    <cellStyle name="40% - Accent5 2 75" xfId="7778"/>
    <cellStyle name="40% - Accent5 2 75 2" xfId="22073"/>
    <cellStyle name="40% - Accent5 2 75 2 2" xfId="49081"/>
    <cellStyle name="40% - Accent5 2 75 3" xfId="35577"/>
    <cellStyle name="40% - Accent5 2 76" xfId="7897"/>
    <cellStyle name="40% - Accent5 2 76 2" xfId="22178"/>
    <cellStyle name="40% - Accent5 2 76 2 2" xfId="49186"/>
    <cellStyle name="40% - Accent5 2 76 3" xfId="35682"/>
    <cellStyle name="40% - Accent5 2 77" xfId="8039"/>
    <cellStyle name="40% - Accent5 2 77 2" xfId="22306"/>
    <cellStyle name="40% - Accent5 2 77 2 2" xfId="49314"/>
    <cellStyle name="40% - Accent5 2 77 3" xfId="35810"/>
    <cellStyle name="40% - Accent5 2 78" xfId="8181"/>
    <cellStyle name="40% - Accent5 2 78 2" xfId="22434"/>
    <cellStyle name="40% - Accent5 2 78 2 2" xfId="49442"/>
    <cellStyle name="40% - Accent5 2 78 3" xfId="35938"/>
    <cellStyle name="40% - Accent5 2 79" xfId="8323"/>
    <cellStyle name="40% - Accent5 2 79 2" xfId="22562"/>
    <cellStyle name="40% - Accent5 2 79 2 2" xfId="49570"/>
    <cellStyle name="40% - Accent5 2 79 3" xfId="36066"/>
    <cellStyle name="40% - Accent5 2 8" xfId="688"/>
    <cellStyle name="40% - Accent5 2 8 2" xfId="15921"/>
    <cellStyle name="40% - Accent5 2 8 2 2" xfId="42929"/>
    <cellStyle name="40% - Accent5 2 8 3" xfId="29425"/>
    <cellStyle name="40% - Accent5 2 80" xfId="8465"/>
    <cellStyle name="40% - Accent5 2 80 2" xfId="22690"/>
    <cellStyle name="40% - Accent5 2 80 2 2" xfId="49698"/>
    <cellStyle name="40% - Accent5 2 80 3" xfId="36194"/>
    <cellStyle name="40% - Accent5 2 81" xfId="8607"/>
    <cellStyle name="40% - Accent5 2 81 2" xfId="22818"/>
    <cellStyle name="40% - Accent5 2 81 2 2" xfId="49826"/>
    <cellStyle name="40% - Accent5 2 81 3" xfId="36322"/>
    <cellStyle name="40% - Accent5 2 82" xfId="8749"/>
    <cellStyle name="40% - Accent5 2 82 2" xfId="22946"/>
    <cellStyle name="40% - Accent5 2 82 2 2" xfId="49954"/>
    <cellStyle name="40% - Accent5 2 82 3" xfId="36450"/>
    <cellStyle name="40% - Accent5 2 83" xfId="8891"/>
    <cellStyle name="40% - Accent5 2 83 2" xfId="23074"/>
    <cellStyle name="40% - Accent5 2 83 2 2" xfId="50082"/>
    <cellStyle name="40% - Accent5 2 83 3" xfId="36578"/>
    <cellStyle name="40% - Accent5 2 84" xfId="9033"/>
    <cellStyle name="40% - Accent5 2 84 2" xfId="23202"/>
    <cellStyle name="40% - Accent5 2 84 2 2" xfId="50210"/>
    <cellStyle name="40% - Accent5 2 84 3" xfId="36706"/>
    <cellStyle name="40% - Accent5 2 85" xfId="9175"/>
    <cellStyle name="40% - Accent5 2 85 2" xfId="23330"/>
    <cellStyle name="40% - Accent5 2 85 2 2" xfId="50338"/>
    <cellStyle name="40% - Accent5 2 85 3" xfId="36834"/>
    <cellStyle name="40% - Accent5 2 86" xfId="9317"/>
    <cellStyle name="40% - Accent5 2 86 2" xfId="23458"/>
    <cellStyle name="40% - Accent5 2 86 2 2" xfId="50466"/>
    <cellStyle name="40% - Accent5 2 86 3" xfId="36962"/>
    <cellStyle name="40% - Accent5 2 87" xfId="9459"/>
    <cellStyle name="40% - Accent5 2 87 2" xfId="23586"/>
    <cellStyle name="40% - Accent5 2 87 2 2" xfId="50594"/>
    <cellStyle name="40% - Accent5 2 87 3" xfId="37090"/>
    <cellStyle name="40% - Accent5 2 88" xfId="9601"/>
    <cellStyle name="40% - Accent5 2 88 2" xfId="23714"/>
    <cellStyle name="40% - Accent5 2 88 2 2" xfId="50722"/>
    <cellStyle name="40% - Accent5 2 88 3" xfId="37218"/>
    <cellStyle name="40% - Accent5 2 89" xfId="9743"/>
    <cellStyle name="40% - Accent5 2 89 2" xfId="23842"/>
    <cellStyle name="40% - Accent5 2 89 2 2" xfId="50850"/>
    <cellStyle name="40% - Accent5 2 89 3" xfId="37346"/>
    <cellStyle name="40% - Accent5 2 9" xfId="794"/>
    <cellStyle name="40% - Accent5 2 9 2" xfId="16013"/>
    <cellStyle name="40% - Accent5 2 9 2 2" xfId="43021"/>
    <cellStyle name="40% - Accent5 2 9 3" xfId="29517"/>
    <cellStyle name="40% - Accent5 2 90" xfId="9885"/>
    <cellStyle name="40% - Accent5 2 90 2" xfId="23970"/>
    <cellStyle name="40% - Accent5 2 90 2 2" xfId="50978"/>
    <cellStyle name="40% - Accent5 2 90 3" xfId="37474"/>
    <cellStyle name="40% - Accent5 2 91" xfId="10027"/>
    <cellStyle name="40% - Accent5 2 91 2" xfId="24098"/>
    <cellStyle name="40% - Accent5 2 91 2 2" xfId="51106"/>
    <cellStyle name="40% - Accent5 2 91 3" xfId="37602"/>
    <cellStyle name="40% - Accent5 2 92" xfId="10169"/>
    <cellStyle name="40% - Accent5 2 92 2" xfId="24226"/>
    <cellStyle name="40% - Accent5 2 92 2 2" xfId="51234"/>
    <cellStyle name="40% - Accent5 2 92 3" xfId="37730"/>
    <cellStyle name="40% - Accent5 2 93" xfId="10311"/>
    <cellStyle name="40% - Accent5 2 93 2" xfId="24354"/>
    <cellStyle name="40% - Accent5 2 93 2 2" xfId="51362"/>
    <cellStyle name="40% - Accent5 2 93 3" xfId="37858"/>
    <cellStyle name="40% - Accent5 2 94" xfId="10453"/>
    <cellStyle name="40% - Accent5 2 94 2" xfId="24482"/>
    <cellStyle name="40% - Accent5 2 94 2 2" xfId="51490"/>
    <cellStyle name="40% - Accent5 2 94 3" xfId="37986"/>
    <cellStyle name="40% - Accent5 2 95" xfId="10595"/>
    <cellStyle name="40% - Accent5 2 95 2" xfId="24610"/>
    <cellStyle name="40% - Accent5 2 95 2 2" xfId="51618"/>
    <cellStyle name="40% - Accent5 2 95 3" xfId="38114"/>
    <cellStyle name="40% - Accent5 2 96" xfId="10737"/>
    <cellStyle name="40% - Accent5 2 96 2" xfId="24738"/>
    <cellStyle name="40% - Accent5 2 96 2 2" xfId="51746"/>
    <cellStyle name="40% - Accent5 2 96 3" xfId="38242"/>
    <cellStyle name="40% - Accent5 2 97" xfId="10879"/>
    <cellStyle name="40% - Accent5 2 97 2" xfId="24866"/>
    <cellStyle name="40% - Accent5 2 97 2 2" xfId="51874"/>
    <cellStyle name="40% - Accent5 2 97 3" xfId="38370"/>
    <cellStyle name="40% - Accent5 2 98" xfId="11021"/>
    <cellStyle name="40% - Accent5 2 98 2" xfId="24994"/>
    <cellStyle name="40% - Accent5 2 98 2 2" xfId="52002"/>
    <cellStyle name="40% - Accent5 2 98 3" xfId="38498"/>
    <cellStyle name="40% - Accent5 2 99" xfId="11163"/>
    <cellStyle name="40% - Accent5 2 99 2" xfId="25122"/>
    <cellStyle name="40% - Accent5 2 99 2 2" xfId="52130"/>
    <cellStyle name="40% - Accent5 2 99 3" xfId="38626"/>
    <cellStyle name="40% - Accent5 3" xfId="116"/>
    <cellStyle name="40% - Accent5 3 10" xfId="1213"/>
    <cellStyle name="40% - Accent5 3 10 2" xfId="16378"/>
    <cellStyle name="40% - Accent5 3 10 2 2" xfId="43386"/>
    <cellStyle name="40% - Accent5 3 10 3" xfId="29882"/>
    <cellStyle name="40% - Accent5 3 100" xfId="11770"/>
    <cellStyle name="40% - Accent5 3 100 2" xfId="25668"/>
    <cellStyle name="40% - Accent5 3 100 2 2" xfId="52676"/>
    <cellStyle name="40% - Accent5 3 100 3" xfId="39172"/>
    <cellStyle name="40% - Accent5 3 101" xfId="11912"/>
    <cellStyle name="40% - Accent5 3 101 2" xfId="25796"/>
    <cellStyle name="40% - Accent5 3 101 2 2" xfId="52804"/>
    <cellStyle name="40% - Accent5 3 101 3" xfId="39300"/>
    <cellStyle name="40% - Accent5 3 102" xfId="12054"/>
    <cellStyle name="40% - Accent5 3 102 2" xfId="25924"/>
    <cellStyle name="40% - Accent5 3 102 2 2" xfId="52932"/>
    <cellStyle name="40% - Accent5 3 102 3" xfId="39428"/>
    <cellStyle name="40% - Accent5 3 103" xfId="12196"/>
    <cellStyle name="40% - Accent5 3 103 2" xfId="26052"/>
    <cellStyle name="40% - Accent5 3 103 2 2" xfId="53060"/>
    <cellStyle name="40% - Accent5 3 103 3" xfId="39556"/>
    <cellStyle name="40% - Accent5 3 104" xfId="12338"/>
    <cellStyle name="40% - Accent5 3 104 2" xfId="26180"/>
    <cellStyle name="40% - Accent5 3 104 2 2" xfId="53188"/>
    <cellStyle name="40% - Accent5 3 104 3" xfId="39684"/>
    <cellStyle name="40% - Accent5 3 105" xfId="12480"/>
    <cellStyle name="40% - Accent5 3 105 2" xfId="26308"/>
    <cellStyle name="40% - Accent5 3 105 2 2" xfId="53316"/>
    <cellStyle name="40% - Accent5 3 105 3" xfId="39812"/>
    <cellStyle name="40% - Accent5 3 106" xfId="12622"/>
    <cellStyle name="40% - Accent5 3 106 2" xfId="26436"/>
    <cellStyle name="40% - Accent5 3 106 2 2" xfId="53444"/>
    <cellStyle name="40% - Accent5 3 106 3" xfId="39940"/>
    <cellStyle name="40% - Accent5 3 107" xfId="12764"/>
    <cellStyle name="40% - Accent5 3 107 2" xfId="26564"/>
    <cellStyle name="40% - Accent5 3 107 2 2" xfId="53572"/>
    <cellStyle name="40% - Accent5 3 107 3" xfId="40068"/>
    <cellStyle name="40% - Accent5 3 108" xfId="12906"/>
    <cellStyle name="40% - Accent5 3 108 2" xfId="26692"/>
    <cellStyle name="40% - Accent5 3 108 2 2" xfId="53700"/>
    <cellStyle name="40% - Accent5 3 108 3" xfId="40196"/>
    <cellStyle name="40% - Accent5 3 109" xfId="13048"/>
    <cellStyle name="40% - Accent5 3 109 2" xfId="26820"/>
    <cellStyle name="40% - Accent5 3 109 2 2" xfId="53828"/>
    <cellStyle name="40% - Accent5 3 109 3" xfId="40324"/>
    <cellStyle name="40% - Accent5 3 11" xfId="1319"/>
    <cellStyle name="40% - Accent5 3 11 2" xfId="16470"/>
    <cellStyle name="40% - Accent5 3 11 2 2" xfId="43478"/>
    <cellStyle name="40% - Accent5 3 11 3" xfId="29974"/>
    <cellStyle name="40% - Accent5 3 110" xfId="13190"/>
    <cellStyle name="40% - Accent5 3 110 2" xfId="26948"/>
    <cellStyle name="40% - Accent5 3 110 2 2" xfId="53956"/>
    <cellStyle name="40% - Accent5 3 110 3" xfId="40452"/>
    <cellStyle name="40% - Accent5 3 111" xfId="13332"/>
    <cellStyle name="40% - Accent5 3 111 2" xfId="27076"/>
    <cellStyle name="40% - Accent5 3 111 2 2" xfId="54084"/>
    <cellStyle name="40% - Accent5 3 111 3" xfId="40580"/>
    <cellStyle name="40% - Accent5 3 112" xfId="13474"/>
    <cellStyle name="40% - Accent5 3 112 2" xfId="27204"/>
    <cellStyle name="40% - Accent5 3 112 2 2" xfId="54212"/>
    <cellStyle name="40% - Accent5 3 112 3" xfId="40708"/>
    <cellStyle name="40% - Accent5 3 113" xfId="13616"/>
    <cellStyle name="40% - Accent5 3 113 2" xfId="27332"/>
    <cellStyle name="40% - Accent5 3 113 2 2" xfId="54340"/>
    <cellStyle name="40% - Accent5 3 113 3" xfId="40836"/>
    <cellStyle name="40% - Accent5 3 114" xfId="13758"/>
    <cellStyle name="40% - Accent5 3 114 2" xfId="27460"/>
    <cellStyle name="40% - Accent5 3 114 2 2" xfId="54468"/>
    <cellStyle name="40% - Accent5 3 114 3" xfId="40964"/>
    <cellStyle name="40% - Accent5 3 115" xfId="13899"/>
    <cellStyle name="40% - Accent5 3 115 2" xfId="27587"/>
    <cellStyle name="40% - Accent5 3 115 2 2" xfId="54595"/>
    <cellStyle name="40% - Accent5 3 115 3" xfId="41091"/>
    <cellStyle name="40% - Accent5 3 116" xfId="14040"/>
    <cellStyle name="40% - Accent5 3 116 2" xfId="27714"/>
    <cellStyle name="40% - Accent5 3 116 2 2" xfId="54722"/>
    <cellStyle name="40% - Accent5 3 116 3" xfId="41218"/>
    <cellStyle name="40% - Accent5 3 117" xfId="14181"/>
    <cellStyle name="40% - Accent5 3 117 2" xfId="27841"/>
    <cellStyle name="40% - Accent5 3 117 2 2" xfId="54849"/>
    <cellStyle name="40% - Accent5 3 117 3" xfId="41345"/>
    <cellStyle name="40% - Accent5 3 118" xfId="14322"/>
    <cellStyle name="40% - Accent5 3 118 2" xfId="27968"/>
    <cellStyle name="40% - Accent5 3 118 2 2" xfId="54976"/>
    <cellStyle name="40% - Accent5 3 118 3" xfId="41472"/>
    <cellStyle name="40% - Accent5 3 119" xfId="14462"/>
    <cellStyle name="40% - Accent5 3 119 2" xfId="28094"/>
    <cellStyle name="40% - Accent5 3 119 2 2" xfId="55102"/>
    <cellStyle name="40% - Accent5 3 119 3" xfId="41598"/>
    <cellStyle name="40% - Accent5 3 12" xfId="1425"/>
    <cellStyle name="40% - Accent5 3 12 2" xfId="16562"/>
    <cellStyle name="40% - Accent5 3 12 2 2" xfId="43570"/>
    <cellStyle name="40% - Accent5 3 12 3" xfId="30066"/>
    <cellStyle name="40% - Accent5 3 120" xfId="14602"/>
    <cellStyle name="40% - Accent5 3 120 2" xfId="28220"/>
    <cellStyle name="40% - Accent5 3 120 2 2" xfId="55228"/>
    <cellStyle name="40% - Accent5 3 120 3" xfId="41724"/>
    <cellStyle name="40% - Accent5 3 121" xfId="14741"/>
    <cellStyle name="40% - Accent5 3 121 2" xfId="28345"/>
    <cellStyle name="40% - Accent5 3 121 2 2" xfId="55353"/>
    <cellStyle name="40% - Accent5 3 121 3" xfId="41849"/>
    <cellStyle name="40% - Accent5 3 122" xfId="14876"/>
    <cellStyle name="40% - Accent5 3 122 2" xfId="28467"/>
    <cellStyle name="40% - Accent5 3 122 2 2" xfId="55475"/>
    <cellStyle name="40% - Accent5 3 122 3" xfId="41971"/>
    <cellStyle name="40% - Accent5 3 123" xfId="15010"/>
    <cellStyle name="40% - Accent5 3 123 2" xfId="28588"/>
    <cellStyle name="40% - Accent5 3 123 2 2" xfId="55596"/>
    <cellStyle name="40% - Accent5 3 123 3" xfId="42092"/>
    <cellStyle name="40% - Accent5 3 124" xfId="15138"/>
    <cellStyle name="40% - Accent5 3 124 2" xfId="28705"/>
    <cellStyle name="40% - Accent5 3 124 2 2" xfId="55713"/>
    <cellStyle name="40% - Accent5 3 124 3" xfId="42209"/>
    <cellStyle name="40% - Accent5 3 125" xfId="15259"/>
    <cellStyle name="40% - Accent5 3 125 2" xfId="28819"/>
    <cellStyle name="40% - Accent5 3 125 2 2" xfId="55827"/>
    <cellStyle name="40% - Accent5 3 125 3" xfId="42323"/>
    <cellStyle name="40% - Accent5 3 126" xfId="15474"/>
    <cellStyle name="40% - Accent5 3 126 2" xfId="42482"/>
    <cellStyle name="40% - Accent5 3 127" xfId="28978"/>
    <cellStyle name="40% - Accent5 3 13" xfId="1531"/>
    <cellStyle name="40% - Accent5 3 13 2" xfId="16654"/>
    <cellStyle name="40% - Accent5 3 13 2 2" xfId="43662"/>
    <cellStyle name="40% - Accent5 3 13 3" xfId="30158"/>
    <cellStyle name="40% - Accent5 3 14" xfId="1637"/>
    <cellStyle name="40% - Accent5 3 14 2" xfId="16746"/>
    <cellStyle name="40% - Accent5 3 14 2 2" xfId="43754"/>
    <cellStyle name="40% - Accent5 3 14 3" xfId="30250"/>
    <cellStyle name="40% - Accent5 3 15" xfId="1743"/>
    <cellStyle name="40% - Accent5 3 15 2" xfId="16838"/>
    <cellStyle name="40% - Accent5 3 15 2 2" xfId="43846"/>
    <cellStyle name="40% - Accent5 3 15 3" xfId="30342"/>
    <cellStyle name="40% - Accent5 3 16" xfId="1849"/>
    <cellStyle name="40% - Accent5 3 16 2" xfId="16930"/>
    <cellStyle name="40% - Accent5 3 16 2 2" xfId="43938"/>
    <cellStyle name="40% - Accent5 3 16 3" xfId="30434"/>
    <cellStyle name="40% - Accent5 3 17" xfId="1955"/>
    <cellStyle name="40% - Accent5 3 17 2" xfId="17022"/>
    <cellStyle name="40% - Accent5 3 17 2 2" xfId="44030"/>
    <cellStyle name="40% - Accent5 3 17 3" xfId="30526"/>
    <cellStyle name="40% - Accent5 3 18" xfId="2061"/>
    <cellStyle name="40% - Accent5 3 18 2" xfId="17114"/>
    <cellStyle name="40% - Accent5 3 18 2 2" xfId="44122"/>
    <cellStyle name="40% - Accent5 3 18 3" xfId="30618"/>
    <cellStyle name="40% - Accent5 3 19" xfId="2167"/>
    <cellStyle name="40% - Accent5 3 19 2" xfId="17206"/>
    <cellStyle name="40% - Accent5 3 19 2 2" xfId="44214"/>
    <cellStyle name="40% - Accent5 3 19 3" xfId="30710"/>
    <cellStyle name="40% - Accent5 3 2" xfId="293"/>
    <cellStyle name="40% - Accent5 3 2 2" xfId="15595"/>
    <cellStyle name="40% - Accent5 3 2 2 2" xfId="42603"/>
    <cellStyle name="40% - Accent5 3 2 3" xfId="29099"/>
    <cellStyle name="40% - Accent5 3 20" xfId="2273"/>
    <cellStyle name="40% - Accent5 3 20 2" xfId="17298"/>
    <cellStyle name="40% - Accent5 3 20 2 2" xfId="44306"/>
    <cellStyle name="40% - Accent5 3 20 3" xfId="30802"/>
    <cellStyle name="40% - Accent5 3 21" xfId="2379"/>
    <cellStyle name="40% - Accent5 3 21 2" xfId="17390"/>
    <cellStyle name="40% - Accent5 3 21 2 2" xfId="44398"/>
    <cellStyle name="40% - Accent5 3 21 3" xfId="30894"/>
    <cellStyle name="40% - Accent5 3 22" xfId="2485"/>
    <cellStyle name="40% - Accent5 3 22 2" xfId="17482"/>
    <cellStyle name="40% - Accent5 3 22 2 2" xfId="44490"/>
    <cellStyle name="40% - Accent5 3 22 3" xfId="30986"/>
    <cellStyle name="40% - Accent5 3 23" xfId="2591"/>
    <cellStyle name="40% - Accent5 3 23 2" xfId="17574"/>
    <cellStyle name="40% - Accent5 3 23 2 2" xfId="44582"/>
    <cellStyle name="40% - Accent5 3 23 3" xfId="31078"/>
    <cellStyle name="40% - Accent5 3 24" xfId="2697"/>
    <cellStyle name="40% - Accent5 3 24 2" xfId="17666"/>
    <cellStyle name="40% - Accent5 3 24 2 2" xfId="44674"/>
    <cellStyle name="40% - Accent5 3 24 3" xfId="31170"/>
    <cellStyle name="40% - Accent5 3 25" xfId="2803"/>
    <cellStyle name="40% - Accent5 3 25 2" xfId="17758"/>
    <cellStyle name="40% - Accent5 3 25 2 2" xfId="44766"/>
    <cellStyle name="40% - Accent5 3 25 3" xfId="31262"/>
    <cellStyle name="40% - Accent5 3 26" xfId="2909"/>
    <cellStyle name="40% - Accent5 3 26 2" xfId="17850"/>
    <cellStyle name="40% - Accent5 3 26 2 2" xfId="44858"/>
    <cellStyle name="40% - Accent5 3 26 3" xfId="31354"/>
    <cellStyle name="40% - Accent5 3 27" xfId="3015"/>
    <cellStyle name="40% - Accent5 3 27 2" xfId="17942"/>
    <cellStyle name="40% - Accent5 3 27 2 2" xfId="44950"/>
    <cellStyle name="40% - Accent5 3 27 3" xfId="31446"/>
    <cellStyle name="40% - Accent5 3 28" xfId="3121"/>
    <cellStyle name="40% - Accent5 3 28 2" xfId="18034"/>
    <cellStyle name="40% - Accent5 3 28 2 2" xfId="45042"/>
    <cellStyle name="40% - Accent5 3 28 3" xfId="31538"/>
    <cellStyle name="40% - Accent5 3 29" xfId="3227"/>
    <cellStyle name="40% - Accent5 3 29 2" xfId="18126"/>
    <cellStyle name="40% - Accent5 3 29 2 2" xfId="45134"/>
    <cellStyle name="40% - Accent5 3 29 3" xfId="31630"/>
    <cellStyle name="40% - Accent5 3 3" xfId="482"/>
    <cellStyle name="40% - Accent5 3 3 2" xfId="15738"/>
    <cellStyle name="40% - Accent5 3 3 2 2" xfId="42746"/>
    <cellStyle name="40% - Accent5 3 3 3" xfId="29242"/>
    <cellStyle name="40% - Accent5 3 30" xfId="3333"/>
    <cellStyle name="40% - Accent5 3 30 2" xfId="18218"/>
    <cellStyle name="40% - Accent5 3 30 2 2" xfId="45226"/>
    <cellStyle name="40% - Accent5 3 30 3" xfId="31722"/>
    <cellStyle name="40% - Accent5 3 31" xfId="3439"/>
    <cellStyle name="40% - Accent5 3 31 2" xfId="18310"/>
    <cellStyle name="40% - Accent5 3 31 2 2" xfId="45318"/>
    <cellStyle name="40% - Accent5 3 31 3" xfId="31814"/>
    <cellStyle name="40% - Accent5 3 32" xfId="3545"/>
    <cellStyle name="40% - Accent5 3 32 2" xfId="18402"/>
    <cellStyle name="40% - Accent5 3 32 2 2" xfId="45410"/>
    <cellStyle name="40% - Accent5 3 32 3" xfId="31906"/>
    <cellStyle name="40% - Accent5 3 33" xfId="3651"/>
    <cellStyle name="40% - Accent5 3 33 2" xfId="18494"/>
    <cellStyle name="40% - Accent5 3 33 2 2" xfId="45502"/>
    <cellStyle name="40% - Accent5 3 33 3" xfId="31998"/>
    <cellStyle name="40% - Accent5 3 34" xfId="3757"/>
    <cellStyle name="40% - Accent5 3 34 2" xfId="18586"/>
    <cellStyle name="40% - Accent5 3 34 2 2" xfId="45594"/>
    <cellStyle name="40% - Accent5 3 34 3" xfId="32090"/>
    <cellStyle name="40% - Accent5 3 35" xfId="3863"/>
    <cellStyle name="40% - Accent5 3 35 2" xfId="18678"/>
    <cellStyle name="40% - Accent5 3 35 2 2" xfId="45686"/>
    <cellStyle name="40% - Accent5 3 35 3" xfId="32182"/>
    <cellStyle name="40% - Accent5 3 36" xfId="3969"/>
    <cellStyle name="40% - Accent5 3 36 2" xfId="18770"/>
    <cellStyle name="40% - Accent5 3 36 2 2" xfId="45778"/>
    <cellStyle name="40% - Accent5 3 36 3" xfId="32274"/>
    <cellStyle name="40% - Accent5 3 37" xfId="4075"/>
    <cellStyle name="40% - Accent5 3 37 2" xfId="18862"/>
    <cellStyle name="40% - Accent5 3 37 2 2" xfId="45870"/>
    <cellStyle name="40% - Accent5 3 37 3" xfId="32366"/>
    <cellStyle name="40% - Accent5 3 38" xfId="4181"/>
    <cellStyle name="40% - Accent5 3 38 2" xfId="18954"/>
    <cellStyle name="40% - Accent5 3 38 2 2" xfId="45962"/>
    <cellStyle name="40% - Accent5 3 38 3" xfId="32458"/>
    <cellStyle name="40% - Accent5 3 39" xfId="4287"/>
    <cellStyle name="40% - Accent5 3 39 2" xfId="19046"/>
    <cellStyle name="40% - Accent5 3 39 2 2" xfId="46054"/>
    <cellStyle name="40% - Accent5 3 39 3" xfId="32550"/>
    <cellStyle name="40% - Accent5 3 4" xfId="577"/>
    <cellStyle name="40% - Accent5 3 4 2" xfId="15826"/>
    <cellStyle name="40% - Accent5 3 4 2 2" xfId="42834"/>
    <cellStyle name="40% - Accent5 3 4 3" xfId="29330"/>
    <cellStyle name="40% - Accent5 3 40" xfId="4393"/>
    <cellStyle name="40% - Accent5 3 40 2" xfId="19138"/>
    <cellStyle name="40% - Accent5 3 40 2 2" xfId="46146"/>
    <cellStyle name="40% - Accent5 3 40 3" xfId="32642"/>
    <cellStyle name="40% - Accent5 3 41" xfId="4499"/>
    <cellStyle name="40% - Accent5 3 41 2" xfId="19230"/>
    <cellStyle name="40% - Accent5 3 41 2 2" xfId="46238"/>
    <cellStyle name="40% - Accent5 3 41 3" xfId="32734"/>
    <cellStyle name="40% - Accent5 3 42" xfId="4605"/>
    <cellStyle name="40% - Accent5 3 42 2" xfId="19322"/>
    <cellStyle name="40% - Accent5 3 42 2 2" xfId="46330"/>
    <cellStyle name="40% - Accent5 3 42 3" xfId="32826"/>
    <cellStyle name="40% - Accent5 3 43" xfId="4711"/>
    <cellStyle name="40% - Accent5 3 43 2" xfId="19414"/>
    <cellStyle name="40% - Accent5 3 43 2 2" xfId="46422"/>
    <cellStyle name="40% - Accent5 3 43 3" xfId="32918"/>
    <cellStyle name="40% - Accent5 3 44" xfId="4817"/>
    <cellStyle name="40% - Accent5 3 44 2" xfId="19506"/>
    <cellStyle name="40% - Accent5 3 44 2 2" xfId="46514"/>
    <cellStyle name="40% - Accent5 3 44 3" xfId="33010"/>
    <cellStyle name="40% - Accent5 3 45" xfId="4923"/>
    <cellStyle name="40% - Accent5 3 45 2" xfId="19598"/>
    <cellStyle name="40% - Accent5 3 45 2 2" xfId="46606"/>
    <cellStyle name="40% - Accent5 3 45 3" xfId="33102"/>
    <cellStyle name="40% - Accent5 3 46" xfId="5029"/>
    <cellStyle name="40% - Accent5 3 46 2" xfId="19690"/>
    <cellStyle name="40% - Accent5 3 46 2 2" xfId="46698"/>
    <cellStyle name="40% - Accent5 3 46 3" xfId="33194"/>
    <cellStyle name="40% - Accent5 3 47" xfId="5135"/>
    <cellStyle name="40% - Accent5 3 47 2" xfId="19782"/>
    <cellStyle name="40% - Accent5 3 47 2 2" xfId="46790"/>
    <cellStyle name="40% - Accent5 3 47 3" xfId="33286"/>
    <cellStyle name="40% - Accent5 3 48" xfId="5241"/>
    <cellStyle name="40% - Accent5 3 48 2" xfId="19874"/>
    <cellStyle name="40% - Accent5 3 48 2 2" xfId="46882"/>
    <cellStyle name="40% - Accent5 3 48 3" xfId="33378"/>
    <cellStyle name="40% - Accent5 3 49" xfId="5347"/>
    <cellStyle name="40% - Accent5 3 49 2" xfId="19966"/>
    <cellStyle name="40% - Accent5 3 49 2 2" xfId="46974"/>
    <cellStyle name="40% - Accent5 3 49 3" xfId="33470"/>
    <cellStyle name="40% - Accent5 3 5" xfId="683"/>
    <cellStyle name="40% - Accent5 3 5 2" xfId="15918"/>
    <cellStyle name="40% - Accent5 3 5 2 2" xfId="42926"/>
    <cellStyle name="40% - Accent5 3 5 3" xfId="29422"/>
    <cellStyle name="40% - Accent5 3 50" xfId="5453"/>
    <cellStyle name="40% - Accent5 3 50 2" xfId="20058"/>
    <cellStyle name="40% - Accent5 3 50 2 2" xfId="47066"/>
    <cellStyle name="40% - Accent5 3 50 3" xfId="33562"/>
    <cellStyle name="40% - Accent5 3 51" xfId="5559"/>
    <cellStyle name="40% - Accent5 3 51 2" xfId="20150"/>
    <cellStyle name="40% - Accent5 3 51 2 2" xfId="47158"/>
    <cellStyle name="40% - Accent5 3 51 3" xfId="33654"/>
    <cellStyle name="40% - Accent5 3 52" xfId="5665"/>
    <cellStyle name="40% - Accent5 3 52 2" xfId="20242"/>
    <cellStyle name="40% - Accent5 3 52 2 2" xfId="47250"/>
    <cellStyle name="40% - Accent5 3 52 3" xfId="33746"/>
    <cellStyle name="40% - Accent5 3 53" xfId="5771"/>
    <cellStyle name="40% - Accent5 3 53 2" xfId="20334"/>
    <cellStyle name="40% - Accent5 3 53 2 2" xfId="47342"/>
    <cellStyle name="40% - Accent5 3 53 3" xfId="33838"/>
    <cellStyle name="40% - Accent5 3 54" xfId="5877"/>
    <cellStyle name="40% - Accent5 3 54 2" xfId="20426"/>
    <cellStyle name="40% - Accent5 3 54 2 2" xfId="47434"/>
    <cellStyle name="40% - Accent5 3 54 3" xfId="33930"/>
    <cellStyle name="40% - Accent5 3 55" xfId="5983"/>
    <cellStyle name="40% - Accent5 3 55 2" xfId="20518"/>
    <cellStyle name="40% - Accent5 3 55 2 2" xfId="47526"/>
    <cellStyle name="40% - Accent5 3 55 3" xfId="34022"/>
    <cellStyle name="40% - Accent5 3 56" xfId="6089"/>
    <cellStyle name="40% - Accent5 3 56 2" xfId="20610"/>
    <cellStyle name="40% - Accent5 3 56 2 2" xfId="47618"/>
    <cellStyle name="40% - Accent5 3 56 3" xfId="34114"/>
    <cellStyle name="40% - Accent5 3 57" xfId="6195"/>
    <cellStyle name="40% - Accent5 3 57 2" xfId="20702"/>
    <cellStyle name="40% - Accent5 3 57 2 2" xfId="47710"/>
    <cellStyle name="40% - Accent5 3 57 3" xfId="34206"/>
    <cellStyle name="40% - Accent5 3 58" xfId="6301"/>
    <cellStyle name="40% - Accent5 3 58 2" xfId="20794"/>
    <cellStyle name="40% - Accent5 3 58 2 2" xfId="47802"/>
    <cellStyle name="40% - Accent5 3 58 3" xfId="34298"/>
    <cellStyle name="40% - Accent5 3 59" xfId="6407"/>
    <cellStyle name="40% - Accent5 3 59 2" xfId="20886"/>
    <cellStyle name="40% - Accent5 3 59 2 2" xfId="47894"/>
    <cellStyle name="40% - Accent5 3 59 3" xfId="34390"/>
    <cellStyle name="40% - Accent5 3 6" xfId="789"/>
    <cellStyle name="40% - Accent5 3 6 2" xfId="16010"/>
    <cellStyle name="40% - Accent5 3 6 2 2" xfId="43018"/>
    <cellStyle name="40% - Accent5 3 6 3" xfId="29514"/>
    <cellStyle name="40% - Accent5 3 60" xfId="6513"/>
    <cellStyle name="40% - Accent5 3 60 2" xfId="20978"/>
    <cellStyle name="40% - Accent5 3 60 2 2" xfId="47986"/>
    <cellStyle name="40% - Accent5 3 60 3" xfId="34482"/>
    <cellStyle name="40% - Accent5 3 61" xfId="6618"/>
    <cellStyle name="40% - Accent5 3 61 2" xfId="21069"/>
    <cellStyle name="40% - Accent5 3 61 2 2" xfId="48077"/>
    <cellStyle name="40% - Accent5 3 61 3" xfId="34573"/>
    <cellStyle name="40% - Accent5 3 62" xfId="6723"/>
    <cellStyle name="40% - Accent5 3 62 2" xfId="21160"/>
    <cellStyle name="40% - Accent5 3 62 2 2" xfId="48168"/>
    <cellStyle name="40% - Accent5 3 62 3" xfId="34664"/>
    <cellStyle name="40% - Accent5 3 63" xfId="6828"/>
    <cellStyle name="40% - Accent5 3 63 2" xfId="21251"/>
    <cellStyle name="40% - Accent5 3 63 2 2" xfId="48259"/>
    <cellStyle name="40% - Accent5 3 63 3" xfId="34755"/>
    <cellStyle name="40% - Accent5 3 64" xfId="6933"/>
    <cellStyle name="40% - Accent5 3 64 2" xfId="21342"/>
    <cellStyle name="40% - Accent5 3 64 2 2" xfId="48350"/>
    <cellStyle name="40% - Accent5 3 64 3" xfId="34846"/>
    <cellStyle name="40% - Accent5 3 65" xfId="7038"/>
    <cellStyle name="40% - Accent5 3 65 2" xfId="21433"/>
    <cellStyle name="40% - Accent5 3 65 2 2" xfId="48441"/>
    <cellStyle name="40% - Accent5 3 65 3" xfId="34937"/>
    <cellStyle name="40% - Accent5 3 66" xfId="7142"/>
    <cellStyle name="40% - Accent5 3 66 2" xfId="21523"/>
    <cellStyle name="40% - Accent5 3 66 2 2" xfId="48531"/>
    <cellStyle name="40% - Accent5 3 66 3" xfId="35027"/>
    <cellStyle name="40% - Accent5 3 67" xfId="7245"/>
    <cellStyle name="40% - Accent5 3 67 2" xfId="21612"/>
    <cellStyle name="40% - Accent5 3 67 2 2" xfId="48620"/>
    <cellStyle name="40% - Accent5 3 67 3" xfId="35116"/>
    <cellStyle name="40% - Accent5 3 68" xfId="7345"/>
    <cellStyle name="40% - Accent5 3 68 2" xfId="21699"/>
    <cellStyle name="40% - Accent5 3 68 2 2" xfId="48707"/>
    <cellStyle name="40% - Accent5 3 68 3" xfId="35203"/>
    <cellStyle name="40% - Accent5 3 69" xfId="7444"/>
    <cellStyle name="40% - Accent5 3 69 2" xfId="21785"/>
    <cellStyle name="40% - Accent5 3 69 2 2" xfId="48793"/>
    <cellStyle name="40% - Accent5 3 69 3" xfId="35289"/>
    <cellStyle name="40% - Accent5 3 7" xfId="895"/>
    <cellStyle name="40% - Accent5 3 7 2" xfId="16102"/>
    <cellStyle name="40% - Accent5 3 7 2 2" xfId="43110"/>
    <cellStyle name="40% - Accent5 3 7 3" xfId="29606"/>
    <cellStyle name="40% - Accent5 3 70" xfId="7538"/>
    <cellStyle name="40% - Accent5 3 70 2" xfId="21867"/>
    <cellStyle name="40% - Accent5 3 70 2 2" xfId="48875"/>
    <cellStyle name="40% - Accent5 3 70 3" xfId="35371"/>
    <cellStyle name="40% - Accent5 3 71" xfId="7624"/>
    <cellStyle name="40% - Accent5 3 71 2" xfId="21944"/>
    <cellStyle name="40% - Accent5 3 71 2 2" xfId="48952"/>
    <cellStyle name="40% - Accent5 3 71 3" xfId="35448"/>
    <cellStyle name="40% - Accent5 3 72" xfId="7794"/>
    <cellStyle name="40% - Accent5 3 72 2" xfId="22084"/>
    <cellStyle name="40% - Accent5 3 72 2 2" xfId="49092"/>
    <cellStyle name="40% - Accent5 3 72 3" xfId="35588"/>
    <cellStyle name="40% - Accent5 3 73" xfId="7936"/>
    <cellStyle name="40% - Accent5 3 73 2" xfId="22212"/>
    <cellStyle name="40% - Accent5 3 73 2 2" xfId="49220"/>
    <cellStyle name="40% - Accent5 3 73 3" xfId="35716"/>
    <cellStyle name="40% - Accent5 3 74" xfId="8078"/>
    <cellStyle name="40% - Accent5 3 74 2" xfId="22340"/>
    <cellStyle name="40% - Accent5 3 74 2 2" xfId="49348"/>
    <cellStyle name="40% - Accent5 3 74 3" xfId="35844"/>
    <cellStyle name="40% - Accent5 3 75" xfId="8220"/>
    <cellStyle name="40% - Accent5 3 75 2" xfId="22468"/>
    <cellStyle name="40% - Accent5 3 75 2 2" xfId="49476"/>
    <cellStyle name="40% - Accent5 3 75 3" xfId="35972"/>
    <cellStyle name="40% - Accent5 3 76" xfId="8362"/>
    <cellStyle name="40% - Accent5 3 76 2" xfId="22596"/>
    <cellStyle name="40% - Accent5 3 76 2 2" xfId="49604"/>
    <cellStyle name="40% - Accent5 3 76 3" xfId="36100"/>
    <cellStyle name="40% - Accent5 3 77" xfId="8504"/>
    <cellStyle name="40% - Accent5 3 77 2" xfId="22724"/>
    <cellStyle name="40% - Accent5 3 77 2 2" xfId="49732"/>
    <cellStyle name="40% - Accent5 3 77 3" xfId="36228"/>
    <cellStyle name="40% - Accent5 3 78" xfId="8646"/>
    <cellStyle name="40% - Accent5 3 78 2" xfId="22852"/>
    <cellStyle name="40% - Accent5 3 78 2 2" xfId="49860"/>
    <cellStyle name="40% - Accent5 3 78 3" xfId="36356"/>
    <cellStyle name="40% - Accent5 3 79" xfId="8788"/>
    <cellStyle name="40% - Accent5 3 79 2" xfId="22980"/>
    <cellStyle name="40% - Accent5 3 79 2 2" xfId="49988"/>
    <cellStyle name="40% - Accent5 3 79 3" xfId="36484"/>
    <cellStyle name="40% - Accent5 3 8" xfId="1001"/>
    <cellStyle name="40% - Accent5 3 8 2" xfId="16194"/>
    <cellStyle name="40% - Accent5 3 8 2 2" xfId="43202"/>
    <cellStyle name="40% - Accent5 3 8 3" xfId="29698"/>
    <cellStyle name="40% - Accent5 3 80" xfId="8930"/>
    <cellStyle name="40% - Accent5 3 80 2" xfId="23108"/>
    <cellStyle name="40% - Accent5 3 80 2 2" xfId="50116"/>
    <cellStyle name="40% - Accent5 3 80 3" xfId="36612"/>
    <cellStyle name="40% - Accent5 3 81" xfId="9072"/>
    <cellStyle name="40% - Accent5 3 81 2" xfId="23236"/>
    <cellStyle name="40% - Accent5 3 81 2 2" xfId="50244"/>
    <cellStyle name="40% - Accent5 3 81 3" xfId="36740"/>
    <cellStyle name="40% - Accent5 3 82" xfId="9214"/>
    <cellStyle name="40% - Accent5 3 82 2" xfId="23364"/>
    <cellStyle name="40% - Accent5 3 82 2 2" xfId="50372"/>
    <cellStyle name="40% - Accent5 3 82 3" xfId="36868"/>
    <cellStyle name="40% - Accent5 3 83" xfId="9356"/>
    <cellStyle name="40% - Accent5 3 83 2" xfId="23492"/>
    <cellStyle name="40% - Accent5 3 83 2 2" xfId="50500"/>
    <cellStyle name="40% - Accent5 3 83 3" xfId="36996"/>
    <cellStyle name="40% - Accent5 3 84" xfId="9498"/>
    <cellStyle name="40% - Accent5 3 84 2" xfId="23620"/>
    <cellStyle name="40% - Accent5 3 84 2 2" xfId="50628"/>
    <cellStyle name="40% - Accent5 3 84 3" xfId="37124"/>
    <cellStyle name="40% - Accent5 3 85" xfId="9640"/>
    <cellStyle name="40% - Accent5 3 85 2" xfId="23748"/>
    <cellStyle name="40% - Accent5 3 85 2 2" xfId="50756"/>
    <cellStyle name="40% - Accent5 3 85 3" xfId="37252"/>
    <cellStyle name="40% - Accent5 3 86" xfId="9782"/>
    <cellStyle name="40% - Accent5 3 86 2" xfId="23876"/>
    <cellStyle name="40% - Accent5 3 86 2 2" xfId="50884"/>
    <cellStyle name="40% - Accent5 3 86 3" xfId="37380"/>
    <cellStyle name="40% - Accent5 3 87" xfId="9924"/>
    <cellStyle name="40% - Accent5 3 87 2" xfId="24004"/>
    <cellStyle name="40% - Accent5 3 87 2 2" xfId="51012"/>
    <cellStyle name="40% - Accent5 3 87 3" xfId="37508"/>
    <cellStyle name="40% - Accent5 3 88" xfId="10066"/>
    <cellStyle name="40% - Accent5 3 88 2" xfId="24132"/>
    <cellStyle name="40% - Accent5 3 88 2 2" xfId="51140"/>
    <cellStyle name="40% - Accent5 3 88 3" xfId="37636"/>
    <cellStyle name="40% - Accent5 3 89" xfId="10208"/>
    <cellStyle name="40% - Accent5 3 89 2" xfId="24260"/>
    <cellStyle name="40% - Accent5 3 89 2 2" xfId="51268"/>
    <cellStyle name="40% - Accent5 3 89 3" xfId="37764"/>
    <cellStyle name="40% - Accent5 3 9" xfId="1107"/>
    <cellStyle name="40% - Accent5 3 9 2" xfId="16286"/>
    <cellStyle name="40% - Accent5 3 9 2 2" xfId="43294"/>
    <cellStyle name="40% - Accent5 3 9 3" xfId="29790"/>
    <cellStyle name="40% - Accent5 3 90" xfId="10350"/>
    <cellStyle name="40% - Accent5 3 90 2" xfId="24388"/>
    <cellStyle name="40% - Accent5 3 90 2 2" xfId="51396"/>
    <cellStyle name="40% - Accent5 3 90 3" xfId="37892"/>
    <cellStyle name="40% - Accent5 3 91" xfId="10492"/>
    <cellStyle name="40% - Accent5 3 91 2" xfId="24516"/>
    <cellStyle name="40% - Accent5 3 91 2 2" xfId="51524"/>
    <cellStyle name="40% - Accent5 3 91 3" xfId="38020"/>
    <cellStyle name="40% - Accent5 3 92" xfId="10634"/>
    <cellStyle name="40% - Accent5 3 92 2" xfId="24644"/>
    <cellStyle name="40% - Accent5 3 92 2 2" xfId="51652"/>
    <cellStyle name="40% - Accent5 3 92 3" xfId="38148"/>
    <cellStyle name="40% - Accent5 3 93" xfId="10776"/>
    <cellStyle name="40% - Accent5 3 93 2" xfId="24772"/>
    <cellStyle name="40% - Accent5 3 93 2 2" xfId="51780"/>
    <cellStyle name="40% - Accent5 3 93 3" xfId="38276"/>
    <cellStyle name="40% - Accent5 3 94" xfId="10918"/>
    <cellStyle name="40% - Accent5 3 94 2" xfId="24900"/>
    <cellStyle name="40% - Accent5 3 94 2 2" xfId="51908"/>
    <cellStyle name="40% - Accent5 3 94 3" xfId="38404"/>
    <cellStyle name="40% - Accent5 3 95" xfId="11060"/>
    <cellStyle name="40% - Accent5 3 95 2" xfId="25028"/>
    <cellStyle name="40% - Accent5 3 95 2 2" xfId="52036"/>
    <cellStyle name="40% - Accent5 3 95 3" xfId="38532"/>
    <cellStyle name="40% - Accent5 3 96" xfId="11202"/>
    <cellStyle name="40% - Accent5 3 96 2" xfId="25156"/>
    <cellStyle name="40% - Accent5 3 96 2 2" xfId="52164"/>
    <cellStyle name="40% - Accent5 3 96 3" xfId="38660"/>
    <cellStyle name="40% - Accent5 3 97" xfId="11344"/>
    <cellStyle name="40% - Accent5 3 97 2" xfId="25284"/>
    <cellStyle name="40% - Accent5 3 97 2 2" xfId="52292"/>
    <cellStyle name="40% - Accent5 3 97 3" xfId="38788"/>
    <cellStyle name="40% - Accent5 3 98" xfId="11486"/>
    <cellStyle name="40% - Accent5 3 98 2" xfId="25412"/>
    <cellStyle name="40% - Accent5 3 98 2 2" xfId="52420"/>
    <cellStyle name="40% - Accent5 3 98 3" xfId="38916"/>
    <cellStyle name="40% - Accent5 3 99" xfId="11628"/>
    <cellStyle name="40% - Accent5 3 99 2" xfId="25540"/>
    <cellStyle name="40% - Accent5 3 99 2 2" xfId="52548"/>
    <cellStyle name="40% - Accent5 3 99 3" xfId="39044"/>
    <cellStyle name="40% - Accent5 4" xfId="403"/>
    <cellStyle name="40% - Accent5 4 10" xfId="9040"/>
    <cellStyle name="40% - Accent5 4 10 2" xfId="23209"/>
    <cellStyle name="40% - Accent5 4 10 2 2" xfId="50217"/>
    <cellStyle name="40% - Accent5 4 10 3" xfId="36713"/>
    <cellStyle name="40% - Accent5 4 11" xfId="9182"/>
    <cellStyle name="40% - Accent5 4 11 2" xfId="23337"/>
    <cellStyle name="40% - Accent5 4 11 2 2" xfId="50345"/>
    <cellStyle name="40% - Accent5 4 11 3" xfId="36841"/>
    <cellStyle name="40% - Accent5 4 12" xfId="9324"/>
    <cellStyle name="40% - Accent5 4 12 2" xfId="23465"/>
    <cellStyle name="40% - Accent5 4 12 2 2" xfId="50473"/>
    <cellStyle name="40% - Accent5 4 12 3" xfId="36969"/>
    <cellStyle name="40% - Accent5 4 13" xfId="9466"/>
    <cellStyle name="40% - Accent5 4 13 2" xfId="23593"/>
    <cellStyle name="40% - Accent5 4 13 2 2" xfId="50601"/>
    <cellStyle name="40% - Accent5 4 13 3" xfId="37097"/>
    <cellStyle name="40% - Accent5 4 14" xfId="9608"/>
    <cellStyle name="40% - Accent5 4 14 2" xfId="23721"/>
    <cellStyle name="40% - Accent5 4 14 2 2" xfId="50729"/>
    <cellStyle name="40% - Accent5 4 14 3" xfId="37225"/>
    <cellStyle name="40% - Accent5 4 15" xfId="9750"/>
    <cellStyle name="40% - Accent5 4 15 2" xfId="23849"/>
    <cellStyle name="40% - Accent5 4 15 2 2" xfId="50857"/>
    <cellStyle name="40% - Accent5 4 15 3" xfId="37353"/>
    <cellStyle name="40% - Accent5 4 16" xfId="9892"/>
    <cellStyle name="40% - Accent5 4 16 2" xfId="23977"/>
    <cellStyle name="40% - Accent5 4 16 2 2" xfId="50985"/>
    <cellStyle name="40% - Accent5 4 16 3" xfId="37481"/>
    <cellStyle name="40% - Accent5 4 17" xfId="10034"/>
    <cellStyle name="40% - Accent5 4 17 2" xfId="24105"/>
    <cellStyle name="40% - Accent5 4 17 2 2" xfId="51113"/>
    <cellStyle name="40% - Accent5 4 17 3" xfId="37609"/>
    <cellStyle name="40% - Accent5 4 18" xfId="10176"/>
    <cellStyle name="40% - Accent5 4 18 2" xfId="24233"/>
    <cellStyle name="40% - Accent5 4 18 2 2" xfId="51241"/>
    <cellStyle name="40% - Accent5 4 18 3" xfId="37737"/>
    <cellStyle name="40% - Accent5 4 19" xfId="10318"/>
    <cellStyle name="40% - Accent5 4 19 2" xfId="24361"/>
    <cellStyle name="40% - Accent5 4 19 2 2" xfId="51369"/>
    <cellStyle name="40% - Accent5 4 19 3" xfId="37865"/>
    <cellStyle name="40% - Accent5 4 2" xfId="7904"/>
    <cellStyle name="40% - Accent5 4 2 2" xfId="22185"/>
    <cellStyle name="40% - Accent5 4 2 2 2" xfId="49193"/>
    <cellStyle name="40% - Accent5 4 2 3" xfId="35689"/>
    <cellStyle name="40% - Accent5 4 20" xfId="10460"/>
    <cellStyle name="40% - Accent5 4 20 2" xfId="24489"/>
    <cellStyle name="40% - Accent5 4 20 2 2" xfId="51497"/>
    <cellStyle name="40% - Accent5 4 20 3" xfId="37993"/>
    <cellStyle name="40% - Accent5 4 21" xfId="10602"/>
    <cellStyle name="40% - Accent5 4 21 2" xfId="24617"/>
    <cellStyle name="40% - Accent5 4 21 2 2" xfId="51625"/>
    <cellStyle name="40% - Accent5 4 21 3" xfId="38121"/>
    <cellStyle name="40% - Accent5 4 22" xfId="10744"/>
    <cellStyle name="40% - Accent5 4 22 2" xfId="24745"/>
    <cellStyle name="40% - Accent5 4 22 2 2" xfId="51753"/>
    <cellStyle name="40% - Accent5 4 22 3" xfId="38249"/>
    <cellStyle name="40% - Accent5 4 23" xfId="10886"/>
    <cellStyle name="40% - Accent5 4 23 2" xfId="24873"/>
    <cellStyle name="40% - Accent5 4 23 2 2" xfId="51881"/>
    <cellStyle name="40% - Accent5 4 23 3" xfId="38377"/>
    <cellStyle name="40% - Accent5 4 24" xfId="11028"/>
    <cellStyle name="40% - Accent5 4 24 2" xfId="25001"/>
    <cellStyle name="40% - Accent5 4 24 2 2" xfId="52009"/>
    <cellStyle name="40% - Accent5 4 24 3" xfId="38505"/>
    <cellStyle name="40% - Accent5 4 25" xfId="11170"/>
    <cellStyle name="40% - Accent5 4 25 2" xfId="25129"/>
    <cellStyle name="40% - Accent5 4 25 2 2" xfId="52137"/>
    <cellStyle name="40% - Accent5 4 25 3" xfId="38633"/>
    <cellStyle name="40% - Accent5 4 26" xfId="11312"/>
    <cellStyle name="40% - Accent5 4 26 2" xfId="25257"/>
    <cellStyle name="40% - Accent5 4 26 2 2" xfId="52265"/>
    <cellStyle name="40% - Accent5 4 26 3" xfId="38761"/>
    <cellStyle name="40% - Accent5 4 27" xfId="11454"/>
    <cellStyle name="40% - Accent5 4 27 2" xfId="25385"/>
    <cellStyle name="40% - Accent5 4 27 2 2" xfId="52393"/>
    <cellStyle name="40% - Accent5 4 27 3" xfId="38889"/>
    <cellStyle name="40% - Accent5 4 28" xfId="11596"/>
    <cellStyle name="40% - Accent5 4 28 2" xfId="25513"/>
    <cellStyle name="40% - Accent5 4 28 2 2" xfId="52521"/>
    <cellStyle name="40% - Accent5 4 28 3" xfId="39017"/>
    <cellStyle name="40% - Accent5 4 29" xfId="11738"/>
    <cellStyle name="40% - Accent5 4 29 2" xfId="25641"/>
    <cellStyle name="40% - Accent5 4 29 2 2" xfId="52649"/>
    <cellStyle name="40% - Accent5 4 29 3" xfId="39145"/>
    <cellStyle name="40% - Accent5 4 3" xfId="8046"/>
    <cellStyle name="40% - Accent5 4 3 2" xfId="22313"/>
    <cellStyle name="40% - Accent5 4 3 2 2" xfId="49321"/>
    <cellStyle name="40% - Accent5 4 3 3" xfId="35817"/>
    <cellStyle name="40% - Accent5 4 30" xfId="11880"/>
    <cellStyle name="40% - Accent5 4 30 2" xfId="25769"/>
    <cellStyle name="40% - Accent5 4 30 2 2" xfId="52777"/>
    <cellStyle name="40% - Accent5 4 30 3" xfId="39273"/>
    <cellStyle name="40% - Accent5 4 31" xfId="12022"/>
    <cellStyle name="40% - Accent5 4 31 2" xfId="25897"/>
    <cellStyle name="40% - Accent5 4 31 2 2" xfId="52905"/>
    <cellStyle name="40% - Accent5 4 31 3" xfId="39401"/>
    <cellStyle name="40% - Accent5 4 32" xfId="12164"/>
    <cellStyle name="40% - Accent5 4 32 2" xfId="26025"/>
    <cellStyle name="40% - Accent5 4 32 2 2" xfId="53033"/>
    <cellStyle name="40% - Accent5 4 32 3" xfId="39529"/>
    <cellStyle name="40% - Accent5 4 33" xfId="12306"/>
    <cellStyle name="40% - Accent5 4 33 2" xfId="26153"/>
    <cellStyle name="40% - Accent5 4 33 2 2" xfId="53161"/>
    <cellStyle name="40% - Accent5 4 33 3" xfId="39657"/>
    <cellStyle name="40% - Accent5 4 34" xfId="12448"/>
    <cellStyle name="40% - Accent5 4 34 2" xfId="26281"/>
    <cellStyle name="40% - Accent5 4 34 2 2" xfId="53289"/>
    <cellStyle name="40% - Accent5 4 34 3" xfId="39785"/>
    <cellStyle name="40% - Accent5 4 35" xfId="12590"/>
    <cellStyle name="40% - Accent5 4 35 2" xfId="26409"/>
    <cellStyle name="40% - Accent5 4 35 2 2" xfId="53417"/>
    <cellStyle name="40% - Accent5 4 35 3" xfId="39913"/>
    <cellStyle name="40% - Accent5 4 36" xfId="12732"/>
    <cellStyle name="40% - Accent5 4 36 2" xfId="26537"/>
    <cellStyle name="40% - Accent5 4 36 2 2" xfId="53545"/>
    <cellStyle name="40% - Accent5 4 36 3" xfId="40041"/>
    <cellStyle name="40% - Accent5 4 37" xfId="12874"/>
    <cellStyle name="40% - Accent5 4 37 2" xfId="26665"/>
    <cellStyle name="40% - Accent5 4 37 2 2" xfId="53673"/>
    <cellStyle name="40% - Accent5 4 37 3" xfId="40169"/>
    <cellStyle name="40% - Accent5 4 38" xfId="13016"/>
    <cellStyle name="40% - Accent5 4 38 2" xfId="26793"/>
    <cellStyle name="40% - Accent5 4 38 2 2" xfId="53801"/>
    <cellStyle name="40% - Accent5 4 38 3" xfId="40297"/>
    <cellStyle name="40% - Accent5 4 39" xfId="13158"/>
    <cellStyle name="40% - Accent5 4 39 2" xfId="26921"/>
    <cellStyle name="40% - Accent5 4 39 2 2" xfId="53929"/>
    <cellStyle name="40% - Accent5 4 39 3" xfId="40425"/>
    <cellStyle name="40% - Accent5 4 4" xfId="8188"/>
    <cellStyle name="40% - Accent5 4 4 2" xfId="22441"/>
    <cellStyle name="40% - Accent5 4 4 2 2" xfId="49449"/>
    <cellStyle name="40% - Accent5 4 4 3" xfId="35945"/>
    <cellStyle name="40% - Accent5 4 40" xfId="13300"/>
    <cellStyle name="40% - Accent5 4 40 2" xfId="27049"/>
    <cellStyle name="40% - Accent5 4 40 2 2" xfId="54057"/>
    <cellStyle name="40% - Accent5 4 40 3" xfId="40553"/>
    <cellStyle name="40% - Accent5 4 41" xfId="13442"/>
    <cellStyle name="40% - Accent5 4 41 2" xfId="27177"/>
    <cellStyle name="40% - Accent5 4 41 2 2" xfId="54185"/>
    <cellStyle name="40% - Accent5 4 41 3" xfId="40681"/>
    <cellStyle name="40% - Accent5 4 42" xfId="13584"/>
    <cellStyle name="40% - Accent5 4 42 2" xfId="27305"/>
    <cellStyle name="40% - Accent5 4 42 2 2" xfId="54313"/>
    <cellStyle name="40% - Accent5 4 42 3" xfId="40809"/>
    <cellStyle name="40% - Accent5 4 43" xfId="13726"/>
    <cellStyle name="40% - Accent5 4 43 2" xfId="27433"/>
    <cellStyle name="40% - Accent5 4 43 2 2" xfId="54441"/>
    <cellStyle name="40% - Accent5 4 43 3" xfId="40937"/>
    <cellStyle name="40% - Accent5 4 44" xfId="13867"/>
    <cellStyle name="40% - Accent5 4 44 2" xfId="27560"/>
    <cellStyle name="40% - Accent5 4 44 2 2" xfId="54568"/>
    <cellStyle name="40% - Accent5 4 44 3" xfId="41064"/>
    <cellStyle name="40% - Accent5 4 45" xfId="14008"/>
    <cellStyle name="40% - Accent5 4 45 2" xfId="27687"/>
    <cellStyle name="40% - Accent5 4 45 2 2" xfId="54695"/>
    <cellStyle name="40% - Accent5 4 45 3" xfId="41191"/>
    <cellStyle name="40% - Accent5 4 46" xfId="14149"/>
    <cellStyle name="40% - Accent5 4 46 2" xfId="27814"/>
    <cellStyle name="40% - Accent5 4 46 2 2" xfId="54822"/>
    <cellStyle name="40% - Accent5 4 46 3" xfId="41318"/>
    <cellStyle name="40% - Accent5 4 47" xfId="14290"/>
    <cellStyle name="40% - Accent5 4 47 2" xfId="27941"/>
    <cellStyle name="40% - Accent5 4 47 2 2" xfId="54949"/>
    <cellStyle name="40% - Accent5 4 47 3" xfId="41445"/>
    <cellStyle name="40% - Accent5 4 48" xfId="14430"/>
    <cellStyle name="40% - Accent5 4 48 2" xfId="28067"/>
    <cellStyle name="40% - Accent5 4 48 2 2" xfId="55075"/>
    <cellStyle name="40% - Accent5 4 48 3" xfId="41571"/>
    <cellStyle name="40% - Accent5 4 49" xfId="14570"/>
    <cellStyle name="40% - Accent5 4 49 2" xfId="28193"/>
    <cellStyle name="40% - Accent5 4 49 2 2" xfId="55201"/>
    <cellStyle name="40% - Accent5 4 49 3" xfId="41697"/>
    <cellStyle name="40% - Accent5 4 5" xfId="8330"/>
    <cellStyle name="40% - Accent5 4 5 2" xfId="22569"/>
    <cellStyle name="40% - Accent5 4 5 2 2" xfId="49577"/>
    <cellStyle name="40% - Accent5 4 5 3" xfId="36073"/>
    <cellStyle name="40% - Accent5 4 50" xfId="14709"/>
    <cellStyle name="40% - Accent5 4 50 2" xfId="28318"/>
    <cellStyle name="40% - Accent5 4 50 2 2" xfId="55326"/>
    <cellStyle name="40% - Accent5 4 50 3" xfId="41822"/>
    <cellStyle name="40% - Accent5 4 51" xfId="14844"/>
    <cellStyle name="40% - Accent5 4 51 2" xfId="28440"/>
    <cellStyle name="40% - Accent5 4 51 2 2" xfId="55448"/>
    <cellStyle name="40% - Accent5 4 51 3" xfId="41944"/>
    <cellStyle name="40% - Accent5 4 52" xfId="14978"/>
    <cellStyle name="40% - Accent5 4 52 2" xfId="28561"/>
    <cellStyle name="40% - Accent5 4 52 2 2" xfId="55569"/>
    <cellStyle name="40% - Accent5 4 52 3" xfId="42065"/>
    <cellStyle name="40% - Accent5 4 53" xfId="15109"/>
    <cellStyle name="40% - Accent5 4 53 2" xfId="28680"/>
    <cellStyle name="40% - Accent5 4 53 2 2" xfId="55688"/>
    <cellStyle name="40% - Accent5 4 53 3" xfId="42184"/>
    <cellStyle name="40% - Accent5 4 54" xfId="15232"/>
    <cellStyle name="40% - Accent5 4 54 2" xfId="28795"/>
    <cellStyle name="40% - Accent5 4 54 2 2" xfId="55803"/>
    <cellStyle name="40% - Accent5 4 54 3" xfId="42299"/>
    <cellStyle name="40% - Accent5 4 55" xfId="15340"/>
    <cellStyle name="40% - Accent5 4 55 2" xfId="28900"/>
    <cellStyle name="40% - Accent5 4 55 2 2" xfId="55908"/>
    <cellStyle name="40% - Accent5 4 55 3" xfId="42404"/>
    <cellStyle name="40% - Accent5 4 56" xfId="15678"/>
    <cellStyle name="40% - Accent5 4 56 2" xfId="42686"/>
    <cellStyle name="40% - Accent5 4 57" xfId="29182"/>
    <cellStyle name="40% - Accent5 4 6" xfId="8472"/>
    <cellStyle name="40% - Accent5 4 6 2" xfId="22697"/>
    <cellStyle name="40% - Accent5 4 6 2 2" xfId="49705"/>
    <cellStyle name="40% - Accent5 4 6 3" xfId="36201"/>
    <cellStyle name="40% - Accent5 4 7" xfId="8614"/>
    <cellStyle name="40% - Accent5 4 7 2" xfId="22825"/>
    <cellStyle name="40% - Accent5 4 7 2 2" xfId="49833"/>
    <cellStyle name="40% - Accent5 4 7 3" xfId="36329"/>
    <cellStyle name="40% - Accent5 4 8" xfId="8756"/>
    <cellStyle name="40% - Accent5 4 8 2" xfId="22953"/>
    <cellStyle name="40% - Accent5 4 8 2 2" xfId="49961"/>
    <cellStyle name="40% - Accent5 4 8 3" xfId="36457"/>
    <cellStyle name="40% - Accent5 4 9" xfId="8898"/>
    <cellStyle name="40% - Accent5 4 9 2" xfId="23081"/>
    <cellStyle name="40% - Accent5 4 9 2 2" xfId="50089"/>
    <cellStyle name="40% - Accent5 4 9 3" xfId="36585"/>
    <cellStyle name="40% - Accent5 5" xfId="15391"/>
    <cellStyle name="40% - Accent5 5 2" xfId="28926"/>
    <cellStyle name="40% - Accent5 5 2 2" xfId="55934"/>
    <cellStyle name="40% - Accent5 5 3" xfId="42430"/>
    <cellStyle name="40% - Accent5 6" xfId="15435"/>
    <cellStyle name="40% - Accent5 6 2" xfId="28942"/>
    <cellStyle name="40% - Accent5 6 2 2" xfId="55950"/>
    <cellStyle name="40% - Accent5 6 3" xfId="42446"/>
    <cellStyle name="40% - Accent5 7" xfId="15452"/>
    <cellStyle name="40% - Accent5 7 2" xfId="42460"/>
    <cellStyle name="40% - Accent5 8" xfId="28956"/>
    <cellStyle name="40% - Accent5 9" xfId="55"/>
    <cellStyle name="40% - Accent6 2" xfId="126"/>
    <cellStyle name="40% - Accent6 2 10" xfId="1091"/>
    <cellStyle name="40% - Accent6 2 10 2" xfId="16275"/>
    <cellStyle name="40% - Accent6 2 10 2 2" xfId="43283"/>
    <cellStyle name="40% - Accent6 2 10 3" xfId="29779"/>
    <cellStyle name="40% - Accent6 2 100" xfId="11568"/>
    <cellStyle name="40% - Accent6 2 100 2" xfId="25492"/>
    <cellStyle name="40% - Accent6 2 100 2 2" xfId="52500"/>
    <cellStyle name="40% - Accent6 2 100 3" xfId="38996"/>
    <cellStyle name="40% - Accent6 2 101" xfId="11710"/>
    <cellStyle name="40% - Accent6 2 101 2" xfId="25620"/>
    <cellStyle name="40% - Accent6 2 101 2 2" xfId="52628"/>
    <cellStyle name="40% - Accent6 2 101 3" xfId="39124"/>
    <cellStyle name="40% - Accent6 2 102" xfId="11852"/>
    <cellStyle name="40% - Accent6 2 102 2" xfId="25748"/>
    <cellStyle name="40% - Accent6 2 102 2 2" xfId="52756"/>
    <cellStyle name="40% - Accent6 2 102 3" xfId="39252"/>
    <cellStyle name="40% - Accent6 2 103" xfId="11994"/>
    <cellStyle name="40% - Accent6 2 103 2" xfId="25876"/>
    <cellStyle name="40% - Accent6 2 103 2 2" xfId="52884"/>
    <cellStyle name="40% - Accent6 2 103 3" xfId="39380"/>
    <cellStyle name="40% - Accent6 2 104" xfId="12136"/>
    <cellStyle name="40% - Accent6 2 104 2" xfId="26004"/>
    <cellStyle name="40% - Accent6 2 104 2 2" xfId="53012"/>
    <cellStyle name="40% - Accent6 2 104 3" xfId="39508"/>
    <cellStyle name="40% - Accent6 2 105" xfId="12278"/>
    <cellStyle name="40% - Accent6 2 105 2" xfId="26132"/>
    <cellStyle name="40% - Accent6 2 105 2 2" xfId="53140"/>
    <cellStyle name="40% - Accent6 2 105 3" xfId="39636"/>
    <cellStyle name="40% - Accent6 2 106" xfId="12420"/>
    <cellStyle name="40% - Accent6 2 106 2" xfId="26260"/>
    <cellStyle name="40% - Accent6 2 106 2 2" xfId="53268"/>
    <cellStyle name="40% - Accent6 2 106 3" xfId="39764"/>
    <cellStyle name="40% - Accent6 2 107" xfId="12562"/>
    <cellStyle name="40% - Accent6 2 107 2" xfId="26388"/>
    <cellStyle name="40% - Accent6 2 107 2 2" xfId="53396"/>
    <cellStyle name="40% - Accent6 2 107 3" xfId="39892"/>
    <cellStyle name="40% - Accent6 2 108" xfId="12704"/>
    <cellStyle name="40% - Accent6 2 108 2" xfId="26516"/>
    <cellStyle name="40% - Accent6 2 108 2 2" xfId="53524"/>
    <cellStyle name="40% - Accent6 2 108 3" xfId="40020"/>
    <cellStyle name="40% - Accent6 2 109" xfId="12846"/>
    <cellStyle name="40% - Accent6 2 109 2" xfId="26644"/>
    <cellStyle name="40% - Accent6 2 109 2 2" xfId="53652"/>
    <cellStyle name="40% - Accent6 2 109 3" xfId="40148"/>
    <cellStyle name="40% - Accent6 2 11" xfId="1197"/>
    <cellStyle name="40% - Accent6 2 11 2" xfId="16367"/>
    <cellStyle name="40% - Accent6 2 11 2 2" xfId="43375"/>
    <cellStyle name="40% - Accent6 2 11 3" xfId="29871"/>
    <cellStyle name="40% - Accent6 2 110" xfId="12988"/>
    <cellStyle name="40% - Accent6 2 110 2" xfId="26772"/>
    <cellStyle name="40% - Accent6 2 110 2 2" xfId="53780"/>
    <cellStyle name="40% - Accent6 2 110 3" xfId="40276"/>
    <cellStyle name="40% - Accent6 2 111" xfId="13130"/>
    <cellStyle name="40% - Accent6 2 111 2" xfId="26900"/>
    <cellStyle name="40% - Accent6 2 111 2 2" xfId="53908"/>
    <cellStyle name="40% - Accent6 2 111 3" xfId="40404"/>
    <cellStyle name="40% - Accent6 2 112" xfId="13272"/>
    <cellStyle name="40% - Accent6 2 112 2" xfId="27028"/>
    <cellStyle name="40% - Accent6 2 112 2 2" xfId="54036"/>
    <cellStyle name="40% - Accent6 2 112 3" xfId="40532"/>
    <cellStyle name="40% - Accent6 2 113" xfId="13414"/>
    <cellStyle name="40% - Accent6 2 113 2" xfId="27156"/>
    <cellStyle name="40% - Accent6 2 113 2 2" xfId="54164"/>
    <cellStyle name="40% - Accent6 2 113 3" xfId="40660"/>
    <cellStyle name="40% - Accent6 2 114" xfId="13556"/>
    <cellStyle name="40% - Accent6 2 114 2" xfId="27284"/>
    <cellStyle name="40% - Accent6 2 114 2 2" xfId="54292"/>
    <cellStyle name="40% - Accent6 2 114 3" xfId="40788"/>
    <cellStyle name="40% - Accent6 2 115" xfId="13698"/>
    <cellStyle name="40% - Accent6 2 115 2" xfId="27412"/>
    <cellStyle name="40% - Accent6 2 115 2 2" xfId="54420"/>
    <cellStyle name="40% - Accent6 2 115 3" xfId="40916"/>
    <cellStyle name="40% - Accent6 2 116" xfId="13839"/>
    <cellStyle name="40% - Accent6 2 116 2" xfId="27539"/>
    <cellStyle name="40% - Accent6 2 116 2 2" xfId="54547"/>
    <cellStyle name="40% - Accent6 2 116 3" xfId="41043"/>
    <cellStyle name="40% - Accent6 2 117" xfId="13980"/>
    <cellStyle name="40% - Accent6 2 117 2" xfId="27666"/>
    <cellStyle name="40% - Accent6 2 117 2 2" xfId="54674"/>
    <cellStyle name="40% - Accent6 2 117 3" xfId="41170"/>
    <cellStyle name="40% - Accent6 2 118" xfId="14121"/>
    <cellStyle name="40% - Accent6 2 118 2" xfId="27793"/>
    <cellStyle name="40% - Accent6 2 118 2 2" xfId="54801"/>
    <cellStyle name="40% - Accent6 2 118 3" xfId="41297"/>
    <cellStyle name="40% - Accent6 2 119" xfId="14262"/>
    <cellStyle name="40% - Accent6 2 119 2" xfId="27920"/>
    <cellStyle name="40% - Accent6 2 119 2 2" xfId="54928"/>
    <cellStyle name="40% - Accent6 2 119 3" xfId="41424"/>
    <cellStyle name="40% - Accent6 2 12" xfId="1303"/>
    <cellStyle name="40% - Accent6 2 12 2" xfId="16459"/>
    <cellStyle name="40% - Accent6 2 12 2 2" xfId="43467"/>
    <cellStyle name="40% - Accent6 2 12 3" xfId="29963"/>
    <cellStyle name="40% - Accent6 2 120" xfId="14403"/>
    <cellStyle name="40% - Accent6 2 120 2" xfId="28047"/>
    <cellStyle name="40% - Accent6 2 120 2 2" xfId="55055"/>
    <cellStyle name="40% - Accent6 2 120 3" xfId="41551"/>
    <cellStyle name="40% - Accent6 2 121" xfId="14543"/>
    <cellStyle name="40% - Accent6 2 121 2" xfId="28173"/>
    <cellStyle name="40% - Accent6 2 121 2 2" xfId="55181"/>
    <cellStyle name="40% - Accent6 2 121 3" xfId="41677"/>
    <cellStyle name="40% - Accent6 2 122" xfId="14683"/>
    <cellStyle name="40% - Accent6 2 122 2" xfId="28299"/>
    <cellStyle name="40% - Accent6 2 122 2 2" xfId="55307"/>
    <cellStyle name="40% - Accent6 2 122 3" xfId="41803"/>
    <cellStyle name="40% - Accent6 2 123" xfId="14821"/>
    <cellStyle name="40% - Accent6 2 123 2" xfId="28423"/>
    <cellStyle name="40% - Accent6 2 123 2 2" xfId="55431"/>
    <cellStyle name="40% - Accent6 2 123 3" xfId="41927"/>
    <cellStyle name="40% - Accent6 2 124" xfId="14955"/>
    <cellStyle name="40% - Accent6 2 124 2" xfId="28544"/>
    <cellStyle name="40% - Accent6 2 124 2 2" xfId="55552"/>
    <cellStyle name="40% - Accent6 2 124 3" xfId="42048"/>
    <cellStyle name="40% - Accent6 2 125" xfId="15088"/>
    <cellStyle name="40% - Accent6 2 125 2" xfId="28664"/>
    <cellStyle name="40% - Accent6 2 125 2 2" xfId="55672"/>
    <cellStyle name="40% - Accent6 2 125 3" xfId="42168"/>
    <cellStyle name="40% - Accent6 2 126" xfId="15215"/>
    <cellStyle name="40% - Accent6 2 126 2" xfId="28780"/>
    <cellStyle name="40% - Accent6 2 126 2 2" xfId="55788"/>
    <cellStyle name="40% - Accent6 2 126 3" xfId="42284"/>
    <cellStyle name="40% - Accent6 2 127" xfId="15484"/>
    <cellStyle name="40% - Accent6 2 127 2" xfId="42492"/>
    <cellStyle name="40% - Accent6 2 128" xfId="28988"/>
    <cellStyle name="40% - Accent6 2 13" xfId="1409"/>
    <cellStyle name="40% - Accent6 2 13 2" xfId="16551"/>
    <cellStyle name="40% - Accent6 2 13 2 2" xfId="43559"/>
    <cellStyle name="40% - Accent6 2 13 3" xfId="30055"/>
    <cellStyle name="40% - Accent6 2 14" xfId="1515"/>
    <cellStyle name="40% - Accent6 2 14 2" xfId="16643"/>
    <cellStyle name="40% - Accent6 2 14 2 2" xfId="43651"/>
    <cellStyle name="40% - Accent6 2 14 3" xfId="30147"/>
    <cellStyle name="40% - Accent6 2 15" xfId="1621"/>
    <cellStyle name="40% - Accent6 2 15 2" xfId="16735"/>
    <cellStyle name="40% - Accent6 2 15 2 2" xfId="43743"/>
    <cellStyle name="40% - Accent6 2 15 3" xfId="30239"/>
    <cellStyle name="40% - Accent6 2 16" xfId="1727"/>
    <cellStyle name="40% - Accent6 2 16 2" xfId="16827"/>
    <cellStyle name="40% - Accent6 2 16 2 2" xfId="43835"/>
    <cellStyle name="40% - Accent6 2 16 3" xfId="30331"/>
    <cellStyle name="40% - Accent6 2 17" xfId="1833"/>
    <cellStyle name="40% - Accent6 2 17 2" xfId="16919"/>
    <cellStyle name="40% - Accent6 2 17 2 2" xfId="43927"/>
    <cellStyle name="40% - Accent6 2 17 3" xfId="30423"/>
    <cellStyle name="40% - Accent6 2 18" xfId="1939"/>
    <cellStyle name="40% - Accent6 2 18 2" xfId="17011"/>
    <cellStyle name="40% - Accent6 2 18 2 2" xfId="44019"/>
    <cellStyle name="40% - Accent6 2 18 3" xfId="30515"/>
    <cellStyle name="40% - Accent6 2 19" xfId="2045"/>
    <cellStyle name="40% - Accent6 2 19 2" xfId="17103"/>
    <cellStyle name="40% - Accent6 2 19 2 2" xfId="44111"/>
    <cellStyle name="40% - Accent6 2 19 3" xfId="30607"/>
    <cellStyle name="40% - Accent6 2 2" xfId="242"/>
    <cellStyle name="40% - Accent6 2 2 10" xfId="8940"/>
    <cellStyle name="40% - Accent6 2 2 10 2" xfId="23118"/>
    <cellStyle name="40% - Accent6 2 2 10 2 2" xfId="50126"/>
    <cellStyle name="40% - Accent6 2 2 10 3" xfId="36622"/>
    <cellStyle name="40% - Accent6 2 2 11" xfId="9082"/>
    <cellStyle name="40% - Accent6 2 2 11 2" xfId="23246"/>
    <cellStyle name="40% - Accent6 2 2 11 2 2" xfId="50254"/>
    <cellStyle name="40% - Accent6 2 2 11 3" xfId="36750"/>
    <cellStyle name="40% - Accent6 2 2 12" xfId="9224"/>
    <cellStyle name="40% - Accent6 2 2 12 2" xfId="23374"/>
    <cellStyle name="40% - Accent6 2 2 12 2 2" xfId="50382"/>
    <cellStyle name="40% - Accent6 2 2 12 3" xfId="36878"/>
    <cellStyle name="40% - Accent6 2 2 13" xfId="9366"/>
    <cellStyle name="40% - Accent6 2 2 13 2" xfId="23502"/>
    <cellStyle name="40% - Accent6 2 2 13 2 2" xfId="50510"/>
    <cellStyle name="40% - Accent6 2 2 13 3" xfId="37006"/>
    <cellStyle name="40% - Accent6 2 2 14" xfId="9508"/>
    <cellStyle name="40% - Accent6 2 2 14 2" xfId="23630"/>
    <cellStyle name="40% - Accent6 2 2 14 2 2" xfId="50638"/>
    <cellStyle name="40% - Accent6 2 2 14 3" xfId="37134"/>
    <cellStyle name="40% - Accent6 2 2 15" xfId="9650"/>
    <cellStyle name="40% - Accent6 2 2 15 2" xfId="23758"/>
    <cellStyle name="40% - Accent6 2 2 15 2 2" xfId="50766"/>
    <cellStyle name="40% - Accent6 2 2 15 3" xfId="37262"/>
    <cellStyle name="40% - Accent6 2 2 16" xfId="9792"/>
    <cellStyle name="40% - Accent6 2 2 16 2" xfId="23886"/>
    <cellStyle name="40% - Accent6 2 2 16 2 2" xfId="50894"/>
    <cellStyle name="40% - Accent6 2 2 16 3" xfId="37390"/>
    <cellStyle name="40% - Accent6 2 2 17" xfId="9934"/>
    <cellStyle name="40% - Accent6 2 2 17 2" xfId="24014"/>
    <cellStyle name="40% - Accent6 2 2 17 2 2" xfId="51022"/>
    <cellStyle name="40% - Accent6 2 2 17 3" xfId="37518"/>
    <cellStyle name="40% - Accent6 2 2 18" xfId="10076"/>
    <cellStyle name="40% - Accent6 2 2 18 2" xfId="24142"/>
    <cellStyle name="40% - Accent6 2 2 18 2 2" xfId="51150"/>
    <cellStyle name="40% - Accent6 2 2 18 3" xfId="37646"/>
    <cellStyle name="40% - Accent6 2 2 19" xfId="10218"/>
    <cellStyle name="40% - Accent6 2 2 19 2" xfId="24270"/>
    <cellStyle name="40% - Accent6 2 2 19 2 2" xfId="51278"/>
    <cellStyle name="40% - Accent6 2 2 19 3" xfId="37774"/>
    <cellStyle name="40% - Accent6 2 2 2" xfId="7804"/>
    <cellStyle name="40% - Accent6 2 2 2 2" xfId="22094"/>
    <cellStyle name="40% - Accent6 2 2 2 2 2" xfId="49102"/>
    <cellStyle name="40% - Accent6 2 2 2 3" xfId="35598"/>
    <cellStyle name="40% - Accent6 2 2 20" xfId="10360"/>
    <cellStyle name="40% - Accent6 2 2 20 2" xfId="24398"/>
    <cellStyle name="40% - Accent6 2 2 20 2 2" xfId="51406"/>
    <cellStyle name="40% - Accent6 2 2 20 3" xfId="37902"/>
    <cellStyle name="40% - Accent6 2 2 21" xfId="10502"/>
    <cellStyle name="40% - Accent6 2 2 21 2" xfId="24526"/>
    <cellStyle name="40% - Accent6 2 2 21 2 2" xfId="51534"/>
    <cellStyle name="40% - Accent6 2 2 21 3" xfId="38030"/>
    <cellStyle name="40% - Accent6 2 2 22" xfId="10644"/>
    <cellStyle name="40% - Accent6 2 2 22 2" xfId="24654"/>
    <cellStyle name="40% - Accent6 2 2 22 2 2" xfId="51662"/>
    <cellStyle name="40% - Accent6 2 2 22 3" xfId="38158"/>
    <cellStyle name="40% - Accent6 2 2 23" xfId="10786"/>
    <cellStyle name="40% - Accent6 2 2 23 2" xfId="24782"/>
    <cellStyle name="40% - Accent6 2 2 23 2 2" xfId="51790"/>
    <cellStyle name="40% - Accent6 2 2 23 3" xfId="38286"/>
    <cellStyle name="40% - Accent6 2 2 24" xfId="10928"/>
    <cellStyle name="40% - Accent6 2 2 24 2" xfId="24910"/>
    <cellStyle name="40% - Accent6 2 2 24 2 2" xfId="51918"/>
    <cellStyle name="40% - Accent6 2 2 24 3" xfId="38414"/>
    <cellStyle name="40% - Accent6 2 2 25" xfId="11070"/>
    <cellStyle name="40% - Accent6 2 2 25 2" xfId="25038"/>
    <cellStyle name="40% - Accent6 2 2 25 2 2" xfId="52046"/>
    <cellStyle name="40% - Accent6 2 2 25 3" xfId="38542"/>
    <cellStyle name="40% - Accent6 2 2 26" xfId="11212"/>
    <cellStyle name="40% - Accent6 2 2 26 2" xfId="25166"/>
    <cellStyle name="40% - Accent6 2 2 26 2 2" xfId="52174"/>
    <cellStyle name="40% - Accent6 2 2 26 3" xfId="38670"/>
    <cellStyle name="40% - Accent6 2 2 27" xfId="11354"/>
    <cellStyle name="40% - Accent6 2 2 27 2" xfId="25294"/>
    <cellStyle name="40% - Accent6 2 2 27 2 2" xfId="52302"/>
    <cellStyle name="40% - Accent6 2 2 27 3" xfId="38798"/>
    <cellStyle name="40% - Accent6 2 2 28" xfId="11496"/>
    <cellStyle name="40% - Accent6 2 2 28 2" xfId="25422"/>
    <cellStyle name="40% - Accent6 2 2 28 2 2" xfId="52430"/>
    <cellStyle name="40% - Accent6 2 2 28 3" xfId="38926"/>
    <cellStyle name="40% - Accent6 2 2 29" xfId="11638"/>
    <cellStyle name="40% - Accent6 2 2 29 2" xfId="25550"/>
    <cellStyle name="40% - Accent6 2 2 29 2 2" xfId="52558"/>
    <cellStyle name="40% - Accent6 2 2 29 3" xfId="39054"/>
    <cellStyle name="40% - Accent6 2 2 3" xfId="7946"/>
    <cellStyle name="40% - Accent6 2 2 3 2" xfId="22222"/>
    <cellStyle name="40% - Accent6 2 2 3 2 2" xfId="49230"/>
    <cellStyle name="40% - Accent6 2 2 3 3" xfId="35726"/>
    <cellStyle name="40% - Accent6 2 2 30" xfId="11780"/>
    <cellStyle name="40% - Accent6 2 2 30 2" xfId="25678"/>
    <cellStyle name="40% - Accent6 2 2 30 2 2" xfId="52686"/>
    <cellStyle name="40% - Accent6 2 2 30 3" xfId="39182"/>
    <cellStyle name="40% - Accent6 2 2 31" xfId="11922"/>
    <cellStyle name="40% - Accent6 2 2 31 2" xfId="25806"/>
    <cellStyle name="40% - Accent6 2 2 31 2 2" xfId="52814"/>
    <cellStyle name="40% - Accent6 2 2 31 3" xfId="39310"/>
    <cellStyle name="40% - Accent6 2 2 32" xfId="12064"/>
    <cellStyle name="40% - Accent6 2 2 32 2" xfId="25934"/>
    <cellStyle name="40% - Accent6 2 2 32 2 2" xfId="52942"/>
    <cellStyle name="40% - Accent6 2 2 32 3" xfId="39438"/>
    <cellStyle name="40% - Accent6 2 2 33" xfId="12206"/>
    <cellStyle name="40% - Accent6 2 2 33 2" xfId="26062"/>
    <cellStyle name="40% - Accent6 2 2 33 2 2" xfId="53070"/>
    <cellStyle name="40% - Accent6 2 2 33 3" xfId="39566"/>
    <cellStyle name="40% - Accent6 2 2 34" xfId="12348"/>
    <cellStyle name="40% - Accent6 2 2 34 2" xfId="26190"/>
    <cellStyle name="40% - Accent6 2 2 34 2 2" xfId="53198"/>
    <cellStyle name="40% - Accent6 2 2 34 3" xfId="39694"/>
    <cellStyle name="40% - Accent6 2 2 35" xfId="12490"/>
    <cellStyle name="40% - Accent6 2 2 35 2" xfId="26318"/>
    <cellStyle name="40% - Accent6 2 2 35 2 2" xfId="53326"/>
    <cellStyle name="40% - Accent6 2 2 35 3" xfId="39822"/>
    <cellStyle name="40% - Accent6 2 2 36" xfId="12632"/>
    <cellStyle name="40% - Accent6 2 2 36 2" xfId="26446"/>
    <cellStyle name="40% - Accent6 2 2 36 2 2" xfId="53454"/>
    <cellStyle name="40% - Accent6 2 2 36 3" xfId="39950"/>
    <cellStyle name="40% - Accent6 2 2 37" xfId="12774"/>
    <cellStyle name="40% - Accent6 2 2 37 2" xfId="26574"/>
    <cellStyle name="40% - Accent6 2 2 37 2 2" xfId="53582"/>
    <cellStyle name="40% - Accent6 2 2 37 3" xfId="40078"/>
    <cellStyle name="40% - Accent6 2 2 38" xfId="12916"/>
    <cellStyle name="40% - Accent6 2 2 38 2" xfId="26702"/>
    <cellStyle name="40% - Accent6 2 2 38 2 2" xfId="53710"/>
    <cellStyle name="40% - Accent6 2 2 38 3" xfId="40206"/>
    <cellStyle name="40% - Accent6 2 2 39" xfId="13058"/>
    <cellStyle name="40% - Accent6 2 2 39 2" xfId="26830"/>
    <cellStyle name="40% - Accent6 2 2 39 2 2" xfId="53838"/>
    <cellStyle name="40% - Accent6 2 2 39 3" xfId="40334"/>
    <cellStyle name="40% - Accent6 2 2 4" xfId="8088"/>
    <cellStyle name="40% - Accent6 2 2 4 2" xfId="22350"/>
    <cellStyle name="40% - Accent6 2 2 4 2 2" xfId="49358"/>
    <cellStyle name="40% - Accent6 2 2 4 3" xfId="35854"/>
    <cellStyle name="40% - Accent6 2 2 40" xfId="13200"/>
    <cellStyle name="40% - Accent6 2 2 40 2" xfId="26958"/>
    <cellStyle name="40% - Accent6 2 2 40 2 2" xfId="53966"/>
    <cellStyle name="40% - Accent6 2 2 40 3" xfId="40462"/>
    <cellStyle name="40% - Accent6 2 2 41" xfId="13342"/>
    <cellStyle name="40% - Accent6 2 2 41 2" xfId="27086"/>
    <cellStyle name="40% - Accent6 2 2 41 2 2" xfId="54094"/>
    <cellStyle name="40% - Accent6 2 2 41 3" xfId="40590"/>
    <cellStyle name="40% - Accent6 2 2 42" xfId="13484"/>
    <cellStyle name="40% - Accent6 2 2 42 2" xfId="27214"/>
    <cellStyle name="40% - Accent6 2 2 42 2 2" xfId="54222"/>
    <cellStyle name="40% - Accent6 2 2 42 3" xfId="40718"/>
    <cellStyle name="40% - Accent6 2 2 43" xfId="13626"/>
    <cellStyle name="40% - Accent6 2 2 43 2" xfId="27342"/>
    <cellStyle name="40% - Accent6 2 2 43 2 2" xfId="54350"/>
    <cellStyle name="40% - Accent6 2 2 43 3" xfId="40846"/>
    <cellStyle name="40% - Accent6 2 2 44" xfId="13768"/>
    <cellStyle name="40% - Accent6 2 2 44 2" xfId="27470"/>
    <cellStyle name="40% - Accent6 2 2 44 2 2" xfId="54478"/>
    <cellStyle name="40% - Accent6 2 2 44 3" xfId="40974"/>
    <cellStyle name="40% - Accent6 2 2 45" xfId="13909"/>
    <cellStyle name="40% - Accent6 2 2 45 2" xfId="27597"/>
    <cellStyle name="40% - Accent6 2 2 45 2 2" xfId="54605"/>
    <cellStyle name="40% - Accent6 2 2 45 3" xfId="41101"/>
    <cellStyle name="40% - Accent6 2 2 46" xfId="14050"/>
    <cellStyle name="40% - Accent6 2 2 46 2" xfId="27724"/>
    <cellStyle name="40% - Accent6 2 2 46 2 2" xfId="54732"/>
    <cellStyle name="40% - Accent6 2 2 46 3" xfId="41228"/>
    <cellStyle name="40% - Accent6 2 2 47" xfId="14191"/>
    <cellStyle name="40% - Accent6 2 2 47 2" xfId="27851"/>
    <cellStyle name="40% - Accent6 2 2 47 2 2" xfId="54859"/>
    <cellStyle name="40% - Accent6 2 2 47 3" xfId="41355"/>
    <cellStyle name="40% - Accent6 2 2 48" xfId="14332"/>
    <cellStyle name="40% - Accent6 2 2 48 2" xfId="27978"/>
    <cellStyle name="40% - Accent6 2 2 48 2 2" xfId="54986"/>
    <cellStyle name="40% - Accent6 2 2 48 3" xfId="41482"/>
    <cellStyle name="40% - Accent6 2 2 49" xfId="14472"/>
    <cellStyle name="40% - Accent6 2 2 49 2" xfId="28104"/>
    <cellStyle name="40% - Accent6 2 2 49 2 2" xfId="55112"/>
    <cellStyle name="40% - Accent6 2 2 49 3" xfId="41608"/>
    <cellStyle name="40% - Accent6 2 2 5" xfId="8230"/>
    <cellStyle name="40% - Accent6 2 2 5 2" xfId="22478"/>
    <cellStyle name="40% - Accent6 2 2 5 2 2" xfId="49486"/>
    <cellStyle name="40% - Accent6 2 2 5 3" xfId="35982"/>
    <cellStyle name="40% - Accent6 2 2 50" xfId="14612"/>
    <cellStyle name="40% - Accent6 2 2 50 2" xfId="28230"/>
    <cellStyle name="40% - Accent6 2 2 50 2 2" xfId="55238"/>
    <cellStyle name="40% - Accent6 2 2 50 3" xfId="41734"/>
    <cellStyle name="40% - Accent6 2 2 51" xfId="14751"/>
    <cellStyle name="40% - Accent6 2 2 51 2" xfId="28355"/>
    <cellStyle name="40% - Accent6 2 2 51 2 2" xfId="55363"/>
    <cellStyle name="40% - Accent6 2 2 51 3" xfId="41859"/>
    <cellStyle name="40% - Accent6 2 2 52" xfId="14886"/>
    <cellStyle name="40% - Accent6 2 2 52 2" xfId="28477"/>
    <cellStyle name="40% - Accent6 2 2 52 2 2" xfId="55485"/>
    <cellStyle name="40% - Accent6 2 2 52 3" xfId="41981"/>
    <cellStyle name="40% - Accent6 2 2 53" xfId="15020"/>
    <cellStyle name="40% - Accent6 2 2 53 2" xfId="28598"/>
    <cellStyle name="40% - Accent6 2 2 53 2 2" xfId="55606"/>
    <cellStyle name="40% - Accent6 2 2 53 3" xfId="42102"/>
    <cellStyle name="40% - Accent6 2 2 54" xfId="15148"/>
    <cellStyle name="40% - Accent6 2 2 54 2" xfId="28715"/>
    <cellStyle name="40% - Accent6 2 2 54 2 2" xfId="55723"/>
    <cellStyle name="40% - Accent6 2 2 54 3" xfId="42219"/>
    <cellStyle name="40% - Accent6 2 2 55" xfId="15269"/>
    <cellStyle name="40% - Accent6 2 2 55 2" xfId="28829"/>
    <cellStyle name="40% - Accent6 2 2 55 2 2" xfId="55837"/>
    <cellStyle name="40% - Accent6 2 2 55 3" xfId="42333"/>
    <cellStyle name="40% - Accent6 2 2 56" xfId="15564"/>
    <cellStyle name="40% - Accent6 2 2 56 2" xfId="42572"/>
    <cellStyle name="40% - Accent6 2 2 57" xfId="29068"/>
    <cellStyle name="40% - Accent6 2 2 6" xfId="8372"/>
    <cellStyle name="40% - Accent6 2 2 6 2" xfId="22606"/>
    <cellStyle name="40% - Accent6 2 2 6 2 2" xfId="49614"/>
    <cellStyle name="40% - Accent6 2 2 6 3" xfId="36110"/>
    <cellStyle name="40% - Accent6 2 2 7" xfId="8514"/>
    <cellStyle name="40% - Accent6 2 2 7 2" xfId="22734"/>
    <cellStyle name="40% - Accent6 2 2 7 2 2" xfId="49742"/>
    <cellStyle name="40% - Accent6 2 2 7 3" xfId="36238"/>
    <cellStyle name="40% - Accent6 2 2 8" xfId="8656"/>
    <cellStyle name="40% - Accent6 2 2 8 2" xfId="22862"/>
    <cellStyle name="40% - Accent6 2 2 8 2 2" xfId="49870"/>
    <cellStyle name="40% - Accent6 2 2 8 3" xfId="36366"/>
    <cellStyle name="40% - Accent6 2 2 9" xfId="8798"/>
    <cellStyle name="40% - Accent6 2 2 9 2" xfId="22990"/>
    <cellStyle name="40% - Accent6 2 2 9 2 2" xfId="49998"/>
    <cellStyle name="40% - Accent6 2 2 9 3" xfId="36494"/>
    <cellStyle name="40% - Accent6 2 20" xfId="2151"/>
    <cellStyle name="40% - Accent6 2 20 2" xfId="17195"/>
    <cellStyle name="40% - Accent6 2 20 2 2" xfId="44203"/>
    <cellStyle name="40% - Accent6 2 20 3" xfId="30699"/>
    <cellStyle name="40% - Accent6 2 21" xfId="2257"/>
    <cellStyle name="40% - Accent6 2 21 2" xfId="17287"/>
    <cellStyle name="40% - Accent6 2 21 2 2" xfId="44295"/>
    <cellStyle name="40% - Accent6 2 21 3" xfId="30791"/>
    <cellStyle name="40% - Accent6 2 22" xfId="2363"/>
    <cellStyle name="40% - Accent6 2 22 2" xfId="17379"/>
    <cellStyle name="40% - Accent6 2 22 2 2" xfId="44387"/>
    <cellStyle name="40% - Accent6 2 22 3" xfId="30883"/>
    <cellStyle name="40% - Accent6 2 23" xfId="2469"/>
    <cellStyle name="40% - Accent6 2 23 2" xfId="17471"/>
    <cellStyle name="40% - Accent6 2 23 2 2" xfId="44479"/>
    <cellStyle name="40% - Accent6 2 23 3" xfId="30975"/>
    <cellStyle name="40% - Accent6 2 24" xfId="2575"/>
    <cellStyle name="40% - Accent6 2 24 2" xfId="17563"/>
    <cellStyle name="40% - Accent6 2 24 2 2" xfId="44571"/>
    <cellStyle name="40% - Accent6 2 24 3" xfId="31067"/>
    <cellStyle name="40% - Accent6 2 25" xfId="2681"/>
    <cellStyle name="40% - Accent6 2 25 2" xfId="17655"/>
    <cellStyle name="40% - Accent6 2 25 2 2" xfId="44663"/>
    <cellStyle name="40% - Accent6 2 25 3" xfId="31159"/>
    <cellStyle name="40% - Accent6 2 26" xfId="2787"/>
    <cellStyle name="40% - Accent6 2 26 2" xfId="17747"/>
    <cellStyle name="40% - Accent6 2 26 2 2" xfId="44755"/>
    <cellStyle name="40% - Accent6 2 26 3" xfId="31251"/>
    <cellStyle name="40% - Accent6 2 27" xfId="2893"/>
    <cellStyle name="40% - Accent6 2 27 2" xfId="17839"/>
    <cellStyle name="40% - Accent6 2 27 2 2" xfId="44847"/>
    <cellStyle name="40% - Accent6 2 27 3" xfId="31343"/>
    <cellStyle name="40% - Accent6 2 28" xfId="2999"/>
    <cellStyle name="40% - Accent6 2 28 2" xfId="17931"/>
    <cellStyle name="40% - Accent6 2 28 2 2" xfId="44939"/>
    <cellStyle name="40% - Accent6 2 28 3" xfId="31435"/>
    <cellStyle name="40% - Accent6 2 29" xfId="3105"/>
    <cellStyle name="40% - Accent6 2 29 2" xfId="18023"/>
    <cellStyle name="40% - Accent6 2 29 2 2" xfId="45031"/>
    <cellStyle name="40% - Accent6 2 29 3" xfId="31527"/>
    <cellStyle name="40% - Accent6 2 3" xfId="424"/>
    <cellStyle name="40% - Accent6 2 3 10" xfId="9060"/>
    <cellStyle name="40% - Accent6 2 3 10 2" xfId="23228"/>
    <cellStyle name="40% - Accent6 2 3 10 2 2" xfId="50236"/>
    <cellStyle name="40% - Accent6 2 3 10 3" xfId="36732"/>
    <cellStyle name="40% - Accent6 2 3 11" xfId="9202"/>
    <cellStyle name="40% - Accent6 2 3 11 2" xfId="23356"/>
    <cellStyle name="40% - Accent6 2 3 11 2 2" xfId="50364"/>
    <cellStyle name="40% - Accent6 2 3 11 3" xfId="36860"/>
    <cellStyle name="40% - Accent6 2 3 12" xfId="9344"/>
    <cellStyle name="40% - Accent6 2 3 12 2" xfId="23484"/>
    <cellStyle name="40% - Accent6 2 3 12 2 2" xfId="50492"/>
    <cellStyle name="40% - Accent6 2 3 12 3" xfId="36988"/>
    <cellStyle name="40% - Accent6 2 3 13" xfId="9486"/>
    <cellStyle name="40% - Accent6 2 3 13 2" xfId="23612"/>
    <cellStyle name="40% - Accent6 2 3 13 2 2" xfId="50620"/>
    <cellStyle name="40% - Accent6 2 3 13 3" xfId="37116"/>
    <cellStyle name="40% - Accent6 2 3 14" xfId="9628"/>
    <cellStyle name="40% - Accent6 2 3 14 2" xfId="23740"/>
    <cellStyle name="40% - Accent6 2 3 14 2 2" xfId="50748"/>
    <cellStyle name="40% - Accent6 2 3 14 3" xfId="37244"/>
    <cellStyle name="40% - Accent6 2 3 15" xfId="9770"/>
    <cellStyle name="40% - Accent6 2 3 15 2" xfId="23868"/>
    <cellStyle name="40% - Accent6 2 3 15 2 2" xfId="50876"/>
    <cellStyle name="40% - Accent6 2 3 15 3" xfId="37372"/>
    <cellStyle name="40% - Accent6 2 3 16" xfId="9912"/>
    <cellStyle name="40% - Accent6 2 3 16 2" xfId="23996"/>
    <cellStyle name="40% - Accent6 2 3 16 2 2" xfId="51004"/>
    <cellStyle name="40% - Accent6 2 3 16 3" xfId="37500"/>
    <cellStyle name="40% - Accent6 2 3 17" xfId="10054"/>
    <cellStyle name="40% - Accent6 2 3 17 2" xfId="24124"/>
    <cellStyle name="40% - Accent6 2 3 17 2 2" xfId="51132"/>
    <cellStyle name="40% - Accent6 2 3 17 3" xfId="37628"/>
    <cellStyle name="40% - Accent6 2 3 18" xfId="10196"/>
    <cellStyle name="40% - Accent6 2 3 18 2" xfId="24252"/>
    <cellStyle name="40% - Accent6 2 3 18 2 2" xfId="51260"/>
    <cellStyle name="40% - Accent6 2 3 18 3" xfId="37756"/>
    <cellStyle name="40% - Accent6 2 3 19" xfId="10338"/>
    <cellStyle name="40% - Accent6 2 3 19 2" xfId="24380"/>
    <cellStyle name="40% - Accent6 2 3 19 2 2" xfId="51388"/>
    <cellStyle name="40% - Accent6 2 3 19 3" xfId="37884"/>
    <cellStyle name="40% - Accent6 2 3 2" xfId="7924"/>
    <cellStyle name="40% - Accent6 2 3 2 2" xfId="22204"/>
    <cellStyle name="40% - Accent6 2 3 2 2 2" xfId="49212"/>
    <cellStyle name="40% - Accent6 2 3 2 3" xfId="35708"/>
    <cellStyle name="40% - Accent6 2 3 20" xfId="10480"/>
    <cellStyle name="40% - Accent6 2 3 20 2" xfId="24508"/>
    <cellStyle name="40% - Accent6 2 3 20 2 2" xfId="51516"/>
    <cellStyle name="40% - Accent6 2 3 20 3" xfId="38012"/>
    <cellStyle name="40% - Accent6 2 3 21" xfId="10622"/>
    <cellStyle name="40% - Accent6 2 3 21 2" xfId="24636"/>
    <cellStyle name="40% - Accent6 2 3 21 2 2" xfId="51644"/>
    <cellStyle name="40% - Accent6 2 3 21 3" xfId="38140"/>
    <cellStyle name="40% - Accent6 2 3 22" xfId="10764"/>
    <cellStyle name="40% - Accent6 2 3 22 2" xfId="24764"/>
    <cellStyle name="40% - Accent6 2 3 22 2 2" xfId="51772"/>
    <cellStyle name="40% - Accent6 2 3 22 3" xfId="38268"/>
    <cellStyle name="40% - Accent6 2 3 23" xfId="10906"/>
    <cellStyle name="40% - Accent6 2 3 23 2" xfId="24892"/>
    <cellStyle name="40% - Accent6 2 3 23 2 2" xfId="51900"/>
    <cellStyle name="40% - Accent6 2 3 23 3" xfId="38396"/>
    <cellStyle name="40% - Accent6 2 3 24" xfId="11048"/>
    <cellStyle name="40% - Accent6 2 3 24 2" xfId="25020"/>
    <cellStyle name="40% - Accent6 2 3 24 2 2" xfId="52028"/>
    <cellStyle name="40% - Accent6 2 3 24 3" xfId="38524"/>
    <cellStyle name="40% - Accent6 2 3 25" xfId="11190"/>
    <cellStyle name="40% - Accent6 2 3 25 2" xfId="25148"/>
    <cellStyle name="40% - Accent6 2 3 25 2 2" xfId="52156"/>
    <cellStyle name="40% - Accent6 2 3 25 3" xfId="38652"/>
    <cellStyle name="40% - Accent6 2 3 26" xfId="11332"/>
    <cellStyle name="40% - Accent6 2 3 26 2" xfId="25276"/>
    <cellStyle name="40% - Accent6 2 3 26 2 2" xfId="52284"/>
    <cellStyle name="40% - Accent6 2 3 26 3" xfId="38780"/>
    <cellStyle name="40% - Accent6 2 3 27" xfId="11474"/>
    <cellStyle name="40% - Accent6 2 3 27 2" xfId="25404"/>
    <cellStyle name="40% - Accent6 2 3 27 2 2" xfId="52412"/>
    <cellStyle name="40% - Accent6 2 3 27 3" xfId="38908"/>
    <cellStyle name="40% - Accent6 2 3 28" xfId="11616"/>
    <cellStyle name="40% - Accent6 2 3 28 2" xfId="25532"/>
    <cellStyle name="40% - Accent6 2 3 28 2 2" xfId="52540"/>
    <cellStyle name="40% - Accent6 2 3 28 3" xfId="39036"/>
    <cellStyle name="40% - Accent6 2 3 29" xfId="11758"/>
    <cellStyle name="40% - Accent6 2 3 29 2" xfId="25660"/>
    <cellStyle name="40% - Accent6 2 3 29 2 2" xfId="52668"/>
    <cellStyle name="40% - Accent6 2 3 29 3" xfId="39164"/>
    <cellStyle name="40% - Accent6 2 3 3" xfId="8066"/>
    <cellStyle name="40% - Accent6 2 3 3 2" xfId="22332"/>
    <cellStyle name="40% - Accent6 2 3 3 2 2" xfId="49340"/>
    <cellStyle name="40% - Accent6 2 3 3 3" xfId="35836"/>
    <cellStyle name="40% - Accent6 2 3 30" xfId="11900"/>
    <cellStyle name="40% - Accent6 2 3 30 2" xfId="25788"/>
    <cellStyle name="40% - Accent6 2 3 30 2 2" xfId="52796"/>
    <cellStyle name="40% - Accent6 2 3 30 3" xfId="39292"/>
    <cellStyle name="40% - Accent6 2 3 31" xfId="12042"/>
    <cellStyle name="40% - Accent6 2 3 31 2" xfId="25916"/>
    <cellStyle name="40% - Accent6 2 3 31 2 2" xfId="52924"/>
    <cellStyle name="40% - Accent6 2 3 31 3" xfId="39420"/>
    <cellStyle name="40% - Accent6 2 3 32" xfId="12184"/>
    <cellStyle name="40% - Accent6 2 3 32 2" xfId="26044"/>
    <cellStyle name="40% - Accent6 2 3 32 2 2" xfId="53052"/>
    <cellStyle name="40% - Accent6 2 3 32 3" xfId="39548"/>
    <cellStyle name="40% - Accent6 2 3 33" xfId="12326"/>
    <cellStyle name="40% - Accent6 2 3 33 2" xfId="26172"/>
    <cellStyle name="40% - Accent6 2 3 33 2 2" xfId="53180"/>
    <cellStyle name="40% - Accent6 2 3 33 3" xfId="39676"/>
    <cellStyle name="40% - Accent6 2 3 34" xfId="12468"/>
    <cellStyle name="40% - Accent6 2 3 34 2" xfId="26300"/>
    <cellStyle name="40% - Accent6 2 3 34 2 2" xfId="53308"/>
    <cellStyle name="40% - Accent6 2 3 34 3" xfId="39804"/>
    <cellStyle name="40% - Accent6 2 3 35" xfId="12610"/>
    <cellStyle name="40% - Accent6 2 3 35 2" xfId="26428"/>
    <cellStyle name="40% - Accent6 2 3 35 2 2" xfId="53436"/>
    <cellStyle name="40% - Accent6 2 3 35 3" xfId="39932"/>
    <cellStyle name="40% - Accent6 2 3 36" xfId="12752"/>
    <cellStyle name="40% - Accent6 2 3 36 2" xfId="26556"/>
    <cellStyle name="40% - Accent6 2 3 36 2 2" xfId="53564"/>
    <cellStyle name="40% - Accent6 2 3 36 3" xfId="40060"/>
    <cellStyle name="40% - Accent6 2 3 37" xfId="12894"/>
    <cellStyle name="40% - Accent6 2 3 37 2" xfId="26684"/>
    <cellStyle name="40% - Accent6 2 3 37 2 2" xfId="53692"/>
    <cellStyle name="40% - Accent6 2 3 37 3" xfId="40188"/>
    <cellStyle name="40% - Accent6 2 3 38" xfId="13036"/>
    <cellStyle name="40% - Accent6 2 3 38 2" xfId="26812"/>
    <cellStyle name="40% - Accent6 2 3 38 2 2" xfId="53820"/>
    <cellStyle name="40% - Accent6 2 3 38 3" xfId="40316"/>
    <cellStyle name="40% - Accent6 2 3 39" xfId="13178"/>
    <cellStyle name="40% - Accent6 2 3 39 2" xfId="26940"/>
    <cellStyle name="40% - Accent6 2 3 39 2 2" xfId="53948"/>
    <cellStyle name="40% - Accent6 2 3 39 3" xfId="40444"/>
    <cellStyle name="40% - Accent6 2 3 4" xfId="8208"/>
    <cellStyle name="40% - Accent6 2 3 4 2" xfId="22460"/>
    <cellStyle name="40% - Accent6 2 3 4 2 2" xfId="49468"/>
    <cellStyle name="40% - Accent6 2 3 4 3" xfId="35964"/>
    <cellStyle name="40% - Accent6 2 3 40" xfId="13320"/>
    <cellStyle name="40% - Accent6 2 3 40 2" xfId="27068"/>
    <cellStyle name="40% - Accent6 2 3 40 2 2" xfId="54076"/>
    <cellStyle name="40% - Accent6 2 3 40 3" xfId="40572"/>
    <cellStyle name="40% - Accent6 2 3 41" xfId="13462"/>
    <cellStyle name="40% - Accent6 2 3 41 2" xfId="27196"/>
    <cellStyle name="40% - Accent6 2 3 41 2 2" xfId="54204"/>
    <cellStyle name="40% - Accent6 2 3 41 3" xfId="40700"/>
    <cellStyle name="40% - Accent6 2 3 42" xfId="13604"/>
    <cellStyle name="40% - Accent6 2 3 42 2" xfId="27324"/>
    <cellStyle name="40% - Accent6 2 3 42 2 2" xfId="54332"/>
    <cellStyle name="40% - Accent6 2 3 42 3" xfId="40828"/>
    <cellStyle name="40% - Accent6 2 3 43" xfId="13746"/>
    <cellStyle name="40% - Accent6 2 3 43 2" xfId="27452"/>
    <cellStyle name="40% - Accent6 2 3 43 2 2" xfId="54460"/>
    <cellStyle name="40% - Accent6 2 3 43 3" xfId="40956"/>
    <cellStyle name="40% - Accent6 2 3 44" xfId="13887"/>
    <cellStyle name="40% - Accent6 2 3 44 2" xfId="27579"/>
    <cellStyle name="40% - Accent6 2 3 44 2 2" xfId="54587"/>
    <cellStyle name="40% - Accent6 2 3 44 3" xfId="41083"/>
    <cellStyle name="40% - Accent6 2 3 45" xfId="14028"/>
    <cellStyle name="40% - Accent6 2 3 45 2" xfId="27706"/>
    <cellStyle name="40% - Accent6 2 3 45 2 2" xfId="54714"/>
    <cellStyle name="40% - Accent6 2 3 45 3" xfId="41210"/>
    <cellStyle name="40% - Accent6 2 3 46" xfId="14169"/>
    <cellStyle name="40% - Accent6 2 3 46 2" xfId="27833"/>
    <cellStyle name="40% - Accent6 2 3 46 2 2" xfId="54841"/>
    <cellStyle name="40% - Accent6 2 3 46 3" xfId="41337"/>
    <cellStyle name="40% - Accent6 2 3 47" xfId="14310"/>
    <cellStyle name="40% - Accent6 2 3 47 2" xfId="27960"/>
    <cellStyle name="40% - Accent6 2 3 47 2 2" xfId="54968"/>
    <cellStyle name="40% - Accent6 2 3 47 3" xfId="41464"/>
    <cellStyle name="40% - Accent6 2 3 48" xfId="14450"/>
    <cellStyle name="40% - Accent6 2 3 48 2" xfId="28086"/>
    <cellStyle name="40% - Accent6 2 3 48 2 2" xfId="55094"/>
    <cellStyle name="40% - Accent6 2 3 48 3" xfId="41590"/>
    <cellStyle name="40% - Accent6 2 3 49" xfId="14590"/>
    <cellStyle name="40% - Accent6 2 3 49 2" xfId="28212"/>
    <cellStyle name="40% - Accent6 2 3 49 2 2" xfId="55220"/>
    <cellStyle name="40% - Accent6 2 3 49 3" xfId="41716"/>
    <cellStyle name="40% - Accent6 2 3 5" xfId="8350"/>
    <cellStyle name="40% - Accent6 2 3 5 2" xfId="22588"/>
    <cellStyle name="40% - Accent6 2 3 5 2 2" xfId="49596"/>
    <cellStyle name="40% - Accent6 2 3 5 3" xfId="36092"/>
    <cellStyle name="40% - Accent6 2 3 50" xfId="14729"/>
    <cellStyle name="40% - Accent6 2 3 50 2" xfId="28337"/>
    <cellStyle name="40% - Accent6 2 3 50 2 2" xfId="55345"/>
    <cellStyle name="40% - Accent6 2 3 50 3" xfId="41841"/>
    <cellStyle name="40% - Accent6 2 3 51" xfId="14864"/>
    <cellStyle name="40% - Accent6 2 3 51 2" xfId="28459"/>
    <cellStyle name="40% - Accent6 2 3 51 2 2" xfId="55467"/>
    <cellStyle name="40% - Accent6 2 3 51 3" xfId="41963"/>
    <cellStyle name="40% - Accent6 2 3 52" xfId="14998"/>
    <cellStyle name="40% - Accent6 2 3 52 2" xfId="28580"/>
    <cellStyle name="40% - Accent6 2 3 52 2 2" xfId="55588"/>
    <cellStyle name="40% - Accent6 2 3 52 3" xfId="42084"/>
    <cellStyle name="40% - Accent6 2 3 53" xfId="15127"/>
    <cellStyle name="40% - Accent6 2 3 53 2" xfId="28697"/>
    <cellStyle name="40% - Accent6 2 3 53 2 2" xfId="55705"/>
    <cellStyle name="40% - Accent6 2 3 53 3" xfId="42201"/>
    <cellStyle name="40% - Accent6 2 3 54" xfId="15249"/>
    <cellStyle name="40% - Accent6 2 3 54 2" xfId="28811"/>
    <cellStyle name="40% - Accent6 2 3 54 2 2" xfId="55819"/>
    <cellStyle name="40% - Accent6 2 3 54 3" xfId="42315"/>
    <cellStyle name="40% - Accent6 2 3 55" xfId="15354"/>
    <cellStyle name="40% - Accent6 2 3 55 2" xfId="28914"/>
    <cellStyle name="40% - Accent6 2 3 55 2 2" xfId="55922"/>
    <cellStyle name="40% - Accent6 2 3 55 3" xfId="42418"/>
    <cellStyle name="40% - Accent6 2 3 56" xfId="15692"/>
    <cellStyle name="40% - Accent6 2 3 56 2" xfId="42700"/>
    <cellStyle name="40% - Accent6 2 3 57" xfId="29196"/>
    <cellStyle name="40% - Accent6 2 3 6" xfId="8492"/>
    <cellStyle name="40% - Accent6 2 3 6 2" xfId="22716"/>
    <cellStyle name="40% - Accent6 2 3 6 2 2" xfId="49724"/>
    <cellStyle name="40% - Accent6 2 3 6 3" xfId="36220"/>
    <cellStyle name="40% - Accent6 2 3 7" xfId="8634"/>
    <cellStyle name="40% - Accent6 2 3 7 2" xfId="22844"/>
    <cellStyle name="40% - Accent6 2 3 7 2 2" xfId="49852"/>
    <cellStyle name="40% - Accent6 2 3 7 3" xfId="36348"/>
    <cellStyle name="40% - Accent6 2 3 8" xfId="8776"/>
    <cellStyle name="40% - Accent6 2 3 8 2" xfId="22972"/>
    <cellStyle name="40% - Accent6 2 3 8 2 2" xfId="49980"/>
    <cellStyle name="40% - Accent6 2 3 8 3" xfId="36476"/>
    <cellStyle name="40% - Accent6 2 3 9" xfId="8918"/>
    <cellStyle name="40% - Accent6 2 3 9 2" xfId="23100"/>
    <cellStyle name="40% - Accent6 2 3 9 2 2" xfId="50108"/>
    <cellStyle name="40% - Accent6 2 3 9 3" xfId="36604"/>
    <cellStyle name="40% - Accent6 2 30" xfId="3211"/>
    <cellStyle name="40% - Accent6 2 30 2" xfId="18115"/>
    <cellStyle name="40% - Accent6 2 30 2 2" xfId="45123"/>
    <cellStyle name="40% - Accent6 2 30 3" xfId="31619"/>
    <cellStyle name="40% - Accent6 2 31" xfId="3317"/>
    <cellStyle name="40% - Accent6 2 31 2" xfId="18207"/>
    <cellStyle name="40% - Accent6 2 31 2 2" xfId="45215"/>
    <cellStyle name="40% - Accent6 2 31 3" xfId="31711"/>
    <cellStyle name="40% - Accent6 2 32" xfId="3423"/>
    <cellStyle name="40% - Accent6 2 32 2" xfId="18299"/>
    <cellStyle name="40% - Accent6 2 32 2 2" xfId="45307"/>
    <cellStyle name="40% - Accent6 2 32 3" xfId="31803"/>
    <cellStyle name="40% - Accent6 2 33" xfId="3529"/>
    <cellStyle name="40% - Accent6 2 33 2" xfId="18391"/>
    <cellStyle name="40% - Accent6 2 33 2 2" xfId="45399"/>
    <cellStyle name="40% - Accent6 2 33 3" xfId="31895"/>
    <cellStyle name="40% - Accent6 2 34" xfId="3635"/>
    <cellStyle name="40% - Accent6 2 34 2" xfId="18483"/>
    <cellStyle name="40% - Accent6 2 34 2 2" xfId="45491"/>
    <cellStyle name="40% - Accent6 2 34 3" xfId="31987"/>
    <cellStyle name="40% - Accent6 2 35" xfId="3741"/>
    <cellStyle name="40% - Accent6 2 35 2" xfId="18575"/>
    <cellStyle name="40% - Accent6 2 35 2 2" xfId="45583"/>
    <cellStyle name="40% - Accent6 2 35 3" xfId="32079"/>
    <cellStyle name="40% - Accent6 2 36" xfId="3847"/>
    <cellStyle name="40% - Accent6 2 36 2" xfId="18667"/>
    <cellStyle name="40% - Accent6 2 36 2 2" xfId="45675"/>
    <cellStyle name="40% - Accent6 2 36 3" xfId="32171"/>
    <cellStyle name="40% - Accent6 2 37" xfId="3953"/>
    <cellStyle name="40% - Accent6 2 37 2" xfId="18759"/>
    <cellStyle name="40% - Accent6 2 37 2 2" xfId="45767"/>
    <cellStyle name="40% - Accent6 2 37 3" xfId="32263"/>
    <cellStyle name="40% - Accent6 2 38" xfId="4059"/>
    <cellStyle name="40% - Accent6 2 38 2" xfId="18851"/>
    <cellStyle name="40% - Accent6 2 38 2 2" xfId="45859"/>
    <cellStyle name="40% - Accent6 2 38 3" xfId="32355"/>
    <cellStyle name="40% - Accent6 2 39" xfId="4165"/>
    <cellStyle name="40% - Accent6 2 39 2" xfId="18943"/>
    <cellStyle name="40% - Accent6 2 39 2 2" xfId="45951"/>
    <cellStyle name="40% - Accent6 2 39 3" xfId="32447"/>
    <cellStyle name="40% - Accent6 2 4" xfId="429"/>
    <cellStyle name="40% - Accent6 2 4 2" xfId="15697"/>
    <cellStyle name="40% - Accent6 2 4 2 2" xfId="42705"/>
    <cellStyle name="40% - Accent6 2 4 3" xfId="29201"/>
    <cellStyle name="40% - Accent6 2 40" xfId="4271"/>
    <cellStyle name="40% - Accent6 2 40 2" xfId="19035"/>
    <cellStyle name="40% - Accent6 2 40 2 2" xfId="46043"/>
    <cellStyle name="40% - Accent6 2 40 3" xfId="32539"/>
    <cellStyle name="40% - Accent6 2 41" xfId="4377"/>
    <cellStyle name="40% - Accent6 2 41 2" xfId="19127"/>
    <cellStyle name="40% - Accent6 2 41 2 2" xfId="46135"/>
    <cellStyle name="40% - Accent6 2 41 3" xfId="32631"/>
    <cellStyle name="40% - Accent6 2 42" xfId="4483"/>
    <cellStyle name="40% - Accent6 2 42 2" xfId="19219"/>
    <cellStyle name="40% - Accent6 2 42 2 2" xfId="46227"/>
    <cellStyle name="40% - Accent6 2 42 3" xfId="32723"/>
    <cellStyle name="40% - Accent6 2 43" xfId="4589"/>
    <cellStyle name="40% - Accent6 2 43 2" xfId="19311"/>
    <cellStyle name="40% - Accent6 2 43 2 2" xfId="46319"/>
    <cellStyle name="40% - Accent6 2 43 3" xfId="32815"/>
    <cellStyle name="40% - Accent6 2 44" xfId="4695"/>
    <cellStyle name="40% - Accent6 2 44 2" xfId="19403"/>
    <cellStyle name="40% - Accent6 2 44 2 2" xfId="46411"/>
    <cellStyle name="40% - Accent6 2 44 3" xfId="32907"/>
    <cellStyle name="40% - Accent6 2 45" xfId="4801"/>
    <cellStyle name="40% - Accent6 2 45 2" xfId="19495"/>
    <cellStyle name="40% - Accent6 2 45 2 2" xfId="46503"/>
    <cellStyle name="40% - Accent6 2 45 3" xfId="32999"/>
    <cellStyle name="40% - Accent6 2 46" xfId="4907"/>
    <cellStyle name="40% - Accent6 2 46 2" xfId="19587"/>
    <cellStyle name="40% - Accent6 2 46 2 2" xfId="46595"/>
    <cellStyle name="40% - Accent6 2 46 3" xfId="33091"/>
    <cellStyle name="40% - Accent6 2 47" xfId="5013"/>
    <cellStyle name="40% - Accent6 2 47 2" xfId="19679"/>
    <cellStyle name="40% - Accent6 2 47 2 2" xfId="46687"/>
    <cellStyle name="40% - Accent6 2 47 3" xfId="33183"/>
    <cellStyle name="40% - Accent6 2 48" xfId="5119"/>
    <cellStyle name="40% - Accent6 2 48 2" xfId="19771"/>
    <cellStyle name="40% - Accent6 2 48 2 2" xfId="46779"/>
    <cellStyle name="40% - Accent6 2 48 3" xfId="33275"/>
    <cellStyle name="40% - Accent6 2 49" xfId="5225"/>
    <cellStyle name="40% - Accent6 2 49 2" xfId="19863"/>
    <cellStyle name="40% - Accent6 2 49 2 2" xfId="46871"/>
    <cellStyle name="40% - Accent6 2 49 3" xfId="33367"/>
    <cellStyle name="40% - Accent6 2 5" xfId="562"/>
    <cellStyle name="40% - Accent6 2 5 2" xfId="15816"/>
    <cellStyle name="40% - Accent6 2 5 2 2" xfId="42824"/>
    <cellStyle name="40% - Accent6 2 5 3" xfId="29320"/>
    <cellStyle name="40% - Accent6 2 50" xfId="5331"/>
    <cellStyle name="40% - Accent6 2 50 2" xfId="19955"/>
    <cellStyle name="40% - Accent6 2 50 2 2" xfId="46963"/>
    <cellStyle name="40% - Accent6 2 50 3" xfId="33459"/>
    <cellStyle name="40% - Accent6 2 51" xfId="5437"/>
    <cellStyle name="40% - Accent6 2 51 2" xfId="20047"/>
    <cellStyle name="40% - Accent6 2 51 2 2" xfId="47055"/>
    <cellStyle name="40% - Accent6 2 51 3" xfId="33551"/>
    <cellStyle name="40% - Accent6 2 52" xfId="5543"/>
    <cellStyle name="40% - Accent6 2 52 2" xfId="20139"/>
    <cellStyle name="40% - Accent6 2 52 2 2" xfId="47147"/>
    <cellStyle name="40% - Accent6 2 52 3" xfId="33643"/>
    <cellStyle name="40% - Accent6 2 53" xfId="5649"/>
    <cellStyle name="40% - Accent6 2 53 2" xfId="20231"/>
    <cellStyle name="40% - Accent6 2 53 2 2" xfId="47239"/>
    <cellStyle name="40% - Accent6 2 53 3" xfId="33735"/>
    <cellStyle name="40% - Accent6 2 54" xfId="5755"/>
    <cellStyle name="40% - Accent6 2 54 2" xfId="20323"/>
    <cellStyle name="40% - Accent6 2 54 2 2" xfId="47331"/>
    <cellStyle name="40% - Accent6 2 54 3" xfId="33827"/>
    <cellStyle name="40% - Accent6 2 55" xfId="5861"/>
    <cellStyle name="40% - Accent6 2 55 2" xfId="20415"/>
    <cellStyle name="40% - Accent6 2 55 2 2" xfId="47423"/>
    <cellStyle name="40% - Accent6 2 55 3" xfId="33919"/>
    <cellStyle name="40% - Accent6 2 56" xfId="5967"/>
    <cellStyle name="40% - Accent6 2 56 2" xfId="20507"/>
    <cellStyle name="40% - Accent6 2 56 2 2" xfId="47515"/>
    <cellStyle name="40% - Accent6 2 56 3" xfId="34011"/>
    <cellStyle name="40% - Accent6 2 57" xfId="6073"/>
    <cellStyle name="40% - Accent6 2 57 2" xfId="20599"/>
    <cellStyle name="40% - Accent6 2 57 2 2" xfId="47607"/>
    <cellStyle name="40% - Accent6 2 57 3" xfId="34103"/>
    <cellStyle name="40% - Accent6 2 58" xfId="6179"/>
    <cellStyle name="40% - Accent6 2 58 2" xfId="20691"/>
    <cellStyle name="40% - Accent6 2 58 2 2" xfId="47699"/>
    <cellStyle name="40% - Accent6 2 58 3" xfId="34195"/>
    <cellStyle name="40% - Accent6 2 59" xfId="6285"/>
    <cellStyle name="40% - Accent6 2 59 2" xfId="20783"/>
    <cellStyle name="40% - Accent6 2 59 2 2" xfId="47791"/>
    <cellStyle name="40% - Accent6 2 59 3" xfId="34287"/>
    <cellStyle name="40% - Accent6 2 6" xfId="667"/>
    <cellStyle name="40% - Accent6 2 6 2" xfId="15907"/>
    <cellStyle name="40% - Accent6 2 6 2 2" xfId="42915"/>
    <cellStyle name="40% - Accent6 2 6 3" xfId="29411"/>
    <cellStyle name="40% - Accent6 2 60" xfId="6391"/>
    <cellStyle name="40% - Accent6 2 60 2" xfId="20875"/>
    <cellStyle name="40% - Accent6 2 60 2 2" xfId="47883"/>
    <cellStyle name="40% - Accent6 2 60 3" xfId="34379"/>
    <cellStyle name="40% - Accent6 2 61" xfId="6497"/>
    <cellStyle name="40% - Accent6 2 61 2" xfId="20967"/>
    <cellStyle name="40% - Accent6 2 61 2 2" xfId="47975"/>
    <cellStyle name="40% - Accent6 2 61 3" xfId="34471"/>
    <cellStyle name="40% - Accent6 2 62" xfId="6602"/>
    <cellStyle name="40% - Accent6 2 62 2" xfId="21058"/>
    <cellStyle name="40% - Accent6 2 62 2 2" xfId="48066"/>
    <cellStyle name="40% - Accent6 2 62 3" xfId="34562"/>
    <cellStyle name="40% - Accent6 2 63" xfId="6707"/>
    <cellStyle name="40% - Accent6 2 63 2" xfId="21149"/>
    <cellStyle name="40% - Accent6 2 63 2 2" xfId="48157"/>
    <cellStyle name="40% - Accent6 2 63 3" xfId="34653"/>
    <cellStyle name="40% - Accent6 2 64" xfId="6812"/>
    <cellStyle name="40% - Accent6 2 64 2" xfId="21240"/>
    <cellStyle name="40% - Accent6 2 64 2 2" xfId="48248"/>
    <cellStyle name="40% - Accent6 2 64 3" xfId="34744"/>
    <cellStyle name="40% - Accent6 2 65" xfId="6917"/>
    <cellStyle name="40% - Accent6 2 65 2" xfId="21331"/>
    <cellStyle name="40% - Accent6 2 65 2 2" xfId="48339"/>
    <cellStyle name="40% - Accent6 2 65 3" xfId="34835"/>
    <cellStyle name="40% - Accent6 2 66" xfId="7022"/>
    <cellStyle name="40% - Accent6 2 66 2" xfId="21422"/>
    <cellStyle name="40% - Accent6 2 66 2 2" xfId="48430"/>
    <cellStyle name="40% - Accent6 2 66 3" xfId="34926"/>
    <cellStyle name="40% - Accent6 2 67" xfId="7126"/>
    <cellStyle name="40% - Accent6 2 67 2" xfId="21512"/>
    <cellStyle name="40% - Accent6 2 67 2 2" xfId="48520"/>
    <cellStyle name="40% - Accent6 2 67 3" xfId="35016"/>
    <cellStyle name="40% - Accent6 2 68" xfId="7230"/>
    <cellStyle name="40% - Accent6 2 68 2" xfId="21602"/>
    <cellStyle name="40% - Accent6 2 68 2 2" xfId="48610"/>
    <cellStyle name="40% - Accent6 2 68 3" xfId="35106"/>
    <cellStyle name="40% - Accent6 2 69" xfId="7332"/>
    <cellStyle name="40% - Accent6 2 69 2" xfId="21690"/>
    <cellStyle name="40% - Accent6 2 69 2 2" xfId="48698"/>
    <cellStyle name="40% - Accent6 2 69 3" xfId="35194"/>
    <cellStyle name="40% - Accent6 2 7" xfId="773"/>
    <cellStyle name="40% - Accent6 2 7 2" xfId="15999"/>
    <cellStyle name="40% - Accent6 2 7 2 2" xfId="43007"/>
    <cellStyle name="40% - Accent6 2 7 3" xfId="29503"/>
    <cellStyle name="40% - Accent6 2 70" xfId="7431"/>
    <cellStyle name="40% - Accent6 2 70 2" xfId="21776"/>
    <cellStyle name="40% - Accent6 2 70 2 2" xfId="48784"/>
    <cellStyle name="40% - Accent6 2 70 3" xfId="35280"/>
    <cellStyle name="40% - Accent6 2 71" xfId="7528"/>
    <cellStyle name="40% - Accent6 2 71 2" xfId="21860"/>
    <cellStyle name="40% - Accent6 2 71 2 2" xfId="48868"/>
    <cellStyle name="40% - Accent6 2 71 3" xfId="35364"/>
    <cellStyle name="40% - Accent6 2 72" xfId="7617"/>
    <cellStyle name="40% - Accent6 2 72 2" xfId="21938"/>
    <cellStyle name="40% - Accent6 2 72 2 2" xfId="48946"/>
    <cellStyle name="40% - Accent6 2 72 3" xfId="35442"/>
    <cellStyle name="40% - Accent6 2 73" xfId="7740"/>
    <cellStyle name="40% - Accent6 2 73 2" xfId="22042"/>
    <cellStyle name="40% - Accent6 2 73 2 2" xfId="49050"/>
    <cellStyle name="40% - Accent6 2 73 3" xfId="35546"/>
    <cellStyle name="40% - Accent6 2 74" xfId="7876"/>
    <cellStyle name="40% - Accent6 2 74 2" xfId="22164"/>
    <cellStyle name="40% - Accent6 2 74 2 2" xfId="49172"/>
    <cellStyle name="40% - Accent6 2 74 3" xfId="35668"/>
    <cellStyle name="40% - Accent6 2 75" xfId="8018"/>
    <cellStyle name="40% - Accent6 2 75 2" xfId="22292"/>
    <cellStyle name="40% - Accent6 2 75 2 2" xfId="49300"/>
    <cellStyle name="40% - Accent6 2 75 3" xfId="35796"/>
    <cellStyle name="40% - Accent6 2 76" xfId="8160"/>
    <cellStyle name="40% - Accent6 2 76 2" xfId="22420"/>
    <cellStyle name="40% - Accent6 2 76 2 2" xfId="49428"/>
    <cellStyle name="40% - Accent6 2 76 3" xfId="35924"/>
    <cellStyle name="40% - Accent6 2 77" xfId="8302"/>
    <cellStyle name="40% - Accent6 2 77 2" xfId="22548"/>
    <cellStyle name="40% - Accent6 2 77 2 2" xfId="49556"/>
    <cellStyle name="40% - Accent6 2 77 3" xfId="36052"/>
    <cellStyle name="40% - Accent6 2 78" xfId="8444"/>
    <cellStyle name="40% - Accent6 2 78 2" xfId="22676"/>
    <cellStyle name="40% - Accent6 2 78 2 2" xfId="49684"/>
    <cellStyle name="40% - Accent6 2 78 3" xfId="36180"/>
    <cellStyle name="40% - Accent6 2 79" xfId="8586"/>
    <cellStyle name="40% - Accent6 2 79 2" xfId="22804"/>
    <cellStyle name="40% - Accent6 2 79 2 2" xfId="49812"/>
    <cellStyle name="40% - Accent6 2 79 3" xfId="36308"/>
    <cellStyle name="40% - Accent6 2 8" xfId="879"/>
    <cellStyle name="40% - Accent6 2 8 2" xfId="16091"/>
    <cellStyle name="40% - Accent6 2 8 2 2" xfId="43099"/>
    <cellStyle name="40% - Accent6 2 8 3" xfId="29595"/>
    <cellStyle name="40% - Accent6 2 80" xfId="8728"/>
    <cellStyle name="40% - Accent6 2 80 2" xfId="22932"/>
    <cellStyle name="40% - Accent6 2 80 2 2" xfId="49940"/>
    <cellStyle name="40% - Accent6 2 80 3" xfId="36436"/>
    <cellStyle name="40% - Accent6 2 81" xfId="8870"/>
    <cellStyle name="40% - Accent6 2 81 2" xfId="23060"/>
    <cellStyle name="40% - Accent6 2 81 2 2" xfId="50068"/>
    <cellStyle name="40% - Accent6 2 81 3" xfId="36564"/>
    <cellStyle name="40% - Accent6 2 82" xfId="9012"/>
    <cellStyle name="40% - Accent6 2 82 2" xfId="23188"/>
    <cellStyle name="40% - Accent6 2 82 2 2" xfId="50196"/>
    <cellStyle name="40% - Accent6 2 82 3" xfId="36692"/>
    <cellStyle name="40% - Accent6 2 83" xfId="9154"/>
    <cellStyle name="40% - Accent6 2 83 2" xfId="23316"/>
    <cellStyle name="40% - Accent6 2 83 2 2" xfId="50324"/>
    <cellStyle name="40% - Accent6 2 83 3" xfId="36820"/>
    <cellStyle name="40% - Accent6 2 84" xfId="9296"/>
    <cellStyle name="40% - Accent6 2 84 2" xfId="23444"/>
    <cellStyle name="40% - Accent6 2 84 2 2" xfId="50452"/>
    <cellStyle name="40% - Accent6 2 84 3" xfId="36948"/>
    <cellStyle name="40% - Accent6 2 85" xfId="9438"/>
    <cellStyle name="40% - Accent6 2 85 2" xfId="23572"/>
    <cellStyle name="40% - Accent6 2 85 2 2" xfId="50580"/>
    <cellStyle name="40% - Accent6 2 85 3" xfId="37076"/>
    <cellStyle name="40% - Accent6 2 86" xfId="9580"/>
    <cellStyle name="40% - Accent6 2 86 2" xfId="23700"/>
    <cellStyle name="40% - Accent6 2 86 2 2" xfId="50708"/>
    <cellStyle name="40% - Accent6 2 86 3" xfId="37204"/>
    <cellStyle name="40% - Accent6 2 87" xfId="9722"/>
    <cellStyle name="40% - Accent6 2 87 2" xfId="23828"/>
    <cellStyle name="40% - Accent6 2 87 2 2" xfId="50836"/>
    <cellStyle name="40% - Accent6 2 87 3" xfId="37332"/>
    <cellStyle name="40% - Accent6 2 88" xfId="9864"/>
    <cellStyle name="40% - Accent6 2 88 2" xfId="23956"/>
    <cellStyle name="40% - Accent6 2 88 2 2" xfId="50964"/>
    <cellStyle name="40% - Accent6 2 88 3" xfId="37460"/>
    <cellStyle name="40% - Accent6 2 89" xfId="10006"/>
    <cellStyle name="40% - Accent6 2 89 2" xfId="24084"/>
    <cellStyle name="40% - Accent6 2 89 2 2" xfId="51092"/>
    <cellStyle name="40% - Accent6 2 89 3" xfId="37588"/>
    <cellStyle name="40% - Accent6 2 9" xfId="985"/>
    <cellStyle name="40% - Accent6 2 9 2" xfId="16183"/>
    <cellStyle name="40% - Accent6 2 9 2 2" xfId="43191"/>
    <cellStyle name="40% - Accent6 2 9 3" xfId="29687"/>
    <cellStyle name="40% - Accent6 2 90" xfId="10148"/>
    <cellStyle name="40% - Accent6 2 90 2" xfId="24212"/>
    <cellStyle name="40% - Accent6 2 90 2 2" xfId="51220"/>
    <cellStyle name="40% - Accent6 2 90 3" xfId="37716"/>
    <cellStyle name="40% - Accent6 2 91" xfId="10290"/>
    <cellStyle name="40% - Accent6 2 91 2" xfId="24340"/>
    <cellStyle name="40% - Accent6 2 91 2 2" xfId="51348"/>
    <cellStyle name="40% - Accent6 2 91 3" xfId="37844"/>
    <cellStyle name="40% - Accent6 2 92" xfId="10432"/>
    <cellStyle name="40% - Accent6 2 92 2" xfId="24468"/>
    <cellStyle name="40% - Accent6 2 92 2 2" xfId="51476"/>
    <cellStyle name="40% - Accent6 2 92 3" xfId="37972"/>
    <cellStyle name="40% - Accent6 2 93" xfId="10574"/>
    <cellStyle name="40% - Accent6 2 93 2" xfId="24596"/>
    <cellStyle name="40% - Accent6 2 93 2 2" xfId="51604"/>
    <cellStyle name="40% - Accent6 2 93 3" xfId="38100"/>
    <cellStyle name="40% - Accent6 2 94" xfId="10716"/>
    <cellStyle name="40% - Accent6 2 94 2" xfId="24724"/>
    <cellStyle name="40% - Accent6 2 94 2 2" xfId="51732"/>
    <cellStyle name="40% - Accent6 2 94 3" xfId="38228"/>
    <cellStyle name="40% - Accent6 2 95" xfId="10858"/>
    <cellStyle name="40% - Accent6 2 95 2" xfId="24852"/>
    <cellStyle name="40% - Accent6 2 95 2 2" xfId="51860"/>
    <cellStyle name="40% - Accent6 2 95 3" xfId="38356"/>
    <cellStyle name="40% - Accent6 2 96" xfId="11000"/>
    <cellStyle name="40% - Accent6 2 96 2" xfId="24980"/>
    <cellStyle name="40% - Accent6 2 96 2 2" xfId="51988"/>
    <cellStyle name="40% - Accent6 2 96 3" xfId="38484"/>
    <cellStyle name="40% - Accent6 2 97" xfId="11142"/>
    <cellStyle name="40% - Accent6 2 97 2" xfId="25108"/>
    <cellStyle name="40% - Accent6 2 97 2 2" xfId="52116"/>
    <cellStyle name="40% - Accent6 2 97 3" xfId="38612"/>
    <cellStyle name="40% - Accent6 2 98" xfId="11284"/>
    <cellStyle name="40% - Accent6 2 98 2" xfId="25236"/>
    <cellStyle name="40% - Accent6 2 98 2 2" xfId="52244"/>
    <cellStyle name="40% - Accent6 2 98 3" xfId="38740"/>
    <cellStyle name="40% - Accent6 2 99" xfId="11426"/>
    <cellStyle name="40% - Accent6 2 99 2" xfId="25364"/>
    <cellStyle name="40% - Accent6 2 99 2 2" xfId="52372"/>
    <cellStyle name="40% - Accent6 2 99 3" xfId="38868"/>
    <cellStyle name="40% - Accent6 3" xfId="124"/>
    <cellStyle name="40% - Accent6 3 10" xfId="1118"/>
    <cellStyle name="40% - Accent6 3 10 2" xfId="16294"/>
    <cellStyle name="40% - Accent6 3 10 2 2" xfId="43302"/>
    <cellStyle name="40% - Accent6 3 10 3" xfId="29798"/>
    <cellStyle name="40% - Accent6 3 100" xfId="11778"/>
    <cellStyle name="40% - Accent6 3 100 2" xfId="25676"/>
    <cellStyle name="40% - Accent6 3 100 2 2" xfId="52684"/>
    <cellStyle name="40% - Accent6 3 100 3" xfId="39180"/>
    <cellStyle name="40% - Accent6 3 101" xfId="11920"/>
    <cellStyle name="40% - Accent6 3 101 2" xfId="25804"/>
    <cellStyle name="40% - Accent6 3 101 2 2" xfId="52812"/>
    <cellStyle name="40% - Accent6 3 101 3" xfId="39308"/>
    <cellStyle name="40% - Accent6 3 102" xfId="12062"/>
    <cellStyle name="40% - Accent6 3 102 2" xfId="25932"/>
    <cellStyle name="40% - Accent6 3 102 2 2" xfId="52940"/>
    <cellStyle name="40% - Accent6 3 102 3" xfId="39436"/>
    <cellStyle name="40% - Accent6 3 103" xfId="12204"/>
    <cellStyle name="40% - Accent6 3 103 2" xfId="26060"/>
    <cellStyle name="40% - Accent6 3 103 2 2" xfId="53068"/>
    <cellStyle name="40% - Accent6 3 103 3" xfId="39564"/>
    <cellStyle name="40% - Accent6 3 104" xfId="12346"/>
    <cellStyle name="40% - Accent6 3 104 2" xfId="26188"/>
    <cellStyle name="40% - Accent6 3 104 2 2" xfId="53196"/>
    <cellStyle name="40% - Accent6 3 104 3" xfId="39692"/>
    <cellStyle name="40% - Accent6 3 105" xfId="12488"/>
    <cellStyle name="40% - Accent6 3 105 2" xfId="26316"/>
    <cellStyle name="40% - Accent6 3 105 2 2" xfId="53324"/>
    <cellStyle name="40% - Accent6 3 105 3" xfId="39820"/>
    <cellStyle name="40% - Accent6 3 106" xfId="12630"/>
    <cellStyle name="40% - Accent6 3 106 2" xfId="26444"/>
    <cellStyle name="40% - Accent6 3 106 2 2" xfId="53452"/>
    <cellStyle name="40% - Accent6 3 106 3" xfId="39948"/>
    <cellStyle name="40% - Accent6 3 107" xfId="12772"/>
    <cellStyle name="40% - Accent6 3 107 2" xfId="26572"/>
    <cellStyle name="40% - Accent6 3 107 2 2" xfId="53580"/>
    <cellStyle name="40% - Accent6 3 107 3" xfId="40076"/>
    <cellStyle name="40% - Accent6 3 108" xfId="12914"/>
    <cellStyle name="40% - Accent6 3 108 2" xfId="26700"/>
    <cellStyle name="40% - Accent6 3 108 2 2" xfId="53708"/>
    <cellStyle name="40% - Accent6 3 108 3" xfId="40204"/>
    <cellStyle name="40% - Accent6 3 109" xfId="13056"/>
    <cellStyle name="40% - Accent6 3 109 2" xfId="26828"/>
    <cellStyle name="40% - Accent6 3 109 2 2" xfId="53836"/>
    <cellStyle name="40% - Accent6 3 109 3" xfId="40332"/>
    <cellStyle name="40% - Accent6 3 11" xfId="1224"/>
    <cellStyle name="40% - Accent6 3 11 2" xfId="16386"/>
    <cellStyle name="40% - Accent6 3 11 2 2" xfId="43394"/>
    <cellStyle name="40% - Accent6 3 11 3" xfId="29890"/>
    <cellStyle name="40% - Accent6 3 110" xfId="13198"/>
    <cellStyle name="40% - Accent6 3 110 2" xfId="26956"/>
    <cellStyle name="40% - Accent6 3 110 2 2" xfId="53964"/>
    <cellStyle name="40% - Accent6 3 110 3" xfId="40460"/>
    <cellStyle name="40% - Accent6 3 111" xfId="13340"/>
    <cellStyle name="40% - Accent6 3 111 2" xfId="27084"/>
    <cellStyle name="40% - Accent6 3 111 2 2" xfId="54092"/>
    <cellStyle name="40% - Accent6 3 111 3" xfId="40588"/>
    <cellStyle name="40% - Accent6 3 112" xfId="13482"/>
    <cellStyle name="40% - Accent6 3 112 2" xfId="27212"/>
    <cellStyle name="40% - Accent6 3 112 2 2" xfId="54220"/>
    <cellStyle name="40% - Accent6 3 112 3" xfId="40716"/>
    <cellStyle name="40% - Accent6 3 113" xfId="13624"/>
    <cellStyle name="40% - Accent6 3 113 2" xfId="27340"/>
    <cellStyle name="40% - Accent6 3 113 2 2" xfId="54348"/>
    <cellStyle name="40% - Accent6 3 113 3" xfId="40844"/>
    <cellStyle name="40% - Accent6 3 114" xfId="13766"/>
    <cellStyle name="40% - Accent6 3 114 2" xfId="27468"/>
    <cellStyle name="40% - Accent6 3 114 2 2" xfId="54476"/>
    <cellStyle name="40% - Accent6 3 114 3" xfId="40972"/>
    <cellStyle name="40% - Accent6 3 115" xfId="13907"/>
    <cellStyle name="40% - Accent6 3 115 2" xfId="27595"/>
    <cellStyle name="40% - Accent6 3 115 2 2" xfId="54603"/>
    <cellStyle name="40% - Accent6 3 115 3" xfId="41099"/>
    <cellStyle name="40% - Accent6 3 116" xfId="14048"/>
    <cellStyle name="40% - Accent6 3 116 2" xfId="27722"/>
    <cellStyle name="40% - Accent6 3 116 2 2" xfId="54730"/>
    <cellStyle name="40% - Accent6 3 116 3" xfId="41226"/>
    <cellStyle name="40% - Accent6 3 117" xfId="14189"/>
    <cellStyle name="40% - Accent6 3 117 2" xfId="27849"/>
    <cellStyle name="40% - Accent6 3 117 2 2" xfId="54857"/>
    <cellStyle name="40% - Accent6 3 117 3" xfId="41353"/>
    <cellStyle name="40% - Accent6 3 118" xfId="14330"/>
    <cellStyle name="40% - Accent6 3 118 2" xfId="27976"/>
    <cellStyle name="40% - Accent6 3 118 2 2" xfId="54984"/>
    <cellStyle name="40% - Accent6 3 118 3" xfId="41480"/>
    <cellStyle name="40% - Accent6 3 119" xfId="14470"/>
    <cellStyle name="40% - Accent6 3 119 2" xfId="28102"/>
    <cellStyle name="40% - Accent6 3 119 2 2" xfId="55110"/>
    <cellStyle name="40% - Accent6 3 119 3" xfId="41606"/>
    <cellStyle name="40% - Accent6 3 12" xfId="1330"/>
    <cellStyle name="40% - Accent6 3 12 2" xfId="16478"/>
    <cellStyle name="40% - Accent6 3 12 2 2" xfId="43486"/>
    <cellStyle name="40% - Accent6 3 12 3" xfId="29982"/>
    <cellStyle name="40% - Accent6 3 120" xfId="14610"/>
    <cellStyle name="40% - Accent6 3 120 2" xfId="28228"/>
    <cellStyle name="40% - Accent6 3 120 2 2" xfId="55236"/>
    <cellStyle name="40% - Accent6 3 120 3" xfId="41732"/>
    <cellStyle name="40% - Accent6 3 121" xfId="14749"/>
    <cellStyle name="40% - Accent6 3 121 2" xfId="28353"/>
    <cellStyle name="40% - Accent6 3 121 2 2" xfId="55361"/>
    <cellStyle name="40% - Accent6 3 121 3" xfId="41857"/>
    <cellStyle name="40% - Accent6 3 122" xfId="14884"/>
    <cellStyle name="40% - Accent6 3 122 2" xfId="28475"/>
    <cellStyle name="40% - Accent6 3 122 2 2" xfId="55483"/>
    <cellStyle name="40% - Accent6 3 122 3" xfId="41979"/>
    <cellStyle name="40% - Accent6 3 123" xfId="15018"/>
    <cellStyle name="40% - Accent6 3 123 2" xfId="28596"/>
    <cellStyle name="40% - Accent6 3 123 2 2" xfId="55604"/>
    <cellStyle name="40% - Accent6 3 123 3" xfId="42100"/>
    <cellStyle name="40% - Accent6 3 124" xfId="15146"/>
    <cellStyle name="40% - Accent6 3 124 2" xfId="28713"/>
    <cellStyle name="40% - Accent6 3 124 2 2" xfId="55721"/>
    <cellStyle name="40% - Accent6 3 124 3" xfId="42217"/>
    <cellStyle name="40% - Accent6 3 125" xfId="15267"/>
    <cellStyle name="40% - Accent6 3 125 2" xfId="28827"/>
    <cellStyle name="40% - Accent6 3 125 2 2" xfId="55835"/>
    <cellStyle name="40% - Accent6 3 125 3" xfId="42331"/>
    <cellStyle name="40% - Accent6 3 126" xfId="15482"/>
    <cellStyle name="40% - Accent6 3 126 2" xfId="42490"/>
    <cellStyle name="40% - Accent6 3 127" xfId="28986"/>
    <cellStyle name="40% - Accent6 3 13" xfId="1436"/>
    <cellStyle name="40% - Accent6 3 13 2" xfId="16570"/>
    <cellStyle name="40% - Accent6 3 13 2 2" xfId="43578"/>
    <cellStyle name="40% - Accent6 3 13 3" xfId="30074"/>
    <cellStyle name="40% - Accent6 3 14" xfId="1542"/>
    <cellStyle name="40% - Accent6 3 14 2" xfId="16662"/>
    <cellStyle name="40% - Accent6 3 14 2 2" xfId="43670"/>
    <cellStyle name="40% - Accent6 3 14 3" xfId="30166"/>
    <cellStyle name="40% - Accent6 3 15" xfId="1648"/>
    <cellStyle name="40% - Accent6 3 15 2" xfId="16754"/>
    <cellStyle name="40% - Accent6 3 15 2 2" xfId="43762"/>
    <cellStyle name="40% - Accent6 3 15 3" xfId="30258"/>
    <cellStyle name="40% - Accent6 3 16" xfId="1754"/>
    <cellStyle name="40% - Accent6 3 16 2" xfId="16846"/>
    <cellStyle name="40% - Accent6 3 16 2 2" xfId="43854"/>
    <cellStyle name="40% - Accent6 3 16 3" xfId="30350"/>
    <cellStyle name="40% - Accent6 3 17" xfId="1860"/>
    <cellStyle name="40% - Accent6 3 17 2" xfId="16938"/>
    <cellStyle name="40% - Accent6 3 17 2 2" xfId="43946"/>
    <cellStyle name="40% - Accent6 3 17 3" xfId="30442"/>
    <cellStyle name="40% - Accent6 3 18" xfId="1966"/>
    <cellStyle name="40% - Accent6 3 18 2" xfId="17030"/>
    <cellStyle name="40% - Accent6 3 18 2 2" xfId="44038"/>
    <cellStyle name="40% - Accent6 3 18 3" xfId="30534"/>
    <cellStyle name="40% - Accent6 3 19" xfId="2072"/>
    <cellStyle name="40% - Accent6 3 19 2" xfId="17122"/>
    <cellStyle name="40% - Accent6 3 19 2 2" xfId="44130"/>
    <cellStyle name="40% - Accent6 3 19 3" xfId="30626"/>
    <cellStyle name="40% - Accent6 3 2" xfId="301"/>
    <cellStyle name="40% - Accent6 3 2 2" xfId="15603"/>
    <cellStyle name="40% - Accent6 3 2 2 2" xfId="42611"/>
    <cellStyle name="40% - Accent6 3 2 3" xfId="29107"/>
    <cellStyle name="40% - Accent6 3 20" xfId="2178"/>
    <cellStyle name="40% - Accent6 3 20 2" xfId="17214"/>
    <cellStyle name="40% - Accent6 3 20 2 2" xfId="44222"/>
    <cellStyle name="40% - Accent6 3 20 3" xfId="30718"/>
    <cellStyle name="40% - Accent6 3 21" xfId="2284"/>
    <cellStyle name="40% - Accent6 3 21 2" xfId="17306"/>
    <cellStyle name="40% - Accent6 3 21 2 2" xfId="44314"/>
    <cellStyle name="40% - Accent6 3 21 3" xfId="30810"/>
    <cellStyle name="40% - Accent6 3 22" xfId="2390"/>
    <cellStyle name="40% - Accent6 3 22 2" xfId="17398"/>
    <cellStyle name="40% - Accent6 3 22 2 2" xfId="44406"/>
    <cellStyle name="40% - Accent6 3 22 3" xfId="30902"/>
    <cellStyle name="40% - Accent6 3 23" xfId="2496"/>
    <cellStyle name="40% - Accent6 3 23 2" xfId="17490"/>
    <cellStyle name="40% - Accent6 3 23 2 2" xfId="44498"/>
    <cellStyle name="40% - Accent6 3 23 3" xfId="30994"/>
    <cellStyle name="40% - Accent6 3 24" xfId="2602"/>
    <cellStyle name="40% - Accent6 3 24 2" xfId="17582"/>
    <cellStyle name="40% - Accent6 3 24 2 2" xfId="44590"/>
    <cellStyle name="40% - Accent6 3 24 3" xfId="31086"/>
    <cellStyle name="40% - Accent6 3 25" xfId="2708"/>
    <cellStyle name="40% - Accent6 3 25 2" xfId="17674"/>
    <cellStyle name="40% - Accent6 3 25 2 2" xfId="44682"/>
    <cellStyle name="40% - Accent6 3 25 3" xfId="31178"/>
    <cellStyle name="40% - Accent6 3 26" xfId="2814"/>
    <cellStyle name="40% - Accent6 3 26 2" xfId="17766"/>
    <cellStyle name="40% - Accent6 3 26 2 2" xfId="44774"/>
    <cellStyle name="40% - Accent6 3 26 3" xfId="31270"/>
    <cellStyle name="40% - Accent6 3 27" xfId="2920"/>
    <cellStyle name="40% - Accent6 3 27 2" xfId="17858"/>
    <cellStyle name="40% - Accent6 3 27 2 2" xfId="44866"/>
    <cellStyle name="40% - Accent6 3 27 3" xfId="31362"/>
    <cellStyle name="40% - Accent6 3 28" xfId="3026"/>
    <cellStyle name="40% - Accent6 3 28 2" xfId="17950"/>
    <cellStyle name="40% - Accent6 3 28 2 2" xfId="44958"/>
    <cellStyle name="40% - Accent6 3 28 3" xfId="31454"/>
    <cellStyle name="40% - Accent6 3 29" xfId="3132"/>
    <cellStyle name="40% - Accent6 3 29 2" xfId="18042"/>
    <cellStyle name="40% - Accent6 3 29 2 2" xfId="45050"/>
    <cellStyle name="40% - Accent6 3 29 3" xfId="31546"/>
    <cellStyle name="40% - Accent6 3 3" xfId="489"/>
    <cellStyle name="40% - Accent6 3 3 2" xfId="15745"/>
    <cellStyle name="40% - Accent6 3 3 2 2" xfId="42753"/>
    <cellStyle name="40% - Accent6 3 3 3" xfId="29249"/>
    <cellStyle name="40% - Accent6 3 30" xfId="3238"/>
    <cellStyle name="40% - Accent6 3 30 2" xfId="18134"/>
    <cellStyle name="40% - Accent6 3 30 2 2" xfId="45142"/>
    <cellStyle name="40% - Accent6 3 30 3" xfId="31638"/>
    <cellStyle name="40% - Accent6 3 31" xfId="3344"/>
    <cellStyle name="40% - Accent6 3 31 2" xfId="18226"/>
    <cellStyle name="40% - Accent6 3 31 2 2" xfId="45234"/>
    <cellStyle name="40% - Accent6 3 31 3" xfId="31730"/>
    <cellStyle name="40% - Accent6 3 32" xfId="3450"/>
    <cellStyle name="40% - Accent6 3 32 2" xfId="18318"/>
    <cellStyle name="40% - Accent6 3 32 2 2" xfId="45326"/>
    <cellStyle name="40% - Accent6 3 32 3" xfId="31822"/>
    <cellStyle name="40% - Accent6 3 33" xfId="3556"/>
    <cellStyle name="40% - Accent6 3 33 2" xfId="18410"/>
    <cellStyle name="40% - Accent6 3 33 2 2" xfId="45418"/>
    <cellStyle name="40% - Accent6 3 33 3" xfId="31914"/>
    <cellStyle name="40% - Accent6 3 34" xfId="3662"/>
    <cellStyle name="40% - Accent6 3 34 2" xfId="18502"/>
    <cellStyle name="40% - Accent6 3 34 2 2" xfId="45510"/>
    <cellStyle name="40% - Accent6 3 34 3" xfId="32006"/>
    <cellStyle name="40% - Accent6 3 35" xfId="3768"/>
    <cellStyle name="40% - Accent6 3 35 2" xfId="18594"/>
    <cellStyle name="40% - Accent6 3 35 2 2" xfId="45602"/>
    <cellStyle name="40% - Accent6 3 35 3" xfId="32098"/>
    <cellStyle name="40% - Accent6 3 36" xfId="3874"/>
    <cellStyle name="40% - Accent6 3 36 2" xfId="18686"/>
    <cellStyle name="40% - Accent6 3 36 2 2" xfId="45694"/>
    <cellStyle name="40% - Accent6 3 36 3" xfId="32190"/>
    <cellStyle name="40% - Accent6 3 37" xfId="3980"/>
    <cellStyle name="40% - Accent6 3 37 2" xfId="18778"/>
    <cellStyle name="40% - Accent6 3 37 2 2" xfId="45786"/>
    <cellStyle name="40% - Accent6 3 37 3" xfId="32282"/>
    <cellStyle name="40% - Accent6 3 38" xfId="4086"/>
    <cellStyle name="40% - Accent6 3 38 2" xfId="18870"/>
    <cellStyle name="40% - Accent6 3 38 2 2" xfId="45878"/>
    <cellStyle name="40% - Accent6 3 38 3" xfId="32374"/>
    <cellStyle name="40% - Accent6 3 39" xfId="4192"/>
    <cellStyle name="40% - Accent6 3 39 2" xfId="18962"/>
    <cellStyle name="40% - Accent6 3 39 2 2" xfId="45970"/>
    <cellStyle name="40% - Accent6 3 39 3" xfId="32466"/>
    <cellStyle name="40% - Accent6 3 4" xfId="490"/>
    <cellStyle name="40% - Accent6 3 4 2" xfId="15746"/>
    <cellStyle name="40% - Accent6 3 4 2 2" xfId="42754"/>
    <cellStyle name="40% - Accent6 3 4 3" xfId="29250"/>
    <cellStyle name="40% - Accent6 3 40" xfId="4298"/>
    <cellStyle name="40% - Accent6 3 40 2" xfId="19054"/>
    <cellStyle name="40% - Accent6 3 40 2 2" xfId="46062"/>
    <cellStyle name="40% - Accent6 3 40 3" xfId="32558"/>
    <cellStyle name="40% - Accent6 3 41" xfId="4404"/>
    <cellStyle name="40% - Accent6 3 41 2" xfId="19146"/>
    <cellStyle name="40% - Accent6 3 41 2 2" xfId="46154"/>
    <cellStyle name="40% - Accent6 3 41 3" xfId="32650"/>
    <cellStyle name="40% - Accent6 3 42" xfId="4510"/>
    <cellStyle name="40% - Accent6 3 42 2" xfId="19238"/>
    <cellStyle name="40% - Accent6 3 42 2 2" xfId="46246"/>
    <cellStyle name="40% - Accent6 3 42 3" xfId="32742"/>
    <cellStyle name="40% - Accent6 3 43" xfId="4616"/>
    <cellStyle name="40% - Accent6 3 43 2" xfId="19330"/>
    <cellStyle name="40% - Accent6 3 43 2 2" xfId="46338"/>
    <cellStyle name="40% - Accent6 3 43 3" xfId="32834"/>
    <cellStyle name="40% - Accent6 3 44" xfId="4722"/>
    <cellStyle name="40% - Accent6 3 44 2" xfId="19422"/>
    <cellStyle name="40% - Accent6 3 44 2 2" xfId="46430"/>
    <cellStyle name="40% - Accent6 3 44 3" xfId="32926"/>
    <cellStyle name="40% - Accent6 3 45" xfId="4828"/>
    <cellStyle name="40% - Accent6 3 45 2" xfId="19514"/>
    <cellStyle name="40% - Accent6 3 45 2 2" xfId="46522"/>
    <cellStyle name="40% - Accent6 3 45 3" xfId="33018"/>
    <cellStyle name="40% - Accent6 3 46" xfId="4934"/>
    <cellStyle name="40% - Accent6 3 46 2" xfId="19606"/>
    <cellStyle name="40% - Accent6 3 46 2 2" xfId="46614"/>
    <cellStyle name="40% - Accent6 3 46 3" xfId="33110"/>
    <cellStyle name="40% - Accent6 3 47" xfId="5040"/>
    <cellStyle name="40% - Accent6 3 47 2" xfId="19698"/>
    <cellStyle name="40% - Accent6 3 47 2 2" xfId="46706"/>
    <cellStyle name="40% - Accent6 3 47 3" xfId="33202"/>
    <cellStyle name="40% - Accent6 3 48" xfId="5146"/>
    <cellStyle name="40% - Accent6 3 48 2" xfId="19790"/>
    <cellStyle name="40% - Accent6 3 48 2 2" xfId="46798"/>
    <cellStyle name="40% - Accent6 3 48 3" xfId="33294"/>
    <cellStyle name="40% - Accent6 3 49" xfId="5252"/>
    <cellStyle name="40% - Accent6 3 49 2" xfId="19882"/>
    <cellStyle name="40% - Accent6 3 49 2 2" xfId="46890"/>
    <cellStyle name="40% - Accent6 3 49 3" xfId="33386"/>
    <cellStyle name="40% - Accent6 3 5" xfId="588"/>
    <cellStyle name="40% - Accent6 3 5 2" xfId="15834"/>
    <cellStyle name="40% - Accent6 3 5 2 2" xfId="42842"/>
    <cellStyle name="40% - Accent6 3 5 3" xfId="29338"/>
    <cellStyle name="40% - Accent6 3 50" xfId="5358"/>
    <cellStyle name="40% - Accent6 3 50 2" xfId="19974"/>
    <cellStyle name="40% - Accent6 3 50 2 2" xfId="46982"/>
    <cellStyle name="40% - Accent6 3 50 3" xfId="33478"/>
    <cellStyle name="40% - Accent6 3 51" xfId="5464"/>
    <cellStyle name="40% - Accent6 3 51 2" xfId="20066"/>
    <cellStyle name="40% - Accent6 3 51 2 2" xfId="47074"/>
    <cellStyle name="40% - Accent6 3 51 3" xfId="33570"/>
    <cellStyle name="40% - Accent6 3 52" xfId="5570"/>
    <cellStyle name="40% - Accent6 3 52 2" xfId="20158"/>
    <cellStyle name="40% - Accent6 3 52 2 2" xfId="47166"/>
    <cellStyle name="40% - Accent6 3 52 3" xfId="33662"/>
    <cellStyle name="40% - Accent6 3 53" xfId="5676"/>
    <cellStyle name="40% - Accent6 3 53 2" xfId="20250"/>
    <cellStyle name="40% - Accent6 3 53 2 2" xfId="47258"/>
    <cellStyle name="40% - Accent6 3 53 3" xfId="33754"/>
    <cellStyle name="40% - Accent6 3 54" xfId="5782"/>
    <cellStyle name="40% - Accent6 3 54 2" xfId="20342"/>
    <cellStyle name="40% - Accent6 3 54 2 2" xfId="47350"/>
    <cellStyle name="40% - Accent6 3 54 3" xfId="33846"/>
    <cellStyle name="40% - Accent6 3 55" xfId="5888"/>
    <cellStyle name="40% - Accent6 3 55 2" xfId="20434"/>
    <cellStyle name="40% - Accent6 3 55 2 2" xfId="47442"/>
    <cellStyle name="40% - Accent6 3 55 3" xfId="33938"/>
    <cellStyle name="40% - Accent6 3 56" xfId="5994"/>
    <cellStyle name="40% - Accent6 3 56 2" xfId="20526"/>
    <cellStyle name="40% - Accent6 3 56 2 2" xfId="47534"/>
    <cellStyle name="40% - Accent6 3 56 3" xfId="34030"/>
    <cellStyle name="40% - Accent6 3 57" xfId="6100"/>
    <cellStyle name="40% - Accent6 3 57 2" xfId="20618"/>
    <cellStyle name="40% - Accent6 3 57 2 2" xfId="47626"/>
    <cellStyle name="40% - Accent6 3 57 3" xfId="34122"/>
    <cellStyle name="40% - Accent6 3 58" xfId="6206"/>
    <cellStyle name="40% - Accent6 3 58 2" xfId="20710"/>
    <cellStyle name="40% - Accent6 3 58 2 2" xfId="47718"/>
    <cellStyle name="40% - Accent6 3 58 3" xfId="34214"/>
    <cellStyle name="40% - Accent6 3 59" xfId="6312"/>
    <cellStyle name="40% - Accent6 3 59 2" xfId="20802"/>
    <cellStyle name="40% - Accent6 3 59 2 2" xfId="47810"/>
    <cellStyle name="40% - Accent6 3 59 3" xfId="34306"/>
    <cellStyle name="40% - Accent6 3 6" xfId="694"/>
    <cellStyle name="40% - Accent6 3 6 2" xfId="15926"/>
    <cellStyle name="40% - Accent6 3 6 2 2" xfId="42934"/>
    <cellStyle name="40% - Accent6 3 6 3" xfId="29430"/>
    <cellStyle name="40% - Accent6 3 60" xfId="6418"/>
    <cellStyle name="40% - Accent6 3 60 2" xfId="20894"/>
    <cellStyle name="40% - Accent6 3 60 2 2" xfId="47902"/>
    <cellStyle name="40% - Accent6 3 60 3" xfId="34398"/>
    <cellStyle name="40% - Accent6 3 61" xfId="6524"/>
    <cellStyle name="40% - Accent6 3 61 2" xfId="20986"/>
    <cellStyle name="40% - Accent6 3 61 2 2" xfId="47994"/>
    <cellStyle name="40% - Accent6 3 61 3" xfId="34490"/>
    <cellStyle name="40% - Accent6 3 62" xfId="6629"/>
    <cellStyle name="40% - Accent6 3 62 2" xfId="21077"/>
    <cellStyle name="40% - Accent6 3 62 2 2" xfId="48085"/>
    <cellStyle name="40% - Accent6 3 62 3" xfId="34581"/>
    <cellStyle name="40% - Accent6 3 63" xfId="6734"/>
    <cellStyle name="40% - Accent6 3 63 2" xfId="21168"/>
    <cellStyle name="40% - Accent6 3 63 2 2" xfId="48176"/>
    <cellStyle name="40% - Accent6 3 63 3" xfId="34672"/>
    <cellStyle name="40% - Accent6 3 64" xfId="6839"/>
    <cellStyle name="40% - Accent6 3 64 2" xfId="21259"/>
    <cellStyle name="40% - Accent6 3 64 2 2" xfId="48267"/>
    <cellStyle name="40% - Accent6 3 64 3" xfId="34763"/>
    <cellStyle name="40% - Accent6 3 65" xfId="6944"/>
    <cellStyle name="40% - Accent6 3 65 2" xfId="21350"/>
    <cellStyle name="40% - Accent6 3 65 2 2" xfId="48358"/>
    <cellStyle name="40% - Accent6 3 65 3" xfId="34854"/>
    <cellStyle name="40% - Accent6 3 66" xfId="7048"/>
    <cellStyle name="40% - Accent6 3 66 2" xfId="21440"/>
    <cellStyle name="40% - Accent6 3 66 2 2" xfId="48448"/>
    <cellStyle name="40% - Accent6 3 66 3" xfId="34944"/>
    <cellStyle name="40% - Accent6 3 67" xfId="7152"/>
    <cellStyle name="40% - Accent6 3 67 2" xfId="21530"/>
    <cellStyle name="40% - Accent6 3 67 2 2" xfId="48538"/>
    <cellStyle name="40% - Accent6 3 67 3" xfId="35034"/>
    <cellStyle name="40% - Accent6 3 68" xfId="7255"/>
    <cellStyle name="40% - Accent6 3 68 2" xfId="21619"/>
    <cellStyle name="40% - Accent6 3 68 2 2" xfId="48627"/>
    <cellStyle name="40% - Accent6 3 68 3" xfId="35123"/>
    <cellStyle name="40% - Accent6 3 69" xfId="7355"/>
    <cellStyle name="40% - Accent6 3 69 2" xfId="21706"/>
    <cellStyle name="40% - Accent6 3 69 2 2" xfId="48714"/>
    <cellStyle name="40% - Accent6 3 69 3" xfId="35210"/>
    <cellStyle name="40% - Accent6 3 7" xfId="800"/>
    <cellStyle name="40% - Accent6 3 7 2" xfId="16018"/>
    <cellStyle name="40% - Accent6 3 7 2 2" xfId="43026"/>
    <cellStyle name="40% - Accent6 3 7 3" xfId="29522"/>
    <cellStyle name="40% - Accent6 3 70" xfId="7453"/>
    <cellStyle name="40% - Accent6 3 70 2" xfId="21791"/>
    <cellStyle name="40% - Accent6 3 70 2 2" xfId="48799"/>
    <cellStyle name="40% - Accent6 3 70 3" xfId="35295"/>
    <cellStyle name="40% - Accent6 3 71" xfId="7545"/>
    <cellStyle name="40% - Accent6 3 71 2" xfId="21872"/>
    <cellStyle name="40% - Accent6 3 71 2 2" xfId="48880"/>
    <cellStyle name="40% - Accent6 3 71 3" xfId="35376"/>
    <cellStyle name="40% - Accent6 3 72" xfId="7802"/>
    <cellStyle name="40% - Accent6 3 72 2" xfId="22092"/>
    <cellStyle name="40% - Accent6 3 72 2 2" xfId="49100"/>
    <cellStyle name="40% - Accent6 3 72 3" xfId="35596"/>
    <cellStyle name="40% - Accent6 3 73" xfId="7944"/>
    <cellStyle name="40% - Accent6 3 73 2" xfId="22220"/>
    <cellStyle name="40% - Accent6 3 73 2 2" xfId="49228"/>
    <cellStyle name="40% - Accent6 3 73 3" xfId="35724"/>
    <cellStyle name="40% - Accent6 3 74" xfId="8086"/>
    <cellStyle name="40% - Accent6 3 74 2" xfId="22348"/>
    <cellStyle name="40% - Accent6 3 74 2 2" xfId="49356"/>
    <cellStyle name="40% - Accent6 3 74 3" xfId="35852"/>
    <cellStyle name="40% - Accent6 3 75" xfId="8228"/>
    <cellStyle name="40% - Accent6 3 75 2" xfId="22476"/>
    <cellStyle name="40% - Accent6 3 75 2 2" xfId="49484"/>
    <cellStyle name="40% - Accent6 3 75 3" xfId="35980"/>
    <cellStyle name="40% - Accent6 3 76" xfId="8370"/>
    <cellStyle name="40% - Accent6 3 76 2" xfId="22604"/>
    <cellStyle name="40% - Accent6 3 76 2 2" xfId="49612"/>
    <cellStyle name="40% - Accent6 3 76 3" xfId="36108"/>
    <cellStyle name="40% - Accent6 3 77" xfId="8512"/>
    <cellStyle name="40% - Accent6 3 77 2" xfId="22732"/>
    <cellStyle name="40% - Accent6 3 77 2 2" xfId="49740"/>
    <cellStyle name="40% - Accent6 3 77 3" xfId="36236"/>
    <cellStyle name="40% - Accent6 3 78" xfId="8654"/>
    <cellStyle name="40% - Accent6 3 78 2" xfId="22860"/>
    <cellStyle name="40% - Accent6 3 78 2 2" xfId="49868"/>
    <cellStyle name="40% - Accent6 3 78 3" xfId="36364"/>
    <cellStyle name="40% - Accent6 3 79" xfId="8796"/>
    <cellStyle name="40% - Accent6 3 79 2" xfId="22988"/>
    <cellStyle name="40% - Accent6 3 79 2 2" xfId="49996"/>
    <cellStyle name="40% - Accent6 3 79 3" xfId="36492"/>
    <cellStyle name="40% - Accent6 3 8" xfId="906"/>
    <cellStyle name="40% - Accent6 3 8 2" xfId="16110"/>
    <cellStyle name="40% - Accent6 3 8 2 2" xfId="43118"/>
    <cellStyle name="40% - Accent6 3 8 3" xfId="29614"/>
    <cellStyle name="40% - Accent6 3 80" xfId="8938"/>
    <cellStyle name="40% - Accent6 3 80 2" xfId="23116"/>
    <cellStyle name="40% - Accent6 3 80 2 2" xfId="50124"/>
    <cellStyle name="40% - Accent6 3 80 3" xfId="36620"/>
    <cellStyle name="40% - Accent6 3 81" xfId="9080"/>
    <cellStyle name="40% - Accent6 3 81 2" xfId="23244"/>
    <cellStyle name="40% - Accent6 3 81 2 2" xfId="50252"/>
    <cellStyle name="40% - Accent6 3 81 3" xfId="36748"/>
    <cellStyle name="40% - Accent6 3 82" xfId="9222"/>
    <cellStyle name="40% - Accent6 3 82 2" xfId="23372"/>
    <cellStyle name="40% - Accent6 3 82 2 2" xfId="50380"/>
    <cellStyle name="40% - Accent6 3 82 3" xfId="36876"/>
    <cellStyle name="40% - Accent6 3 83" xfId="9364"/>
    <cellStyle name="40% - Accent6 3 83 2" xfId="23500"/>
    <cellStyle name="40% - Accent6 3 83 2 2" xfId="50508"/>
    <cellStyle name="40% - Accent6 3 83 3" xfId="37004"/>
    <cellStyle name="40% - Accent6 3 84" xfId="9506"/>
    <cellStyle name="40% - Accent6 3 84 2" xfId="23628"/>
    <cellStyle name="40% - Accent6 3 84 2 2" xfId="50636"/>
    <cellStyle name="40% - Accent6 3 84 3" xfId="37132"/>
    <cellStyle name="40% - Accent6 3 85" xfId="9648"/>
    <cellStyle name="40% - Accent6 3 85 2" xfId="23756"/>
    <cellStyle name="40% - Accent6 3 85 2 2" xfId="50764"/>
    <cellStyle name="40% - Accent6 3 85 3" xfId="37260"/>
    <cellStyle name="40% - Accent6 3 86" xfId="9790"/>
    <cellStyle name="40% - Accent6 3 86 2" xfId="23884"/>
    <cellStyle name="40% - Accent6 3 86 2 2" xfId="50892"/>
    <cellStyle name="40% - Accent6 3 86 3" xfId="37388"/>
    <cellStyle name="40% - Accent6 3 87" xfId="9932"/>
    <cellStyle name="40% - Accent6 3 87 2" xfId="24012"/>
    <cellStyle name="40% - Accent6 3 87 2 2" xfId="51020"/>
    <cellStyle name="40% - Accent6 3 87 3" xfId="37516"/>
    <cellStyle name="40% - Accent6 3 88" xfId="10074"/>
    <cellStyle name="40% - Accent6 3 88 2" xfId="24140"/>
    <cellStyle name="40% - Accent6 3 88 2 2" xfId="51148"/>
    <cellStyle name="40% - Accent6 3 88 3" xfId="37644"/>
    <cellStyle name="40% - Accent6 3 89" xfId="10216"/>
    <cellStyle name="40% - Accent6 3 89 2" xfId="24268"/>
    <cellStyle name="40% - Accent6 3 89 2 2" xfId="51276"/>
    <cellStyle name="40% - Accent6 3 89 3" xfId="37772"/>
    <cellStyle name="40% - Accent6 3 9" xfId="1012"/>
    <cellStyle name="40% - Accent6 3 9 2" xfId="16202"/>
    <cellStyle name="40% - Accent6 3 9 2 2" xfId="43210"/>
    <cellStyle name="40% - Accent6 3 9 3" xfId="29706"/>
    <cellStyle name="40% - Accent6 3 90" xfId="10358"/>
    <cellStyle name="40% - Accent6 3 90 2" xfId="24396"/>
    <cellStyle name="40% - Accent6 3 90 2 2" xfId="51404"/>
    <cellStyle name="40% - Accent6 3 90 3" xfId="37900"/>
    <cellStyle name="40% - Accent6 3 91" xfId="10500"/>
    <cellStyle name="40% - Accent6 3 91 2" xfId="24524"/>
    <cellStyle name="40% - Accent6 3 91 2 2" xfId="51532"/>
    <cellStyle name="40% - Accent6 3 91 3" xfId="38028"/>
    <cellStyle name="40% - Accent6 3 92" xfId="10642"/>
    <cellStyle name="40% - Accent6 3 92 2" xfId="24652"/>
    <cellStyle name="40% - Accent6 3 92 2 2" xfId="51660"/>
    <cellStyle name="40% - Accent6 3 92 3" xfId="38156"/>
    <cellStyle name="40% - Accent6 3 93" xfId="10784"/>
    <cellStyle name="40% - Accent6 3 93 2" xfId="24780"/>
    <cellStyle name="40% - Accent6 3 93 2 2" xfId="51788"/>
    <cellStyle name="40% - Accent6 3 93 3" xfId="38284"/>
    <cellStyle name="40% - Accent6 3 94" xfId="10926"/>
    <cellStyle name="40% - Accent6 3 94 2" xfId="24908"/>
    <cellStyle name="40% - Accent6 3 94 2 2" xfId="51916"/>
    <cellStyle name="40% - Accent6 3 94 3" xfId="38412"/>
    <cellStyle name="40% - Accent6 3 95" xfId="11068"/>
    <cellStyle name="40% - Accent6 3 95 2" xfId="25036"/>
    <cellStyle name="40% - Accent6 3 95 2 2" xfId="52044"/>
    <cellStyle name="40% - Accent6 3 95 3" xfId="38540"/>
    <cellStyle name="40% - Accent6 3 96" xfId="11210"/>
    <cellStyle name="40% - Accent6 3 96 2" xfId="25164"/>
    <cellStyle name="40% - Accent6 3 96 2 2" xfId="52172"/>
    <cellStyle name="40% - Accent6 3 96 3" xfId="38668"/>
    <cellStyle name="40% - Accent6 3 97" xfId="11352"/>
    <cellStyle name="40% - Accent6 3 97 2" xfId="25292"/>
    <cellStyle name="40% - Accent6 3 97 2 2" xfId="52300"/>
    <cellStyle name="40% - Accent6 3 97 3" xfId="38796"/>
    <cellStyle name="40% - Accent6 3 98" xfId="11494"/>
    <cellStyle name="40% - Accent6 3 98 2" xfId="25420"/>
    <cellStyle name="40% - Accent6 3 98 2 2" xfId="52428"/>
    <cellStyle name="40% - Accent6 3 98 3" xfId="38924"/>
    <cellStyle name="40% - Accent6 3 99" xfId="11636"/>
    <cellStyle name="40% - Accent6 3 99 2" xfId="25548"/>
    <cellStyle name="40% - Accent6 3 99 2 2" xfId="52556"/>
    <cellStyle name="40% - Accent6 3 99 3" xfId="39052"/>
    <cellStyle name="40% - Accent6 4" xfId="407"/>
    <cellStyle name="40% - Accent6 4 10" xfId="9044"/>
    <cellStyle name="40% - Accent6 4 10 2" xfId="23213"/>
    <cellStyle name="40% - Accent6 4 10 2 2" xfId="50221"/>
    <cellStyle name="40% - Accent6 4 10 3" xfId="36717"/>
    <cellStyle name="40% - Accent6 4 11" xfId="9186"/>
    <cellStyle name="40% - Accent6 4 11 2" xfId="23341"/>
    <cellStyle name="40% - Accent6 4 11 2 2" xfId="50349"/>
    <cellStyle name="40% - Accent6 4 11 3" xfId="36845"/>
    <cellStyle name="40% - Accent6 4 12" xfId="9328"/>
    <cellStyle name="40% - Accent6 4 12 2" xfId="23469"/>
    <cellStyle name="40% - Accent6 4 12 2 2" xfId="50477"/>
    <cellStyle name="40% - Accent6 4 12 3" xfId="36973"/>
    <cellStyle name="40% - Accent6 4 13" xfId="9470"/>
    <cellStyle name="40% - Accent6 4 13 2" xfId="23597"/>
    <cellStyle name="40% - Accent6 4 13 2 2" xfId="50605"/>
    <cellStyle name="40% - Accent6 4 13 3" xfId="37101"/>
    <cellStyle name="40% - Accent6 4 14" xfId="9612"/>
    <cellStyle name="40% - Accent6 4 14 2" xfId="23725"/>
    <cellStyle name="40% - Accent6 4 14 2 2" xfId="50733"/>
    <cellStyle name="40% - Accent6 4 14 3" xfId="37229"/>
    <cellStyle name="40% - Accent6 4 15" xfId="9754"/>
    <cellStyle name="40% - Accent6 4 15 2" xfId="23853"/>
    <cellStyle name="40% - Accent6 4 15 2 2" xfId="50861"/>
    <cellStyle name="40% - Accent6 4 15 3" xfId="37357"/>
    <cellStyle name="40% - Accent6 4 16" xfId="9896"/>
    <cellStyle name="40% - Accent6 4 16 2" xfId="23981"/>
    <cellStyle name="40% - Accent6 4 16 2 2" xfId="50989"/>
    <cellStyle name="40% - Accent6 4 16 3" xfId="37485"/>
    <cellStyle name="40% - Accent6 4 17" xfId="10038"/>
    <cellStyle name="40% - Accent6 4 17 2" xfId="24109"/>
    <cellStyle name="40% - Accent6 4 17 2 2" xfId="51117"/>
    <cellStyle name="40% - Accent6 4 17 3" xfId="37613"/>
    <cellStyle name="40% - Accent6 4 18" xfId="10180"/>
    <cellStyle name="40% - Accent6 4 18 2" xfId="24237"/>
    <cellStyle name="40% - Accent6 4 18 2 2" xfId="51245"/>
    <cellStyle name="40% - Accent6 4 18 3" xfId="37741"/>
    <cellStyle name="40% - Accent6 4 19" xfId="10322"/>
    <cellStyle name="40% - Accent6 4 19 2" xfId="24365"/>
    <cellStyle name="40% - Accent6 4 19 2 2" xfId="51373"/>
    <cellStyle name="40% - Accent6 4 19 3" xfId="37869"/>
    <cellStyle name="40% - Accent6 4 2" xfId="7908"/>
    <cellStyle name="40% - Accent6 4 2 2" xfId="22189"/>
    <cellStyle name="40% - Accent6 4 2 2 2" xfId="49197"/>
    <cellStyle name="40% - Accent6 4 2 3" xfId="35693"/>
    <cellStyle name="40% - Accent6 4 20" xfId="10464"/>
    <cellStyle name="40% - Accent6 4 20 2" xfId="24493"/>
    <cellStyle name="40% - Accent6 4 20 2 2" xfId="51501"/>
    <cellStyle name="40% - Accent6 4 20 3" xfId="37997"/>
    <cellStyle name="40% - Accent6 4 21" xfId="10606"/>
    <cellStyle name="40% - Accent6 4 21 2" xfId="24621"/>
    <cellStyle name="40% - Accent6 4 21 2 2" xfId="51629"/>
    <cellStyle name="40% - Accent6 4 21 3" xfId="38125"/>
    <cellStyle name="40% - Accent6 4 22" xfId="10748"/>
    <cellStyle name="40% - Accent6 4 22 2" xfId="24749"/>
    <cellStyle name="40% - Accent6 4 22 2 2" xfId="51757"/>
    <cellStyle name="40% - Accent6 4 22 3" xfId="38253"/>
    <cellStyle name="40% - Accent6 4 23" xfId="10890"/>
    <cellStyle name="40% - Accent6 4 23 2" xfId="24877"/>
    <cellStyle name="40% - Accent6 4 23 2 2" xfId="51885"/>
    <cellStyle name="40% - Accent6 4 23 3" xfId="38381"/>
    <cellStyle name="40% - Accent6 4 24" xfId="11032"/>
    <cellStyle name="40% - Accent6 4 24 2" xfId="25005"/>
    <cellStyle name="40% - Accent6 4 24 2 2" xfId="52013"/>
    <cellStyle name="40% - Accent6 4 24 3" xfId="38509"/>
    <cellStyle name="40% - Accent6 4 25" xfId="11174"/>
    <cellStyle name="40% - Accent6 4 25 2" xfId="25133"/>
    <cellStyle name="40% - Accent6 4 25 2 2" xfId="52141"/>
    <cellStyle name="40% - Accent6 4 25 3" xfId="38637"/>
    <cellStyle name="40% - Accent6 4 26" xfId="11316"/>
    <cellStyle name="40% - Accent6 4 26 2" xfId="25261"/>
    <cellStyle name="40% - Accent6 4 26 2 2" xfId="52269"/>
    <cellStyle name="40% - Accent6 4 26 3" xfId="38765"/>
    <cellStyle name="40% - Accent6 4 27" xfId="11458"/>
    <cellStyle name="40% - Accent6 4 27 2" xfId="25389"/>
    <cellStyle name="40% - Accent6 4 27 2 2" xfId="52397"/>
    <cellStyle name="40% - Accent6 4 27 3" xfId="38893"/>
    <cellStyle name="40% - Accent6 4 28" xfId="11600"/>
    <cellStyle name="40% - Accent6 4 28 2" xfId="25517"/>
    <cellStyle name="40% - Accent6 4 28 2 2" xfId="52525"/>
    <cellStyle name="40% - Accent6 4 28 3" xfId="39021"/>
    <cellStyle name="40% - Accent6 4 29" xfId="11742"/>
    <cellStyle name="40% - Accent6 4 29 2" xfId="25645"/>
    <cellStyle name="40% - Accent6 4 29 2 2" xfId="52653"/>
    <cellStyle name="40% - Accent6 4 29 3" xfId="39149"/>
    <cellStyle name="40% - Accent6 4 3" xfId="8050"/>
    <cellStyle name="40% - Accent6 4 3 2" xfId="22317"/>
    <cellStyle name="40% - Accent6 4 3 2 2" xfId="49325"/>
    <cellStyle name="40% - Accent6 4 3 3" xfId="35821"/>
    <cellStyle name="40% - Accent6 4 30" xfId="11884"/>
    <cellStyle name="40% - Accent6 4 30 2" xfId="25773"/>
    <cellStyle name="40% - Accent6 4 30 2 2" xfId="52781"/>
    <cellStyle name="40% - Accent6 4 30 3" xfId="39277"/>
    <cellStyle name="40% - Accent6 4 31" xfId="12026"/>
    <cellStyle name="40% - Accent6 4 31 2" xfId="25901"/>
    <cellStyle name="40% - Accent6 4 31 2 2" xfId="52909"/>
    <cellStyle name="40% - Accent6 4 31 3" xfId="39405"/>
    <cellStyle name="40% - Accent6 4 32" xfId="12168"/>
    <cellStyle name="40% - Accent6 4 32 2" xfId="26029"/>
    <cellStyle name="40% - Accent6 4 32 2 2" xfId="53037"/>
    <cellStyle name="40% - Accent6 4 32 3" xfId="39533"/>
    <cellStyle name="40% - Accent6 4 33" xfId="12310"/>
    <cellStyle name="40% - Accent6 4 33 2" xfId="26157"/>
    <cellStyle name="40% - Accent6 4 33 2 2" xfId="53165"/>
    <cellStyle name="40% - Accent6 4 33 3" xfId="39661"/>
    <cellStyle name="40% - Accent6 4 34" xfId="12452"/>
    <cellStyle name="40% - Accent6 4 34 2" xfId="26285"/>
    <cellStyle name="40% - Accent6 4 34 2 2" xfId="53293"/>
    <cellStyle name="40% - Accent6 4 34 3" xfId="39789"/>
    <cellStyle name="40% - Accent6 4 35" xfId="12594"/>
    <cellStyle name="40% - Accent6 4 35 2" xfId="26413"/>
    <cellStyle name="40% - Accent6 4 35 2 2" xfId="53421"/>
    <cellStyle name="40% - Accent6 4 35 3" xfId="39917"/>
    <cellStyle name="40% - Accent6 4 36" xfId="12736"/>
    <cellStyle name="40% - Accent6 4 36 2" xfId="26541"/>
    <cellStyle name="40% - Accent6 4 36 2 2" xfId="53549"/>
    <cellStyle name="40% - Accent6 4 36 3" xfId="40045"/>
    <cellStyle name="40% - Accent6 4 37" xfId="12878"/>
    <cellStyle name="40% - Accent6 4 37 2" xfId="26669"/>
    <cellStyle name="40% - Accent6 4 37 2 2" xfId="53677"/>
    <cellStyle name="40% - Accent6 4 37 3" xfId="40173"/>
    <cellStyle name="40% - Accent6 4 38" xfId="13020"/>
    <cellStyle name="40% - Accent6 4 38 2" xfId="26797"/>
    <cellStyle name="40% - Accent6 4 38 2 2" xfId="53805"/>
    <cellStyle name="40% - Accent6 4 38 3" xfId="40301"/>
    <cellStyle name="40% - Accent6 4 39" xfId="13162"/>
    <cellStyle name="40% - Accent6 4 39 2" xfId="26925"/>
    <cellStyle name="40% - Accent6 4 39 2 2" xfId="53933"/>
    <cellStyle name="40% - Accent6 4 39 3" xfId="40429"/>
    <cellStyle name="40% - Accent6 4 4" xfId="8192"/>
    <cellStyle name="40% - Accent6 4 4 2" xfId="22445"/>
    <cellStyle name="40% - Accent6 4 4 2 2" xfId="49453"/>
    <cellStyle name="40% - Accent6 4 4 3" xfId="35949"/>
    <cellStyle name="40% - Accent6 4 40" xfId="13304"/>
    <cellStyle name="40% - Accent6 4 40 2" xfId="27053"/>
    <cellStyle name="40% - Accent6 4 40 2 2" xfId="54061"/>
    <cellStyle name="40% - Accent6 4 40 3" xfId="40557"/>
    <cellStyle name="40% - Accent6 4 41" xfId="13446"/>
    <cellStyle name="40% - Accent6 4 41 2" xfId="27181"/>
    <cellStyle name="40% - Accent6 4 41 2 2" xfId="54189"/>
    <cellStyle name="40% - Accent6 4 41 3" xfId="40685"/>
    <cellStyle name="40% - Accent6 4 42" xfId="13588"/>
    <cellStyle name="40% - Accent6 4 42 2" xfId="27309"/>
    <cellStyle name="40% - Accent6 4 42 2 2" xfId="54317"/>
    <cellStyle name="40% - Accent6 4 42 3" xfId="40813"/>
    <cellStyle name="40% - Accent6 4 43" xfId="13730"/>
    <cellStyle name="40% - Accent6 4 43 2" xfId="27437"/>
    <cellStyle name="40% - Accent6 4 43 2 2" xfId="54445"/>
    <cellStyle name="40% - Accent6 4 43 3" xfId="40941"/>
    <cellStyle name="40% - Accent6 4 44" xfId="13871"/>
    <cellStyle name="40% - Accent6 4 44 2" xfId="27564"/>
    <cellStyle name="40% - Accent6 4 44 2 2" xfId="54572"/>
    <cellStyle name="40% - Accent6 4 44 3" xfId="41068"/>
    <cellStyle name="40% - Accent6 4 45" xfId="14012"/>
    <cellStyle name="40% - Accent6 4 45 2" xfId="27691"/>
    <cellStyle name="40% - Accent6 4 45 2 2" xfId="54699"/>
    <cellStyle name="40% - Accent6 4 45 3" xfId="41195"/>
    <cellStyle name="40% - Accent6 4 46" xfId="14153"/>
    <cellStyle name="40% - Accent6 4 46 2" xfId="27818"/>
    <cellStyle name="40% - Accent6 4 46 2 2" xfId="54826"/>
    <cellStyle name="40% - Accent6 4 46 3" xfId="41322"/>
    <cellStyle name="40% - Accent6 4 47" xfId="14294"/>
    <cellStyle name="40% - Accent6 4 47 2" xfId="27945"/>
    <cellStyle name="40% - Accent6 4 47 2 2" xfId="54953"/>
    <cellStyle name="40% - Accent6 4 47 3" xfId="41449"/>
    <cellStyle name="40% - Accent6 4 48" xfId="14434"/>
    <cellStyle name="40% - Accent6 4 48 2" xfId="28071"/>
    <cellStyle name="40% - Accent6 4 48 2 2" xfId="55079"/>
    <cellStyle name="40% - Accent6 4 48 3" xfId="41575"/>
    <cellStyle name="40% - Accent6 4 49" xfId="14574"/>
    <cellStyle name="40% - Accent6 4 49 2" xfId="28197"/>
    <cellStyle name="40% - Accent6 4 49 2 2" xfId="55205"/>
    <cellStyle name="40% - Accent6 4 49 3" xfId="41701"/>
    <cellStyle name="40% - Accent6 4 5" xfId="8334"/>
    <cellStyle name="40% - Accent6 4 5 2" xfId="22573"/>
    <cellStyle name="40% - Accent6 4 5 2 2" xfId="49581"/>
    <cellStyle name="40% - Accent6 4 5 3" xfId="36077"/>
    <cellStyle name="40% - Accent6 4 50" xfId="14713"/>
    <cellStyle name="40% - Accent6 4 50 2" xfId="28322"/>
    <cellStyle name="40% - Accent6 4 50 2 2" xfId="55330"/>
    <cellStyle name="40% - Accent6 4 50 3" xfId="41826"/>
    <cellStyle name="40% - Accent6 4 51" xfId="14848"/>
    <cellStyle name="40% - Accent6 4 51 2" xfId="28444"/>
    <cellStyle name="40% - Accent6 4 51 2 2" xfId="55452"/>
    <cellStyle name="40% - Accent6 4 51 3" xfId="41948"/>
    <cellStyle name="40% - Accent6 4 52" xfId="14982"/>
    <cellStyle name="40% - Accent6 4 52 2" xfId="28565"/>
    <cellStyle name="40% - Accent6 4 52 2 2" xfId="55573"/>
    <cellStyle name="40% - Accent6 4 52 3" xfId="42069"/>
    <cellStyle name="40% - Accent6 4 53" xfId="15113"/>
    <cellStyle name="40% - Accent6 4 53 2" xfId="28684"/>
    <cellStyle name="40% - Accent6 4 53 2 2" xfId="55692"/>
    <cellStyle name="40% - Accent6 4 53 3" xfId="42188"/>
    <cellStyle name="40% - Accent6 4 54" xfId="15236"/>
    <cellStyle name="40% - Accent6 4 54 2" xfId="28799"/>
    <cellStyle name="40% - Accent6 4 54 2 2" xfId="55807"/>
    <cellStyle name="40% - Accent6 4 54 3" xfId="42303"/>
    <cellStyle name="40% - Accent6 4 55" xfId="15342"/>
    <cellStyle name="40% - Accent6 4 55 2" xfId="28902"/>
    <cellStyle name="40% - Accent6 4 55 2 2" xfId="55910"/>
    <cellStyle name="40% - Accent6 4 55 3" xfId="42406"/>
    <cellStyle name="40% - Accent6 4 56" xfId="15680"/>
    <cellStyle name="40% - Accent6 4 56 2" xfId="42688"/>
    <cellStyle name="40% - Accent6 4 57" xfId="29184"/>
    <cellStyle name="40% - Accent6 4 6" xfId="8476"/>
    <cellStyle name="40% - Accent6 4 6 2" xfId="22701"/>
    <cellStyle name="40% - Accent6 4 6 2 2" xfId="49709"/>
    <cellStyle name="40% - Accent6 4 6 3" xfId="36205"/>
    <cellStyle name="40% - Accent6 4 7" xfId="8618"/>
    <cellStyle name="40% - Accent6 4 7 2" xfId="22829"/>
    <cellStyle name="40% - Accent6 4 7 2 2" xfId="49837"/>
    <cellStyle name="40% - Accent6 4 7 3" xfId="36333"/>
    <cellStyle name="40% - Accent6 4 8" xfId="8760"/>
    <cellStyle name="40% - Accent6 4 8 2" xfId="22957"/>
    <cellStyle name="40% - Accent6 4 8 2 2" xfId="49965"/>
    <cellStyle name="40% - Accent6 4 8 3" xfId="36461"/>
    <cellStyle name="40% - Accent6 4 9" xfId="8902"/>
    <cellStyle name="40% - Accent6 4 9 2" xfId="23085"/>
    <cellStyle name="40% - Accent6 4 9 2 2" xfId="50093"/>
    <cellStyle name="40% - Accent6 4 9 3" xfId="36589"/>
    <cellStyle name="40% - Accent6 5" xfId="15395"/>
    <cellStyle name="40% - Accent6 5 2" xfId="28928"/>
    <cellStyle name="40% - Accent6 5 2 2" xfId="55936"/>
    <cellStyle name="40% - Accent6 5 3" xfId="42432"/>
    <cellStyle name="40% - Accent6 6" xfId="15439"/>
    <cellStyle name="40% - Accent6 6 2" xfId="28944"/>
    <cellStyle name="40% - Accent6 6 2 2" xfId="55952"/>
    <cellStyle name="40% - Accent6 6 3" xfId="42448"/>
    <cellStyle name="40% - Accent6 7" xfId="15454"/>
    <cellStyle name="40% - Accent6 7 2" xfId="42462"/>
    <cellStyle name="40% - Accent6 8" xfId="28958"/>
    <cellStyle name="40% - Accent6 9" xfId="59"/>
    <cellStyle name="60% - Accent1 2" xfId="223"/>
    <cellStyle name="60% - Accent1 3" xfId="388"/>
    <cellStyle name="60% - Accent1 4" xfId="15376"/>
    <cellStyle name="60% - Accent1 5" xfId="15420"/>
    <cellStyle name="60% - Accent1 6" xfId="40"/>
    <cellStyle name="60% - Accent2 2" xfId="227"/>
    <cellStyle name="60% - Accent2 3" xfId="392"/>
    <cellStyle name="60% - Accent2 4" xfId="15380"/>
    <cellStyle name="60% - Accent2 5" xfId="15424"/>
    <cellStyle name="60% - Accent2 6" xfId="44"/>
    <cellStyle name="60% - Accent3 2" xfId="231"/>
    <cellStyle name="60% - Accent3 3" xfId="396"/>
    <cellStyle name="60% - Accent3 4" xfId="15384"/>
    <cellStyle name="60% - Accent3 5" xfId="15428"/>
    <cellStyle name="60% - Accent3 6" xfId="48"/>
    <cellStyle name="60% - Accent4 2" xfId="235"/>
    <cellStyle name="60% - Accent4 3" xfId="400"/>
    <cellStyle name="60% - Accent4 4" xfId="15388"/>
    <cellStyle name="60% - Accent4 5" xfId="15432"/>
    <cellStyle name="60% - Accent4 6" xfId="52"/>
    <cellStyle name="60% - Accent5 2" xfId="239"/>
    <cellStyle name="60% - Accent5 3" xfId="404"/>
    <cellStyle name="60% - Accent5 4" xfId="15392"/>
    <cellStyle name="60% - Accent5 5" xfId="15436"/>
    <cellStyle name="60% - Accent5 6" xfId="56"/>
    <cellStyle name="60% - Accent6 2" xfId="243"/>
    <cellStyle name="60% - Accent6 3" xfId="408"/>
    <cellStyle name="60% - Accent6 4" xfId="15396"/>
    <cellStyle name="60% - Accent6 5" xfId="15440"/>
    <cellStyle name="60% - Accent6 6" xfId="60"/>
    <cellStyle name="Accent1 2" xfId="220"/>
    <cellStyle name="Accent1 3" xfId="385"/>
    <cellStyle name="Accent1 4" xfId="15373"/>
    <cellStyle name="Accent1 5" xfId="15417"/>
    <cellStyle name="Accent1 6" xfId="37"/>
    <cellStyle name="Accent2 2" xfId="224"/>
    <cellStyle name="Accent2 3" xfId="389"/>
    <cellStyle name="Accent2 4" xfId="15377"/>
    <cellStyle name="Accent2 5" xfId="15421"/>
    <cellStyle name="Accent2 6" xfId="41"/>
    <cellStyle name="Accent3 2" xfId="228"/>
    <cellStyle name="Accent3 3" xfId="393"/>
    <cellStyle name="Accent3 4" xfId="15381"/>
    <cellStyle name="Accent3 5" xfId="15425"/>
    <cellStyle name="Accent3 6" xfId="45"/>
    <cellStyle name="Accent4 2" xfId="232"/>
    <cellStyle name="Accent4 3" xfId="397"/>
    <cellStyle name="Accent4 4" xfId="15385"/>
    <cellStyle name="Accent4 5" xfId="15429"/>
    <cellStyle name="Accent4 6" xfId="49"/>
    <cellStyle name="Accent5 2" xfId="236"/>
    <cellStyle name="Accent5 3" xfId="401"/>
    <cellStyle name="Accent5 4" xfId="15389"/>
    <cellStyle name="Accent5 5" xfId="15433"/>
    <cellStyle name="Accent5 6" xfId="53"/>
    <cellStyle name="Accent6 2" xfId="240"/>
    <cellStyle name="Accent6 3" xfId="405"/>
    <cellStyle name="Accent6 4" xfId="15393"/>
    <cellStyle name="Accent6 5" xfId="15437"/>
    <cellStyle name="Accent6 6" xfId="57"/>
    <cellStyle name="Bad 2" xfId="211"/>
    <cellStyle name="Bad 3" xfId="376"/>
    <cellStyle name="Bad 4" xfId="15362"/>
    <cellStyle name="Bad 5" xfId="15406"/>
    <cellStyle name="Bad 6" xfId="28"/>
    <cellStyle name="Calc Currency (0)" xfId="55964"/>
    <cellStyle name="Calc Currency (2)" xfId="55965"/>
    <cellStyle name="Calc Percent (0)" xfId="55966"/>
    <cellStyle name="Calc Percent (1)" xfId="55967"/>
    <cellStyle name="Calc Percent (2)" xfId="55968"/>
    <cellStyle name="Calc Units (0)" xfId="55969"/>
    <cellStyle name="Calc Units (1)" xfId="55970"/>
    <cellStyle name="Calc Units (2)" xfId="55971"/>
    <cellStyle name="Calculation 2" xfId="215"/>
    <cellStyle name="Calculation 3" xfId="380"/>
    <cellStyle name="Calculation 4" xfId="15366"/>
    <cellStyle name="Calculation 5" xfId="15410"/>
    <cellStyle name="Calculation 6" xfId="32"/>
    <cellStyle name="Check Cell 2" xfId="217"/>
    <cellStyle name="Check Cell 3" xfId="382"/>
    <cellStyle name="Check Cell 4" xfId="15368"/>
    <cellStyle name="Check Cell 5" xfId="15412"/>
    <cellStyle name="Check Cell 6" xfId="34"/>
    <cellStyle name="Comma" xfId="1" builtinId="3"/>
    <cellStyle name="Comma [0]" xfId="55962" builtinId="6"/>
    <cellStyle name="Comma [0] 2 2 2" xfId="56024"/>
    <cellStyle name="Comma [0] 3 2" xfId="55960"/>
    <cellStyle name="Comma [00]" xfId="55973"/>
    <cellStyle name="Comma 10" xfId="56026"/>
    <cellStyle name="Comma 100" xfId="56291"/>
    <cellStyle name="Comma 101" xfId="56294"/>
    <cellStyle name="Comma 102" xfId="56297"/>
    <cellStyle name="Comma 103" xfId="56300"/>
    <cellStyle name="Comma 104" xfId="56303"/>
    <cellStyle name="Comma 105" xfId="56306"/>
    <cellStyle name="Comma 106" xfId="56309"/>
    <cellStyle name="Comma 107" xfId="56312"/>
    <cellStyle name="Comma 108" xfId="56315"/>
    <cellStyle name="Comma 109" xfId="56318"/>
    <cellStyle name="Comma 11" xfId="56028"/>
    <cellStyle name="Comma 110" xfId="56321"/>
    <cellStyle name="Comma 111" xfId="56324"/>
    <cellStyle name="Comma 112" xfId="56327"/>
    <cellStyle name="Comma 113" xfId="56330"/>
    <cellStyle name="Comma 114" xfId="56333"/>
    <cellStyle name="Comma 115" xfId="56336"/>
    <cellStyle name="Comma 116" xfId="56339"/>
    <cellStyle name="Comma 117" xfId="56342"/>
    <cellStyle name="Comma 118" xfId="56345"/>
    <cellStyle name="Comma 119" xfId="56348"/>
    <cellStyle name="Comma 12" xfId="56030"/>
    <cellStyle name="Comma 120" xfId="56351"/>
    <cellStyle name="Comma 121" xfId="56354"/>
    <cellStyle name="Comma 122" xfId="56357"/>
    <cellStyle name="Comma 123" xfId="56360"/>
    <cellStyle name="Comma 124" xfId="56363"/>
    <cellStyle name="Comma 125" xfId="56366"/>
    <cellStyle name="Comma 126" xfId="56369"/>
    <cellStyle name="Comma 127" xfId="56372"/>
    <cellStyle name="Comma 128" xfId="56375"/>
    <cellStyle name="Comma 129" xfId="56378"/>
    <cellStyle name="Comma 13" xfId="56033"/>
    <cellStyle name="Comma 130" xfId="56381"/>
    <cellStyle name="Comma 131" xfId="56384"/>
    <cellStyle name="Comma 132" xfId="56387"/>
    <cellStyle name="Comma 133" xfId="56390"/>
    <cellStyle name="Comma 134" xfId="56393"/>
    <cellStyle name="Comma 135" xfId="56396"/>
    <cellStyle name="Comma 136" xfId="56399"/>
    <cellStyle name="Comma 137" xfId="56402"/>
    <cellStyle name="Comma 138" xfId="56405"/>
    <cellStyle name="Comma 139" xfId="56408"/>
    <cellStyle name="Comma 14" xfId="56036"/>
    <cellStyle name="Comma 140" xfId="56411"/>
    <cellStyle name="Comma 141" xfId="56414"/>
    <cellStyle name="Comma 142" xfId="56417"/>
    <cellStyle name="Comma 143" xfId="56420"/>
    <cellStyle name="Comma 144" xfId="56423"/>
    <cellStyle name="Comma 145" xfId="56426"/>
    <cellStyle name="Comma 146" xfId="56429"/>
    <cellStyle name="Comma 147" xfId="56432"/>
    <cellStyle name="Comma 148" xfId="56435"/>
    <cellStyle name="Comma 149" xfId="56438"/>
    <cellStyle name="Comma 15" xfId="56039"/>
    <cellStyle name="Comma 150" xfId="56441"/>
    <cellStyle name="Comma 151" xfId="56444"/>
    <cellStyle name="Comma 152" xfId="56447"/>
    <cellStyle name="Comma 153" xfId="56450"/>
    <cellStyle name="Comma 154" xfId="56453"/>
    <cellStyle name="Comma 155" xfId="56456"/>
    <cellStyle name="Comma 156" xfId="56459"/>
    <cellStyle name="Comma 157" xfId="56462"/>
    <cellStyle name="Comma 158" xfId="56465"/>
    <cellStyle name="Comma 159" xfId="56468"/>
    <cellStyle name="Comma 16" xfId="56042"/>
    <cellStyle name="Comma 160" xfId="56471"/>
    <cellStyle name="Comma 161" xfId="56474"/>
    <cellStyle name="Comma 162" xfId="56477"/>
    <cellStyle name="Comma 163" xfId="56480"/>
    <cellStyle name="Comma 164" xfId="56483"/>
    <cellStyle name="Comma 165" xfId="56486"/>
    <cellStyle name="Comma 166" xfId="56489"/>
    <cellStyle name="Comma 167" xfId="56492"/>
    <cellStyle name="Comma 168" xfId="56495"/>
    <cellStyle name="Comma 169" xfId="56498"/>
    <cellStyle name="Comma 17" xfId="56045"/>
    <cellStyle name="Comma 170" xfId="56501"/>
    <cellStyle name="Comma 171" xfId="56504"/>
    <cellStyle name="Comma 172" xfId="56507"/>
    <cellStyle name="Comma 173" xfId="56510"/>
    <cellStyle name="Comma 174" xfId="56513"/>
    <cellStyle name="Comma 175" xfId="56516"/>
    <cellStyle name="Comma 176" xfId="56520"/>
    <cellStyle name="Comma 177" xfId="56524"/>
    <cellStyle name="Comma 178" xfId="56519"/>
    <cellStyle name="Comma 179" xfId="56528"/>
    <cellStyle name="Comma 18" xfId="56048"/>
    <cellStyle name="Comma 180" xfId="56531"/>
    <cellStyle name="Comma 181" xfId="56534"/>
    <cellStyle name="Comma 182" xfId="56537"/>
    <cellStyle name="Comma 183" xfId="56540"/>
    <cellStyle name="Comma 184" xfId="56543"/>
    <cellStyle name="Comma 185" xfId="56546"/>
    <cellStyle name="Comma 186" xfId="56549"/>
    <cellStyle name="Comma 187" xfId="56552"/>
    <cellStyle name="Comma 188" xfId="56555"/>
    <cellStyle name="Comma 189" xfId="56558"/>
    <cellStyle name="Comma 19" xfId="56051"/>
    <cellStyle name="Comma 190" xfId="56561"/>
    <cellStyle name="Comma 191" xfId="56564"/>
    <cellStyle name="Comma 192" xfId="56567"/>
    <cellStyle name="Comma 193" xfId="56570"/>
    <cellStyle name="Comma 194" xfId="56573"/>
    <cellStyle name="Comma 195" xfId="56576"/>
    <cellStyle name="Comma 196" xfId="56579"/>
    <cellStyle name="Comma 197" xfId="56582"/>
    <cellStyle name="Comma 198" xfId="56585"/>
    <cellStyle name="Comma 199" xfId="56588"/>
    <cellStyle name="Comma 2" xfId="4"/>
    <cellStyle name="Comma 2 2" xfId="95"/>
    <cellStyle name="Comma 2 2 2" xfId="56023"/>
    <cellStyle name="Comma 2 3" xfId="138"/>
    <cellStyle name="Comma 2 4" xfId="367"/>
    <cellStyle name="Comma 20" xfId="56054"/>
    <cellStyle name="Comma 200" xfId="56591"/>
    <cellStyle name="Comma 201" xfId="56594"/>
    <cellStyle name="Comma 202" xfId="56597"/>
    <cellStyle name="Comma 203" xfId="56600"/>
    <cellStyle name="Comma 204" xfId="56603"/>
    <cellStyle name="Comma 205" xfId="56606"/>
    <cellStyle name="Comma 206" xfId="56609"/>
    <cellStyle name="Comma 207" xfId="56612"/>
    <cellStyle name="Comma 208" xfId="56615"/>
    <cellStyle name="Comma 209" xfId="56618"/>
    <cellStyle name="Comma 21" xfId="56057"/>
    <cellStyle name="Comma 210" xfId="56621"/>
    <cellStyle name="Comma 211" xfId="56624"/>
    <cellStyle name="Comma 212" xfId="56627"/>
    <cellStyle name="Comma 213" xfId="56630"/>
    <cellStyle name="Comma 214" xfId="56633"/>
    <cellStyle name="Comma 215" xfId="56636"/>
    <cellStyle name="Comma 216" xfId="56639"/>
    <cellStyle name="Comma 217" xfId="56642"/>
    <cellStyle name="Comma 218" xfId="56645"/>
    <cellStyle name="Comma 219" xfId="56648"/>
    <cellStyle name="Comma 22" xfId="56060"/>
    <cellStyle name="Comma 220" xfId="56651"/>
    <cellStyle name="Comma 221" xfId="56654"/>
    <cellStyle name="Comma 222" xfId="56657"/>
    <cellStyle name="Comma 223" xfId="56660"/>
    <cellStyle name="Comma 224" xfId="56663"/>
    <cellStyle name="Comma 225" xfId="56666"/>
    <cellStyle name="Comma 226" xfId="56669"/>
    <cellStyle name="Comma 227" xfId="56672"/>
    <cellStyle name="Comma 228" xfId="56677"/>
    <cellStyle name="Comma 229" xfId="56681"/>
    <cellStyle name="Comma 23" xfId="56063"/>
    <cellStyle name="Comma 230" xfId="56675"/>
    <cellStyle name="Comma 231" xfId="56682"/>
    <cellStyle name="Comma 232" xfId="56687"/>
    <cellStyle name="Comma 233" xfId="56690"/>
    <cellStyle name="Comma 234" xfId="56693"/>
    <cellStyle name="Comma 235" xfId="56696"/>
    <cellStyle name="Comma 236" xfId="56700"/>
    <cellStyle name="Comma 237" xfId="56704"/>
    <cellStyle name="Comma 238" xfId="56699"/>
    <cellStyle name="Comma 239" xfId="56708"/>
    <cellStyle name="Comma 24" xfId="56066"/>
    <cellStyle name="Comma 240" xfId="56711"/>
    <cellStyle name="Comma 241" xfId="56714"/>
    <cellStyle name="Comma 242" xfId="56717"/>
    <cellStyle name="Comma 243" xfId="56720"/>
    <cellStyle name="Comma 244" xfId="56723"/>
    <cellStyle name="Comma 245" xfId="56726"/>
    <cellStyle name="Comma 246" xfId="56729"/>
    <cellStyle name="Comma 247" xfId="56732"/>
    <cellStyle name="Comma 248" xfId="56735"/>
    <cellStyle name="Comma 249" xfId="56738"/>
    <cellStyle name="Comma 25" xfId="56072"/>
    <cellStyle name="Comma 250" xfId="56741"/>
    <cellStyle name="Comma 251" xfId="56744"/>
    <cellStyle name="Comma 252" xfId="56747"/>
    <cellStyle name="Comma 253" xfId="56750"/>
    <cellStyle name="Comma 254" xfId="56753"/>
    <cellStyle name="Comma 255" xfId="56756"/>
    <cellStyle name="Comma 256" xfId="56759"/>
    <cellStyle name="Comma 257" xfId="56762"/>
    <cellStyle name="Comma 258" xfId="56765"/>
    <cellStyle name="Comma 259" xfId="56768"/>
    <cellStyle name="Comma 26" xfId="56075"/>
    <cellStyle name="Comma 260" xfId="56771"/>
    <cellStyle name="Comma 261" xfId="56774"/>
    <cellStyle name="Comma 262" xfId="56777"/>
    <cellStyle name="Comma 263" xfId="56780"/>
    <cellStyle name="Comma 264" xfId="56783"/>
    <cellStyle name="Comma 265" xfId="56786"/>
    <cellStyle name="Comma 266" xfId="56789"/>
    <cellStyle name="Comma 267" xfId="56792"/>
    <cellStyle name="Comma 268" xfId="56795"/>
    <cellStyle name="Comma 269" xfId="56798"/>
    <cellStyle name="Comma 27" xfId="56078"/>
    <cellStyle name="Comma 270" xfId="56801"/>
    <cellStyle name="Comma 271" xfId="56804"/>
    <cellStyle name="Comma 272" xfId="56807"/>
    <cellStyle name="Comma 273" xfId="56810"/>
    <cellStyle name="Comma 274" xfId="56813"/>
    <cellStyle name="Comma 275" xfId="56816"/>
    <cellStyle name="Comma 276" xfId="56819"/>
    <cellStyle name="Comma 277" xfId="56823"/>
    <cellStyle name="Comma 278" xfId="56824"/>
    <cellStyle name="Comma 279" xfId="56828"/>
    <cellStyle name="Comma 28" xfId="56081"/>
    <cellStyle name="Comma 280" xfId="56831"/>
    <cellStyle name="Comma 281" xfId="56834"/>
    <cellStyle name="Comma 282" xfId="56837"/>
    <cellStyle name="Comma 283" xfId="56840"/>
    <cellStyle name="Comma 284" xfId="56843"/>
    <cellStyle name="Comma 285" xfId="56846"/>
    <cellStyle name="Comma 286" xfId="56849"/>
    <cellStyle name="Comma 287" xfId="56852"/>
    <cellStyle name="Comma 288" xfId="56855"/>
    <cellStyle name="Comma 289" xfId="56858"/>
    <cellStyle name="Comma 29" xfId="56084"/>
    <cellStyle name="Comma 290" xfId="56861"/>
    <cellStyle name="Comma 291" xfId="56864"/>
    <cellStyle name="Comma 292" xfId="56867"/>
    <cellStyle name="Comma 293" xfId="56870"/>
    <cellStyle name="Comma 294" xfId="56873"/>
    <cellStyle name="Comma 295" xfId="56876"/>
    <cellStyle name="Comma 296" xfId="56879"/>
    <cellStyle name="Comma 297" xfId="56882"/>
    <cellStyle name="Comma 298" xfId="56885"/>
    <cellStyle name="Comma 299" xfId="56888"/>
    <cellStyle name="Comma 3" xfId="3"/>
    <cellStyle name="Comma 30" xfId="56087"/>
    <cellStyle name="Comma 300" xfId="56891"/>
    <cellStyle name="Comma 301" xfId="56894"/>
    <cellStyle name="Comma 302" xfId="56897"/>
    <cellStyle name="Comma 303" xfId="56900"/>
    <cellStyle name="Comma 304" xfId="56903"/>
    <cellStyle name="Comma 305" xfId="56906"/>
    <cellStyle name="Comma 306" xfId="56909"/>
    <cellStyle name="Comma 307" xfId="56912"/>
    <cellStyle name="Comma 308" xfId="56915"/>
    <cellStyle name="Comma 309" xfId="56918"/>
    <cellStyle name="Comma 31" xfId="56090"/>
    <cellStyle name="Comma 310" xfId="56921"/>
    <cellStyle name="Comma 311" xfId="56924"/>
    <cellStyle name="Comma 312" xfId="56927"/>
    <cellStyle name="Comma 313" xfId="56930"/>
    <cellStyle name="Comma 314" xfId="56933"/>
    <cellStyle name="Comma 315" xfId="56936"/>
    <cellStyle name="Comma 316" xfId="56939"/>
    <cellStyle name="Comma 317" xfId="56942"/>
    <cellStyle name="Comma 318" xfId="56945"/>
    <cellStyle name="Comma 319" xfId="56948"/>
    <cellStyle name="Comma 32" xfId="56093"/>
    <cellStyle name="Comma 320" xfId="56951"/>
    <cellStyle name="Comma 321" xfId="56954"/>
    <cellStyle name="Comma 322" xfId="56957"/>
    <cellStyle name="Comma 323" xfId="56960"/>
    <cellStyle name="Comma 324" xfId="56963"/>
    <cellStyle name="Comma 325" xfId="56966"/>
    <cellStyle name="Comma 326" xfId="56969"/>
    <cellStyle name="Comma 327" xfId="56972"/>
    <cellStyle name="Comma 328" xfId="56975"/>
    <cellStyle name="Comma 329" xfId="56978"/>
    <cellStyle name="Comma 33" xfId="56096"/>
    <cellStyle name="Comma 330" xfId="56981"/>
    <cellStyle name="Comma 331" xfId="56984"/>
    <cellStyle name="Comma 332" xfId="56987"/>
    <cellStyle name="Comma 333" xfId="56990"/>
    <cellStyle name="Comma 334" xfId="56993"/>
    <cellStyle name="Comma 335" xfId="56996"/>
    <cellStyle name="Comma 336" xfId="56999"/>
    <cellStyle name="Comma 337" xfId="57002"/>
    <cellStyle name="Comma 338" xfId="57005"/>
    <cellStyle name="Comma 339" xfId="57008"/>
    <cellStyle name="Comma 34" xfId="56099"/>
    <cellStyle name="Comma 340" xfId="57011"/>
    <cellStyle name="Comma 341" xfId="57014"/>
    <cellStyle name="Comma 342" xfId="57017"/>
    <cellStyle name="Comma 343" xfId="57020"/>
    <cellStyle name="Comma 344" xfId="57023"/>
    <cellStyle name="Comma 345" xfId="57026"/>
    <cellStyle name="Comma 346" xfId="57029"/>
    <cellStyle name="Comma 347" xfId="57032"/>
    <cellStyle name="Comma 348" xfId="57035"/>
    <cellStyle name="Comma 349" xfId="57038"/>
    <cellStyle name="Comma 35" xfId="56102"/>
    <cellStyle name="Comma 350" xfId="57041"/>
    <cellStyle name="Comma 351" xfId="57044"/>
    <cellStyle name="Comma 352" xfId="57047"/>
    <cellStyle name="Comma 353" xfId="57050"/>
    <cellStyle name="Comma 354" xfId="57053"/>
    <cellStyle name="Comma 355" xfId="57056"/>
    <cellStyle name="Comma 356" xfId="57059"/>
    <cellStyle name="Comma 357" xfId="57062"/>
    <cellStyle name="Comma 358" xfId="57065"/>
    <cellStyle name="Comma 359" xfId="57068"/>
    <cellStyle name="Comma 36" xfId="56105"/>
    <cellStyle name="Comma 360" xfId="57071"/>
    <cellStyle name="Comma 361" xfId="57074"/>
    <cellStyle name="Comma 362" xfId="57077"/>
    <cellStyle name="Comma 363" xfId="57080"/>
    <cellStyle name="Comma 364" xfId="57083"/>
    <cellStyle name="Comma 365" xfId="57086"/>
    <cellStyle name="Comma 366" xfId="57089"/>
    <cellStyle name="Comma 367" xfId="57092"/>
    <cellStyle name="Comma 368" xfId="57095"/>
    <cellStyle name="Comma 369" xfId="57098"/>
    <cellStyle name="Comma 37" xfId="56108"/>
    <cellStyle name="Comma 370" xfId="57101"/>
    <cellStyle name="Comma 371" xfId="57104"/>
    <cellStyle name="Comma 372" xfId="57107"/>
    <cellStyle name="Comma 373" xfId="57110"/>
    <cellStyle name="Comma 374" xfId="57113"/>
    <cellStyle name="Comma 375" xfId="57116"/>
    <cellStyle name="Comma 376" xfId="57119"/>
    <cellStyle name="Comma 377" xfId="57122"/>
    <cellStyle name="Comma 378" xfId="57125"/>
    <cellStyle name="Comma 379" xfId="57128"/>
    <cellStyle name="Comma 38" xfId="56111"/>
    <cellStyle name="Comma 380" xfId="57131"/>
    <cellStyle name="Comma 381" xfId="57134"/>
    <cellStyle name="Comma 382" xfId="57137"/>
    <cellStyle name="Comma 383" xfId="57140"/>
    <cellStyle name="Comma 384" xfId="57143"/>
    <cellStyle name="Comma 385" xfId="57146"/>
    <cellStyle name="Comma 386" xfId="57149"/>
    <cellStyle name="Comma 387" xfId="57152"/>
    <cellStyle name="Comma 388" xfId="57155"/>
    <cellStyle name="Comma 389" xfId="57158"/>
    <cellStyle name="Comma 39" xfId="56114"/>
    <cellStyle name="Comma 390" xfId="57161"/>
    <cellStyle name="Comma 391" xfId="57164"/>
    <cellStyle name="Comma 392" xfId="57167"/>
    <cellStyle name="Comma 393" xfId="57170"/>
    <cellStyle name="Comma 394" xfId="57173"/>
    <cellStyle name="Comma 395" xfId="57176"/>
    <cellStyle name="Comma 396" xfId="57179"/>
    <cellStyle name="Comma 397" xfId="57182"/>
    <cellStyle name="Comma 398" xfId="57185"/>
    <cellStyle name="Comma 399" xfId="57188"/>
    <cellStyle name="Comma 4" xfId="5"/>
    <cellStyle name="Comma 40" xfId="56117"/>
    <cellStyle name="Comma 400" xfId="57191"/>
    <cellStyle name="Comma 401" xfId="57194"/>
    <cellStyle name="Comma 402" xfId="57197"/>
    <cellStyle name="Comma 403" xfId="57200"/>
    <cellStyle name="Comma 404" xfId="57203"/>
    <cellStyle name="Comma 405" xfId="57206"/>
    <cellStyle name="Comma 406" xfId="57209"/>
    <cellStyle name="Comma 407" xfId="57212"/>
    <cellStyle name="Comma 408" xfId="57215"/>
    <cellStyle name="Comma 409" xfId="57218"/>
    <cellStyle name="Comma 41" xfId="56120"/>
    <cellStyle name="Comma 410" xfId="57221"/>
    <cellStyle name="Comma 411" xfId="57224"/>
    <cellStyle name="Comma 412" xfId="57227"/>
    <cellStyle name="Comma 413" xfId="57230"/>
    <cellStyle name="Comma 414" xfId="57233"/>
    <cellStyle name="Comma 415" xfId="57236"/>
    <cellStyle name="Comma 416" xfId="57239"/>
    <cellStyle name="Comma 417" xfId="57242"/>
    <cellStyle name="Comma 418" xfId="57245"/>
    <cellStyle name="Comma 419" xfId="57248"/>
    <cellStyle name="Comma 42" xfId="56123"/>
    <cellStyle name="Comma 420" xfId="57251"/>
    <cellStyle name="Comma 421" xfId="57254"/>
    <cellStyle name="Comma 422" xfId="57257"/>
    <cellStyle name="Comma 423" xfId="57260"/>
    <cellStyle name="Comma 424" xfId="57263"/>
    <cellStyle name="Comma 425" xfId="57266"/>
    <cellStyle name="Comma 426" xfId="57269"/>
    <cellStyle name="Comma 427" xfId="57272"/>
    <cellStyle name="Comma 428" xfId="57275"/>
    <cellStyle name="Comma 429" xfId="57278"/>
    <cellStyle name="Comma 43" xfId="56126"/>
    <cellStyle name="Comma 430" xfId="57281"/>
    <cellStyle name="Comma 431" xfId="57284"/>
    <cellStyle name="Comma 432" xfId="57287"/>
    <cellStyle name="Comma 433" xfId="57290"/>
    <cellStyle name="Comma 434" xfId="57293"/>
    <cellStyle name="Comma 435" xfId="57296"/>
    <cellStyle name="Comma 436" xfId="57299"/>
    <cellStyle name="Comma 437" xfId="57302"/>
    <cellStyle name="Comma 438" xfId="57305"/>
    <cellStyle name="Comma 439" xfId="57308"/>
    <cellStyle name="Comma 44" xfId="56129"/>
    <cellStyle name="Comma 440" xfId="57311"/>
    <cellStyle name="Comma 441" xfId="57314"/>
    <cellStyle name="Comma 442" xfId="57317"/>
    <cellStyle name="Comma 443" xfId="57320"/>
    <cellStyle name="Comma 444" xfId="57323"/>
    <cellStyle name="Comma 445" xfId="57326"/>
    <cellStyle name="Comma 446" xfId="57329"/>
    <cellStyle name="Comma 447" xfId="57332"/>
    <cellStyle name="Comma 448" xfId="57335"/>
    <cellStyle name="Comma 449" xfId="57338"/>
    <cellStyle name="Comma 45" xfId="56132"/>
    <cellStyle name="Comma 450" xfId="57341"/>
    <cellStyle name="Comma 451" xfId="57344"/>
    <cellStyle name="Comma 452" xfId="57347"/>
    <cellStyle name="Comma 453" xfId="57350"/>
    <cellStyle name="Comma 454" xfId="57353"/>
    <cellStyle name="Comma 455" xfId="57356"/>
    <cellStyle name="Comma 456" xfId="57359"/>
    <cellStyle name="Comma 457" xfId="57362"/>
    <cellStyle name="Comma 458" xfId="57365"/>
    <cellStyle name="Comma 459" xfId="57368"/>
    <cellStyle name="Comma 46" xfId="56135"/>
    <cellStyle name="Comma 460" xfId="57371"/>
    <cellStyle name="Comma 461" xfId="57374"/>
    <cellStyle name="Comma 462" xfId="57377"/>
    <cellStyle name="Comma 463" xfId="57380"/>
    <cellStyle name="Comma 464" xfId="57383"/>
    <cellStyle name="Comma 465" xfId="57386"/>
    <cellStyle name="Comma 466" xfId="57389"/>
    <cellStyle name="Comma 467" xfId="57392"/>
    <cellStyle name="Comma 468" xfId="57395"/>
    <cellStyle name="Comma 469" xfId="57398"/>
    <cellStyle name="Comma 47" xfId="56138"/>
    <cellStyle name="Comma 470" xfId="57401"/>
    <cellStyle name="Comma 471" xfId="57404"/>
    <cellStyle name="Comma 472" xfId="57407"/>
    <cellStyle name="Comma 473" xfId="57410"/>
    <cellStyle name="Comma 474" xfId="57413"/>
    <cellStyle name="Comma 475" xfId="57416"/>
    <cellStyle name="Comma 476" xfId="57419"/>
    <cellStyle name="Comma 477" xfId="57422"/>
    <cellStyle name="Comma 478" xfId="57425"/>
    <cellStyle name="Comma 479" xfId="57428"/>
    <cellStyle name="Comma 48" xfId="56141"/>
    <cellStyle name="Comma 480" xfId="57431"/>
    <cellStyle name="Comma 481" xfId="57434"/>
    <cellStyle name="Comma 482" xfId="57437"/>
    <cellStyle name="Comma 483" xfId="57440"/>
    <cellStyle name="Comma 484" xfId="57443"/>
    <cellStyle name="Comma 485" xfId="57446"/>
    <cellStyle name="Comma 486" xfId="57449"/>
    <cellStyle name="Comma 487" xfId="57452"/>
    <cellStyle name="Comma 488" xfId="57455"/>
    <cellStyle name="Comma 489" xfId="57458"/>
    <cellStyle name="Comma 49" xfId="56144"/>
    <cellStyle name="Comma 490" xfId="57461"/>
    <cellStyle name="Comma 491" xfId="57464"/>
    <cellStyle name="Comma 492" xfId="57467"/>
    <cellStyle name="Comma 493" xfId="57470"/>
    <cellStyle name="Comma 494" xfId="57473"/>
    <cellStyle name="Comma 495" xfId="57476"/>
    <cellStyle name="Comma 496" xfId="57479"/>
    <cellStyle name="Comma 497" xfId="57482"/>
    <cellStyle name="Comma 498" xfId="57485"/>
    <cellStyle name="Comma 499" xfId="57488"/>
    <cellStyle name="Comma 5" xfId="55972"/>
    <cellStyle name="Comma 50" xfId="56147"/>
    <cellStyle name="Comma 500" xfId="57491"/>
    <cellStyle name="Comma 501" xfId="57494"/>
    <cellStyle name="Comma 502" xfId="57497"/>
    <cellStyle name="Comma 503" xfId="57500"/>
    <cellStyle name="Comma 504" xfId="57503"/>
    <cellStyle name="Comma 505" xfId="57506"/>
    <cellStyle name="Comma 506" xfId="57509"/>
    <cellStyle name="Comma 507" xfId="57512"/>
    <cellStyle name="Comma 508" xfId="57515"/>
    <cellStyle name="Comma 509" xfId="57518"/>
    <cellStyle name="Comma 51" xfId="56150"/>
    <cellStyle name="Comma 510" xfId="57521"/>
    <cellStyle name="Comma 511" xfId="57524"/>
    <cellStyle name="Comma 512" xfId="57527"/>
    <cellStyle name="Comma 513" xfId="57530"/>
    <cellStyle name="Comma 514" xfId="57533"/>
    <cellStyle name="Comma 515" xfId="57536"/>
    <cellStyle name="Comma 516" xfId="57539"/>
    <cellStyle name="Comma 517" xfId="57542"/>
    <cellStyle name="Comma 518" xfId="57545"/>
    <cellStyle name="Comma 519" xfId="57548"/>
    <cellStyle name="Comma 52" xfId="56153"/>
    <cellStyle name="Comma 520" xfId="57551"/>
    <cellStyle name="Comma 521" xfId="57554"/>
    <cellStyle name="Comma 522" xfId="57557"/>
    <cellStyle name="Comma 523" xfId="57560"/>
    <cellStyle name="Comma 524" xfId="57563"/>
    <cellStyle name="Comma 525" xfId="57566"/>
    <cellStyle name="Comma 526" xfId="57569"/>
    <cellStyle name="Comma 527" xfId="57572"/>
    <cellStyle name="Comma 528" xfId="57575"/>
    <cellStyle name="Comma 529" xfId="57578"/>
    <cellStyle name="Comma 53" xfId="56156"/>
    <cellStyle name="Comma 530" xfId="57581"/>
    <cellStyle name="Comma 531" xfId="57584"/>
    <cellStyle name="Comma 532" xfId="57587"/>
    <cellStyle name="Comma 533" xfId="57590"/>
    <cellStyle name="Comma 534" xfId="57593"/>
    <cellStyle name="Comma 535" xfId="57596"/>
    <cellStyle name="Comma 536" xfId="57599"/>
    <cellStyle name="Comma 537" xfId="57602"/>
    <cellStyle name="Comma 538" xfId="57605"/>
    <cellStyle name="Comma 539" xfId="57608"/>
    <cellStyle name="Comma 54" xfId="56159"/>
    <cellStyle name="Comma 540" xfId="57611"/>
    <cellStyle name="Comma 541" xfId="57614"/>
    <cellStyle name="Comma 542" xfId="57617"/>
    <cellStyle name="Comma 55" xfId="56162"/>
    <cellStyle name="Comma 56" xfId="56165"/>
    <cellStyle name="Comma 57" xfId="56168"/>
    <cellStyle name="Comma 58" xfId="56171"/>
    <cellStyle name="Comma 59" xfId="56174"/>
    <cellStyle name="Comma 6" xfId="56011"/>
    <cellStyle name="Comma 60" xfId="56177"/>
    <cellStyle name="Comma 61" xfId="56180"/>
    <cellStyle name="Comma 62" xfId="56183"/>
    <cellStyle name="Comma 63" xfId="56186"/>
    <cellStyle name="Comma 64" xfId="56189"/>
    <cellStyle name="Comma 65" xfId="56192"/>
    <cellStyle name="Comma 66" xfId="56195"/>
    <cellStyle name="Comma 67" xfId="56198"/>
    <cellStyle name="Comma 68" xfId="56199"/>
    <cellStyle name="Comma 69" xfId="56200"/>
    <cellStyle name="Comma 7" xfId="56014"/>
    <cellStyle name="Comma 7 2" xfId="55958"/>
    <cellStyle name="Comma 70" xfId="56202"/>
    <cellStyle name="Comma 71" xfId="56204"/>
    <cellStyle name="Comma 72" xfId="56206"/>
    <cellStyle name="Comma 73" xfId="56210"/>
    <cellStyle name="Comma 74" xfId="56213"/>
    <cellStyle name="Comma 75" xfId="56216"/>
    <cellStyle name="Comma 76" xfId="56219"/>
    <cellStyle name="Comma 77" xfId="56222"/>
    <cellStyle name="Comma 78" xfId="56225"/>
    <cellStyle name="Comma 79" xfId="56228"/>
    <cellStyle name="Comma 8" xfId="56017"/>
    <cellStyle name="Comma 80" xfId="56231"/>
    <cellStyle name="Comma 81" xfId="56234"/>
    <cellStyle name="Comma 82" xfId="56237"/>
    <cellStyle name="Comma 83" xfId="56240"/>
    <cellStyle name="Comma 84" xfId="56243"/>
    <cellStyle name="Comma 85" xfId="56246"/>
    <cellStyle name="Comma 86" xfId="56249"/>
    <cellStyle name="Comma 87" xfId="56252"/>
    <cellStyle name="Comma 88" xfId="56255"/>
    <cellStyle name="Comma 89" xfId="56258"/>
    <cellStyle name="Comma 9" xfId="56020"/>
    <cellStyle name="Comma 90" xfId="56261"/>
    <cellStyle name="Comma 91" xfId="56264"/>
    <cellStyle name="Comma 92" xfId="56267"/>
    <cellStyle name="Comma 93" xfId="56270"/>
    <cellStyle name="Comma 94" xfId="56273"/>
    <cellStyle name="Comma 95" xfId="56276"/>
    <cellStyle name="Comma 96" xfId="56279"/>
    <cellStyle name="Comma 97" xfId="56282"/>
    <cellStyle name="Comma 98" xfId="56285"/>
    <cellStyle name="Comma 99" xfId="56288"/>
    <cellStyle name="Comma0" xfId="6"/>
    <cellStyle name="Currency [00]" xfId="55974"/>
    <cellStyle name="Currency0" xfId="7"/>
    <cellStyle name="custom" xfId="8"/>
    <cellStyle name="custom 10" xfId="897"/>
    <cellStyle name="custom 100" xfId="11302"/>
    <cellStyle name="custom 101" xfId="11444"/>
    <cellStyle name="custom 102" xfId="11586"/>
    <cellStyle name="custom 103" xfId="11728"/>
    <cellStyle name="custom 104" xfId="11870"/>
    <cellStyle name="custom 105" xfId="12012"/>
    <cellStyle name="custom 106" xfId="12154"/>
    <cellStyle name="custom 107" xfId="12296"/>
    <cellStyle name="custom 108" xfId="12438"/>
    <cellStyle name="custom 109" xfId="12580"/>
    <cellStyle name="custom 11" xfId="1003"/>
    <cellStyle name="custom 110" xfId="12722"/>
    <cellStyle name="custom 111" xfId="12864"/>
    <cellStyle name="custom 112" xfId="13006"/>
    <cellStyle name="custom 113" xfId="13148"/>
    <cellStyle name="custom 114" xfId="13290"/>
    <cellStyle name="custom 115" xfId="13432"/>
    <cellStyle name="custom 116" xfId="13574"/>
    <cellStyle name="custom 117" xfId="13716"/>
    <cellStyle name="custom 118" xfId="13857"/>
    <cellStyle name="custom 119" xfId="13998"/>
    <cellStyle name="custom 12" xfId="1109"/>
    <cellStyle name="custom 120" xfId="14139"/>
    <cellStyle name="custom 121" xfId="14280"/>
    <cellStyle name="custom 122" xfId="14421"/>
    <cellStyle name="custom 123" xfId="14561"/>
    <cellStyle name="custom 124" xfId="14700"/>
    <cellStyle name="custom 125" xfId="14835"/>
    <cellStyle name="custom 126" xfId="14969"/>
    <cellStyle name="custom 127" xfId="15101"/>
    <cellStyle name="custom 13" xfId="1215"/>
    <cellStyle name="custom 14" xfId="1321"/>
    <cellStyle name="custom 15" xfId="1427"/>
    <cellStyle name="custom 16" xfId="1533"/>
    <cellStyle name="custom 17" xfId="1639"/>
    <cellStyle name="custom 18" xfId="1745"/>
    <cellStyle name="custom 19" xfId="1851"/>
    <cellStyle name="custom 2" xfId="98"/>
    <cellStyle name="custom 20" xfId="1957"/>
    <cellStyle name="custom 21" xfId="2063"/>
    <cellStyle name="custom 22" xfId="2169"/>
    <cellStyle name="custom 23" xfId="2275"/>
    <cellStyle name="custom 24" xfId="2381"/>
    <cellStyle name="custom 25" xfId="2487"/>
    <cellStyle name="custom 26" xfId="2593"/>
    <cellStyle name="custom 27" xfId="2699"/>
    <cellStyle name="custom 28" xfId="2805"/>
    <cellStyle name="custom 29" xfId="2911"/>
    <cellStyle name="custom 3" xfId="137"/>
    <cellStyle name="custom 30" xfId="3017"/>
    <cellStyle name="custom 31" xfId="3123"/>
    <cellStyle name="custom 32" xfId="3229"/>
    <cellStyle name="custom 33" xfId="3335"/>
    <cellStyle name="custom 34" xfId="3441"/>
    <cellStyle name="custom 35" xfId="3547"/>
    <cellStyle name="custom 36" xfId="3653"/>
    <cellStyle name="custom 37" xfId="3759"/>
    <cellStyle name="custom 38" xfId="3865"/>
    <cellStyle name="custom 39" xfId="3971"/>
    <cellStyle name="custom 4" xfId="194"/>
    <cellStyle name="custom 40" xfId="4077"/>
    <cellStyle name="custom 41" xfId="4183"/>
    <cellStyle name="custom 42" xfId="4289"/>
    <cellStyle name="custom 43" xfId="4395"/>
    <cellStyle name="custom 44" xfId="4501"/>
    <cellStyle name="custom 45" xfId="4607"/>
    <cellStyle name="custom 46" xfId="4713"/>
    <cellStyle name="custom 47" xfId="4819"/>
    <cellStyle name="custom 48" xfId="4925"/>
    <cellStyle name="custom 49" xfId="5031"/>
    <cellStyle name="custom 5" xfId="251"/>
    <cellStyle name="custom 50" xfId="5137"/>
    <cellStyle name="custom 51" xfId="5243"/>
    <cellStyle name="custom 52" xfId="5349"/>
    <cellStyle name="custom 53" xfId="5455"/>
    <cellStyle name="custom 54" xfId="5561"/>
    <cellStyle name="custom 55" xfId="5667"/>
    <cellStyle name="custom 56" xfId="5773"/>
    <cellStyle name="custom 57" xfId="5879"/>
    <cellStyle name="custom 58" xfId="5985"/>
    <cellStyle name="custom 59" xfId="6091"/>
    <cellStyle name="custom 6" xfId="455"/>
    <cellStyle name="custom 60" xfId="6197"/>
    <cellStyle name="custom 61" xfId="6303"/>
    <cellStyle name="custom 62" xfId="6409"/>
    <cellStyle name="custom 63" xfId="6515"/>
    <cellStyle name="custom 64" xfId="6620"/>
    <cellStyle name="custom 65" xfId="6725"/>
    <cellStyle name="custom 66" xfId="6830"/>
    <cellStyle name="custom 67" xfId="6935"/>
    <cellStyle name="custom 68" xfId="7040"/>
    <cellStyle name="custom 69" xfId="7144"/>
    <cellStyle name="custom 7" xfId="579"/>
    <cellStyle name="custom 70" xfId="7247"/>
    <cellStyle name="custom 71" xfId="7347"/>
    <cellStyle name="custom 72" xfId="7446"/>
    <cellStyle name="custom 73" xfId="7540"/>
    <cellStyle name="custom 74" xfId="7695"/>
    <cellStyle name="custom 75" xfId="7766"/>
    <cellStyle name="custom 76" xfId="7894"/>
    <cellStyle name="custom 77" xfId="8036"/>
    <cellStyle name="custom 78" xfId="8178"/>
    <cellStyle name="custom 79" xfId="8320"/>
    <cellStyle name="custom 8" xfId="685"/>
    <cellStyle name="custom 80" xfId="8462"/>
    <cellStyle name="custom 81" xfId="8604"/>
    <cellStyle name="custom 82" xfId="8746"/>
    <cellStyle name="custom 83" xfId="8888"/>
    <cellStyle name="custom 84" xfId="9030"/>
    <cellStyle name="custom 85" xfId="9172"/>
    <cellStyle name="custom 86" xfId="9314"/>
    <cellStyle name="custom 87" xfId="9456"/>
    <cellStyle name="custom 88" xfId="9598"/>
    <cellStyle name="custom 89" xfId="9740"/>
    <cellStyle name="custom 9" xfId="791"/>
    <cellStyle name="custom 90" xfId="9882"/>
    <cellStyle name="custom 91" xfId="10024"/>
    <cellStyle name="custom 92" xfId="10166"/>
    <cellStyle name="custom 93" xfId="10308"/>
    <cellStyle name="custom 94" xfId="10450"/>
    <cellStyle name="custom 95" xfId="10592"/>
    <cellStyle name="custom 96" xfId="10734"/>
    <cellStyle name="custom 97" xfId="10876"/>
    <cellStyle name="custom 98" xfId="11018"/>
    <cellStyle name="custom 99" xfId="11160"/>
    <cellStyle name="Date" xfId="9"/>
    <cellStyle name="Date 2" xfId="55975"/>
    <cellStyle name="Date Short" xfId="55976"/>
    <cellStyle name="Date Short 2" xfId="56067"/>
    <cellStyle name="DELTA" xfId="55977"/>
    <cellStyle name="DELTA 2" xfId="56068"/>
    <cellStyle name="Enter Currency (0)" xfId="55978"/>
    <cellStyle name="Enter Currency (2)" xfId="55979"/>
    <cellStyle name="Enter Units (0)" xfId="55980"/>
    <cellStyle name="Enter Units (1)" xfId="55981"/>
    <cellStyle name="Enter Units (2)" xfId="55982"/>
    <cellStyle name="Euro" xfId="55983"/>
    <cellStyle name="Explanatory Text 2" xfId="219"/>
    <cellStyle name="Explanatory Text 3" xfId="384"/>
    <cellStyle name="Explanatory Text 4" xfId="15371"/>
    <cellStyle name="Explanatory Text 5" xfId="15415"/>
    <cellStyle name="Explanatory Text 6" xfId="36"/>
    <cellStyle name="Fixed" xfId="10"/>
    <cellStyle name="Fixed 2" xfId="55984"/>
    <cellStyle name="Good 2" xfId="210"/>
    <cellStyle name="Good 3" xfId="375"/>
    <cellStyle name="Good 4" xfId="15361"/>
    <cellStyle name="Good 5" xfId="15405"/>
    <cellStyle name="Good 6" xfId="27"/>
    <cellStyle name="Grey" xfId="11"/>
    <cellStyle name="Grey 10" xfId="1021"/>
    <cellStyle name="Grey 100" xfId="11462"/>
    <cellStyle name="Grey 101" xfId="11604"/>
    <cellStyle name="Grey 102" xfId="11746"/>
    <cellStyle name="Grey 103" xfId="11888"/>
    <cellStyle name="Grey 104" xfId="12030"/>
    <cellStyle name="Grey 105" xfId="12172"/>
    <cellStyle name="Grey 106" xfId="12314"/>
    <cellStyle name="Grey 107" xfId="12456"/>
    <cellStyle name="Grey 108" xfId="12598"/>
    <cellStyle name="Grey 109" xfId="12740"/>
    <cellStyle name="Grey 11" xfId="1127"/>
    <cellStyle name="Grey 110" xfId="12882"/>
    <cellStyle name="Grey 111" xfId="13024"/>
    <cellStyle name="Grey 112" xfId="13166"/>
    <cellStyle name="Grey 113" xfId="13308"/>
    <cellStyle name="Grey 114" xfId="13450"/>
    <cellStyle name="Grey 115" xfId="13592"/>
    <cellStyle name="Grey 116" xfId="13734"/>
    <cellStyle name="Grey 117" xfId="13875"/>
    <cellStyle name="Grey 118" xfId="14016"/>
    <cellStyle name="Grey 119" xfId="14157"/>
    <cellStyle name="Grey 12" xfId="1233"/>
    <cellStyle name="Grey 120" xfId="14298"/>
    <cellStyle name="Grey 121" xfId="14438"/>
    <cellStyle name="Grey 122" xfId="14578"/>
    <cellStyle name="Grey 123" xfId="14717"/>
    <cellStyle name="Grey 124" xfId="14852"/>
    <cellStyle name="Grey 125" xfId="14986"/>
    <cellStyle name="Grey 126" xfId="15115"/>
    <cellStyle name="Grey 127" xfId="15237"/>
    <cellStyle name="Grey 13" xfId="1339"/>
    <cellStyle name="Grey 14" xfId="1445"/>
    <cellStyle name="Grey 15" xfId="1551"/>
    <cellStyle name="Grey 16" xfId="1657"/>
    <cellStyle name="Grey 17" xfId="1763"/>
    <cellStyle name="Grey 18" xfId="1869"/>
    <cellStyle name="Grey 19" xfId="1975"/>
    <cellStyle name="Grey 2" xfId="100"/>
    <cellStyle name="Grey 2 10" xfId="1214"/>
    <cellStyle name="Grey 2 100" xfId="11727"/>
    <cellStyle name="Grey 2 101" xfId="11869"/>
    <cellStyle name="Grey 2 102" xfId="12011"/>
    <cellStyle name="Grey 2 103" xfId="12153"/>
    <cellStyle name="Grey 2 104" xfId="12295"/>
    <cellStyle name="Grey 2 105" xfId="12437"/>
    <cellStyle name="Grey 2 106" xfId="12579"/>
    <cellStyle name="Grey 2 107" xfId="12721"/>
    <cellStyle name="Grey 2 108" xfId="12863"/>
    <cellStyle name="Grey 2 109" xfId="13005"/>
    <cellStyle name="Grey 2 11" xfId="1320"/>
    <cellStyle name="Grey 2 110" xfId="13147"/>
    <cellStyle name="Grey 2 111" xfId="13289"/>
    <cellStyle name="Grey 2 112" xfId="13431"/>
    <cellStyle name="Grey 2 113" xfId="13573"/>
    <cellStyle name="Grey 2 114" xfId="13715"/>
    <cellStyle name="Grey 2 115" xfId="13856"/>
    <cellStyle name="Grey 2 116" xfId="13997"/>
    <cellStyle name="Grey 2 117" xfId="14138"/>
    <cellStyle name="Grey 2 118" xfId="14279"/>
    <cellStyle name="Grey 2 119" xfId="14420"/>
    <cellStyle name="Grey 2 12" xfId="1426"/>
    <cellStyle name="Grey 2 120" xfId="14560"/>
    <cellStyle name="Grey 2 121" xfId="14699"/>
    <cellStyle name="Grey 2 122" xfId="14834"/>
    <cellStyle name="Grey 2 123" xfId="14968"/>
    <cellStyle name="Grey 2 124" xfId="15100"/>
    <cellStyle name="Grey 2 125" xfId="15225"/>
    <cellStyle name="Grey 2 13" xfId="1532"/>
    <cellStyle name="Grey 2 14" xfId="1638"/>
    <cellStyle name="Grey 2 15" xfId="1744"/>
    <cellStyle name="Grey 2 16" xfId="1850"/>
    <cellStyle name="Grey 2 17" xfId="1956"/>
    <cellStyle name="Grey 2 18" xfId="2062"/>
    <cellStyle name="Grey 2 19" xfId="2168"/>
    <cellStyle name="Grey 2 2" xfId="279"/>
    <cellStyle name="Grey 2 20" xfId="2274"/>
    <cellStyle name="Grey 2 21" xfId="2380"/>
    <cellStyle name="Grey 2 22" xfId="2486"/>
    <cellStyle name="Grey 2 23" xfId="2592"/>
    <cellStyle name="Grey 2 24" xfId="2698"/>
    <cellStyle name="Grey 2 25" xfId="2804"/>
    <cellStyle name="Grey 2 26" xfId="2910"/>
    <cellStyle name="Grey 2 27" xfId="3016"/>
    <cellStyle name="Grey 2 28" xfId="3122"/>
    <cellStyle name="Grey 2 29" xfId="3228"/>
    <cellStyle name="Grey 2 3" xfId="469"/>
    <cellStyle name="Grey 2 30" xfId="3334"/>
    <cellStyle name="Grey 2 31" xfId="3440"/>
    <cellStyle name="Grey 2 32" xfId="3546"/>
    <cellStyle name="Grey 2 33" xfId="3652"/>
    <cellStyle name="Grey 2 34" xfId="3758"/>
    <cellStyle name="Grey 2 35" xfId="3864"/>
    <cellStyle name="Grey 2 36" xfId="3970"/>
    <cellStyle name="Grey 2 37" xfId="4076"/>
    <cellStyle name="Grey 2 38" xfId="4182"/>
    <cellStyle name="Grey 2 39" xfId="4288"/>
    <cellStyle name="Grey 2 4" xfId="578"/>
    <cellStyle name="Grey 2 40" xfId="4394"/>
    <cellStyle name="Grey 2 41" xfId="4500"/>
    <cellStyle name="Grey 2 42" xfId="4606"/>
    <cellStyle name="Grey 2 43" xfId="4712"/>
    <cellStyle name="Grey 2 44" xfId="4818"/>
    <cellStyle name="Grey 2 45" xfId="4924"/>
    <cellStyle name="Grey 2 46" xfId="5030"/>
    <cellStyle name="Grey 2 47" xfId="5136"/>
    <cellStyle name="Grey 2 48" xfId="5242"/>
    <cellStyle name="Grey 2 49" xfId="5348"/>
    <cellStyle name="Grey 2 5" xfId="684"/>
    <cellStyle name="Grey 2 50" xfId="5454"/>
    <cellStyle name="Grey 2 51" xfId="5560"/>
    <cellStyle name="Grey 2 52" xfId="5666"/>
    <cellStyle name="Grey 2 53" xfId="5772"/>
    <cellStyle name="Grey 2 54" xfId="5878"/>
    <cellStyle name="Grey 2 55" xfId="5984"/>
    <cellStyle name="Grey 2 56" xfId="6090"/>
    <cellStyle name="Grey 2 57" xfId="6196"/>
    <cellStyle name="Grey 2 58" xfId="6302"/>
    <cellStyle name="Grey 2 59" xfId="6408"/>
    <cellStyle name="Grey 2 6" xfId="790"/>
    <cellStyle name="Grey 2 60" xfId="6514"/>
    <cellStyle name="Grey 2 61" xfId="6619"/>
    <cellStyle name="Grey 2 62" xfId="6724"/>
    <cellStyle name="Grey 2 63" xfId="6829"/>
    <cellStyle name="Grey 2 64" xfId="6934"/>
    <cellStyle name="Grey 2 65" xfId="7039"/>
    <cellStyle name="Grey 2 66" xfId="7143"/>
    <cellStyle name="Grey 2 67" xfId="7246"/>
    <cellStyle name="Grey 2 68" xfId="7346"/>
    <cellStyle name="Grey 2 69" xfId="7445"/>
    <cellStyle name="Grey 2 7" xfId="896"/>
    <cellStyle name="Grey 2 70" xfId="7539"/>
    <cellStyle name="Grey 2 71" xfId="7625"/>
    <cellStyle name="Grey 2 72" xfId="7780"/>
    <cellStyle name="Grey 2 73" xfId="7893"/>
    <cellStyle name="Grey 2 74" xfId="8035"/>
    <cellStyle name="Grey 2 75" xfId="8177"/>
    <cellStyle name="Grey 2 76" xfId="8319"/>
    <cellStyle name="Grey 2 77" xfId="8461"/>
    <cellStyle name="Grey 2 78" xfId="8603"/>
    <cellStyle name="Grey 2 79" xfId="8745"/>
    <cellStyle name="Grey 2 8" xfId="1002"/>
    <cellStyle name="Grey 2 80" xfId="8887"/>
    <cellStyle name="Grey 2 81" xfId="9029"/>
    <cellStyle name="Grey 2 82" xfId="9171"/>
    <cellStyle name="Grey 2 83" xfId="9313"/>
    <cellStyle name="Grey 2 84" xfId="9455"/>
    <cellStyle name="Grey 2 85" xfId="9597"/>
    <cellStyle name="Grey 2 86" xfId="9739"/>
    <cellStyle name="Grey 2 87" xfId="9881"/>
    <cellStyle name="Grey 2 88" xfId="10023"/>
    <cellStyle name="Grey 2 89" xfId="10165"/>
    <cellStyle name="Grey 2 9" xfId="1108"/>
    <cellStyle name="Grey 2 90" xfId="10307"/>
    <cellStyle name="Grey 2 91" xfId="10449"/>
    <cellStyle name="Grey 2 92" xfId="10591"/>
    <cellStyle name="Grey 2 93" xfId="10733"/>
    <cellStyle name="Grey 2 94" xfId="10875"/>
    <cellStyle name="Grey 2 95" xfId="11017"/>
    <cellStyle name="Grey 2 96" xfId="11159"/>
    <cellStyle name="Grey 2 97" xfId="11301"/>
    <cellStyle name="Grey 2 98" xfId="11443"/>
    <cellStyle name="Grey 2 99" xfId="11585"/>
    <cellStyle name="Grey 20" xfId="2081"/>
    <cellStyle name="Grey 21" xfId="2187"/>
    <cellStyle name="Grey 22" xfId="2293"/>
    <cellStyle name="Grey 23" xfId="2399"/>
    <cellStyle name="Grey 24" xfId="2505"/>
    <cellStyle name="Grey 25" xfId="2611"/>
    <cellStyle name="Grey 26" xfId="2717"/>
    <cellStyle name="Grey 27" xfId="2823"/>
    <cellStyle name="Grey 28" xfId="2929"/>
    <cellStyle name="Grey 29" xfId="3035"/>
    <cellStyle name="Grey 3" xfId="105"/>
    <cellStyle name="Grey 3 10" xfId="1244"/>
    <cellStyle name="Grey 3 100" xfId="11760"/>
    <cellStyle name="Grey 3 101" xfId="11902"/>
    <cellStyle name="Grey 3 102" xfId="12044"/>
    <cellStyle name="Grey 3 103" xfId="12186"/>
    <cellStyle name="Grey 3 104" xfId="12328"/>
    <cellStyle name="Grey 3 105" xfId="12470"/>
    <cellStyle name="Grey 3 106" xfId="12612"/>
    <cellStyle name="Grey 3 107" xfId="12754"/>
    <cellStyle name="Grey 3 108" xfId="12896"/>
    <cellStyle name="Grey 3 109" xfId="13038"/>
    <cellStyle name="Grey 3 11" xfId="1350"/>
    <cellStyle name="Grey 3 110" xfId="13180"/>
    <cellStyle name="Grey 3 111" xfId="13322"/>
    <cellStyle name="Grey 3 112" xfId="13464"/>
    <cellStyle name="Grey 3 113" xfId="13606"/>
    <cellStyle name="Grey 3 114" xfId="13748"/>
    <cellStyle name="Grey 3 115" xfId="13889"/>
    <cellStyle name="Grey 3 116" xfId="14030"/>
    <cellStyle name="Grey 3 117" xfId="14171"/>
    <cellStyle name="Grey 3 118" xfId="14312"/>
    <cellStyle name="Grey 3 119" xfId="14452"/>
    <cellStyle name="Grey 3 12" xfId="1456"/>
    <cellStyle name="Grey 3 120" xfId="14592"/>
    <cellStyle name="Grey 3 121" xfId="14731"/>
    <cellStyle name="Grey 3 122" xfId="14866"/>
    <cellStyle name="Grey 3 123" xfId="15000"/>
    <cellStyle name="Grey 3 124" xfId="15129"/>
    <cellStyle name="Grey 3 125" xfId="15251"/>
    <cellStyle name="Grey 3 13" xfId="1562"/>
    <cellStyle name="Grey 3 14" xfId="1668"/>
    <cellStyle name="Grey 3 15" xfId="1774"/>
    <cellStyle name="Grey 3 16" xfId="1880"/>
    <cellStyle name="Grey 3 17" xfId="1986"/>
    <cellStyle name="Grey 3 18" xfId="2092"/>
    <cellStyle name="Grey 3 19" xfId="2198"/>
    <cellStyle name="Grey 3 2" xfId="282"/>
    <cellStyle name="Grey 3 20" xfId="2304"/>
    <cellStyle name="Grey 3 21" xfId="2410"/>
    <cellStyle name="Grey 3 22" xfId="2516"/>
    <cellStyle name="Grey 3 23" xfId="2622"/>
    <cellStyle name="Grey 3 24" xfId="2728"/>
    <cellStyle name="Grey 3 25" xfId="2834"/>
    <cellStyle name="Grey 3 26" xfId="2940"/>
    <cellStyle name="Grey 3 27" xfId="3046"/>
    <cellStyle name="Grey 3 28" xfId="3152"/>
    <cellStyle name="Grey 3 29" xfId="3258"/>
    <cellStyle name="Grey 3 3" xfId="473"/>
    <cellStyle name="Grey 3 30" xfId="3364"/>
    <cellStyle name="Grey 3 31" xfId="3470"/>
    <cellStyle name="Grey 3 32" xfId="3576"/>
    <cellStyle name="Grey 3 33" xfId="3682"/>
    <cellStyle name="Grey 3 34" xfId="3788"/>
    <cellStyle name="Grey 3 35" xfId="3894"/>
    <cellStyle name="Grey 3 36" xfId="4000"/>
    <cellStyle name="Grey 3 37" xfId="4106"/>
    <cellStyle name="Grey 3 38" xfId="4212"/>
    <cellStyle name="Grey 3 39" xfId="4318"/>
    <cellStyle name="Grey 3 4" xfId="608"/>
    <cellStyle name="Grey 3 40" xfId="4424"/>
    <cellStyle name="Grey 3 41" xfId="4530"/>
    <cellStyle name="Grey 3 42" xfId="4636"/>
    <cellStyle name="Grey 3 43" xfId="4742"/>
    <cellStyle name="Grey 3 44" xfId="4848"/>
    <cellStyle name="Grey 3 45" xfId="4954"/>
    <cellStyle name="Grey 3 46" xfId="5060"/>
    <cellStyle name="Grey 3 47" xfId="5166"/>
    <cellStyle name="Grey 3 48" xfId="5272"/>
    <cellStyle name="Grey 3 49" xfId="5378"/>
    <cellStyle name="Grey 3 5" xfId="714"/>
    <cellStyle name="Grey 3 50" xfId="5484"/>
    <cellStyle name="Grey 3 51" xfId="5590"/>
    <cellStyle name="Grey 3 52" xfId="5696"/>
    <cellStyle name="Grey 3 53" xfId="5802"/>
    <cellStyle name="Grey 3 54" xfId="5908"/>
    <cellStyle name="Grey 3 55" xfId="6014"/>
    <cellStyle name="Grey 3 56" xfId="6120"/>
    <cellStyle name="Grey 3 57" xfId="6226"/>
    <cellStyle name="Grey 3 58" xfId="6332"/>
    <cellStyle name="Grey 3 59" xfId="6438"/>
    <cellStyle name="Grey 3 6" xfId="820"/>
    <cellStyle name="Grey 3 60" xfId="6544"/>
    <cellStyle name="Grey 3 61" xfId="6649"/>
    <cellStyle name="Grey 3 62" xfId="6754"/>
    <cellStyle name="Grey 3 63" xfId="6859"/>
    <cellStyle name="Grey 3 64" xfId="6964"/>
    <cellStyle name="Grey 3 65" xfId="7068"/>
    <cellStyle name="Grey 3 66" xfId="7172"/>
    <cellStyle name="Grey 3 67" xfId="7275"/>
    <cellStyle name="Grey 3 68" xfId="7375"/>
    <cellStyle name="Grey 3 69" xfId="7473"/>
    <cellStyle name="Grey 3 7" xfId="926"/>
    <cellStyle name="Grey 3 70" xfId="7562"/>
    <cellStyle name="Grey 3 71" xfId="7638"/>
    <cellStyle name="Grey 3 72" xfId="7784"/>
    <cellStyle name="Grey 3 73" xfId="7926"/>
    <cellStyle name="Grey 3 74" xfId="8068"/>
    <cellStyle name="Grey 3 75" xfId="8210"/>
    <cellStyle name="Grey 3 76" xfId="8352"/>
    <cellStyle name="Grey 3 77" xfId="8494"/>
    <cellStyle name="Grey 3 78" xfId="8636"/>
    <cellStyle name="Grey 3 79" xfId="8778"/>
    <cellStyle name="Grey 3 8" xfId="1032"/>
    <cellStyle name="Grey 3 80" xfId="8920"/>
    <cellStyle name="Grey 3 81" xfId="9062"/>
    <cellStyle name="Grey 3 82" xfId="9204"/>
    <cellStyle name="Grey 3 83" xfId="9346"/>
    <cellStyle name="Grey 3 84" xfId="9488"/>
    <cellStyle name="Grey 3 85" xfId="9630"/>
    <cellStyle name="Grey 3 86" xfId="9772"/>
    <cellStyle name="Grey 3 87" xfId="9914"/>
    <cellStyle name="Grey 3 88" xfId="10056"/>
    <cellStyle name="Grey 3 89" xfId="10198"/>
    <cellStyle name="Grey 3 9" xfId="1138"/>
    <cellStyle name="Grey 3 90" xfId="10340"/>
    <cellStyle name="Grey 3 91" xfId="10482"/>
    <cellStyle name="Grey 3 92" xfId="10624"/>
    <cellStyle name="Grey 3 93" xfId="10766"/>
    <cellStyle name="Grey 3 94" xfId="10908"/>
    <cellStyle name="Grey 3 95" xfId="11050"/>
    <cellStyle name="Grey 3 96" xfId="11192"/>
    <cellStyle name="Grey 3 97" xfId="11334"/>
    <cellStyle name="Grey 3 98" xfId="11476"/>
    <cellStyle name="Grey 3 99" xfId="11618"/>
    <cellStyle name="Grey 30" xfId="3141"/>
    <cellStyle name="Grey 31" xfId="3247"/>
    <cellStyle name="Grey 32" xfId="3353"/>
    <cellStyle name="Grey 33" xfId="3459"/>
    <cellStyle name="Grey 34" xfId="3565"/>
    <cellStyle name="Grey 35" xfId="3671"/>
    <cellStyle name="Grey 36" xfId="3777"/>
    <cellStyle name="Grey 37" xfId="3883"/>
    <cellStyle name="Grey 38" xfId="3989"/>
    <cellStyle name="Grey 39" xfId="4095"/>
    <cellStyle name="Grey 4" xfId="197"/>
    <cellStyle name="Grey 40" xfId="4201"/>
    <cellStyle name="Grey 41" xfId="4307"/>
    <cellStyle name="Grey 42" xfId="4413"/>
    <cellStyle name="Grey 43" xfId="4519"/>
    <cellStyle name="Grey 44" xfId="4625"/>
    <cellStyle name="Grey 45" xfId="4731"/>
    <cellStyle name="Grey 46" xfId="4837"/>
    <cellStyle name="Grey 47" xfId="4943"/>
    <cellStyle name="Grey 48" xfId="5049"/>
    <cellStyle name="Grey 49" xfId="5155"/>
    <cellStyle name="Grey 5" xfId="204"/>
    <cellStyle name="Grey 50" xfId="5261"/>
    <cellStyle name="Grey 51" xfId="5367"/>
    <cellStyle name="Grey 52" xfId="5473"/>
    <cellStyle name="Grey 53" xfId="5579"/>
    <cellStyle name="Grey 54" xfId="5685"/>
    <cellStyle name="Grey 55" xfId="5791"/>
    <cellStyle name="Grey 56" xfId="5897"/>
    <cellStyle name="Grey 57" xfId="6003"/>
    <cellStyle name="Grey 58" xfId="6109"/>
    <cellStyle name="Grey 59" xfId="6215"/>
    <cellStyle name="Grey 6" xfId="597"/>
    <cellStyle name="Grey 60" xfId="6321"/>
    <cellStyle name="Grey 61" xfId="6427"/>
    <cellStyle name="Grey 62" xfId="6533"/>
    <cellStyle name="Grey 63" xfId="6638"/>
    <cellStyle name="Grey 64" xfId="6743"/>
    <cellStyle name="Grey 65" xfId="6848"/>
    <cellStyle name="Grey 66" xfId="6953"/>
    <cellStyle name="Grey 67" xfId="7057"/>
    <cellStyle name="Grey 68" xfId="7161"/>
    <cellStyle name="Grey 69" xfId="7264"/>
    <cellStyle name="Grey 7" xfId="703"/>
    <cellStyle name="Grey 70" xfId="7364"/>
    <cellStyle name="Grey 71" xfId="7462"/>
    <cellStyle name="Grey 72" xfId="7552"/>
    <cellStyle name="Grey 73" xfId="7633"/>
    <cellStyle name="Grey 74" xfId="7698"/>
    <cellStyle name="Grey 75" xfId="7912"/>
    <cellStyle name="Grey 76" xfId="8054"/>
    <cellStyle name="Grey 77" xfId="8196"/>
    <cellStyle name="Grey 78" xfId="8338"/>
    <cellStyle name="Grey 79" xfId="8480"/>
    <cellStyle name="Grey 8" xfId="809"/>
    <cellStyle name="Grey 80" xfId="8622"/>
    <cellStyle name="Grey 81" xfId="8764"/>
    <cellStyle name="Grey 82" xfId="8906"/>
    <cellStyle name="Grey 83" xfId="9048"/>
    <cellStyle name="Grey 84" xfId="9190"/>
    <cellStyle name="Grey 85" xfId="9332"/>
    <cellStyle name="Grey 86" xfId="9474"/>
    <cellStyle name="Grey 87" xfId="9616"/>
    <cellStyle name="Grey 88" xfId="9758"/>
    <cellStyle name="Grey 89" xfId="9900"/>
    <cellStyle name="Grey 9" xfId="915"/>
    <cellStyle name="Grey 90" xfId="10042"/>
    <cellStyle name="Grey 91" xfId="10184"/>
    <cellStyle name="Grey 92" xfId="10326"/>
    <cellStyle name="Grey 93" xfId="10468"/>
    <cellStyle name="Grey 94" xfId="10610"/>
    <cellStyle name="Grey 95" xfId="10752"/>
    <cellStyle name="Grey 96" xfId="10894"/>
    <cellStyle name="Grey 97" xfId="11036"/>
    <cellStyle name="Grey 98" xfId="11178"/>
    <cellStyle name="Grey 99" xfId="11320"/>
    <cellStyle name="Header1" xfId="55985"/>
    <cellStyle name="Header2" xfId="55986"/>
    <cellStyle name="Heading 1 10" xfId="368"/>
    <cellStyle name="Heading 1 11" xfId="15357"/>
    <cellStyle name="Heading 1 12" xfId="15401"/>
    <cellStyle name="Heading 1 13" xfId="12"/>
    <cellStyle name="Heading 1 2" xfId="61"/>
    <cellStyle name="Heading 1 2 10" xfId="1087"/>
    <cellStyle name="Heading 1 2 100" xfId="11564"/>
    <cellStyle name="Heading 1 2 101" xfId="11706"/>
    <cellStyle name="Heading 1 2 102" xfId="11848"/>
    <cellStyle name="Heading 1 2 103" xfId="11990"/>
    <cellStyle name="Heading 1 2 104" xfId="12132"/>
    <cellStyle name="Heading 1 2 105" xfId="12274"/>
    <cellStyle name="Heading 1 2 106" xfId="12416"/>
    <cellStyle name="Heading 1 2 107" xfId="12558"/>
    <cellStyle name="Heading 1 2 108" xfId="12700"/>
    <cellStyle name="Heading 1 2 109" xfId="12842"/>
    <cellStyle name="Heading 1 2 11" xfId="1193"/>
    <cellStyle name="Heading 1 2 110" xfId="12984"/>
    <cellStyle name="Heading 1 2 111" xfId="13126"/>
    <cellStyle name="Heading 1 2 112" xfId="13268"/>
    <cellStyle name="Heading 1 2 113" xfId="13410"/>
    <cellStyle name="Heading 1 2 114" xfId="13552"/>
    <cellStyle name="Heading 1 2 115" xfId="13694"/>
    <cellStyle name="Heading 1 2 116" xfId="13835"/>
    <cellStyle name="Heading 1 2 117" xfId="13976"/>
    <cellStyle name="Heading 1 2 118" xfId="14117"/>
    <cellStyle name="Heading 1 2 119" xfId="14258"/>
    <cellStyle name="Heading 1 2 12" xfId="1299"/>
    <cellStyle name="Heading 1 2 120" xfId="14399"/>
    <cellStyle name="Heading 1 2 121" xfId="14539"/>
    <cellStyle name="Heading 1 2 122" xfId="14679"/>
    <cellStyle name="Heading 1 2 123" xfId="14817"/>
    <cellStyle name="Heading 1 2 124" xfId="14951"/>
    <cellStyle name="Heading 1 2 125" xfId="15085"/>
    <cellStyle name="Heading 1 2 126" xfId="15212"/>
    <cellStyle name="Heading 1 2 13" xfId="1405"/>
    <cellStyle name="Heading 1 2 14" xfId="1511"/>
    <cellStyle name="Heading 1 2 15" xfId="1617"/>
    <cellStyle name="Heading 1 2 16" xfId="1723"/>
    <cellStyle name="Heading 1 2 17" xfId="1829"/>
    <cellStyle name="Heading 1 2 18" xfId="1935"/>
    <cellStyle name="Heading 1 2 19" xfId="2041"/>
    <cellStyle name="Heading 1 2 2" xfId="198"/>
    <cellStyle name="Heading 1 2 2 10" xfId="783"/>
    <cellStyle name="Heading 1 2 2 100" xfId="11152"/>
    <cellStyle name="Heading 1 2 2 101" xfId="11294"/>
    <cellStyle name="Heading 1 2 2 102" xfId="11436"/>
    <cellStyle name="Heading 1 2 2 103" xfId="11578"/>
    <cellStyle name="Heading 1 2 2 104" xfId="11720"/>
    <cellStyle name="Heading 1 2 2 105" xfId="11862"/>
    <cellStyle name="Heading 1 2 2 106" xfId="12004"/>
    <cellStyle name="Heading 1 2 2 107" xfId="12146"/>
    <cellStyle name="Heading 1 2 2 108" xfId="12288"/>
    <cellStyle name="Heading 1 2 2 109" xfId="12430"/>
    <cellStyle name="Heading 1 2 2 11" xfId="889"/>
    <cellStyle name="Heading 1 2 2 110" xfId="12572"/>
    <cellStyle name="Heading 1 2 2 111" xfId="12714"/>
    <cellStyle name="Heading 1 2 2 112" xfId="12856"/>
    <cellStyle name="Heading 1 2 2 113" xfId="12998"/>
    <cellStyle name="Heading 1 2 2 114" xfId="13140"/>
    <cellStyle name="Heading 1 2 2 115" xfId="13282"/>
    <cellStyle name="Heading 1 2 2 116" xfId="13424"/>
    <cellStyle name="Heading 1 2 2 117" xfId="13566"/>
    <cellStyle name="Heading 1 2 2 118" xfId="13708"/>
    <cellStyle name="Heading 1 2 2 119" xfId="13849"/>
    <cellStyle name="Heading 1 2 2 12" xfId="995"/>
    <cellStyle name="Heading 1 2 2 120" xfId="13990"/>
    <cellStyle name="Heading 1 2 2 121" xfId="14131"/>
    <cellStyle name="Heading 1 2 2 122" xfId="14272"/>
    <cellStyle name="Heading 1 2 2 123" xfId="14413"/>
    <cellStyle name="Heading 1 2 2 124" xfId="14553"/>
    <cellStyle name="Heading 1 2 2 125" xfId="14693"/>
    <cellStyle name="Heading 1 2 2 13" xfId="1101"/>
    <cellStyle name="Heading 1 2 2 14" xfId="1207"/>
    <cellStyle name="Heading 1 2 2 15" xfId="1313"/>
    <cellStyle name="Heading 1 2 2 16" xfId="1419"/>
    <cellStyle name="Heading 1 2 2 17" xfId="1525"/>
    <cellStyle name="Heading 1 2 2 18" xfId="1631"/>
    <cellStyle name="Heading 1 2 2 19" xfId="1737"/>
    <cellStyle name="Heading 1 2 2 2" xfId="244"/>
    <cellStyle name="Heading 1 2 2 20" xfId="1843"/>
    <cellStyle name="Heading 1 2 2 21" xfId="1949"/>
    <cellStyle name="Heading 1 2 2 22" xfId="2055"/>
    <cellStyle name="Heading 1 2 2 23" xfId="2161"/>
    <cellStyle name="Heading 1 2 2 24" xfId="2267"/>
    <cellStyle name="Heading 1 2 2 25" xfId="2373"/>
    <cellStyle name="Heading 1 2 2 26" xfId="2479"/>
    <cellStyle name="Heading 1 2 2 27" xfId="2585"/>
    <cellStyle name="Heading 1 2 2 28" xfId="2691"/>
    <cellStyle name="Heading 1 2 2 29" xfId="2797"/>
    <cellStyle name="Heading 1 2 2 3" xfId="431"/>
    <cellStyle name="Heading 1 2 2 30" xfId="2903"/>
    <cellStyle name="Heading 1 2 2 31" xfId="3009"/>
    <cellStyle name="Heading 1 2 2 32" xfId="3115"/>
    <cellStyle name="Heading 1 2 2 33" xfId="3221"/>
    <cellStyle name="Heading 1 2 2 34" xfId="3327"/>
    <cellStyle name="Heading 1 2 2 35" xfId="3433"/>
    <cellStyle name="Heading 1 2 2 36" xfId="3539"/>
    <cellStyle name="Heading 1 2 2 37" xfId="3645"/>
    <cellStyle name="Heading 1 2 2 38" xfId="3751"/>
    <cellStyle name="Heading 1 2 2 39" xfId="3857"/>
    <cellStyle name="Heading 1 2 2 4" xfId="283"/>
    <cellStyle name="Heading 1 2 2 40" xfId="3963"/>
    <cellStyle name="Heading 1 2 2 41" xfId="4069"/>
    <cellStyle name="Heading 1 2 2 42" xfId="4175"/>
    <cellStyle name="Heading 1 2 2 43" xfId="4281"/>
    <cellStyle name="Heading 1 2 2 44" xfId="4387"/>
    <cellStyle name="Heading 1 2 2 45" xfId="4493"/>
    <cellStyle name="Heading 1 2 2 46" xfId="4599"/>
    <cellStyle name="Heading 1 2 2 47" xfId="4705"/>
    <cellStyle name="Heading 1 2 2 48" xfId="4811"/>
    <cellStyle name="Heading 1 2 2 49" xfId="4917"/>
    <cellStyle name="Heading 1 2 2 5" xfId="438"/>
    <cellStyle name="Heading 1 2 2 50" xfId="5023"/>
    <cellStyle name="Heading 1 2 2 51" xfId="5129"/>
    <cellStyle name="Heading 1 2 2 52" xfId="5235"/>
    <cellStyle name="Heading 1 2 2 53" xfId="5341"/>
    <cellStyle name="Heading 1 2 2 54" xfId="5447"/>
    <cellStyle name="Heading 1 2 2 55" xfId="5553"/>
    <cellStyle name="Heading 1 2 2 56" xfId="5659"/>
    <cellStyle name="Heading 1 2 2 57" xfId="5765"/>
    <cellStyle name="Heading 1 2 2 58" xfId="5871"/>
    <cellStyle name="Heading 1 2 2 59" xfId="5977"/>
    <cellStyle name="Heading 1 2 2 6" xfId="266"/>
    <cellStyle name="Heading 1 2 2 60" xfId="6083"/>
    <cellStyle name="Heading 1 2 2 61" xfId="6189"/>
    <cellStyle name="Heading 1 2 2 62" xfId="6295"/>
    <cellStyle name="Heading 1 2 2 63" xfId="6401"/>
    <cellStyle name="Heading 1 2 2 64" xfId="6507"/>
    <cellStyle name="Heading 1 2 2 65" xfId="6612"/>
    <cellStyle name="Heading 1 2 2 66" xfId="6717"/>
    <cellStyle name="Heading 1 2 2 67" xfId="6822"/>
    <cellStyle name="Heading 1 2 2 68" xfId="6927"/>
    <cellStyle name="Heading 1 2 2 69" xfId="7032"/>
    <cellStyle name="Heading 1 2 2 7" xfId="459"/>
    <cellStyle name="Heading 1 2 2 70" xfId="7136"/>
    <cellStyle name="Heading 1 2 2 71" xfId="7240"/>
    <cellStyle name="Heading 1 2 2 72" xfId="7742"/>
    <cellStyle name="Heading 1 2 2 73" xfId="7697"/>
    <cellStyle name="Heading 1 2 2 74" xfId="7749"/>
    <cellStyle name="Heading 1 2 2 75" xfId="7693"/>
    <cellStyle name="Heading 1 2 2 76" xfId="7770"/>
    <cellStyle name="Heading 1 2 2 77" xfId="7886"/>
    <cellStyle name="Heading 1 2 2 78" xfId="8028"/>
    <cellStyle name="Heading 1 2 2 79" xfId="8170"/>
    <cellStyle name="Heading 1 2 2 8" xfId="571"/>
    <cellStyle name="Heading 1 2 2 80" xfId="8312"/>
    <cellStyle name="Heading 1 2 2 81" xfId="8454"/>
    <cellStyle name="Heading 1 2 2 82" xfId="8596"/>
    <cellStyle name="Heading 1 2 2 83" xfId="8738"/>
    <cellStyle name="Heading 1 2 2 84" xfId="8880"/>
    <cellStyle name="Heading 1 2 2 85" xfId="9022"/>
    <cellStyle name="Heading 1 2 2 86" xfId="9164"/>
    <cellStyle name="Heading 1 2 2 87" xfId="9306"/>
    <cellStyle name="Heading 1 2 2 88" xfId="9448"/>
    <cellStyle name="Heading 1 2 2 89" xfId="9590"/>
    <cellStyle name="Heading 1 2 2 9" xfId="677"/>
    <cellStyle name="Heading 1 2 2 90" xfId="9732"/>
    <cellStyle name="Heading 1 2 2 91" xfId="9874"/>
    <cellStyle name="Heading 1 2 2 92" xfId="10016"/>
    <cellStyle name="Heading 1 2 2 93" xfId="10158"/>
    <cellStyle name="Heading 1 2 2 94" xfId="10300"/>
    <cellStyle name="Heading 1 2 2 95" xfId="10442"/>
    <cellStyle name="Heading 1 2 2 96" xfId="10584"/>
    <cellStyle name="Heading 1 2 2 97" xfId="10726"/>
    <cellStyle name="Heading 1 2 2 98" xfId="10868"/>
    <cellStyle name="Heading 1 2 2 99" xfId="11010"/>
    <cellStyle name="Heading 1 2 20" xfId="2147"/>
    <cellStyle name="Heading 1 2 21" xfId="2253"/>
    <cellStyle name="Heading 1 2 22" xfId="2359"/>
    <cellStyle name="Heading 1 2 23" xfId="2465"/>
    <cellStyle name="Heading 1 2 24" xfId="2571"/>
    <cellStyle name="Heading 1 2 25" xfId="2677"/>
    <cellStyle name="Heading 1 2 26" xfId="2783"/>
    <cellStyle name="Heading 1 2 27" xfId="2889"/>
    <cellStyle name="Heading 1 2 28" xfId="2995"/>
    <cellStyle name="Heading 1 2 29" xfId="3101"/>
    <cellStyle name="Heading 1 2 3" xfId="409"/>
    <cellStyle name="Heading 1 2 30" xfId="3207"/>
    <cellStyle name="Heading 1 2 31" xfId="3313"/>
    <cellStyle name="Heading 1 2 32" xfId="3419"/>
    <cellStyle name="Heading 1 2 33" xfId="3525"/>
    <cellStyle name="Heading 1 2 34" xfId="3631"/>
    <cellStyle name="Heading 1 2 35" xfId="3737"/>
    <cellStyle name="Heading 1 2 36" xfId="3843"/>
    <cellStyle name="Heading 1 2 37" xfId="3949"/>
    <cellStyle name="Heading 1 2 38" xfId="4055"/>
    <cellStyle name="Heading 1 2 39" xfId="4161"/>
    <cellStyle name="Heading 1 2 4" xfId="285"/>
    <cellStyle name="Heading 1 2 40" xfId="4267"/>
    <cellStyle name="Heading 1 2 41" xfId="4373"/>
    <cellStyle name="Heading 1 2 42" xfId="4479"/>
    <cellStyle name="Heading 1 2 43" xfId="4585"/>
    <cellStyle name="Heading 1 2 44" xfId="4691"/>
    <cellStyle name="Heading 1 2 45" xfId="4797"/>
    <cellStyle name="Heading 1 2 46" xfId="4903"/>
    <cellStyle name="Heading 1 2 47" xfId="5009"/>
    <cellStyle name="Heading 1 2 48" xfId="5115"/>
    <cellStyle name="Heading 1 2 49" xfId="5221"/>
    <cellStyle name="Heading 1 2 5" xfId="558"/>
    <cellStyle name="Heading 1 2 50" xfId="5327"/>
    <cellStyle name="Heading 1 2 51" xfId="5433"/>
    <cellStyle name="Heading 1 2 52" xfId="5539"/>
    <cellStyle name="Heading 1 2 53" xfId="5645"/>
    <cellStyle name="Heading 1 2 54" xfId="5751"/>
    <cellStyle name="Heading 1 2 55" xfId="5857"/>
    <cellStyle name="Heading 1 2 56" xfId="5963"/>
    <cellStyle name="Heading 1 2 57" xfId="6069"/>
    <cellStyle name="Heading 1 2 58" xfId="6175"/>
    <cellStyle name="Heading 1 2 59" xfId="6281"/>
    <cellStyle name="Heading 1 2 6" xfId="663"/>
    <cellStyle name="Heading 1 2 60" xfId="6387"/>
    <cellStyle name="Heading 1 2 61" xfId="6493"/>
    <cellStyle name="Heading 1 2 62" xfId="6598"/>
    <cellStyle name="Heading 1 2 63" xfId="6703"/>
    <cellStyle name="Heading 1 2 64" xfId="6808"/>
    <cellStyle name="Heading 1 2 65" xfId="6913"/>
    <cellStyle name="Heading 1 2 66" xfId="7018"/>
    <cellStyle name="Heading 1 2 67" xfId="7122"/>
    <cellStyle name="Heading 1 2 68" xfId="7226"/>
    <cellStyle name="Heading 1 2 69" xfId="7328"/>
    <cellStyle name="Heading 1 2 7" xfId="769"/>
    <cellStyle name="Heading 1 2 70" xfId="7427"/>
    <cellStyle name="Heading 1 2 71" xfId="7525"/>
    <cellStyle name="Heading 1 2 72" xfId="7614"/>
    <cellStyle name="Heading 1 2 73" xfId="7699"/>
    <cellStyle name="Heading 1 2 74" xfId="7872"/>
    <cellStyle name="Heading 1 2 75" xfId="8014"/>
    <cellStyle name="Heading 1 2 76" xfId="8156"/>
    <cellStyle name="Heading 1 2 77" xfId="8298"/>
    <cellStyle name="Heading 1 2 78" xfId="8440"/>
    <cellStyle name="Heading 1 2 79" xfId="8582"/>
    <cellStyle name="Heading 1 2 8" xfId="875"/>
    <cellStyle name="Heading 1 2 80" xfId="8724"/>
    <cellStyle name="Heading 1 2 81" xfId="8866"/>
    <cellStyle name="Heading 1 2 82" xfId="9008"/>
    <cellStyle name="Heading 1 2 83" xfId="9150"/>
    <cellStyle name="Heading 1 2 84" xfId="9292"/>
    <cellStyle name="Heading 1 2 85" xfId="9434"/>
    <cellStyle name="Heading 1 2 86" xfId="9576"/>
    <cellStyle name="Heading 1 2 87" xfId="9718"/>
    <cellStyle name="Heading 1 2 88" xfId="9860"/>
    <cellStyle name="Heading 1 2 89" xfId="10002"/>
    <cellStyle name="Heading 1 2 9" xfId="981"/>
    <cellStyle name="Heading 1 2 90" xfId="10144"/>
    <cellStyle name="Heading 1 2 91" xfId="10286"/>
    <cellStyle name="Heading 1 2 92" xfId="10428"/>
    <cellStyle name="Heading 1 2 93" xfId="10570"/>
    <cellStyle name="Heading 1 2 94" xfId="10712"/>
    <cellStyle name="Heading 1 2 95" xfId="10854"/>
    <cellStyle name="Heading 1 2 96" xfId="10996"/>
    <cellStyle name="Heading 1 2 97" xfId="11138"/>
    <cellStyle name="Heading 1 2 98" xfId="11280"/>
    <cellStyle name="Heading 1 2 99" xfId="11422"/>
    <cellStyle name="Heading 1 3" xfId="63"/>
    <cellStyle name="Heading 1 4" xfId="66"/>
    <cellStyle name="Heading 1 5" xfId="71"/>
    <cellStyle name="Heading 1 6" xfId="72"/>
    <cellStyle name="Heading 1 7" xfId="78"/>
    <cellStyle name="Heading 1 8" xfId="83"/>
    <cellStyle name="Heading 1 9" xfId="74"/>
    <cellStyle name="Heading 2 10" xfId="369"/>
    <cellStyle name="Heading 2 11" xfId="15358"/>
    <cellStyle name="Heading 2 12" xfId="15402"/>
    <cellStyle name="Heading 2 13" xfId="13"/>
    <cellStyle name="Heading 2 2" xfId="62"/>
    <cellStyle name="Heading 2 2 10" xfId="1088"/>
    <cellStyle name="Heading 2 2 100" xfId="11565"/>
    <cellStyle name="Heading 2 2 101" xfId="11707"/>
    <cellStyle name="Heading 2 2 102" xfId="11849"/>
    <cellStyle name="Heading 2 2 103" xfId="11991"/>
    <cellStyle name="Heading 2 2 104" xfId="12133"/>
    <cellStyle name="Heading 2 2 105" xfId="12275"/>
    <cellStyle name="Heading 2 2 106" xfId="12417"/>
    <cellStyle name="Heading 2 2 107" xfId="12559"/>
    <cellStyle name="Heading 2 2 108" xfId="12701"/>
    <cellStyle name="Heading 2 2 109" xfId="12843"/>
    <cellStyle name="Heading 2 2 11" xfId="1194"/>
    <cellStyle name="Heading 2 2 110" xfId="12985"/>
    <cellStyle name="Heading 2 2 111" xfId="13127"/>
    <cellStyle name="Heading 2 2 112" xfId="13269"/>
    <cellStyle name="Heading 2 2 113" xfId="13411"/>
    <cellStyle name="Heading 2 2 114" xfId="13553"/>
    <cellStyle name="Heading 2 2 115" xfId="13695"/>
    <cellStyle name="Heading 2 2 116" xfId="13836"/>
    <cellStyle name="Heading 2 2 117" xfId="13977"/>
    <cellStyle name="Heading 2 2 118" xfId="14118"/>
    <cellStyle name="Heading 2 2 119" xfId="14259"/>
    <cellStyle name="Heading 2 2 12" xfId="1300"/>
    <cellStyle name="Heading 2 2 120" xfId="14400"/>
    <cellStyle name="Heading 2 2 121" xfId="14540"/>
    <cellStyle name="Heading 2 2 122" xfId="14680"/>
    <cellStyle name="Heading 2 2 123" xfId="14818"/>
    <cellStyle name="Heading 2 2 124" xfId="14952"/>
    <cellStyle name="Heading 2 2 125" xfId="15086"/>
    <cellStyle name="Heading 2 2 126" xfId="15213"/>
    <cellStyle name="Heading 2 2 13" xfId="1406"/>
    <cellStyle name="Heading 2 2 14" xfId="1512"/>
    <cellStyle name="Heading 2 2 15" xfId="1618"/>
    <cellStyle name="Heading 2 2 16" xfId="1724"/>
    <cellStyle name="Heading 2 2 17" xfId="1830"/>
    <cellStyle name="Heading 2 2 18" xfId="1936"/>
    <cellStyle name="Heading 2 2 19" xfId="2042"/>
    <cellStyle name="Heading 2 2 2" xfId="199"/>
    <cellStyle name="Heading 2 2 2 10" xfId="1206"/>
    <cellStyle name="Heading 2 2 2 100" xfId="11719"/>
    <cellStyle name="Heading 2 2 2 101" xfId="11861"/>
    <cellStyle name="Heading 2 2 2 102" xfId="12003"/>
    <cellStyle name="Heading 2 2 2 103" xfId="12145"/>
    <cellStyle name="Heading 2 2 2 104" xfId="12287"/>
    <cellStyle name="Heading 2 2 2 105" xfId="12429"/>
    <cellStyle name="Heading 2 2 2 106" xfId="12571"/>
    <cellStyle name="Heading 2 2 2 107" xfId="12713"/>
    <cellStyle name="Heading 2 2 2 108" xfId="12855"/>
    <cellStyle name="Heading 2 2 2 109" xfId="12997"/>
    <cellStyle name="Heading 2 2 2 11" xfId="1312"/>
    <cellStyle name="Heading 2 2 2 110" xfId="13139"/>
    <cellStyle name="Heading 2 2 2 111" xfId="13281"/>
    <cellStyle name="Heading 2 2 2 112" xfId="13423"/>
    <cellStyle name="Heading 2 2 2 113" xfId="13565"/>
    <cellStyle name="Heading 2 2 2 114" xfId="13707"/>
    <cellStyle name="Heading 2 2 2 115" xfId="13848"/>
    <cellStyle name="Heading 2 2 2 116" xfId="13989"/>
    <cellStyle name="Heading 2 2 2 117" xfId="14130"/>
    <cellStyle name="Heading 2 2 2 118" xfId="14271"/>
    <cellStyle name="Heading 2 2 2 119" xfId="14412"/>
    <cellStyle name="Heading 2 2 2 12" xfId="1418"/>
    <cellStyle name="Heading 2 2 2 120" xfId="14552"/>
    <cellStyle name="Heading 2 2 2 121" xfId="14692"/>
    <cellStyle name="Heading 2 2 2 122" xfId="14828"/>
    <cellStyle name="Heading 2 2 2 123" xfId="14962"/>
    <cellStyle name="Heading 2 2 2 124" xfId="15095"/>
    <cellStyle name="Heading 2 2 2 125" xfId="15220"/>
    <cellStyle name="Heading 2 2 2 13" xfId="1524"/>
    <cellStyle name="Heading 2 2 2 14" xfId="1630"/>
    <cellStyle name="Heading 2 2 2 15" xfId="1736"/>
    <cellStyle name="Heading 2 2 2 16" xfId="1842"/>
    <cellStyle name="Heading 2 2 2 17" xfId="1948"/>
    <cellStyle name="Heading 2 2 2 18" xfId="2054"/>
    <cellStyle name="Heading 2 2 2 19" xfId="2160"/>
    <cellStyle name="Heading 2 2 2 2" xfId="245"/>
    <cellStyle name="Heading 2 2 2 20" xfId="2266"/>
    <cellStyle name="Heading 2 2 2 21" xfId="2372"/>
    <cellStyle name="Heading 2 2 2 22" xfId="2478"/>
    <cellStyle name="Heading 2 2 2 23" xfId="2584"/>
    <cellStyle name="Heading 2 2 2 24" xfId="2690"/>
    <cellStyle name="Heading 2 2 2 25" xfId="2796"/>
    <cellStyle name="Heading 2 2 2 26" xfId="2902"/>
    <cellStyle name="Heading 2 2 2 27" xfId="3008"/>
    <cellStyle name="Heading 2 2 2 28" xfId="3114"/>
    <cellStyle name="Heading 2 2 2 29" xfId="3220"/>
    <cellStyle name="Heading 2 2 2 3" xfId="432"/>
    <cellStyle name="Heading 2 2 2 30" xfId="3326"/>
    <cellStyle name="Heading 2 2 2 31" xfId="3432"/>
    <cellStyle name="Heading 2 2 2 32" xfId="3538"/>
    <cellStyle name="Heading 2 2 2 33" xfId="3644"/>
    <cellStyle name="Heading 2 2 2 34" xfId="3750"/>
    <cellStyle name="Heading 2 2 2 35" xfId="3856"/>
    <cellStyle name="Heading 2 2 2 36" xfId="3962"/>
    <cellStyle name="Heading 2 2 2 37" xfId="4068"/>
    <cellStyle name="Heading 2 2 2 38" xfId="4174"/>
    <cellStyle name="Heading 2 2 2 39" xfId="4280"/>
    <cellStyle name="Heading 2 2 2 4" xfId="570"/>
    <cellStyle name="Heading 2 2 2 40" xfId="4386"/>
    <cellStyle name="Heading 2 2 2 41" xfId="4492"/>
    <cellStyle name="Heading 2 2 2 42" xfId="4598"/>
    <cellStyle name="Heading 2 2 2 43" xfId="4704"/>
    <cellStyle name="Heading 2 2 2 44" xfId="4810"/>
    <cellStyle name="Heading 2 2 2 45" xfId="4916"/>
    <cellStyle name="Heading 2 2 2 46" xfId="5022"/>
    <cellStyle name="Heading 2 2 2 47" xfId="5128"/>
    <cellStyle name="Heading 2 2 2 48" xfId="5234"/>
    <cellStyle name="Heading 2 2 2 49" xfId="5340"/>
    <cellStyle name="Heading 2 2 2 5" xfId="676"/>
    <cellStyle name="Heading 2 2 2 50" xfId="5446"/>
    <cellStyle name="Heading 2 2 2 51" xfId="5552"/>
    <cellStyle name="Heading 2 2 2 52" xfId="5658"/>
    <cellStyle name="Heading 2 2 2 53" xfId="5764"/>
    <cellStyle name="Heading 2 2 2 54" xfId="5870"/>
    <cellStyle name="Heading 2 2 2 55" xfId="5976"/>
    <cellStyle name="Heading 2 2 2 56" xfId="6082"/>
    <cellStyle name="Heading 2 2 2 57" xfId="6188"/>
    <cellStyle name="Heading 2 2 2 58" xfId="6294"/>
    <cellStyle name="Heading 2 2 2 59" xfId="6400"/>
    <cellStyle name="Heading 2 2 2 6" xfId="782"/>
    <cellStyle name="Heading 2 2 2 60" xfId="6506"/>
    <cellStyle name="Heading 2 2 2 61" xfId="6611"/>
    <cellStyle name="Heading 2 2 2 62" xfId="6716"/>
    <cellStyle name="Heading 2 2 2 63" xfId="6821"/>
    <cellStyle name="Heading 2 2 2 64" xfId="6926"/>
    <cellStyle name="Heading 2 2 2 65" xfId="7031"/>
    <cellStyle name="Heading 2 2 2 66" xfId="7135"/>
    <cellStyle name="Heading 2 2 2 67" xfId="7239"/>
    <cellStyle name="Heading 2 2 2 68" xfId="7340"/>
    <cellStyle name="Heading 2 2 2 69" xfId="7439"/>
    <cellStyle name="Heading 2 2 2 7" xfId="888"/>
    <cellStyle name="Heading 2 2 2 70" xfId="7534"/>
    <cellStyle name="Heading 2 2 2 71" xfId="7621"/>
    <cellStyle name="Heading 2 2 2 72" xfId="7743"/>
    <cellStyle name="Heading 2 2 2 73" xfId="7885"/>
    <cellStyle name="Heading 2 2 2 74" xfId="8027"/>
    <cellStyle name="Heading 2 2 2 75" xfId="8169"/>
    <cellStyle name="Heading 2 2 2 76" xfId="8311"/>
    <cellStyle name="Heading 2 2 2 77" xfId="8453"/>
    <cellStyle name="Heading 2 2 2 78" xfId="8595"/>
    <cellStyle name="Heading 2 2 2 79" xfId="8737"/>
    <cellStyle name="Heading 2 2 2 8" xfId="994"/>
    <cellStyle name="Heading 2 2 2 80" xfId="8879"/>
    <cellStyle name="Heading 2 2 2 81" xfId="9021"/>
    <cellStyle name="Heading 2 2 2 82" xfId="9163"/>
    <cellStyle name="Heading 2 2 2 83" xfId="9305"/>
    <cellStyle name="Heading 2 2 2 84" xfId="9447"/>
    <cellStyle name="Heading 2 2 2 85" xfId="9589"/>
    <cellStyle name="Heading 2 2 2 86" xfId="9731"/>
    <cellStyle name="Heading 2 2 2 87" xfId="9873"/>
    <cellStyle name="Heading 2 2 2 88" xfId="10015"/>
    <cellStyle name="Heading 2 2 2 89" xfId="10157"/>
    <cellStyle name="Heading 2 2 2 9" xfId="1100"/>
    <cellStyle name="Heading 2 2 2 90" xfId="10299"/>
    <cellStyle name="Heading 2 2 2 91" xfId="10441"/>
    <cellStyle name="Heading 2 2 2 92" xfId="10583"/>
    <cellStyle name="Heading 2 2 2 93" xfId="10725"/>
    <cellStyle name="Heading 2 2 2 94" xfId="10867"/>
    <cellStyle name="Heading 2 2 2 95" xfId="11009"/>
    <cellStyle name="Heading 2 2 2 96" xfId="11151"/>
    <cellStyle name="Heading 2 2 2 97" xfId="11293"/>
    <cellStyle name="Heading 2 2 2 98" xfId="11435"/>
    <cellStyle name="Heading 2 2 2 99" xfId="11577"/>
    <cellStyle name="Heading 2 2 20" xfId="2148"/>
    <cellStyle name="Heading 2 2 21" xfId="2254"/>
    <cellStyle name="Heading 2 2 22" xfId="2360"/>
    <cellStyle name="Heading 2 2 23" xfId="2466"/>
    <cellStyle name="Heading 2 2 24" xfId="2572"/>
    <cellStyle name="Heading 2 2 25" xfId="2678"/>
    <cellStyle name="Heading 2 2 26" xfId="2784"/>
    <cellStyle name="Heading 2 2 27" xfId="2890"/>
    <cellStyle name="Heading 2 2 28" xfId="2996"/>
    <cellStyle name="Heading 2 2 29" xfId="3102"/>
    <cellStyle name="Heading 2 2 3" xfId="410"/>
    <cellStyle name="Heading 2 2 30" xfId="3208"/>
    <cellStyle name="Heading 2 2 31" xfId="3314"/>
    <cellStyle name="Heading 2 2 32" xfId="3420"/>
    <cellStyle name="Heading 2 2 33" xfId="3526"/>
    <cellStyle name="Heading 2 2 34" xfId="3632"/>
    <cellStyle name="Heading 2 2 35" xfId="3738"/>
    <cellStyle name="Heading 2 2 36" xfId="3844"/>
    <cellStyle name="Heading 2 2 37" xfId="3950"/>
    <cellStyle name="Heading 2 2 38" xfId="4056"/>
    <cellStyle name="Heading 2 2 39" xfId="4162"/>
    <cellStyle name="Heading 2 2 4" xfId="280"/>
    <cellStyle name="Heading 2 2 40" xfId="4268"/>
    <cellStyle name="Heading 2 2 41" xfId="4374"/>
    <cellStyle name="Heading 2 2 42" xfId="4480"/>
    <cellStyle name="Heading 2 2 43" xfId="4586"/>
    <cellStyle name="Heading 2 2 44" xfId="4692"/>
    <cellStyle name="Heading 2 2 45" xfId="4798"/>
    <cellStyle name="Heading 2 2 46" xfId="4904"/>
    <cellStyle name="Heading 2 2 47" xfId="5010"/>
    <cellStyle name="Heading 2 2 48" xfId="5116"/>
    <cellStyle name="Heading 2 2 49" xfId="5222"/>
    <cellStyle name="Heading 2 2 5" xfId="559"/>
    <cellStyle name="Heading 2 2 50" xfId="5328"/>
    <cellStyle name="Heading 2 2 51" xfId="5434"/>
    <cellStyle name="Heading 2 2 52" xfId="5540"/>
    <cellStyle name="Heading 2 2 53" xfId="5646"/>
    <cellStyle name="Heading 2 2 54" xfId="5752"/>
    <cellStyle name="Heading 2 2 55" xfId="5858"/>
    <cellStyle name="Heading 2 2 56" xfId="5964"/>
    <cellStyle name="Heading 2 2 57" xfId="6070"/>
    <cellStyle name="Heading 2 2 58" xfId="6176"/>
    <cellStyle name="Heading 2 2 59" xfId="6282"/>
    <cellStyle name="Heading 2 2 6" xfId="664"/>
    <cellStyle name="Heading 2 2 60" xfId="6388"/>
    <cellStyle name="Heading 2 2 61" xfId="6494"/>
    <cellStyle name="Heading 2 2 62" xfId="6599"/>
    <cellStyle name="Heading 2 2 63" xfId="6704"/>
    <cellStyle name="Heading 2 2 64" xfId="6809"/>
    <cellStyle name="Heading 2 2 65" xfId="6914"/>
    <cellStyle name="Heading 2 2 66" xfId="7019"/>
    <cellStyle name="Heading 2 2 67" xfId="7123"/>
    <cellStyle name="Heading 2 2 68" xfId="7227"/>
    <cellStyle name="Heading 2 2 69" xfId="7329"/>
    <cellStyle name="Heading 2 2 7" xfId="770"/>
    <cellStyle name="Heading 2 2 70" xfId="7428"/>
    <cellStyle name="Heading 2 2 71" xfId="7526"/>
    <cellStyle name="Heading 2 2 72" xfId="7615"/>
    <cellStyle name="Heading 2 2 73" xfId="7700"/>
    <cellStyle name="Heading 2 2 74" xfId="7873"/>
    <cellStyle name="Heading 2 2 75" xfId="8015"/>
    <cellStyle name="Heading 2 2 76" xfId="8157"/>
    <cellStyle name="Heading 2 2 77" xfId="8299"/>
    <cellStyle name="Heading 2 2 78" xfId="8441"/>
    <cellStyle name="Heading 2 2 79" xfId="8583"/>
    <cellStyle name="Heading 2 2 8" xfId="876"/>
    <cellStyle name="Heading 2 2 80" xfId="8725"/>
    <cellStyle name="Heading 2 2 81" xfId="8867"/>
    <cellStyle name="Heading 2 2 82" xfId="9009"/>
    <cellStyle name="Heading 2 2 83" xfId="9151"/>
    <cellStyle name="Heading 2 2 84" xfId="9293"/>
    <cellStyle name="Heading 2 2 85" xfId="9435"/>
    <cellStyle name="Heading 2 2 86" xfId="9577"/>
    <cellStyle name="Heading 2 2 87" xfId="9719"/>
    <cellStyle name="Heading 2 2 88" xfId="9861"/>
    <cellStyle name="Heading 2 2 89" xfId="10003"/>
    <cellStyle name="Heading 2 2 9" xfId="982"/>
    <cellStyle name="Heading 2 2 90" xfId="10145"/>
    <cellStyle name="Heading 2 2 91" xfId="10287"/>
    <cellStyle name="Heading 2 2 92" xfId="10429"/>
    <cellStyle name="Heading 2 2 93" xfId="10571"/>
    <cellStyle name="Heading 2 2 94" xfId="10713"/>
    <cellStyle name="Heading 2 2 95" xfId="10855"/>
    <cellStyle name="Heading 2 2 96" xfId="10997"/>
    <cellStyle name="Heading 2 2 97" xfId="11139"/>
    <cellStyle name="Heading 2 2 98" xfId="11281"/>
    <cellStyle name="Heading 2 2 99" xfId="11423"/>
    <cellStyle name="Heading 2 3" xfId="64"/>
    <cellStyle name="Heading 2 4" xfId="80"/>
    <cellStyle name="Heading 2 5" xfId="84"/>
    <cellStyle name="Heading 2 6" xfId="86"/>
    <cellStyle name="Heading 2 7" xfId="88"/>
    <cellStyle name="Heading 2 8" xfId="90"/>
    <cellStyle name="Heading 2 9" xfId="70"/>
    <cellStyle name="Heading 3 2" xfId="208"/>
    <cellStyle name="Heading 3 3" xfId="373"/>
    <cellStyle name="Heading 3 4" xfId="15359"/>
    <cellStyle name="Heading 3 5" xfId="15403"/>
    <cellStyle name="Heading 3 6" xfId="25"/>
    <cellStyle name="Heading 4 2" xfId="209"/>
    <cellStyle name="Heading 4 3" xfId="374"/>
    <cellStyle name="Heading 4 4" xfId="15360"/>
    <cellStyle name="Heading 4 5" xfId="15404"/>
    <cellStyle name="Heading 4 6" xfId="26"/>
    <cellStyle name="Heading1" xfId="55987"/>
    <cellStyle name="Heading2" xfId="55988"/>
    <cellStyle name="Input [yellow]" xfId="14"/>
    <cellStyle name="Input [yellow] 10" xfId="797"/>
    <cellStyle name="Input [yellow] 100" xfId="11196"/>
    <cellStyle name="Input [yellow] 101" xfId="11338"/>
    <cellStyle name="Input [yellow] 102" xfId="11480"/>
    <cellStyle name="Input [yellow] 103" xfId="11622"/>
    <cellStyle name="Input [yellow] 104" xfId="11764"/>
    <cellStyle name="Input [yellow] 105" xfId="11906"/>
    <cellStyle name="Input [yellow] 106" xfId="12048"/>
    <cellStyle name="Input [yellow] 107" xfId="12190"/>
    <cellStyle name="Input [yellow] 108" xfId="12332"/>
    <cellStyle name="Input [yellow] 109" xfId="12474"/>
    <cellStyle name="Input [yellow] 11" xfId="903"/>
    <cellStyle name="Input [yellow] 110" xfId="12616"/>
    <cellStyle name="Input [yellow] 111" xfId="12758"/>
    <cellStyle name="Input [yellow] 112" xfId="12900"/>
    <cellStyle name="Input [yellow] 113" xfId="13042"/>
    <cellStyle name="Input [yellow] 114" xfId="13184"/>
    <cellStyle name="Input [yellow] 115" xfId="13326"/>
    <cellStyle name="Input [yellow] 116" xfId="13468"/>
    <cellStyle name="Input [yellow] 117" xfId="13610"/>
    <cellStyle name="Input [yellow] 118" xfId="13752"/>
    <cellStyle name="Input [yellow] 119" xfId="13893"/>
    <cellStyle name="Input [yellow] 12" xfId="1009"/>
    <cellStyle name="Input [yellow] 120" xfId="14034"/>
    <cellStyle name="Input [yellow] 121" xfId="14175"/>
    <cellStyle name="Input [yellow] 122" xfId="14316"/>
    <cellStyle name="Input [yellow] 123" xfId="14456"/>
    <cellStyle name="Input [yellow] 124" xfId="14596"/>
    <cellStyle name="Input [yellow] 125" xfId="14735"/>
    <cellStyle name="Input [yellow] 126" xfId="14870"/>
    <cellStyle name="Input [yellow] 127" xfId="15004"/>
    <cellStyle name="Input [yellow] 13" xfId="1115"/>
    <cellStyle name="Input [yellow] 14" xfId="1221"/>
    <cellStyle name="Input [yellow] 15" xfId="1327"/>
    <cellStyle name="Input [yellow] 16" xfId="1433"/>
    <cellStyle name="Input [yellow] 17" xfId="1539"/>
    <cellStyle name="Input [yellow] 18" xfId="1645"/>
    <cellStyle name="Input [yellow] 19" xfId="1751"/>
    <cellStyle name="Input [yellow] 2" xfId="101"/>
    <cellStyle name="Input [yellow] 20" xfId="1857"/>
    <cellStyle name="Input [yellow] 21" xfId="1963"/>
    <cellStyle name="Input [yellow] 22" xfId="2069"/>
    <cellStyle name="Input [yellow] 23" xfId="2175"/>
    <cellStyle name="Input [yellow] 24" xfId="2281"/>
    <cellStyle name="Input [yellow] 25" xfId="2387"/>
    <cellStyle name="Input [yellow] 26" xfId="2493"/>
    <cellStyle name="Input [yellow] 27" xfId="2599"/>
    <cellStyle name="Input [yellow] 28" xfId="2705"/>
    <cellStyle name="Input [yellow] 29" xfId="2811"/>
    <cellStyle name="Input [yellow] 3" xfId="102"/>
    <cellStyle name="Input [yellow] 30" xfId="2917"/>
    <cellStyle name="Input [yellow] 31" xfId="3023"/>
    <cellStyle name="Input [yellow] 32" xfId="3129"/>
    <cellStyle name="Input [yellow] 33" xfId="3235"/>
    <cellStyle name="Input [yellow] 34" xfId="3341"/>
    <cellStyle name="Input [yellow] 35" xfId="3447"/>
    <cellStyle name="Input [yellow] 36" xfId="3553"/>
    <cellStyle name="Input [yellow] 37" xfId="3659"/>
    <cellStyle name="Input [yellow] 38" xfId="3765"/>
    <cellStyle name="Input [yellow] 39" xfId="3871"/>
    <cellStyle name="Input [yellow] 4" xfId="200"/>
    <cellStyle name="Input [yellow] 40" xfId="3977"/>
    <cellStyle name="Input [yellow] 41" xfId="4083"/>
    <cellStyle name="Input [yellow] 42" xfId="4189"/>
    <cellStyle name="Input [yellow] 43" xfId="4295"/>
    <cellStyle name="Input [yellow] 44" xfId="4401"/>
    <cellStyle name="Input [yellow] 45" xfId="4507"/>
    <cellStyle name="Input [yellow] 46" xfId="4613"/>
    <cellStyle name="Input [yellow] 47" xfId="4719"/>
    <cellStyle name="Input [yellow] 48" xfId="4825"/>
    <cellStyle name="Input [yellow] 49" xfId="4931"/>
    <cellStyle name="Input [yellow] 5" xfId="287"/>
    <cellStyle name="Input [yellow] 50" xfId="5037"/>
    <cellStyle name="Input [yellow] 51" xfId="5143"/>
    <cellStyle name="Input [yellow] 52" xfId="5249"/>
    <cellStyle name="Input [yellow] 53" xfId="5355"/>
    <cellStyle name="Input [yellow] 54" xfId="5461"/>
    <cellStyle name="Input [yellow] 55" xfId="5567"/>
    <cellStyle name="Input [yellow] 56" xfId="5673"/>
    <cellStyle name="Input [yellow] 57" xfId="5779"/>
    <cellStyle name="Input [yellow] 58" xfId="5885"/>
    <cellStyle name="Input [yellow] 59" xfId="5991"/>
    <cellStyle name="Input [yellow] 6" xfId="265"/>
    <cellStyle name="Input [yellow] 60" xfId="6097"/>
    <cellStyle name="Input [yellow] 61" xfId="6203"/>
    <cellStyle name="Input [yellow] 62" xfId="6309"/>
    <cellStyle name="Input [yellow] 63" xfId="6415"/>
    <cellStyle name="Input [yellow] 64" xfId="6521"/>
    <cellStyle name="Input [yellow] 65" xfId="6626"/>
    <cellStyle name="Input [yellow] 66" xfId="6731"/>
    <cellStyle name="Input [yellow] 67" xfId="6836"/>
    <cellStyle name="Input [yellow] 68" xfId="6941"/>
    <cellStyle name="Input [yellow] 69" xfId="7046"/>
    <cellStyle name="Input [yellow] 7" xfId="477"/>
    <cellStyle name="Input [yellow] 70" xfId="7150"/>
    <cellStyle name="Input [yellow] 71" xfId="7253"/>
    <cellStyle name="Input [yellow] 72" xfId="7353"/>
    <cellStyle name="Input [yellow] 73" xfId="7451"/>
    <cellStyle name="Input [yellow] 74" xfId="7701"/>
    <cellStyle name="Input [yellow] 75" xfId="7707"/>
    <cellStyle name="Input [yellow] 76" xfId="7788"/>
    <cellStyle name="Input [yellow] 77" xfId="7930"/>
    <cellStyle name="Input [yellow] 78" xfId="8072"/>
    <cellStyle name="Input [yellow] 79" xfId="8214"/>
    <cellStyle name="Input [yellow] 8" xfId="585"/>
    <cellStyle name="Input [yellow] 80" xfId="8356"/>
    <cellStyle name="Input [yellow] 81" xfId="8498"/>
    <cellStyle name="Input [yellow] 82" xfId="8640"/>
    <cellStyle name="Input [yellow] 83" xfId="8782"/>
    <cellStyle name="Input [yellow] 84" xfId="8924"/>
    <cellStyle name="Input [yellow] 85" xfId="9066"/>
    <cellStyle name="Input [yellow] 86" xfId="9208"/>
    <cellStyle name="Input [yellow] 87" xfId="9350"/>
    <cellStyle name="Input [yellow] 88" xfId="9492"/>
    <cellStyle name="Input [yellow] 89" xfId="9634"/>
    <cellStyle name="Input [yellow] 9" xfId="691"/>
    <cellStyle name="Input [yellow] 90" xfId="9776"/>
    <cellStyle name="Input [yellow] 91" xfId="9918"/>
    <cellStyle name="Input [yellow] 92" xfId="10060"/>
    <cellStyle name="Input [yellow] 93" xfId="10202"/>
    <cellStyle name="Input [yellow] 94" xfId="10344"/>
    <cellStyle name="Input [yellow] 95" xfId="10486"/>
    <cellStyle name="Input [yellow] 96" xfId="10628"/>
    <cellStyle name="Input [yellow] 97" xfId="10770"/>
    <cellStyle name="Input [yellow] 98" xfId="10912"/>
    <cellStyle name="Input [yellow] 99" xfId="11054"/>
    <cellStyle name="Input 2" xfId="213"/>
    <cellStyle name="Input 3" xfId="378"/>
    <cellStyle name="Input 4" xfId="15364"/>
    <cellStyle name="Input 5" xfId="15408"/>
    <cellStyle name="Input 6" xfId="30"/>
    <cellStyle name="Link Currency (0)" xfId="55989"/>
    <cellStyle name="Link Currency (2)" xfId="55990"/>
    <cellStyle name="Link Units (0)" xfId="55991"/>
    <cellStyle name="Link Units (1)" xfId="55992"/>
    <cellStyle name="Link Units (2)" xfId="55993"/>
    <cellStyle name="Linked Cell 2" xfId="216"/>
    <cellStyle name="Linked Cell 3" xfId="381"/>
    <cellStyle name="Linked Cell 4" xfId="15367"/>
    <cellStyle name="Linked Cell 5" xfId="15411"/>
    <cellStyle name="Linked Cell 6" xfId="33"/>
    <cellStyle name="Milliers [0]_Feuil1" xfId="55994"/>
    <cellStyle name="Milliers_Feuil1" xfId="55995"/>
    <cellStyle name="Monétaire [0]_Feuil1" xfId="55996"/>
    <cellStyle name="Monétaire_Feuil1" xfId="55997"/>
    <cellStyle name="Neutral 2" xfId="212"/>
    <cellStyle name="Neutral 3" xfId="377"/>
    <cellStyle name="Neutral 4" xfId="15363"/>
    <cellStyle name="Neutral 5" xfId="15407"/>
    <cellStyle name="Neutral 6" xfId="29"/>
    <cellStyle name="no dec" xfId="15"/>
    <cellStyle name="no dec 10" xfId="1095"/>
    <cellStyle name="no dec 100" xfId="11572"/>
    <cellStyle name="no dec 101" xfId="11714"/>
    <cellStyle name="no dec 102" xfId="11856"/>
    <cellStyle name="no dec 103" xfId="11998"/>
    <cellStyle name="no dec 104" xfId="12140"/>
    <cellStyle name="no dec 105" xfId="12282"/>
    <cellStyle name="no dec 106" xfId="12424"/>
    <cellStyle name="no dec 107" xfId="12566"/>
    <cellStyle name="no dec 108" xfId="12708"/>
    <cellStyle name="no dec 109" xfId="12850"/>
    <cellStyle name="no dec 11" xfId="1201"/>
    <cellStyle name="no dec 110" xfId="12992"/>
    <cellStyle name="no dec 111" xfId="13134"/>
    <cellStyle name="no dec 112" xfId="13276"/>
    <cellStyle name="no dec 113" xfId="13418"/>
    <cellStyle name="no dec 114" xfId="13560"/>
    <cellStyle name="no dec 115" xfId="13702"/>
    <cellStyle name="no dec 116" xfId="13843"/>
    <cellStyle name="no dec 117" xfId="13984"/>
    <cellStyle name="no dec 118" xfId="14125"/>
    <cellStyle name="no dec 119" xfId="14266"/>
    <cellStyle name="no dec 12" xfId="1307"/>
    <cellStyle name="no dec 120" xfId="14407"/>
    <cellStyle name="no dec 121" xfId="14547"/>
    <cellStyle name="no dec 122" xfId="14687"/>
    <cellStyle name="no dec 123" xfId="14824"/>
    <cellStyle name="no dec 124" xfId="14958"/>
    <cellStyle name="no dec 125" xfId="15090"/>
    <cellStyle name="no dec 13" xfId="1413"/>
    <cellStyle name="no dec 14" xfId="1519"/>
    <cellStyle name="no dec 15" xfId="1625"/>
    <cellStyle name="no dec 16" xfId="1731"/>
    <cellStyle name="no dec 17" xfId="1837"/>
    <cellStyle name="no dec 18" xfId="1943"/>
    <cellStyle name="no dec 19" xfId="2049"/>
    <cellStyle name="no dec 2" xfId="201"/>
    <cellStyle name="no dec 20" xfId="2155"/>
    <cellStyle name="no dec 21" xfId="2261"/>
    <cellStyle name="no dec 22" xfId="2367"/>
    <cellStyle name="no dec 23" xfId="2473"/>
    <cellStyle name="no dec 24" xfId="2579"/>
    <cellStyle name="no dec 25" xfId="2685"/>
    <cellStyle name="no dec 26" xfId="2791"/>
    <cellStyle name="no dec 27" xfId="2897"/>
    <cellStyle name="no dec 28" xfId="3003"/>
    <cellStyle name="no dec 29" xfId="3109"/>
    <cellStyle name="no dec 3" xfId="190"/>
    <cellStyle name="no dec 30" xfId="3215"/>
    <cellStyle name="no dec 31" xfId="3321"/>
    <cellStyle name="no dec 32" xfId="3427"/>
    <cellStyle name="no dec 33" xfId="3533"/>
    <cellStyle name="no dec 34" xfId="3639"/>
    <cellStyle name="no dec 35" xfId="3745"/>
    <cellStyle name="no dec 36" xfId="3851"/>
    <cellStyle name="no dec 37" xfId="3957"/>
    <cellStyle name="no dec 38" xfId="4063"/>
    <cellStyle name="no dec 39" xfId="4169"/>
    <cellStyle name="no dec 4" xfId="269"/>
    <cellStyle name="no dec 40" xfId="4275"/>
    <cellStyle name="no dec 41" xfId="4381"/>
    <cellStyle name="no dec 42" xfId="4487"/>
    <cellStyle name="no dec 43" xfId="4593"/>
    <cellStyle name="no dec 44" xfId="4699"/>
    <cellStyle name="no dec 45" xfId="4805"/>
    <cellStyle name="no dec 46" xfId="4911"/>
    <cellStyle name="no dec 47" xfId="5017"/>
    <cellStyle name="no dec 48" xfId="5123"/>
    <cellStyle name="no dec 49" xfId="5229"/>
    <cellStyle name="no dec 5" xfId="566"/>
    <cellStyle name="no dec 50" xfId="5335"/>
    <cellStyle name="no dec 51" xfId="5441"/>
    <cellStyle name="no dec 52" xfId="5547"/>
    <cellStyle name="no dec 53" xfId="5653"/>
    <cellStyle name="no dec 54" xfId="5759"/>
    <cellStyle name="no dec 55" xfId="5865"/>
    <cellStyle name="no dec 56" xfId="5971"/>
    <cellStyle name="no dec 57" xfId="6077"/>
    <cellStyle name="no dec 58" xfId="6183"/>
    <cellStyle name="no dec 59" xfId="6289"/>
    <cellStyle name="no dec 6" xfId="671"/>
    <cellStyle name="no dec 60" xfId="6395"/>
    <cellStyle name="no dec 61" xfId="6501"/>
    <cellStyle name="no dec 62" xfId="6606"/>
    <cellStyle name="no dec 63" xfId="6711"/>
    <cellStyle name="no dec 64" xfId="6816"/>
    <cellStyle name="no dec 65" xfId="6921"/>
    <cellStyle name="no dec 66" xfId="7026"/>
    <cellStyle name="no dec 67" xfId="7130"/>
    <cellStyle name="no dec 68" xfId="7234"/>
    <cellStyle name="no dec 69" xfId="7335"/>
    <cellStyle name="no dec 7" xfId="777"/>
    <cellStyle name="no dec 70" xfId="7434"/>
    <cellStyle name="no dec 71" xfId="7530"/>
    <cellStyle name="no dec 72" xfId="7702"/>
    <cellStyle name="no dec 73" xfId="7705"/>
    <cellStyle name="no dec 74" xfId="7880"/>
    <cellStyle name="no dec 75" xfId="8022"/>
    <cellStyle name="no dec 76" xfId="8164"/>
    <cellStyle name="no dec 77" xfId="8306"/>
    <cellStyle name="no dec 78" xfId="8448"/>
    <cellStyle name="no dec 79" xfId="8590"/>
    <cellStyle name="no dec 8" xfId="883"/>
    <cellStyle name="no dec 80" xfId="8732"/>
    <cellStyle name="no dec 81" xfId="8874"/>
    <cellStyle name="no dec 82" xfId="9016"/>
    <cellStyle name="no dec 83" xfId="9158"/>
    <cellStyle name="no dec 84" xfId="9300"/>
    <cellStyle name="no dec 85" xfId="9442"/>
    <cellStyle name="no dec 86" xfId="9584"/>
    <cellStyle name="no dec 87" xfId="9726"/>
    <cellStyle name="no dec 88" xfId="9868"/>
    <cellStyle name="no dec 89" xfId="10010"/>
    <cellStyle name="no dec 9" xfId="989"/>
    <cellStyle name="no dec 90" xfId="10152"/>
    <cellStyle name="no dec 91" xfId="10294"/>
    <cellStyle name="no dec 92" xfId="10436"/>
    <cellStyle name="no dec 93" xfId="10578"/>
    <cellStyle name="no dec 94" xfId="10720"/>
    <cellStyle name="no dec 95" xfId="10862"/>
    <cellStyle name="no dec 96" xfId="11004"/>
    <cellStyle name="no dec 97" xfId="11146"/>
    <cellStyle name="no dec 98" xfId="11288"/>
    <cellStyle name="no dec 99" xfId="11430"/>
    <cellStyle name="Normal" xfId="0" builtinId="0"/>
    <cellStyle name="Normal - Style1" xfId="16"/>
    <cellStyle name="Normal 10" xfId="155"/>
    <cellStyle name="Normal 10 10" xfId="1260"/>
    <cellStyle name="Normal 10 10 2" xfId="16418"/>
    <cellStyle name="Normal 10 10 2 2" xfId="43426"/>
    <cellStyle name="Normal 10 10 3" xfId="29922"/>
    <cellStyle name="Normal 10 100" xfId="11809"/>
    <cellStyle name="Normal 10 100 2" xfId="25707"/>
    <cellStyle name="Normal 10 100 2 2" xfId="52715"/>
    <cellStyle name="Normal 10 100 3" xfId="39211"/>
    <cellStyle name="Normal 10 101" xfId="11951"/>
    <cellStyle name="Normal 10 101 2" xfId="25835"/>
    <cellStyle name="Normal 10 101 2 2" xfId="52843"/>
    <cellStyle name="Normal 10 101 3" xfId="39339"/>
    <cellStyle name="Normal 10 102" xfId="12093"/>
    <cellStyle name="Normal 10 102 2" xfId="25963"/>
    <cellStyle name="Normal 10 102 2 2" xfId="52971"/>
    <cellStyle name="Normal 10 102 3" xfId="39467"/>
    <cellStyle name="Normal 10 103" xfId="12235"/>
    <cellStyle name="Normal 10 103 2" xfId="26091"/>
    <cellStyle name="Normal 10 103 2 2" xfId="53099"/>
    <cellStyle name="Normal 10 103 3" xfId="39595"/>
    <cellStyle name="Normal 10 104" xfId="12377"/>
    <cellStyle name="Normal 10 104 2" xfId="26219"/>
    <cellStyle name="Normal 10 104 2 2" xfId="53227"/>
    <cellStyle name="Normal 10 104 3" xfId="39723"/>
    <cellStyle name="Normal 10 105" xfId="12519"/>
    <cellStyle name="Normal 10 105 2" xfId="26347"/>
    <cellStyle name="Normal 10 105 2 2" xfId="53355"/>
    <cellStyle name="Normal 10 105 3" xfId="39851"/>
    <cellStyle name="Normal 10 106" xfId="12661"/>
    <cellStyle name="Normal 10 106 2" xfId="26475"/>
    <cellStyle name="Normal 10 106 2 2" xfId="53483"/>
    <cellStyle name="Normal 10 106 3" xfId="39979"/>
    <cellStyle name="Normal 10 107" xfId="12803"/>
    <cellStyle name="Normal 10 107 2" xfId="26603"/>
    <cellStyle name="Normal 10 107 2 2" xfId="53611"/>
    <cellStyle name="Normal 10 107 3" xfId="40107"/>
    <cellStyle name="Normal 10 108" xfId="12945"/>
    <cellStyle name="Normal 10 108 2" xfId="26731"/>
    <cellStyle name="Normal 10 108 2 2" xfId="53739"/>
    <cellStyle name="Normal 10 108 3" xfId="40235"/>
    <cellStyle name="Normal 10 109" xfId="13087"/>
    <cellStyle name="Normal 10 109 2" xfId="26859"/>
    <cellStyle name="Normal 10 109 2 2" xfId="53867"/>
    <cellStyle name="Normal 10 109 3" xfId="40363"/>
    <cellStyle name="Normal 10 11" xfId="1366"/>
    <cellStyle name="Normal 10 11 2" xfId="16510"/>
    <cellStyle name="Normal 10 11 2 2" xfId="43518"/>
    <cellStyle name="Normal 10 11 3" xfId="30014"/>
    <cellStyle name="Normal 10 110" xfId="13229"/>
    <cellStyle name="Normal 10 110 2" xfId="26987"/>
    <cellStyle name="Normal 10 110 2 2" xfId="53995"/>
    <cellStyle name="Normal 10 110 3" xfId="40491"/>
    <cellStyle name="Normal 10 111" xfId="13371"/>
    <cellStyle name="Normal 10 111 2" xfId="27115"/>
    <cellStyle name="Normal 10 111 2 2" xfId="54123"/>
    <cellStyle name="Normal 10 111 3" xfId="40619"/>
    <cellStyle name="Normal 10 112" xfId="13513"/>
    <cellStyle name="Normal 10 112 2" xfId="27243"/>
    <cellStyle name="Normal 10 112 2 2" xfId="54251"/>
    <cellStyle name="Normal 10 112 3" xfId="40747"/>
    <cellStyle name="Normal 10 113" xfId="13655"/>
    <cellStyle name="Normal 10 113 2" xfId="27371"/>
    <cellStyle name="Normal 10 113 2 2" xfId="54379"/>
    <cellStyle name="Normal 10 113 3" xfId="40875"/>
    <cellStyle name="Normal 10 114" xfId="13797"/>
    <cellStyle name="Normal 10 114 2" xfId="27499"/>
    <cellStyle name="Normal 10 114 2 2" xfId="54507"/>
    <cellStyle name="Normal 10 114 3" xfId="41003"/>
    <cellStyle name="Normal 10 115" xfId="13938"/>
    <cellStyle name="Normal 10 115 2" xfId="27626"/>
    <cellStyle name="Normal 10 115 2 2" xfId="54634"/>
    <cellStyle name="Normal 10 115 3" xfId="41130"/>
    <cellStyle name="Normal 10 116" xfId="14079"/>
    <cellStyle name="Normal 10 116 2" xfId="27753"/>
    <cellStyle name="Normal 10 116 2 2" xfId="54761"/>
    <cellStyle name="Normal 10 116 3" xfId="41257"/>
    <cellStyle name="Normal 10 117" xfId="14220"/>
    <cellStyle name="Normal 10 117 2" xfId="27880"/>
    <cellStyle name="Normal 10 117 2 2" xfId="54888"/>
    <cellStyle name="Normal 10 117 3" xfId="41384"/>
    <cellStyle name="Normal 10 118" xfId="14361"/>
    <cellStyle name="Normal 10 118 2" xfId="28007"/>
    <cellStyle name="Normal 10 118 2 2" xfId="55015"/>
    <cellStyle name="Normal 10 118 3" xfId="41511"/>
    <cellStyle name="Normal 10 119" xfId="14501"/>
    <cellStyle name="Normal 10 119 2" xfId="28133"/>
    <cellStyle name="Normal 10 119 2 2" xfId="55141"/>
    <cellStyle name="Normal 10 119 3" xfId="41637"/>
    <cellStyle name="Normal 10 12" xfId="1472"/>
    <cellStyle name="Normal 10 12 2" xfId="16602"/>
    <cellStyle name="Normal 10 12 2 2" xfId="43610"/>
    <cellStyle name="Normal 10 12 3" xfId="30106"/>
    <cellStyle name="Normal 10 120" xfId="14641"/>
    <cellStyle name="Normal 10 120 2" xfId="28259"/>
    <cellStyle name="Normal 10 120 2 2" xfId="55267"/>
    <cellStyle name="Normal 10 120 3" xfId="41763"/>
    <cellStyle name="Normal 10 121" xfId="14780"/>
    <cellStyle name="Normal 10 121 2" xfId="28384"/>
    <cellStyle name="Normal 10 121 2 2" xfId="55392"/>
    <cellStyle name="Normal 10 121 3" xfId="41888"/>
    <cellStyle name="Normal 10 122" xfId="14915"/>
    <cellStyle name="Normal 10 122 2" xfId="28506"/>
    <cellStyle name="Normal 10 122 2 2" xfId="55514"/>
    <cellStyle name="Normal 10 122 3" xfId="42010"/>
    <cellStyle name="Normal 10 123" xfId="15049"/>
    <cellStyle name="Normal 10 123 2" xfId="28627"/>
    <cellStyle name="Normal 10 123 2 2" xfId="55635"/>
    <cellStyle name="Normal 10 123 3" xfId="42131"/>
    <cellStyle name="Normal 10 124" xfId="15176"/>
    <cellStyle name="Normal 10 124 2" xfId="28743"/>
    <cellStyle name="Normal 10 124 2 2" xfId="55751"/>
    <cellStyle name="Normal 10 124 3" xfId="42247"/>
    <cellStyle name="Normal 10 125" xfId="15296"/>
    <cellStyle name="Normal 10 125 2" xfId="28856"/>
    <cellStyle name="Normal 10 125 2 2" xfId="55864"/>
    <cellStyle name="Normal 10 125 3" xfId="42360"/>
    <cellStyle name="Normal 10 126" xfId="15511"/>
    <cellStyle name="Normal 10 126 2" xfId="42519"/>
    <cellStyle name="Normal 10 127" xfId="29015"/>
    <cellStyle name="Normal 10 13" xfId="1578"/>
    <cellStyle name="Normal 10 13 2" xfId="16694"/>
    <cellStyle name="Normal 10 13 2 2" xfId="43702"/>
    <cellStyle name="Normal 10 13 3" xfId="30198"/>
    <cellStyle name="Normal 10 14" xfId="1684"/>
    <cellStyle name="Normal 10 14 2" xfId="16786"/>
    <cellStyle name="Normal 10 14 2 2" xfId="43794"/>
    <cellStyle name="Normal 10 14 3" xfId="30290"/>
    <cellStyle name="Normal 10 15" xfId="1790"/>
    <cellStyle name="Normal 10 15 2" xfId="16878"/>
    <cellStyle name="Normal 10 15 2 2" xfId="43886"/>
    <cellStyle name="Normal 10 15 3" xfId="30382"/>
    <cellStyle name="Normal 10 16" xfId="1896"/>
    <cellStyle name="Normal 10 16 2" xfId="16970"/>
    <cellStyle name="Normal 10 16 2 2" xfId="43978"/>
    <cellStyle name="Normal 10 16 3" xfId="30474"/>
    <cellStyle name="Normal 10 17" xfId="2002"/>
    <cellStyle name="Normal 10 17 2" xfId="17062"/>
    <cellStyle name="Normal 10 17 2 2" xfId="44070"/>
    <cellStyle name="Normal 10 17 3" xfId="30566"/>
    <cellStyle name="Normal 10 18" xfId="2108"/>
    <cellStyle name="Normal 10 18 2" xfId="17154"/>
    <cellStyle name="Normal 10 18 2 2" xfId="44162"/>
    <cellStyle name="Normal 10 18 3" xfId="30658"/>
    <cellStyle name="Normal 10 19" xfId="2214"/>
    <cellStyle name="Normal 10 19 2" xfId="17246"/>
    <cellStyle name="Normal 10 19 2 2" xfId="44254"/>
    <cellStyle name="Normal 10 19 3" xfId="30750"/>
    <cellStyle name="Normal 10 2" xfId="332"/>
    <cellStyle name="Normal 10 2 2" xfId="15634"/>
    <cellStyle name="Normal 10 2 2 2" xfId="42642"/>
    <cellStyle name="Normal 10 2 3" xfId="29138"/>
    <cellStyle name="Normal 10 20" xfId="2320"/>
    <cellStyle name="Normal 10 20 2" xfId="17338"/>
    <cellStyle name="Normal 10 20 2 2" xfId="44346"/>
    <cellStyle name="Normal 10 20 3" xfId="30842"/>
    <cellStyle name="Normal 10 21" xfId="2426"/>
    <cellStyle name="Normal 10 21 2" xfId="17430"/>
    <cellStyle name="Normal 10 21 2 2" xfId="44438"/>
    <cellStyle name="Normal 10 21 3" xfId="30934"/>
    <cellStyle name="Normal 10 22" xfId="2532"/>
    <cellStyle name="Normal 10 22 2" xfId="17522"/>
    <cellStyle name="Normal 10 22 2 2" xfId="44530"/>
    <cellStyle name="Normal 10 22 3" xfId="31026"/>
    <cellStyle name="Normal 10 23" xfId="2638"/>
    <cellStyle name="Normal 10 23 2" xfId="17614"/>
    <cellStyle name="Normal 10 23 2 2" xfId="44622"/>
    <cellStyle name="Normal 10 23 3" xfId="31118"/>
    <cellStyle name="Normal 10 24" xfId="2744"/>
    <cellStyle name="Normal 10 24 2" xfId="17706"/>
    <cellStyle name="Normal 10 24 2 2" xfId="44714"/>
    <cellStyle name="Normal 10 24 3" xfId="31210"/>
    <cellStyle name="Normal 10 25" xfId="2850"/>
    <cellStyle name="Normal 10 25 2" xfId="17798"/>
    <cellStyle name="Normal 10 25 2 2" xfId="44806"/>
    <cellStyle name="Normal 10 25 3" xfId="31302"/>
    <cellStyle name="Normal 10 26" xfId="2956"/>
    <cellStyle name="Normal 10 26 2" xfId="17890"/>
    <cellStyle name="Normal 10 26 2 2" xfId="44898"/>
    <cellStyle name="Normal 10 26 3" xfId="31394"/>
    <cellStyle name="Normal 10 27" xfId="3062"/>
    <cellStyle name="Normal 10 27 2" xfId="17982"/>
    <cellStyle name="Normal 10 27 2 2" xfId="44990"/>
    <cellStyle name="Normal 10 27 3" xfId="31486"/>
    <cellStyle name="Normal 10 28" xfId="3168"/>
    <cellStyle name="Normal 10 28 2" xfId="18074"/>
    <cellStyle name="Normal 10 28 2 2" xfId="45082"/>
    <cellStyle name="Normal 10 28 3" xfId="31578"/>
    <cellStyle name="Normal 10 29" xfId="3274"/>
    <cellStyle name="Normal 10 29 2" xfId="18166"/>
    <cellStyle name="Normal 10 29 2 2" xfId="45174"/>
    <cellStyle name="Normal 10 29 3" xfId="31670"/>
    <cellStyle name="Normal 10 3" xfId="519"/>
    <cellStyle name="Normal 10 3 2" xfId="15775"/>
    <cellStyle name="Normal 10 3 2 2" xfId="42783"/>
    <cellStyle name="Normal 10 3 3" xfId="29279"/>
    <cellStyle name="Normal 10 30" xfId="3380"/>
    <cellStyle name="Normal 10 30 2" xfId="18258"/>
    <cellStyle name="Normal 10 30 2 2" xfId="45266"/>
    <cellStyle name="Normal 10 30 3" xfId="31762"/>
    <cellStyle name="Normal 10 31" xfId="3486"/>
    <cellStyle name="Normal 10 31 2" xfId="18350"/>
    <cellStyle name="Normal 10 31 2 2" xfId="45358"/>
    <cellStyle name="Normal 10 31 3" xfId="31854"/>
    <cellStyle name="Normal 10 32" xfId="3592"/>
    <cellStyle name="Normal 10 32 2" xfId="18442"/>
    <cellStyle name="Normal 10 32 2 2" xfId="45450"/>
    <cellStyle name="Normal 10 32 3" xfId="31946"/>
    <cellStyle name="Normal 10 33" xfId="3698"/>
    <cellStyle name="Normal 10 33 2" xfId="18534"/>
    <cellStyle name="Normal 10 33 2 2" xfId="45542"/>
    <cellStyle name="Normal 10 33 3" xfId="32038"/>
    <cellStyle name="Normal 10 34" xfId="3804"/>
    <cellStyle name="Normal 10 34 2" xfId="18626"/>
    <cellStyle name="Normal 10 34 2 2" xfId="45634"/>
    <cellStyle name="Normal 10 34 3" xfId="32130"/>
    <cellStyle name="Normal 10 35" xfId="3910"/>
    <cellStyle name="Normal 10 35 2" xfId="18718"/>
    <cellStyle name="Normal 10 35 2 2" xfId="45726"/>
    <cellStyle name="Normal 10 35 3" xfId="32222"/>
    <cellStyle name="Normal 10 36" xfId="4016"/>
    <cellStyle name="Normal 10 36 2" xfId="18810"/>
    <cellStyle name="Normal 10 36 2 2" xfId="45818"/>
    <cellStyle name="Normal 10 36 3" xfId="32314"/>
    <cellStyle name="Normal 10 37" xfId="4122"/>
    <cellStyle name="Normal 10 37 2" xfId="18902"/>
    <cellStyle name="Normal 10 37 2 2" xfId="45910"/>
    <cellStyle name="Normal 10 37 3" xfId="32406"/>
    <cellStyle name="Normal 10 38" xfId="4228"/>
    <cellStyle name="Normal 10 38 2" xfId="18994"/>
    <cellStyle name="Normal 10 38 2 2" xfId="46002"/>
    <cellStyle name="Normal 10 38 3" xfId="32498"/>
    <cellStyle name="Normal 10 39" xfId="4334"/>
    <cellStyle name="Normal 10 39 2" xfId="19086"/>
    <cellStyle name="Normal 10 39 2 2" xfId="46094"/>
    <cellStyle name="Normal 10 39 3" xfId="32590"/>
    <cellStyle name="Normal 10 4" xfId="624"/>
    <cellStyle name="Normal 10 4 2" xfId="15866"/>
    <cellStyle name="Normal 10 4 2 2" xfId="42874"/>
    <cellStyle name="Normal 10 4 3" xfId="29370"/>
    <cellStyle name="Normal 10 40" xfId="4440"/>
    <cellStyle name="Normal 10 40 2" xfId="19178"/>
    <cellStyle name="Normal 10 40 2 2" xfId="46186"/>
    <cellStyle name="Normal 10 40 3" xfId="32682"/>
    <cellStyle name="Normal 10 41" xfId="4546"/>
    <cellStyle name="Normal 10 41 2" xfId="19270"/>
    <cellStyle name="Normal 10 41 2 2" xfId="46278"/>
    <cellStyle name="Normal 10 41 3" xfId="32774"/>
    <cellStyle name="Normal 10 42" xfId="4652"/>
    <cellStyle name="Normal 10 42 2" xfId="19362"/>
    <cellStyle name="Normal 10 42 2 2" xfId="46370"/>
    <cellStyle name="Normal 10 42 3" xfId="32866"/>
    <cellStyle name="Normal 10 43" xfId="4758"/>
    <cellStyle name="Normal 10 43 2" xfId="19454"/>
    <cellStyle name="Normal 10 43 2 2" xfId="46462"/>
    <cellStyle name="Normal 10 43 3" xfId="32958"/>
    <cellStyle name="Normal 10 44" xfId="4864"/>
    <cellStyle name="Normal 10 44 2" xfId="19546"/>
    <cellStyle name="Normal 10 44 2 2" xfId="46554"/>
    <cellStyle name="Normal 10 44 3" xfId="33050"/>
    <cellStyle name="Normal 10 45" xfId="4970"/>
    <cellStyle name="Normal 10 45 2" xfId="19638"/>
    <cellStyle name="Normal 10 45 2 2" xfId="46646"/>
    <cellStyle name="Normal 10 45 3" xfId="33142"/>
    <cellStyle name="Normal 10 46" xfId="5076"/>
    <cellStyle name="Normal 10 46 2" xfId="19730"/>
    <cellStyle name="Normal 10 46 2 2" xfId="46738"/>
    <cellStyle name="Normal 10 46 3" xfId="33234"/>
    <cellStyle name="Normal 10 47" xfId="5182"/>
    <cellStyle name="Normal 10 47 2" xfId="19822"/>
    <cellStyle name="Normal 10 47 2 2" xfId="46830"/>
    <cellStyle name="Normal 10 47 3" xfId="33326"/>
    <cellStyle name="Normal 10 48" xfId="5288"/>
    <cellStyle name="Normal 10 48 2" xfId="19914"/>
    <cellStyle name="Normal 10 48 2 2" xfId="46922"/>
    <cellStyle name="Normal 10 48 3" xfId="33418"/>
    <cellStyle name="Normal 10 49" xfId="5394"/>
    <cellStyle name="Normal 10 49 2" xfId="20006"/>
    <cellStyle name="Normal 10 49 2 2" xfId="47014"/>
    <cellStyle name="Normal 10 49 3" xfId="33510"/>
    <cellStyle name="Normal 10 5" xfId="730"/>
    <cellStyle name="Normal 10 5 2" xfId="15958"/>
    <cellStyle name="Normal 10 5 2 2" xfId="42966"/>
    <cellStyle name="Normal 10 5 3" xfId="29462"/>
    <cellStyle name="Normal 10 50" xfId="5500"/>
    <cellStyle name="Normal 10 50 2" xfId="20098"/>
    <cellStyle name="Normal 10 50 2 2" xfId="47106"/>
    <cellStyle name="Normal 10 50 3" xfId="33602"/>
    <cellStyle name="Normal 10 51" xfId="5606"/>
    <cellStyle name="Normal 10 51 2" xfId="20190"/>
    <cellStyle name="Normal 10 51 2 2" xfId="47198"/>
    <cellStyle name="Normal 10 51 3" xfId="33694"/>
    <cellStyle name="Normal 10 52" xfId="5712"/>
    <cellStyle name="Normal 10 52 2" xfId="20282"/>
    <cellStyle name="Normal 10 52 2 2" xfId="47290"/>
    <cellStyle name="Normal 10 52 3" xfId="33786"/>
    <cellStyle name="Normal 10 53" xfId="5818"/>
    <cellStyle name="Normal 10 53 2" xfId="20374"/>
    <cellStyle name="Normal 10 53 2 2" xfId="47382"/>
    <cellStyle name="Normal 10 53 3" xfId="33878"/>
    <cellStyle name="Normal 10 54" xfId="5924"/>
    <cellStyle name="Normal 10 54 2" xfId="20466"/>
    <cellStyle name="Normal 10 54 2 2" xfId="47474"/>
    <cellStyle name="Normal 10 54 3" xfId="33970"/>
    <cellStyle name="Normal 10 55" xfId="6030"/>
    <cellStyle name="Normal 10 55 2" xfId="20558"/>
    <cellStyle name="Normal 10 55 2 2" xfId="47566"/>
    <cellStyle name="Normal 10 55 3" xfId="34062"/>
    <cellStyle name="Normal 10 56" xfId="6136"/>
    <cellStyle name="Normal 10 56 2" xfId="20650"/>
    <cellStyle name="Normal 10 56 2 2" xfId="47658"/>
    <cellStyle name="Normal 10 56 3" xfId="34154"/>
    <cellStyle name="Normal 10 57" xfId="6242"/>
    <cellStyle name="Normal 10 57 2" xfId="20742"/>
    <cellStyle name="Normal 10 57 2 2" xfId="47750"/>
    <cellStyle name="Normal 10 57 3" xfId="34246"/>
    <cellStyle name="Normal 10 58" xfId="6348"/>
    <cellStyle name="Normal 10 58 2" xfId="20834"/>
    <cellStyle name="Normal 10 58 2 2" xfId="47842"/>
    <cellStyle name="Normal 10 58 3" xfId="34338"/>
    <cellStyle name="Normal 10 59" xfId="6454"/>
    <cellStyle name="Normal 10 59 2" xfId="20926"/>
    <cellStyle name="Normal 10 59 2 2" xfId="47934"/>
    <cellStyle name="Normal 10 59 3" xfId="34430"/>
    <cellStyle name="Normal 10 6" xfId="836"/>
    <cellStyle name="Normal 10 6 2" xfId="16050"/>
    <cellStyle name="Normal 10 6 2 2" xfId="43058"/>
    <cellStyle name="Normal 10 6 3" xfId="29554"/>
    <cellStyle name="Normal 10 60" xfId="6560"/>
    <cellStyle name="Normal 10 60 2" xfId="21018"/>
    <cellStyle name="Normal 10 60 2 2" xfId="48026"/>
    <cellStyle name="Normal 10 60 3" xfId="34522"/>
    <cellStyle name="Normal 10 61" xfId="6665"/>
    <cellStyle name="Normal 10 61 2" xfId="21109"/>
    <cellStyle name="Normal 10 61 2 2" xfId="48117"/>
    <cellStyle name="Normal 10 61 3" xfId="34613"/>
    <cellStyle name="Normal 10 62" xfId="6770"/>
    <cellStyle name="Normal 10 62 2" xfId="21200"/>
    <cellStyle name="Normal 10 62 2 2" xfId="48208"/>
    <cellStyle name="Normal 10 62 3" xfId="34704"/>
    <cellStyle name="Normal 10 63" xfId="6875"/>
    <cellStyle name="Normal 10 63 2" xfId="21291"/>
    <cellStyle name="Normal 10 63 2 2" xfId="48299"/>
    <cellStyle name="Normal 10 63 3" xfId="34795"/>
    <cellStyle name="Normal 10 64" xfId="6980"/>
    <cellStyle name="Normal 10 64 2" xfId="21382"/>
    <cellStyle name="Normal 10 64 2 2" xfId="48390"/>
    <cellStyle name="Normal 10 64 3" xfId="34886"/>
    <cellStyle name="Normal 10 65" xfId="7084"/>
    <cellStyle name="Normal 10 65 2" xfId="21472"/>
    <cellStyle name="Normal 10 65 2 2" xfId="48480"/>
    <cellStyle name="Normal 10 65 3" xfId="34976"/>
    <cellStyle name="Normal 10 66" xfId="7188"/>
    <cellStyle name="Normal 10 66 2" xfId="21562"/>
    <cellStyle name="Normal 10 66 2 2" xfId="48570"/>
    <cellStyle name="Normal 10 66 3" xfId="35066"/>
    <cellStyle name="Normal 10 67" xfId="7291"/>
    <cellStyle name="Normal 10 67 2" xfId="21651"/>
    <cellStyle name="Normal 10 67 2 2" xfId="48659"/>
    <cellStyle name="Normal 10 67 3" xfId="35155"/>
    <cellStyle name="Normal 10 68" xfId="7391"/>
    <cellStyle name="Normal 10 68 2" xfId="21738"/>
    <cellStyle name="Normal 10 68 2 2" xfId="48746"/>
    <cellStyle name="Normal 10 68 3" xfId="35242"/>
    <cellStyle name="Normal 10 69" xfId="7489"/>
    <cellStyle name="Normal 10 69 2" xfId="21823"/>
    <cellStyle name="Normal 10 69 2 2" xfId="48831"/>
    <cellStyle name="Normal 10 69 3" xfId="35327"/>
    <cellStyle name="Normal 10 7" xfId="942"/>
    <cellStyle name="Normal 10 7 2" xfId="16142"/>
    <cellStyle name="Normal 10 7 2 2" xfId="43150"/>
    <cellStyle name="Normal 10 7 3" xfId="29646"/>
    <cellStyle name="Normal 10 70" xfId="7578"/>
    <cellStyle name="Normal 10 70 2" xfId="21901"/>
    <cellStyle name="Normal 10 70 2 2" xfId="48909"/>
    <cellStyle name="Normal 10 70 3" xfId="35405"/>
    <cellStyle name="Normal 10 71" xfId="7654"/>
    <cellStyle name="Normal 10 71 2" xfId="21970"/>
    <cellStyle name="Normal 10 71 2 2" xfId="48978"/>
    <cellStyle name="Normal 10 71 3" xfId="35474"/>
    <cellStyle name="Normal 10 72" xfId="7833"/>
    <cellStyle name="Normal 10 72 2" xfId="22123"/>
    <cellStyle name="Normal 10 72 2 2" xfId="49131"/>
    <cellStyle name="Normal 10 72 3" xfId="35627"/>
    <cellStyle name="Normal 10 73" xfId="7975"/>
    <cellStyle name="Normal 10 73 2" xfId="22251"/>
    <cellStyle name="Normal 10 73 2 2" xfId="49259"/>
    <cellStyle name="Normal 10 73 3" xfId="35755"/>
    <cellStyle name="Normal 10 74" xfId="8117"/>
    <cellStyle name="Normal 10 74 2" xfId="22379"/>
    <cellStyle name="Normal 10 74 2 2" xfId="49387"/>
    <cellStyle name="Normal 10 74 3" xfId="35883"/>
    <cellStyle name="Normal 10 75" xfId="8259"/>
    <cellStyle name="Normal 10 75 2" xfId="22507"/>
    <cellStyle name="Normal 10 75 2 2" xfId="49515"/>
    <cellStyle name="Normal 10 75 3" xfId="36011"/>
    <cellStyle name="Normal 10 76" xfId="8401"/>
    <cellStyle name="Normal 10 76 2" xfId="22635"/>
    <cellStyle name="Normal 10 76 2 2" xfId="49643"/>
    <cellStyle name="Normal 10 76 3" xfId="36139"/>
    <cellStyle name="Normal 10 77" xfId="8543"/>
    <cellStyle name="Normal 10 77 2" xfId="22763"/>
    <cellStyle name="Normal 10 77 2 2" xfId="49771"/>
    <cellStyle name="Normal 10 77 3" xfId="36267"/>
    <cellStyle name="Normal 10 78" xfId="8685"/>
    <cellStyle name="Normal 10 78 2" xfId="22891"/>
    <cellStyle name="Normal 10 78 2 2" xfId="49899"/>
    <cellStyle name="Normal 10 78 3" xfId="36395"/>
    <cellStyle name="Normal 10 79" xfId="8827"/>
    <cellStyle name="Normal 10 79 2" xfId="23019"/>
    <cellStyle name="Normal 10 79 2 2" xfId="50027"/>
    <cellStyle name="Normal 10 79 3" xfId="36523"/>
    <cellStyle name="Normal 10 8" xfId="1048"/>
    <cellStyle name="Normal 10 8 2" xfId="16234"/>
    <cellStyle name="Normal 10 8 2 2" xfId="43242"/>
    <cellStyle name="Normal 10 8 3" xfId="29738"/>
    <cellStyle name="Normal 10 80" xfId="8969"/>
    <cellStyle name="Normal 10 80 2" xfId="23147"/>
    <cellStyle name="Normal 10 80 2 2" xfId="50155"/>
    <cellStyle name="Normal 10 80 3" xfId="36651"/>
    <cellStyle name="Normal 10 81" xfId="9111"/>
    <cellStyle name="Normal 10 81 2" xfId="23275"/>
    <cellStyle name="Normal 10 81 2 2" xfId="50283"/>
    <cellStyle name="Normal 10 81 3" xfId="36779"/>
    <cellStyle name="Normal 10 82" xfId="9253"/>
    <cellStyle name="Normal 10 82 2" xfId="23403"/>
    <cellStyle name="Normal 10 82 2 2" xfId="50411"/>
    <cellStyle name="Normal 10 82 3" xfId="36907"/>
    <cellStyle name="Normal 10 83" xfId="9395"/>
    <cellStyle name="Normal 10 83 2" xfId="23531"/>
    <cellStyle name="Normal 10 83 2 2" xfId="50539"/>
    <cellStyle name="Normal 10 83 3" xfId="37035"/>
    <cellStyle name="Normal 10 84" xfId="9537"/>
    <cellStyle name="Normal 10 84 2" xfId="23659"/>
    <cellStyle name="Normal 10 84 2 2" xfId="50667"/>
    <cellStyle name="Normal 10 84 3" xfId="37163"/>
    <cellStyle name="Normal 10 85" xfId="9679"/>
    <cellStyle name="Normal 10 85 2" xfId="23787"/>
    <cellStyle name="Normal 10 85 2 2" xfId="50795"/>
    <cellStyle name="Normal 10 85 3" xfId="37291"/>
    <cellStyle name="Normal 10 86" xfId="9821"/>
    <cellStyle name="Normal 10 86 2" xfId="23915"/>
    <cellStyle name="Normal 10 86 2 2" xfId="50923"/>
    <cellStyle name="Normal 10 86 3" xfId="37419"/>
    <cellStyle name="Normal 10 87" xfId="9963"/>
    <cellStyle name="Normal 10 87 2" xfId="24043"/>
    <cellStyle name="Normal 10 87 2 2" xfId="51051"/>
    <cellStyle name="Normal 10 87 3" xfId="37547"/>
    <cellStyle name="Normal 10 88" xfId="10105"/>
    <cellStyle name="Normal 10 88 2" xfId="24171"/>
    <cellStyle name="Normal 10 88 2 2" xfId="51179"/>
    <cellStyle name="Normal 10 88 3" xfId="37675"/>
    <cellStyle name="Normal 10 89" xfId="10247"/>
    <cellStyle name="Normal 10 89 2" xfId="24299"/>
    <cellStyle name="Normal 10 89 2 2" xfId="51307"/>
    <cellStyle name="Normal 10 89 3" xfId="37803"/>
    <cellStyle name="Normal 10 9" xfId="1154"/>
    <cellStyle name="Normal 10 9 2" xfId="16326"/>
    <cellStyle name="Normal 10 9 2 2" xfId="43334"/>
    <cellStyle name="Normal 10 9 3" xfId="29830"/>
    <cellStyle name="Normal 10 90" xfId="10389"/>
    <cellStyle name="Normal 10 90 2" xfId="24427"/>
    <cellStyle name="Normal 10 90 2 2" xfId="51435"/>
    <cellStyle name="Normal 10 90 3" xfId="37931"/>
    <cellStyle name="Normal 10 91" xfId="10531"/>
    <cellStyle name="Normal 10 91 2" xfId="24555"/>
    <cellStyle name="Normal 10 91 2 2" xfId="51563"/>
    <cellStyle name="Normal 10 91 3" xfId="38059"/>
    <cellStyle name="Normal 10 92" xfId="10673"/>
    <cellStyle name="Normal 10 92 2" xfId="24683"/>
    <cellStyle name="Normal 10 92 2 2" xfId="51691"/>
    <cellStyle name="Normal 10 92 3" xfId="38187"/>
    <cellStyle name="Normal 10 93" xfId="10815"/>
    <cellStyle name="Normal 10 93 2" xfId="24811"/>
    <cellStyle name="Normal 10 93 2 2" xfId="51819"/>
    <cellStyle name="Normal 10 93 3" xfId="38315"/>
    <cellStyle name="Normal 10 94" xfId="10957"/>
    <cellStyle name="Normal 10 94 2" xfId="24939"/>
    <cellStyle name="Normal 10 94 2 2" xfId="51947"/>
    <cellStyle name="Normal 10 94 3" xfId="38443"/>
    <cellStyle name="Normal 10 95" xfId="11099"/>
    <cellStyle name="Normal 10 95 2" xfId="25067"/>
    <cellStyle name="Normal 10 95 2 2" xfId="52075"/>
    <cellStyle name="Normal 10 95 3" xfId="38571"/>
    <cellStyle name="Normal 10 96" xfId="11241"/>
    <cellStyle name="Normal 10 96 2" xfId="25195"/>
    <cellStyle name="Normal 10 96 2 2" xfId="52203"/>
    <cellStyle name="Normal 10 96 3" xfId="38699"/>
    <cellStyle name="Normal 10 97" xfId="11383"/>
    <cellStyle name="Normal 10 97 2" xfId="25323"/>
    <cellStyle name="Normal 10 97 2 2" xfId="52331"/>
    <cellStyle name="Normal 10 97 3" xfId="38827"/>
    <cellStyle name="Normal 10 98" xfId="11525"/>
    <cellStyle name="Normal 10 98 2" xfId="25451"/>
    <cellStyle name="Normal 10 98 2 2" xfId="52459"/>
    <cellStyle name="Normal 10 98 3" xfId="38955"/>
    <cellStyle name="Normal 10 99" xfId="11667"/>
    <cellStyle name="Normal 10 99 2" xfId="25579"/>
    <cellStyle name="Normal 10 99 2 2" xfId="52587"/>
    <cellStyle name="Normal 10 99 3" xfId="39083"/>
    <cellStyle name="Normal 100" xfId="6187"/>
    <cellStyle name="Normal 100 2" xfId="20697"/>
    <cellStyle name="Normal 100 2 2" xfId="47705"/>
    <cellStyle name="Normal 100 3" xfId="34201"/>
    <cellStyle name="Normal 101" xfId="6293"/>
    <cellStyle name="Normal 101 2" xfId="20789"/>
    <cellStyle name="Normal 101 2 2" xfId="47797"/>
    <cellStyle name="Normal 101 3" xfId="34293"/>
    <cellStyle name="Normal 102" xfId="6399"/>
    <cellStyle name="Normal 102 2" xfId="20881"/>
    <cellStyle name="Normal 102 2 2" xfId="47889"/>
    <cellStyle name="Normal 102 3" xfId="34385"/>
    <cellStyle name="Normal 103" xfId="6505"/>
    <cellStyle name="Normal 103 2" xfId="20973"/>
    <cellStyle name="Normal 103 2 2" xfId="47981"/>
    <cellStyle name="Normal 103 3" xfId="34477"/>
    <cellStyle name="Normal 104" xfId="6610"/>
    <cellStyle name="Normal 104 2" xfId="21064"/>
    <cellStyle name="Normal 104 2 2" xfId="48072"/>
    <cellStyle name="Normal 104 3" xfId="34568"/>
    <cellStyle name="Normal 105" xfId="6715"/>
    <cellStyle name="Normal 105 2" xfId="21155"/>
    <cellStyle name="Normal 105 2 2" xfId="48163"/>
    <cellStyle name="Normal 105 3" xfId="34659"/>
    <cellStyle name="Normal 106" xfId="6820"/>
    <cellStyle name="Normal 106 2" xfId="21246"/>
    <cellStyle name="Normal 106 2 2" xfId="48254"/>
    <cellStyle name="Normal 106 3" xfId="34750"/>
    <cellStyle name="Normal 107" xfId="6925"/>
    <cellStyle name="Normal 107 2" xfId="21337"/>
    <cellStyle name="Normal 107 2 2" xfId="48345"/>
    <cellStyle name="Normal 107 3" xfId="34841"/>
    <cellStyle name="Normal 108" xfId="7030"/>
    <cellStyle name="Normal 108 2" xfId="21428"/>
    <cellStyle name="Normal 108 2 2" xfId="48436"/>
    <cellStyle name="Normal 108 3" xfId="34932"/>
    <cellStyle name="Normal 109" xfId="7134"/>
    <cellStyle name="Normal 109 2" xfId="21518"/>
    <cellStyle name="Normal 109 2 2" xfId="48526"/>
    <cellStyle name="Normal 109 3" xfId="35022"/>
    <cellStyle name="Normal 11" xfId="156"/>
    <cellStyle name="Normal 11 10" xfId="1261"/>
    <cellStyle name="Normal 11 10 2" xfId="16419"/>
    <cellStyle name="Normal 11 10 2 2" xfId="43427"/>
    <cellStyle name="Normal 11 10 3" xfId="29923"/>
    <cellStyle name="Normal 11 100" xfId="11810"/>
    <cellStyle name="Normal 11 100 2" xfId="25708"/>
    <cellStyle name="Normal 11 100 2 2" xfId="52716"/>
    <cellStyle name="Normal 11 100 3" xfId="39212"/>
    <cellStyle name="Normal 11 101" xfId="11952"/>
    <cellStyle name="Normal 11 101 2" xfId="25836"/>
    <cellStyle name="Normal 11 101 2 2" xfId="52844"/>
    <cellStyle name="Normal 11 101 3" xfId="39340"/>
    <cellStyle name="Normal 11 102" xfId="12094"/>
    <cellStyle name="Normal 11 102 2" xfId="25964"/>
    <cellStyle name="Normal 11 102 2 2" xfId="52972"/>
    <cellStyle name="Normal 11 102 3" xfId="39468"/>
    <cellStyle name="Normal 11 103" xfId="12236"/>
    <cellStyle name="Normal 11 103 2" xfId="26092"/>
    <cellStyle name="Normal 11 103 2 2" xfId="53100"/>
    <cellStyle name="Normal 11 103 3" xfId="39596"/>
    <cellStyle name="Normal 11 104" xfId="12378"/>
    <cellStyle name="Normal 11 104 2" xfId="26220"/>
    <cellStyle name="Normal 11 104 2 2" xfId="53228"/>
    <cellStyle name="Normal 11 104 3" xfId="39724"/>
    <cellStyle name="Normal 11 105" xfId="12520"/>
    <cellStyle name="Normal 11 105 2" xfId="26348"/>
    <cellStyle name="Normal 11 105 2 2" xfId="53356"/>
    <cellStyle name="Normal 11 105 3" xfId="39852"/>
    <cellStyle name="Normal 11 106" xfId="12662"/>
    <cellStyle name="Normal 11 106 2" xfId="26476"/>
    <cellStyle name="Normal 11 106 2 2" xfId="53484"/>
    <cellStyle name="Normal 11 106 3" xfId="39980"/>
    <cellStyle name="Normal 11 107" xfId="12804"/>
    <cellStyle name="Normal 11 107 2" xfId="26604"/>
    <cellStyle name="Normal 11 107 2 2" xfId="53612"/>
    <cellStyle name="Normal 11 107 3" xfId="40108"/>
    <cellStyle name="Normal 11 108" xfId="12946"/>
    <cellStyle name="Normal 11 108 2" xfId="26732"/>
    <cellStyle name="Normal 11 108 2 2" xfId="53740"/>
    <cellStyle name="Normal 11 108 3" xfId="40236"/>
    <cellStyle name="Normal 11 109" xfId="13088"/>
    <cellStyle name="Normal 11 109 2" xfId="26860"/>
    <cellStyle name="Normal 11 109 2 2" xfId="53868"/>
    <cellStyle name="Normal 11 109 3" xfId="40364"/>
    <cellStyle name="Normal 11 11" xfId="1367"/>
    <cellStyle name="Normal 11 11 2" xfId="16511"/>
    <cellStyle name="Normal 11 11 2 2" xfId="43519"/>
    <cellStyle name="Normal 11 11 3" xfId="30015"/>
    <cellStyle name="Normal 11 110" xfId="13230"/>
    <cellStyle name="Normal 11 110 2" xfId="26988"/>
    <cellStyle name="Normal 11 110 2 2" xfId="53996"/>
    <cellStyle name="Normal 11 110 3" xfId="40492"/>
    <cellStyle name="Normal 11 111" xfId="13372"/>
    <cellStyle name="Normal 11 111 2" xfId="27116"/>
    <cellStyle name="Normal 11 111 2 2" xfId="54124"/>
    <cellStyle name="Normal 11 111 3" xfId="40620"/>
    <cellStyle name="Normal 11 112" xfId="13514"/>
    <cellStyle name="Normal 11 112 2" xfId="27244"/>
    <cellStyle name="Normal 11 112 2 2" xfId="54252"/>
    <cellStyle name="Normal 11 112 3" xfId="40748"/>
    <cellStyle name="Normal 11 113" xfId="13656"/>
    <cellStyle name="Normal 11 113 2" xfId="27372"/>
    <cellStyle name="Normal 11 113 2 2" xfId="54380"/>
    <cellStyle name="Normal 11 113 3" xfId="40876"/>
    <cellStyle name="Normal 11 114" xfId="13798"/>
    <cellStyle name="Normal 11 114 2" xfId="27500"/>
    <cellStyle name="Normal 11 114 2 2" xfId="54508"/>
    <cellStyle name="Normal 11 114 3" xfId="41004"/>
    <cellStyle name="Normal 11 115" xfId="13939"/>
    <cellStyle name="Normal 11 115 2" xfId="27627"/>
    <cellStyle name="Normal 11 115 2 2" xfId="54635"/>
    <cellStyle name="Normal 11 115 3" xfId="41131"/>
    <cellStyle name="Normal 11 116" xfId="14080"/>
    <cellStyle name="Normal 11 116 2" xfId="27754"/>
    <cellStyle name="Normal 11 116 2 2" xfId="54762"/>
    <cellStyle name="Normal 11 116 3" xfId="41258"/>
    <cellStyle name="Normal 11 117" xfId="14221"/>
    <cellStyle name="Normal 11 117 2" xfId="27881"/>
    <cellStyle name="Normal 11 117 2 2" xfId="54889"/>
    <cellStyle name="Normal 11 117 3" xfId="41385"/>
    <cellStyle name="Normal 11 118" xfId="14362"/>
    <cellStyle name="Normal 11 118 2" xfId="28008"/>
    <cellStyle name="Normal 11 118 2 2" xfId="55016"/>
    <cellStyle name="Normal 11 118 3" xfId="41512"/>
    <cellStyle name="Normal 11 119" xfId="14502"/>
    <cellStyle name="Normal 11 119 2" xfId="28134"/>
    <cellStyle name="Normal 11 119 2 2" xfId="55142"/>
    <cellStyle name="Normal 11 119 3" xfId="41638"/>
    <cellStyle name="Normal 11 12" xfId="1473"/>
    <cellStyle name="Normal 11 12 2" xfId="16603"/>
    <cellStyle name="Normal 11 12 2 2" xfId="43611"/>
    <cellStyle name="Normal 11 12 3" xfId="30107"/>
    <cellStyle name="Normal 11 120" xfId="14642"/>
    <cellStyle name="Normal 11 120 2" xfId="28260"/>
    <cellStyle name="Normal 11 120 2 2" xfId="55268"/>
    <cellStyle name="Normal 11 120 3" xfId="41764"/>
    <cellStyle name="Normal 11 121" xfId="14781"/>
    <cellStyle name="Normal 11 121 2" xfId="28385"/>
    <cellStyle name="Normal 11 121 2 2" xfId="55393"/>
    <cellStyle name="Normal 11 121 3" xfId="41889"/>
    <cellStyle name="Normal 11 122" xfId="14916"/>
    <cellStyle name="Normal 11 122 2" xfId="28507"/>
    <cellStyle name="Normal 11 122 2 2" xfId="55515"/>
    <cellStyle name="Normal 11 122 3" xfId="42011"/>
    <cellStyle name="Normal 11 123" xfId="15050"/>
    <cellStyle name="Normal 11 123 2" xfId="28628"/>
    <cellStyle name="Normal 11 123 2 2" xfId="55636"/>
    <cellStyle name="Normal 11 123 3" xfId="42132"/>
    <cellStyle name="Normal 11 124" xfId="15177"/>
    <cellStyle name="Normal 11 124 2" xfId="28744"/>
    <cellStyle name="Normal 11 124 2 2" xfId="55752"/>
    <cellStyle name="Normal 11 124 3" xfId="42248"/>
    <cellStyle name="Normal 11 125" xfId="15297"/>
    <cellStyle name="Normal 11 125 2" xfId="28857"/>
    <cellStyle name="Normal 11 125 2 2" xfId="55865"/>
    <cellStyle name="Normal 11 125 3" xfId="42361"/>
    <cellStyle name="Normal 11 126" xfId="15512"/>
    <cellStyle name="Normal 11 126 2" xfId="42520"/>
    <cellStyle name="Normal 11 127" xfId="29016"/>
    <cellStyle name="Normal 11 13" xfId="1579"/>
    <cellStyle name="Normal 11 13 2" xfId="16695"/>
    <cellStyle name="Normal 11 13 2 2" xfId="43703"/>
    <cellStyle name="Normal 11 13 3" xfId="30199"/>
    <cellStyle name="Normal 11 14" xfId="1685"/>
    <cellStyle name="Normal 11 14 2" xfId="16787"/>
    <cellStyle name="Normal 11 14 2 2" xfId="43795"/>
    <cellStyle name="Normal 11 14 3" xfId="30291"/>
    <cellStyle name="Normal 11 15" xfId="1791"/>
    <cellStyle name="Normal 11 15 2" xfId="16879"/>
    <cellStyle name="Normal 11 15 2 2" xfId="43887"/>
    <cellStyle name="Normal 11 15 3" xfId="30383"/>
    <cellStyle name="Normal 11 16" xfId="1897"/>
    <cellStyle name="Normal 11 16 2" xfId="16971"/>
    <cellStyle name="Normal 11 16 2 2" xfId="43979"/>
    <cellStyle name="Normal 11 16 3" xfId="30475"/>
    <cellStyle name="Normal 11 17" xfId="2003"/>
    <cellStyle name="Normal 11 17 2" xfId="17063"/>
    <cellStyle name="Normal 11 17 2 2" xfId="44071"/>
    <cellStyle name="Normal 11 17 3" xfId="30567"/>
    <cellStyle name="Normal 11 18" xfId="2109"/>
    <cellStyle name="Normal 11 18 2" xfId="17155"/>
    <cellStyle name="Normal 11 18 2 2" xfId="44163"/>
    <cellStyle name="Normal 11 18 3" xfId="30659"/>
    <cellStyle name="Normal 11 19" xfId="2215"/>
    <cellStyle name="Normal 11 19 2" xfId="17247"/>
    <cellStyle name="Normal 11 19 2 2" xfId="44255"/>
    <cellStyle name="Normal 11 19 3" xfId="30751"/>
    <cellStyle name="Normal 11 2" xfId="333"/>
    <cellStyle name="Normal 11 2 2" xfId="15635"/>
    <cellStyle name="Normal 11 2 2 2" xfId="42643"/>
    <cellStyle name="Normal 11 2 3" xfId="29139"/>
    <cellStyle name="Normal 11 20" xfId="2321"/>
    <cellStyle name="Normal 11 20 2" xfId="17339"/>
    <cellStyle name="Normal 11 20 2 2" xfId="44347"/>
    <cellStyle name="Normal 11 20 3" xfId="30843"/>
    <cellStyle name="Normal 11 21" xfId="2427"/>
    <cellStyle name="Normal 11 21 2" xfId="17431"/>
    <cellStyle name="Normal 11 21 2 2" xfId="44439"/>
    <cellStyle name="Normal 11 21 3" xfId="30935"/>
    <cellStyle name="Normal 11 22" xfId="2533"/>
    <cellStyle name="Normal 11 22 2" xfId="17523"/>
    <cellStyle name="Normal 11 22 2 2" xfId="44531"/>
    <cellStyle name="Normal 11 22 3" xfId="31027"/>
    <cellStyle name="Normal 11 23" xfId="2639"/>
    <cellStyle name="Normal 11 23 2" xfId="17615"/>
    <cellStyle name="Normal 11 23 2 2" xfId="44623"/>
    <cellStyle name="Normal 11 23 3" xfId="31119"/>
    <cellStyle name="Normal 11 24" xfId="2745"/>
    <cellStyle name="Normal 11 24 2" xfId="17707"/>
    <cellStyle name="Normal 11 24 2 2" xfId="44715"/>
    <cellStyle name="Normal 11 24 3" xfId="31211"/>
    <cellStyle name="Normal 11 25" xfId="2851"/>
    <cellStyle name="Normal 11 25 2" xfId="17799"/>
    <cellStyle name="Normal 11 25 2 2" xfId="44807"/>
    <cellStyle name="Normal 11 25 3" xfId="31303"/>
    <cellStyle name="Normal 11 26" xfId="2957"/>
    <cellStyle name="Normal 11 26 2" xfId="17891"/>
    <cellStyle name="Normal 11 26 2 2" xfId="44899"/>
    <cellStyle name="Normal 11 26 3" xfId="31395"/>
    <cellStyle name="Normal 11 27" xfId="3063"/>
    <cellStyle name="Normal 11 27 2" xfId="17983"/>
    <cellStyle name="Normal 11 27 2 2" xfId="44991"/>
    <cellStyle name="Normal 11 27 3" xfId="31487"/>
    <cellStyle name="Normal 11 28" xfId="3169"/>
    <cellStyle name="Normal 11 28 2" xfId="18075"/>
    <cellStyle name="Normal 11 28 2 2" xfId="45083"/>
    <cellStyle name="Normal 11 28 3" xfId="31579"/>
    <cellStyle name="Normal 11 29" xfId="3275"/>
    <cellStyle name="Normal 11 29 2" xfId="18167"/>
    <cellStyle name="Normal 11 29 2 2" xfId="45175"/>
    <cellStyle name="Normal 11 29 3" xfId="31671"/>
    <cellStyle name="Normal 11 3" xfId="520"/>
    <cellStyle name="Normal 11 3 2" xfId="15776"/>
    <cellStyle name="Normal 11 3 2 2" xfId="42784"/>
    <cellStyle name="Normal 11 3 3" xfId="29280"/>
    <cellStyle name="Normal 11 30" xfId="3381"/>
    <cellStyle name="Normal 11 30 2" xfId="18259"/>
    <cellStyle name="Normal 11 30 2 2" xfId="45267"/>
    <cellStyle name="Normal 11 30 3" xfId="31763"/>
    <cellStyle name="Normal 11 31" xfId="3487"/>
    <cellStyle name="Normal 11 31 2" xfId="18351"/>
    <cellStyle name="Normal 11 31 2 2" xfId="45359"/>
    <cellStyle name="Normal 11 31 3" xfId="31855"/>
    <cellStyle name="Normal 11 32" xfId="3593"/>
    <cellStyle name="Normal 11 32 2" xfId="18443"/>
    <cellStyle name="Normal 11 32 2 2" xfId="45451"/>
    <cellStyle name="Normal 11 32 3" xfId="31947"/>
    <cellStyle name="Normal 11 33" xfId="3699"/>
    <cellStyle name="Normal 11 33 2" xfId="18535"/>
    <cellStyle name="Normal 11 33 2 2" xfId="45543"/>
    <cellStyle name="Normal 11 33 3" xfId="32039"/>
    <cellStyle name="Normal 11 34" xfId="3805"/>
    <cellStyle name="Normal 11 34 2" xfId="18627"/>
    <cellStyle name="Normal 11 34 2 2" xfId="45635"/>
    <cellStyle name="Normal 11 34 3" xfId="32131"/>
    <cellStyle name="Normal 11 35" xfId="3911"/>
    <cellStyle name="Normal 11 35 2" xfId="18719"/>
    <cellStyle name="Normal 11 35 2 2" xfId="45727"/>
    <cellStyle name="Normal 11 35 3" xfId="32223"/>
    <cellStyle name="Normal 11 36" xfId="4017"/>
    <cellStyle name="Normal 11 36 2" xfId="18811"/>
    <cellStyle name="Normal 11 36 2 2" xfId="45819"/>
    <cellStyle name="Normal 11 36 3" xfId="32315"/>
    <cellStyle name="Normal 11 37" xfId="4123"/>
    <cellStyle name="Normal 11 37 2" xfId="18903"/>
    <cellStyle name="Normal 11 37 2 2" xfId="45911"/>
    <cellStyle name="Normal 11 37 3" xfId="32407"/>
    <cellStyle name="Normal 11 38" xfId="4229"/>
    <cellStyle name="Normal 11 38 2" xfId="18995"/>
    <cellStyle name="Normal 11 38 2 2" xfId="46003"/>
    <cellStyle name="Normal 11 38 3" xfId="32499"/>
    <cellStyle name="Normal 11 39" xfId="4335"/>
    <cellStyle name="Normal 11 39 2" xfId="19087"/>
    <cellStyle name="Normal 11 39 2 2" xfId="46095"/>
    <cellStyle name="Normal 11 39 3" xfId="32591"/>
    <cellStyle name="Normal 11 4" xfId="625"/>
    <cellStyle name="Normal 11 4 2" xfId="15867"/>
    <cellStyle name="Normal 11 4 2 2" xfId="42875"/>
    <cellStyle name="Normal 11 4 3" xfId="29371"/>
    <cellStyle name="Normal 11 40" xfId="4441"/>
    <cellStyle name="Normal 11 40 2" xfId="19179"/>
    <cellStyle name="Normal 11 40 2 2" xfId="46187"/>
    <cellStyle name="Normal 11 40 3" xfId="32683"/>
    <cellStyle name="Normal 11 41" xfId="4547"/>
    <cellStyle name="Normal 11 41 2" xfId="19271"/>
    <cellStyle name="Normal 11 41 2 2" xfId="46279"/>
    <cellStyle name="Normal 11 41 3" xfId="32775"/>
    <cellStyle name="Normal 11 42" xfId="4653"/>
    <cellStyle name="Normal 11 42 2" xfId="19363"/>
    <cellStyle name="Normal 11 42 2 2" xfId="46371"/>
    <cellStyle name="Normal 11 42 3" xfId="32867"/>
    <cellStyle name="Normal 11 43" xfId="4759"/>
    <cellStyle name="Normal 11 43 2" xfId="19455"/>
    <cellStyle name="Normal 11 43 2 2" xfId="46463"/>
    <cellStyle name="Normal 11 43 3" xfId="32959"/>
    <cellStyle name="Normal 11 44" xfId="4865"/>
    <cellStyle name="Normal 11 44 2" xfId="19547"/>
    <cellStyle name="Normal 11 44 2 2" xfId="46555"/>
    <cellStyle name="Normal 11 44 3" xfId="33051"/>
    <cellStyle name="Normal 11 45" xfId="4971"/>
    <cellStyle name="Normal 11 45 2" xfId="19639"/>
    <cellStyle name="Normal 11 45 2 2" xfId="46647"/>
    <cellStyle name="Normal 11 45 3" xfId="33143"/>
    <cellStyle name="Normal 11 46" xfId="5077"/>
    <cellStyle name="Normal 11 46 2" xfId="19731"/>
    <cellStyle name="Normal 11 46 2 2" xfId="46739"/>
    <cellStyle name="Normal 11 46 3" xfId="33235"/>
    <cellStyle name="Normal 11 47" xfId="5183"/>
    <cellStyle name="Normal 11 47 2" xfId="19823"/>
    <cellStyle name="Normal 11 47 2 2" xfId="46831"/>
    <cellStyle name="Normal 11 47 3" xfId="33327"/>
    <cellStyle name="Normal 11 48" xfId="5289"/>
    <cellStyle name="Normal 11 48 2" xfId="19915"/>
    <cellStyle name="Normal 11 48 2 2" xfId="46923"/>
    <cellStyle name="Normal 11 48 3" xfId="33419"/>
    <cellStyle name="Normal 11 49" xfId="5395"/>
    <cellStyle name="Normal 11 49 2" xfId="20007"/>
    <cellStyle name="Normal 11 49 2 2" xfId="47015"/>
    <cellStyle name="Normal 11 49 3" xfId="33511"/>
    <cellStyle name="Normal 11 5" xfId="731"/>
    <cellStyle name="Normal 11 5 2" xfId="15959"/>
    <cellStyle name="Normal 11 5 2 2" xfId="42967"/>
    <cellStyle name="Normal 11 5 3" xfId="29463"/>
    <cellStyle name="Normal 11 50" xfId="5501"/>
    <cellStyle name="Normal 11 50 2" xfId="20099"/>
    <cellStyle name="Normal 11 50 2 2" xfId="47107"/>
    <cellStyle name="Normal 11 50 3" xfId="33603"/>
    <cellStyle name="Normal 11 51" xfId="5607"/>
    <cellStyle name="Normal 11 51 2" xfId="20191"/>
    <cellStyle name="Normal 11 51 2 2" xfId="47199"/>
    <cellStyle name="Normal 11 51 3" xfId="33695"/>
    <cellStyle name="Normal 11 52" xfId="5713"/>
    <cellStyle name="Normal 11 52 2" xfId="20283"/>
    <cellStyle name="Normal 11 52 2 2" xfId="47291"/>
    <cellStyle name="Normal 11 52 3" xfId="33787"/>
    <cellStyle name="Normal 11 53" xfId="5819"/>
    <cellStyle name="Normal 11 53 2" xfId="20375"/>
    <cellStyle name="Normal 11 53 2 2" xfId="47383"/>
    <cellStyle name="Normal 11 53 3" xfId="33879"/>
    <cellStyle name="Normal 11 54" xfId="5925"/>
    <cellStyle name="Normal 11 54 2" xfId="20467"/>
    <cellStyle name="Normal 11 54 2 2" xfId="47475"/>
    <cellStyle name="Normal 11 54 3" xfId="33971"/>
    <cellStyle name="Normal 11 55" xfId="6031"/>
    <cellStyle name="Normal 11 55 2" xfId="20559"/>
    <cellStyle name="Normal 11 55 2 2" xfId="47567"/>
    <cellStyle name="Normal 11 55 3" xfId="34063"/>
    <cellStyle name="Normal 11 56" xfId="6137"/>
    <cellStyle name="Normal 11 56 2" xfId="20651"/>
    <cellStyle name="Normal 11 56 2 2" xfId="47659"/>
    <cellStyle name="Normal 11 56 3" xfId="34155"/>
    <cellStyle name="Normal 11 57" xfId="6243"/>
    <cellStyle name="Normal 11 57 2" xfId="20743"/>
    <cellStyle name="Normal 11 57 2 2" xfId="47751"/>
    <cellStyle name="Normal 11 57 3" xfId="34247"/>
    <cellStyle name="Normal 11 58" xfId="6349"/>
    <cellStyle name="Normal 11 58 2" xfId="20835"/>
    <cellStyle name="Normal 11 58 2 2" xfId="47843"/>
    <cellStyle name="Normal 11 58 3" xfId="34339"/>
    <cellStyle name="Normal 11 59" xfId="6455"/>
    <cellStyle name="Normal 11 59 2" xfId="20927"/>
    <cellStyle name="Normal 11 59 2 2" xfId="47935"/>
    <cellStyle name="Normal 11 59 3" xfId="34431"/>
    <cellStyle name="Normal 11 6" xfId="837"/>
    <cellStyle name="Normal 11 6 2" xfId="16051"/>
    <cellStyle name="Normal 11 6 2 2" xfId="43059"/>
    <cellStyle name="Normal 11 6 3" xfId="29555"/>
    <cellStyle name="Normal 11 60" xfId="6561"/>
    <cellStyle name="Normal 11 60 2" xfId="21019"/>
    <cellStyle name="Normal 11 60 2 2" xfId="48027"/>
    <cellStyle name="Normal 11 60 3" xfId="34523"/>
    <cellStyle name="Normal 11 61" xfId="6666"/>
    <cellStyle name="Normal 11 61 2" xfId="21110"/>
    <cellStyle name="Normal 11 61 2 2" xfId="48118"/>
    <cellStyle name="Normal 11 61 3" xfId="34614"/>
    <cellStyle name="Normal 11 62" xfId="6771"/>
    <cellStyle name="Normal 11 62 2" xfId="21201"/>
    <cellStyle name="Normal 11 62 2 2" xfId="48209"/>
    <cellStyle name="Normal 11 62 3" xfId="34705"/>
    <cellStyle name="Normal 11 63" xfId="6876"/>
    <cellStyle name="Normal 11 63 2" xfId="21292"/>
    <cellStyle name="Normal 11 63 2 2" xfId="48300"/>
    <cellStyle name="Normal 11 63 3" xfId="34796"/>
    <cellStyle name="Normal 11 64" xfId="6981"/>
    <cellStyle name="Normal 11 64 2" xfId="21383"/>
    <cellStyle name="Normal 11 64 2 2" xfId="48391"/>
    <cellStyle name="Normal 11 64 3" xfId="34887"/>
    <cellStyle name="Normal 11 65" xfId="7085"/>
    <cellStyle name="Normal 11 65 2" xfId="21473"/>
    <cellStyle name="Normal 11 65 2 2" xfId="48481"/>
    <cellStyle name="Normal 11 65 3" xfId="34977"/>
    <cellStyle name="Normal 11 66" xfId="7189"/>
    <cellStyle name="Normal 11 66 2" xfId="21563"/>
    <cellStyle name="Normal 11 66 2 2" xfId="48571"/>
    <cellStyle name="Normal 11 66 3" xfId="35067"/>
    <cellStyle name="Normal 11 67" xfId="7292"/>
    <cellStyle name="Normal 11 67 2" xfId="21652"/>
    <cellStyle name="Normal 11 67 2 2" xfId="48660"/>
    <cellStyle name="Normal 11 67 3" xfId="35156"/>
    <cellStyle name="Normal 11 68" xfId="7392"/>
    <cellStyle name="Normal 11 68 2" xfId="21739"/>
    <cellStyle name="Normal 11 68 2 2" xfId="48747"/>
    <cellStyle name="Normal 11 68 3" xfId="35243"/>
    <cellStyle name="Normal 11 69" xfId="7490"/>
    <cellStyle name="Normal 11 69 2" xfId="21824"/>
    <cellStyle name="Normal 11 69 2 2" xfId="48832"/>
    <cellStyle name="Normal 11 69 3" xfId="35328"/>
    <cellStyle name="Normal 11 7" xfId="943"/>
    <cellStyle name="Normal 11 7 2" xfId="16143"/>
    <cellStyle name="Normal 11 7 2 2" xfId="43151"/>
    <cellStyle name="Normal 11 7 3" xfId="29647"/>
    <cellStyle name="Normal 11 70" xfId="7579"/>
    <cellStyle name="Normal 11 70 2" xfId="21902"/>
    <cellStyle name="Normal 11 70 2 2" xfId="48910"/>
    <cellStyle name="Normal 11 70 3" xfId="35406"/>
    <cellStyle name="Normal 11 71" xfId="7655"/>
    <cellStyle name="Normal 11 71 2" xfId="21971"/>
    <cellStyle name="Normal 11 71 2 2" xfId="48979"/>
    <cellStyle name="Normal 11 71 3" xfId="35475"/>
    <cellStyle name="Normal 11 72" xfId="7834"/>
    <cellStyle name="Normal 11 72 2" xfId="22124"/>
    <cellStyle name="Normal 11 72 2 2" xfId="49132"/>
    <cellStyle name="Normal 11 72 3" xfId="35628"/>
    <cellStyle name="Normal 11 73" xfId="7976"/>
    <cellStyle name="Normal 11 73 2" xfId="22252"/>
    <cellStyle name="Normal 11 73 2 2" xfId="49260"/>
    <cellStyle name="Normal 11 73 3" xfId="35756"/>
    <cellStyle name="Normal 11 74" xfId="8118"/>
    <cellStyle name="Normal 11 74 2" xfId="22380"/>
    <cellStyle name="Normal 11 74 2 2" xfId="49388"/>
    <cellStyle name="Normal 11 74 3" xfId="35884"/>
    <cellStyle name="Normal 11 75" xfId="8260"/>
    <cellStyle name="Normal 11 75 2" xfId="22508"/>
    <cellStyle name="Normal 11 75 2 2" xfId="49516"/>
    <cellStyle name="Normal 11 75 3" xfId="36012"/>
    <cellStyle name="Normal 11 76" xfId="8402"/>
    <cellStyle name="Normal 11 76 2" xfId="22636"/>
    <cellStyle name="Normal 11 76 2 2" xfId="49644"/>
    <cellStyle name="Normal 11 76 3" xfId="36140"/>
    <cellStyle name="Normal 11 77" xfId="8544"/>
    <cellStyle name="Normal 11 77 2" xfId="22764"/>
    <cellStyle name="Normal 11 77 2 2" xfId="49772"/>
    <cellStyle name="Normal 11 77 3" xfId="36268"/>
    <cellStyle name="Normal 11 78" xfId="8686"/>
    <cellStyle name="Normal 11 78 2" xfId="22892"/>
    <cellStyle name="Normal 11 78 2 2" xfId="49900"/>
    <cellStyle name="Normal 11 78 3" xfId="36396"/>
    <cellStyle name="Normal 11 79" xfId="8828"/>
    <cellStyle name="Normal 11 79 2" xfId="23020"/>
    <cellStyle name="Normal 11 79 2 2" xfId="50028"/>
    <cellStyle name="Normal 11 79 3" xfId="36524"/>
    <cellStyle name="Normal 11 8" xfId="1049"/>
    <cellStyle name="Normal 11 8 2" xfId="16235"/>
    <cellStyle name="Normal 11 8 2 2" xfId="43243"/>
    <cellStyle name="Normal 11 8 3" xfId="29739"/>
    <cellStyle name="Normal 11 80" xfId="8970"/>
    <cellStyle name="Normal 11 80 2" xfId="23148"/>
    <cellStyle name="Normal 11 80 2 2" xfId="50156"/>
    <cellStyle name="Normal 11 80 3" xfId="36652"/>
    <cellStyle name="Normal 11 81" xfId="9112"/>
    <cellStyle name="Normal 11 81 2" xfId="23276"/>
    <cellStyle name="Normal 11 81 2 2" xfId="50284"/>
    <cellStyle name="Normal 11 81 3" xfId="36780"/>
    <cellStyle name="Normal 11 82" xfId="9254"/>
    <cellStyle name="Normal 11 82 2" xfId="23404"/>
    <cellStyle name="Normal 11 82 2 2" xfId="50412"/>
    <cellStyle name="Normal 11 82 3" xfId="36908"/>
    <cellStyle name="Normal 11 83" xfId="9396"/>
    <cellStyle name="Normal 11 83 2" xfId="23532"/>
    <cellStyle name="Normal 11 83 2 2" xfId="50540"/>
    <cellStyle name="Normal 11 83 3" xfId="37036"/>
    <cellStyle name="Normal 11 84" xfId="9538"/>
    <cellStyle name="Normal 11 84 2" xfId="23660"/>
    <cellStyle name="Normal 11 84 2 2" xfId="50668"/>
    <cellStyle name="Normal 11 84 3" xfId="37164"/>
    <cellStyle name="Normal 11 85" xfId="9680"/>
    <cellStyle name="Normal 11 85 2" xfId="23788"/>
    <cellStyle name="Normal 11 85 2 2" xfId="50796"/>
    <cellStyle name="Normal 11 85 3" xfId="37292"/>
    <cellStyle name="Normal 11 86" xfId="9822"/>
    <cellStyle name="Normal 11 86 2" xfId="23916"/>
    <cellStyle name="Normal 11 86 2 2" xfId="50924"/>
    <cellStyle name="Normal 11 86 3" xfId="37420"/>
    <cellStyle name="Normal 11 87" xfId="9964"/>
    <cellStyle name="Normal 11 87 2" xfId="24044"/>
    <cellStyle name="Normal 11 87 2 2" xfId="51052"/>
    <cellStyle name="Normal 11 87 3" xfId="37548"/>
    <cellStyle name="Normal 11 88" xfId="10106"/>
    <cellStyle name="Normal 11 88 2" xfId="24172"/>
    <cellStyle name="Normal 11 88 2 2" xfId="51180"/>
    <cellStyle name="Normal 11 88 3" xfId="37676"/>
    <cellStyle name="Normal 11 89" xfId="10248"/>
    <cellStyle name="Normal 11 89 2" xfId="24300"/>
    <cellStyle name="Normal 11 89 2 2" xfId="51308"/>
    <cellStyle name="Normal 11 89 3" xfId="37804"/>
    <cellStyle name="Normal 11 9" xfId="1155"/>
    <cellStyle name="Normal 11 9 2" xfId="16327"/>
    <cellStyle name="Normal 11 9 2 2" xfId="43335"/>
    <cellStyle name="Normal 11 9 3" xfId="29831"/>
    <cellStyle name="Normal 11 90" xfId="10390"/>
    <cellStyle name="Normal 11 90 2" xfId="24428"/>
    <cellStyle name="Normal 11 90 2 2" xfId="51436"/>
    <cellStyle name="Normal 11 90 3" xfId="37932"/>
    <cellStyle name="Normal 11 91" xfId="10532"/>
    <cellStyle name="Normal 11 91 2" xfId="24556"/>
    <cellStyle name="Normal 11 91 2 2" xfId="51564"/>
    <cellStyle name="Normal 11 91 3" xfId="38060"/>
    <cellStyle name="Normal 11 92" xfId="10674"/>
    <cellStyle name="Normal 11 92 2" xfId="24684"/>
    <cellStyle name="Normal 11 92 2 2" xfId="51692"/>
    <cellStyle name="Normal 11 92 3" xfId="38188"/>
    <cellStyle name="Normal 11 93" xfId="10816"/>
    <cellStyle name="Normal 11 93 2" xfId="24812"/>
    <cellStyle name="Normal 11 93 2 2" xfId="51820"/>
    <cellStyle name="Normal 11 93 3" xfId="38316"/>
    <cellStyle name="Normal 11 94" xfId="10958"/>
    <cellStyle name="Normal 11 94 2" xfId="24940"/>
    <cellStyle name="Normal 11 94 2 2" xfId="51948"/>
    <cellStyle name="Normal 11 94 3" xfId="38444"/>
    <cellStyle name="Normal 11 95" xfId="11100"/>
    <cellStyle name="Normal 11 95 2" xfId="25068"/>
    <cellStyle name="Normal 11 95 2 2" xfId="52076"/>
    <cellStyle name="Normal 11 95 3" xfId="38572"/>
    <cellStyle name="Normal 11 96" xfId="11242"/>
    <cellStyle name="Normal 11 96 2" xfId="25196"/>
    <cellStyle name="Normal 11 96 2 2" xfId="52204"/>
    <cellStyle name="Normal 11 96 3" xfId="38700"/>
    <cellStyle name="Normal 11 97" xfId="11384"/>
    <cellStyle name="Normal 11 97 2" xfId="25324"/>
    <cellStyle name="Normal 11 97 2 2" xfId="52332"/>
    <cellStyle name="Normal 11 97 3" xfId="38828"/>
    <cellStyle name="Normal 11 98" xfId="11526"/>
    <cellStyle name="Normal 11 98 2" xfId="25452"/>
    <cellStyle name="Normal 11 98 2 2" xfId="52460"/>
    <cellStyle name="Normal 11 98 3" xfId="38956"/>
    <cellStyle name="Normal 11 99" xfId="11668"/>
    <cellStyle name="Normal 11 99 2" xfId="25580"/>
    <cellStyle name="Normal 11 99 2 2" xfId="52588"/>
    <cellStyle name="Normal 11 99 3" xfId="39084"/>
    <cellStyle name="Normal 110" xfId="7238"/>
    <cellStyle name="Normal 110 2" xfId="21608"/>
    <cellStyle name="Normal 110 2 2" xfId="48616"/>
    <cellStyle name="Normal 110 3" xfId="35112"/>
    <cellStyle name="Normal 111" xfId="7339"/>
    <cellStyle name="Normal 111 2" xfId="21695"/>
    <cellStyle name="Normal 111 2 2" xfId="48703"/>
    <cellStyle name="Normal 111 3" xfId="35199"/>
    <cellStyle name="Normal 112" xfId="7438"/>
    <cellStyle name="Normal 112 2" xfId="21781"/>
    <cellStyle name="Normal 112 2 2" xfId="48789"/>
    <cellStyle name="Normal 112 3" xfId="35285"/>
    <cellStyle name="Normal 113" xfId="8168"/>
    <cellStyle name="Normal 113 2" xfId="22426"/>
    <cellStyle name="Normal 113 2 2" xfId="49434"/>
    <cellStyle name="Normal 113 3" xfId="35930"/>
    <cellStyle name="Normal 114" xfId="8310"/>
    <cellStyle name="Normal 114 2" xfId="22554"/>
    <cellStyle name="Normal 114 2 2" xfId="49562"/>
    <cellStyle name="Normal 114 3" xfId="36058"/>
    <cellStyle name="Normal 115" xfId="8452"/>
    <cellStyle name="Normal 115 2" xfId="22682"/>
    <cellStyle name="Normal 115 2 2" xfId="49690"/>
    <cellStyle name="Normal 115 3" xfId="36186"/>
    <cellStyle name="Normal 116" xfId="8594"/>
    <cellStyle name="Normal 116 2" xfId="22810"/>
    <cellStyle name="Normal 116 2 2" xfId="49818"/>
    <cellStyle name="Normal 116 3" xfId="36314"/>
    <cellStyle name="Normal 117" xfId="8736"/>
    <cellStyle name="Normal 117 2" xfId="22938"/>
    <cellStyle name="Normal 117 2 2" xfId="49946"/>
    <cellStyle name="Normal 117 3" xfId="36442"/>
    <cellStyle name="Normal 118" xfId="8878"/>
    <cellStyle name="Normal 118 2" xfId="23066"/>
    <cellStyle name="Normal 118 2 2" xfId="50074"/>
    <cellStyle name="Normal 118 3" xfId="36570"/>
    <cellStyle name="Normal 119" xfId="9020"/>
    <cellStyle name="Normal 119 2" xfId="23194"/>
    <cellStyle name="Normal 119 2 2" xfId="50202"/>
    <cellStyle name="Normal 119 3" xfId="36698"/>
    <cellStyle name="Normal 12" xfId="157"/>
    <cellStyle name="Normal 12 10" xfId="1262"/>
    <cellStyle name="Normal 12 10 2" xfId="16420"/>
    <cellStyle name="Normal 12 10 2 2" xfId="43428"/>
    <cellStyle name="Normal 12 10 3" xfId="29924"/>
    <cellStyle name="Normal 12 100" xfId="11811"/>
    <cellStyle name="Normal 12 100 2" xfId="25709"/>
    <cellStyle name="Normal 12 100 2 2" xfId="52717"/>
    <cellStyle name="Normal 12 100 3" xfId="39213"/>
    <cellStyle name="Normal 12 101" xfId="11953"/>
    <cellStyle name="Normal 12 101 2" xfId="25837"/>
    <cellStyle name="Normal 12 101 2 2" xfId="52845"/>
    <cellStyle name="Normal 12 101 3" xfId="39341"/>
    <cellStyle name="Normal 12 102" xfId="12095"/>
    <cellStyle name="Normal 12 102 2" xfId="25965"/>
    <cellStyle name="Normal 12 102 2 2" xfId="52973"/>
    <cellStyle name="Normal 12 102 3" xfId="39469"/>
    <cellStyle name="Normal 12 103" xfId="12237"/>
    <cellStyle name="Normal 12 103 2" xfId="26093"/>
    <cellStyle name="Normal 12 103 2 2" xfId="53101"/>
    <cellStyle name="Normal 12 103 3" xfId="39597"/>
    <cellStyle name="Normal 12 104" xfId="12379"/>
    <cellStyle name="Normal 12 104 2" xfId="26221"/>
    <cellStyle name="Normal 12 104 2 2" xfId="53229"/>
    <cellStyle name="Normal 12 104 3" xfId="39725"/>
    <cellStyle name="Normal 12 105" xfId="12521"/>
    <cellStyle name="Normal 12 105 2" xfId="26349"/>
    <cellStyle name="Normal 12 105 2 2" xfId="53357"/>
    <cellStyle name="Normal 12 105 3" xfId="39853"/>
    <cellStyle name="Normal 12 106" xfId="12663"/>
    <cellStyle name="Normal 12 106 2" xfId="26477"/>
    <cellStyle name="Normal 12 106 2 2" xfId="53485"/>
    <cellStyle name="Normal 12 106 3" xfId="39981"/>
    <cellStyle name="Normal 12 107" xfId="12805"/>
    <cellStyle name="Normal 12 107 2" xfId="26605"/>
    <cellStyle name="Normal 12 107 2 2" xfId="53613"/>
    <cellStyle name="Normal 12 107 3" xfId="40109"/>
    <cellStyle name="Normal 12 108" xfId="12947"/>
    <cellStyle name="Normal 12 108 2" xfId="26733"/>
    <cellStyle name="Normal 12 108 2 2" xfId="53741"/>
    <cellStyle name="Normal 12 108 3" xfId="40237"/>
    <cellStyle name="Normal 12 109" xfId="13089"/>
    <cellStyle name="Normal 12 109 2" xfId="26861"/>
    <cellStyle name="Normal 12 109 2 2" xfId="53869"/>
    <cellStyle name="Normal 12 109 3" xfId="40365"/>
    <cellStyle name="Normal 12 11" xfId="1368"/>
    <cellStyle name="Normal 12 11 2" xfId="16512"/>
    <cellStyle name="Normal 12 11 2 2" xfId="43520"/>
    <cellStyle name="Normal 12 11 3" xfId="30016"/>
    <cellStyle name="Normal 12 110" xfId="13231"/>
    <cellStyle name="Normal 12 110 2" xfId="26989"/>
    <cellStyle name="Normal 12 110 2 2" xfId="53997"/>
    <cellStyle name="Normal 12 110 3" xfId="40493"/>
    <cellStyle name="Normal 12 111" xfId="13373"/>
    <cellStyle name="Normal 12 111 2" xfId="27117"/>
    <cellStyle name="Normal 12 111 2 2" xfId="54125"/>
    <cellStyle name="Normal 12 111 3" xfId="40621"/>
    <cellStyle name="Normal 12 112" xfId="13515"/>
    <cellStyle name="Normal 12 112 2" xfId="27245"/>
    <cellStyle name="Normal 12 112 2 2" xfId="54253"/>
    <cellStyle name="Normal 12 112 3" xfId="40749"/>
    <cellStyle name="Normal 12 113" xfId="13657"/>
    <cellStyle name="Normal 12 113 2" xfId="27373"/>
    <cellStyle name="Normal 12 113 2 2" xfId="54381"/>
    <cellStyle name="Normal 12 113 3" xfId="40877"/>
    <cellStyle name="Normal 12 114" xfId="13799"/>
    <cellStyle name="Normal 12 114 2" xfId="27501"/>
    <cellStyle name="Normal 12 114 2 2" xfId="54509"/>
    <cellStyle name="Normal 12 114 3" xfId="41005"/>
    <cellStyle name="Normal 12 115" xfId="13940"/>
    <cellStyle name="Normal 12 115 2" xfId="27628"/>
    <cellStyle name="Normal 12 115 2 2" xfId="54636"/>
    <cellStyle name="Normal 12 115 3" xfId="41132"/>
    <cellStyle name="Normal 12 116" xfId="14081"/>
    <cellStyle name="Normal 12 116 2" xfId="27755"/>
    <cellStyle name="Normal 12 116 2 2" xfId="54763"/>
    <cellStyle name="Normal 12 116 3" xfId="41259"/>
    <cellStyle name="Normal 12 117" xfId="14222"/>
    <cellStyle name="Normal 12 117 2" xfId="27882"/>
    <cellStyle name="Normal 12 117 2 2" xfId="54890"/>
    <cellStyle name="Normal 12 117 3" xfId="41386"/>
    <cellStyle name="Normal 12 118" xfId="14363"/>
    <cellStyle name="Normal 12 118 2" xfId="28009"/>
    <cellStyle name="Normal 12 118 2 2" xfId="55017"/>
    <cellStyle name="Normal 12 118 3" xfId="41513"/>
    <cellStyle name="Normal 12 119" xfId="14503"/>
    <cellStyle name="Normal 12 119 2" xfId="28135"/>
    <cellStyle name="Normal 12 119 2 2" xfId="55143"/>
    <cellStyle name="Normal 12 119 3" xfId="41639"/>
    <cellStyle name="Normal 12 12" xfId="1474"/>
    <cellStyle name="Normal 12 12 2" xfId="16604"/>
    <cellStyle name="Normal 12 12 2 2" xfId="43612"/>
    <cellStyle name="Normal 12 12 3" xfId="30108"/>
    <cellStyle name="Normal 12 120" xfId="14643"/>
    <cellStyle name="Normal 12 120 2" xfId="28261"/>
    <cellStyle name="Normal 12 120 2 2" xfId="55269"/>
    <cellStyle name="Normal 12 120 3" xfId="41765"/>
    <cellStyle name="Normal 12 121" xfId="14782"/>
    <cellStyle name="Normal 12 121 2" xfId="28386"/>
    <cellStyle name="Normal 12 121 2 2" xfId="55394"/>
    <cellStyle name="Normal 12 121 3" xfId="41890"/>
    <cellStyle name="Normal 12 122" xfId="14917"/>
    <cellStyle name="Normal 12 122 2" xfId="28508"/>
    <cellStyle name="Normal 12 122 2 2" xfId="55516"/>
    <cellStyle name="Normal 12 122 3" xfId="42012"/>
    <cellStyle name="Normal 12 123" xfId="15051"/>
    <cellStyle name="Normal 12 123 2" xfId="28629"/>
    <cellStyle name="Normal 12 123 2 2" xfId="55637"/>
    <cellStyle name="Normal 12 123 3" xfId="42133"/>
    <cellStyle name="Normal 12 124" xfId="15178"/>
    <cellStyle name="Normal 12 124 2" xfId="28745"/>
    <cellStyle name="Normal 12 124 2 2" xfId="55753"/>
    <cellStyle name="Normal 12 124 3" xfId="42249"/>
    <cellStyle name="Normal 12 125" xfId="15298"/>
    <cellStyle name="Normal 12 125 2" xfId="28858"/>
    <cellStyle name="Normal 12 125 2 2" xfId="55866"/>
    <cellStyle name="Normal 12 125 3" xfId="42362"/>
    <cellStyle name="Normal 12 126" xfId="15513"/>
    <cellStyle name="Normal 12 126 2" xfId="42521"/>
    <cellStyle name="Normal 12 127" xfId="29017"/>
    <cellStyle name="Normal 12 13" xfId="1580"/>
    <cellStyle name="Normal 12 13 2" xfId="16696"/>
    <cellStyle name="Normal 12 13 2 2" xfId="43704"/>
    <cellStyle name="Normal 12 13 3" xfId="30200"/>
    <cellStyle name="Normal 12 14" xfId="1686"/>
    <cellStyle name="Normal 12 14 2" xfId="16788"/>
    <cellStyle name="Normal 12 14 2 2" xfId="43796"/>
    <cellStyle name="Normal 12 14 3" xfId="30292"/>
    <cellStyle name="Normal 12 15" xfId="1792"/>
    <cellStyle name="Normal 12 15 2" xfId="16880"/>
    <cellStyle name="Normal 12 15 2 2" xfId="43888"/>
    <cellStyle name="Normal 12 15 3" xfId="30384"/>
    <cellStyle name="Normal 12 16" xfId="1898"/>
    <cellStyle name="Normal 12 16 2" xfId="16972"/>
    <cellStyle name="Normal 12 16 2 2" xfId="43980"/>
    <cellStyle name="Normal 12 16 3" xfId="30476"/>
    <cellStyle name="Normal 12 17" xfId="2004"/>
    <cellStyle name="Normal 12 17 2" xfId="17064"/>
    <cellStyle name="Normal 12 17 2 2" xfId="44072"/>
    <cellStyle name="Normal 12 17 3" xfId="30568"/>
    <cellStyle name="Normal 12 18" xfId="2110"/>
    <cellStyle name="Normal 12 18 2" xfId="17156"/>
    <cellStyle name="Normal 12 18 2 2" xfId="44164"/>
    <cellStyle name="Normal 12 18 3" xfId="30660"/>
    <cellStyle name="Normal 12 19" xfId="2216"/>
    <cellStyle name="Normal 12 19 2" xfId="17248"/>
    <cellStyle name="Normal 12 19 2 2" xfId="44256"/>
    <cellStyle name="Normal 12 19 3" xfId="30752"/>
    <cellStyle name="Normal 12 2" xfId="334"/>
    <cellStyle name="Normal 12 2 2" xfId="15636"/>
    <cellStyle name="Normal 12 2 2 2" xfId="42644"/>
    <cellStyle name="Normal 12 2 3" xfId="29140"/>
    <cellStyle name="Normal 12 20" xfId="2322"/>
    <cellStyle name="Normal 12 20 2" xfId="17340"/>
    <cellStyle name="Normal 12 20 2 2" xfId="44348"/>
    <cellStyle name="Normal 12 20 3" xfId="30844"/>
    <cellStyle name="Normal 12 21" xfId="2428"/>
    <cellStyle name="Normal 12 21 2" xfId="17432"/>
    <cellStyle name="Normal 12 21 2 2" xfId="44440"/>
    <cellStyle name="Normal 12 21 3" xfId="30936"/>
    <cellStyle name="Normal 12 22" xfId="2534"/>
    <cellStyle name="Normal 12 22 2" xfId="17524"/>
    <cellStyle name="Normal 12 22 2 2" xfId="44532"/>
    <cellStyle name="Normal 12 22 3" xfId="31028"/>
    <cellStyle name="Normal 12 23" xfId="2640"/>
    <cellStyle name="Normal 12 23 2" xfId="17616"/>
    <cellStyle name="Normal 12 23 2 2" xfId="44624"/>
    <cellStyle name="Normal 12 23 3" xfId="31120"/>
    <cellStyle name="Normal 12 24" xfId="2746"/>
    <cellStyle name="Normal 12 24 2" xfId="17708"/>
    <cellStyle name="Normal 12 24 2 2" xfId="44716"/>
    <cellStyle name="Normal 12 24 3" xfId="31212"/>
    <cellStyle name="Normal 12 25" xfId="2852"/>
    <cellStyle name="Normal 12 25 2" xfId="17800"/>
    <cellStyle name="Normal 12 25 2 2" xfId="44808"/>
    <cellStyle name="Normal 12 25 3" xfId="31304"/>
    <cellStyle name="Normal 12 26" xfId="2958"/>
    <cellStyle name="Normal 12 26 2" xfId="17892"/>
    <cellStyle name="Normal 12 26 2 2" xfId="44900"/>
    <cellStyle name="Normal 12 26 3" xfId="31396"/>
    <cellStyle name="Normal 12 27" xfId="3064"/>
    <cellStyle name="Normal 12 27 2" xfId="17984"/>
    <cellStyle name="Normal 12 27 2 2" xfId="44992"/>
    <cellStyle name="Normal 12 27 3" xfId="31488"/>
    <cellStyle name="Normal 12 28" xfId="3170"/>
    <cellStyle name="Normal 12 28 2" xfId="18076"/>
    <cellStyle name="Normal 12 28 2 2" xfId="45084"/>
    <cellStyle name="Normal 12 28 3" xfId="31580"/>
    <cellStyle name="Normal 12 29" xfId="3276"/>
    <cellStyle name="Normal 12 29 2" xfId="18168"/>
    <cellStyle name="Normal 12 29 2 2" xfId="45176"/>
    <cellStyle name="Normal 12 29 3" xfId="31672"/>
    <cellStyle name="Normal 12 3" xfId="521"/>
    <cellStyle name="Normal 12 3 2" xfId="15777"/>
    <cellStyle name="Normal 12 3 2 2" xfId="42785"/>
    <cellStyle name="Normal 12 3 3" xfId="29281"/>
    <cellStyle name="Normal 12 30" xfId="3382"/>
    <cellStyle name="Normal 12 30 2" xfId="18260"/>
    <cellStyle name="Normal 12 30 2 2" xfId="45268"/>
    <cellStyle name="Normal 12 30 3" xfId="31764"/>
    <cellStyle name="Normal 12 31" xfId="3488"/>
    <cellStyle name="Normal 12 31 2" xfId="18352"/>
    <cellStyle name="Normal 12 31 2 2" xfId="45360"/>
    <cellStyle name="Normal 12 31 3" xfId="31856"/>
    <cellStyle name="Normal 12 32" xfId="3594"/>
    <cellStyle name="Normal 12 32 2" xfId="18444"/>
    <cellStyle name="Normal 12 32 2 2" xfId="45452"/>
    <cellStyle name="Normal 12 32 3" xfId="31948"/>
    <cellStyle name="Normal 12 33" xfId="3700"/>
    <cellStyle name="Normal 12 33 2" xfId="18536"/>
    <cellStyle name="Normal 12 33 2 2" xfId="45544"/>
    <cellStyle name="Normal 12 33 3" xfId="32040"/>
    <cellStyle name="Normal 12 34" xfId="3806"/>
    <cellStyle name="Normal 12 34 2" xfId="18628"/>
    <cellStyle name="Normal 12 34 2 2" xfId="45636"/>
    <cellStyle name="Normal 12 34 3" xfId="32132"/>
    <cellStyle name="Normal 12 35" xfId="3912"/>
    <cellStyle name="Normal 12 35 2" xfId="18720"/>
    <cellStyle name="Normal 12 35 2 2" xfId="45728"/>
    <cellStyle name="Normal 12 35 3" xfId="32224"/>
    <cellStyle name="Normal 12 36" xfId="4018"/>
    <cellStyle name="Normal 12 36 2" xfId="18812"/>
    <cellStyle name="Normal 12 36 2 2" xfId="45820"/>
    <cellStyle name="Normal 12 36 3" xfId="32316"/>
    <cellStyle name="Normal 12 37" xfId="4124"/>
    <cellStyle name="Normal 12 37 2" xfId="18904"/>
    <cellStyle name="Normal 12 37 2 2" xfId="45912"/>
    <cellStyle name="Normal 12 37 3" xfId="32408"/>
    <cellStyle name="Normal 12 38" xfId="4230"/>
    <cellStyle name="Normal 12 38 2" xfId="18996"/>
    <cellStyle name="Normal 12 38 2 2" xfId="46004"/>
    <cellStyle name="Normal 12 38 3" xfId="32500"/>
    <cellStyle name="Normal 12 39" xfId="4336"/>
    <cellStyle name="Normal 12 39 2" xfId="19088"/>
    <cellStyle name="Normal 12 39 2 2" xfId="46096"/>
    <cellStyle name="Normal 12 39 3" xfId="32592"/>
    <cellStyle name="Normal 12 4" xfId="626"/>
    <cellStyle name="Normal 12 4 2" xfId="15868"/>
    <cellStyle name="Normal 12 4 2 2" xfId="42876"/>
    <cellStyle name="Normal 12 4 3" xfId="29372"/>
    <cellStyle name="Normal 12 40" xfId="4442"/>
    <cellStyle name="Normal 12 40 2" xfId="19180"/>
    <cellStyle name="Normal 12 40 2 2" xfId="46188"/>
    <cellStyle name="Normal 12 40 3" xfId="32684"/>
    <cellStyle name="Normal 12 41" xfId="4548"/>
    <cellStyle name="Normal 12 41 2" xfId="19272"/>
    <cellStyle name="Normal 12 41 2 2" xfId="46280"/>
    <cellStyle name="Normal 12 41 3" xfId="32776"/>
    <cellStyle name="Normal 12 42" xfId="4654"/>
    <cellStyle name="Normal 12 42 2" xfId="19364"/>
    <cellStyle name="Normal 12 42 2 2" xfId="46372"/>
    <cellStyle name="Normal 12 42 3" xfId="32868"/>
    <cellStyle name="Normal 12 43" xfId="4760"/>
    <cellStyle name="Normal 12 43 2" xfId="19456"/>
    <cellStyle name="Normal 12 43 2 2" xfId="46464"/>
    <cellStyle name="Normal 12 43 3" xfId="32960"/>
    <cellStyle name="Normal 12 44" xfId="4866"/>
    <cellStyle name="Normal 12 44 2" xfId="19548"/>
    <cellStyle name="Normal 12 44 2 2" xfId="46556"/>
    <cellStyle name="Normal 12 44 3" xfId="33052"/>
    <cellStyle name="Normal 12 45" xfId="4972"/>
    <cellStyle name="Normal 12 45 2" xfId="19640"/>
    <cellStyle name="Normal 12 45 2 2" xfId="46648"/>
    <cellStyle name="Normal 12 45 3" xfId="33144"/>
    <cellStyle name="Normal 12 46" xfId="5078"/>
    <cellStyle name="Normal 12 46 2" xfId="19732"/>
    <cellStyle name="Normal 12 46 2 2" xfId="46740"/>
    <cellStyle name="Normal 12 46 3" xfId="33236"/>
    <cellStyle name="Normal 12 47" xfId="5184"/>
    <cellStyle name="Normal 12 47 2" xfId="19824"/>
    <cellStyle name="Normal 12 47 2 2" xfId="46832"/>
    <cellStyle name="Normal 12 47 3" xfId="33328"/>
    <cellStyle name="Normal 12 48" xfId="5290"/>
    <cellStyle name="Normal 12 48 2" xfId="19916"/>
    <cellStyle name="Normal 12 48 2 2" xfId="46924"/>
    <cellStyle name="Normal 12 48 3" xfId="33420"/>
    <cellStyle name="Normal 12 49" xfId="5396"/>
    <cellStyle name="Normal 12 49 2" xfId="20008"/>
    <cellStyle name="Normal 12 49 2 2" xfId="47016"/>
    <cellStyle name="Normal 12 49 3" xfId="33512"/>
    <cellStyle name="Normal 12 5" xfId="732"/>
    <cellStyle name="Normal 12 5 2" xfId="15960"/>
    <cellStyle name="Normal 12 5 2 2" xfId="42968"/>
    <cellStyle name="Normal 12 5 3" xfId="29464"/>
    <cellStyle name="Normal 12 50" xfId="5502"/>
    <cellStyle name="Normal 12 50 2" xfId="20100"/>
    <cellStyle name="Normal 12 50 2 2" xfId="47108"/>
    <cellStyle name="Normal 12 50 3" xfId="33604"/>
    <cellStyle name="Normal 12 51" xfId="5608"/>
    <cellStyle name="Normal 12 51 2" xfId="20192"/>
    <cellStyle name="Normal 12 51 2 2" xfId="47200"/>
    <cellStyle name="Normal 12 51 3" xfId="33696"/>
    <cellStyle name="Normal 12 52" xfId="5714"/>
    <cellStyle name="Normal 12 52 2" xfId="20284"/>
    <cellStyle name="Normal 12 52 2 2" xfId="47292"/>
    <cellStyle name="Normal 12 52 3" xfId="33788"/>
    <cellStyle name="Normal 12 53" xfId="5820"/>
    <cellStyle name="Normal 12 53 2" xfId="20376"/>
    <cellStyle name="Normal 12 53 2 2" xfId="47384"/>
    <cellStyle name="Normal 12 53 3" xfId="33880"/>
    <cellStyle name="Normal 12 54" xfId="5926"/>
    <cellStyle name="Normal 12 54 2" xfId="20468"/>
    <cellStyle name="Normal 12 54 2 2" xfId="47476"/>
    <cellStyle name="Normal 12 54 3" xfId="33972"/>
    <cellStyle name="Normal 12 55" xfId="6032"/>
    <cellStyle name="Normal 12 55 2" xfId="20560"/>
    <cellStyle name="Normal 12 55 2 2" xfId="47568"/>
    <cellStyle name="Normal 12 55 3" xfId="34064"/>
    <cellStyle name="Normal 12 56" xfId="6138"/>
    <cellStyle name="Normal 12 56 2" xfId="20652"/>
    <cellStyle name="Normal 12 56 2 2" xfId="47660"/>
    <cellStyle name="Normal 12 56 3" xfId="34156"/>
    <cellStyle name="Normal 12 57" xfId="6244"/>
    <cellStyle name="Normal 12 57 2" xfId="20744"/>
    <cellStyle name="Normal 12 57 2 2" xfId="47752"/>
    <cellStyle name="Normal 12 57 3" xfId="34248"/>
    <cellStyle name="Normal 12 58" xfId="6350"/>
    <cellStyle name="Normal 12 58 2" xfId="20836"/>
    <cellStyle name="Normal 12 58 2 2" xfId="47844"/>
    <cellStyle name="Normal 12 58 3" xfId="34340"/>
    <cellStyle name="Normal 12 59" xfId="6456"/>
    <cellStyle name="Normal 12 59 2" xfId="20928"/>
    <cellStyle name="Normal 12 59 2 2" xfId="47936"/>
    <cellStyle name="Normal 12 59 3" xfId="34432"/>
    <cellStyle name="Normal 12 6" xfId="838"/>
    <cellStyle name="Normal 12 6 2" xfId="16052"/>
    <cellStyle name="Normal 12 6 2 2" xfId="43060"/>
    <cellStyle name="Normal 12 6 3" xfId="29556"/>
    <cellStyle name="Normal 12 60" xfId="6562"/>
    <cellStyle name="Normal 12 60 2" xfId="21020"/>
    <cellStyle name="Normal 12 60 2 2" xfId="48028"/>
    <cellStyle name="Normal 12 60 3" xfId="34524"/>
    <cellStyle name="Normal 12 61" xfId="6667"/>
    <cellStyle name="Normal 12 61 2" xfId="21111"/>
    <cellStyle name="Normal 12 61 2 2" xfId="48119"/>
    <cellStyle name="Normal 12 61 3" xfId="34615"/>
    <cellStyle name="Normal 12 62" xfId="6772"/>
    <cellStyle name="Normal 12 62 2" xfId="21202"/>
    <cellStyle name="Normal 12 62 2 2" xfId="48210"/>
    <cellStyle name="Normal 12 62 3" xfId="34706"/>
    <cellStyle name="Normal 12 63" xfId="6877"/>
    <cellStyle name="Normal 12 63 2" xfId="21293"/>
    <cellStyle name="Normal 12 63 2 2" xfId="48301"/>
    <cellStyle name="Normal 12 63 3" xfId="34797"/>
    <cellStyle name="Normal 12 64" xfId="6982"/>
    <cellStyle name="Normal 12 64 2" xfId="21384"/>
    <cellStyle name="Normal 12 64 2 2" xfId="48392"/>
    <cellStyle name="Normal 12 64 3" xfId="34888"/>
    <cellStyle name="Normal 12 65" xfId="7086"/>
    <cellStyle name="Normal 12 65 2" xfId="21474"/>
    <cellStyle name="Normal 12 65 2 2" xfId="48482"/>
    <cellStyle name="Normal 12 65 3" xfId="34978"/>
    <cellStyle name="Normal 12 66" xfId="7190"/>
    <cellStyle name="Normal 12 66 2" xfId="21564"/>
    <cellStyle name="Normal 12 66 2 2" xfId="48572"/>
    <cellStyle name="Normal 12 66 3" xfId="35068"/>
    <cellStyle name="Normal 12 67" xfId="7293"/>
    <cellStyle name="Normal 12 67 2" xfId="21653"/>
    <cellStyle name="Normal 12 67 2 2" xfId="48661"/>
    <cellStyle name="Normal 12 67 3" xfId="35157"/>
    <cellStyle name="Normal 12 68" xfId="7393"/>
    <cellStyle name="Normal 12 68 2" xfId="21740"/>
    <cellStyle name="Normal 12 68 2 2" xfId="48748"/>
    <cellStyle name="Normal 12 68 3" xfId="35244"/>
    <cellStyle name="Normal 12 69" xfId="7491"/>
    <cellStyle name="Normal 12 69 2" xfId="21825"/>
    <cellStyle name="Normal 12 69 2 2" xfId="48833"/>
    <cellStyle name="Normal 12 69 3" xfId="35329"/>
    <cellStyle name="Normal 12 7" xfId="944"/>
    <cellStyle name="Normal 12 7 2" xfId="16144"/>
    <cellStyle name="Normal 12 7 2 2" xfId="43152"/>
    <cellStyle name="Normal 12 7 3" xfId="29648"/>
    <cellStyle name="Normal 12 70" xfId="7580"/>
    <cellStyle name="Normal 12 70 2" xfId="21903"/>
    <cellStyle name="Normal 12 70 2 2" xfId="48911"/>
    <cellStyle name="Normal 12 70 3" xfId="35407"/>
    <cellStyle name="Normal 12 71" xfId="7656"/>
    <cellStyle name="Normal 12 71 2" xfId="21972"/>
    <cellStyle name="Normal 12 71 2 2" xfId="48980"/>
    <cellStyle name="Normal 12 71 3" xfId="35476"/>
    <cellStyle name="Normal 12 72" xfId="7835"/>
    <cellStyle name="Normal 12 72 2" xfId="22125"/>
    <cellStyle name="Normal 12 72 2 2" xfId="49133"/>
    <cellStyle name="Normal 12 72 3" xfId="35629"/>
    <cellStyle name="Normal 12 73" xfId="7977"/>
    <cellStyle name="Normal 12 73 2" xfId="22253"/>
    <cellStyle name="Normal 12 73 2 2" xfId="49261"/>
    <cellStyle name="Normal 12 73 3" xfId="35757"/>
    <cellStyle name="Normal 12 74" xfId="8119"/>
    <cellStyle name="Normal 12 74 2" xfId="22381"/>
    <cellStyle name="Normal 12 74 2 2" xfId="49389"/>
    <cellStyle name="Normal 12 74 3" xfId="35885"/>
    <cellStyle name="Normal 12 75" xfId="8261"/>
    <cellStyle name="Normal 12 75 2" xfId="22509"/>
    <cellStyle name="Normal 12 75 2 2" xfId="49517"/>
    <cellStyle name="Normal 12 75 3" xfId="36013"/>
    <cellStyle name="Normal 12 76" xfId="8403"/>
    <cellStyle name="Normal 12 76 2" xfId="22637"/>
    <cellStyle name="Normal 12 76 2 2" xfId="49645"/>
    <cellStyle name="Normal 12 76 3" xfId="36141"/>
    <cellStyle name="Normal 12 77" xfId="8545"/>
    <cellStyle name="Normal 12 77 2" xfId="22765"/>
    <cellStyle name="Normal 12 77 2 2" xfId="49773"/>
    <cellStyle name="Normal 12 77 3" xfId="36269"/>
    <cellStyle name="Normal 12 78" xfId="8687"/>
    <cellStyle name="Normal 12 78 2" xfId="22893"/>
    <cellStyle name="Normal 12 78 2 2" xfId="49901"/>
    <cellStyle name="Normal 12 78 3" xfId="36397"/>
    <cellStyle name="Normal 12 79" xfId="8829"/>
    <cellStyle name="Normal 12 79 2" xfId="23021"/>
    <cellStyle name="Normal 12 79 2 2" xfId="50029"/>
    <cellStyle name="Normal 12 79 3" xfId="36525"/>
    <cellStyle name="Normal 12 8" xfId="1050"/>
    <cellStyle name="Normal 12 8 2" xfId="16236"/>
    <cellStyle name="Normal 12 8 2 2" xfId="43244"/>
    <cellStyle name="Normal 12 8 3" xfId="29740"/>
    <cellStyle name="Normal 12 80" xfId="8971"/>
    <cellStyle name="Normal 12 80 2" xfId="23149"/>
    <cellStyle name="Normal 12 80 2 2" xfId="50157"/>
    <cellStyle name="Normal 12 80 3" xfId="36653"/>
    <cellStyle name="Normal 12 81" xfId="9113"/>
    <cellStyle name="Normal 12 81 2" xfId="23277"/>
    <cellStyle name="Normal 12 81 2 2" xfId="50285"/>
    <cellStyle name="Normal 12 81 3" xfId="36781"/>
    <cellStyle name="Normal 12 82" xfId="9255"/>
    <cellStyle name="Normal 12 82 2" xfId="23405"/>
    <cellStyle name="Normal 12 82 2 2" xfId="50413"/>
    <cellStyle name="Normal 12 82 3" xfId="36909"/>
    <cellStyle name="Normal 12 83" xfId="9397"/>
    <cellStyle name="Normal 12 83 2" xfId="23533"/>
    <cellStyle name="Normal 12 83 2 2" xfId="50541"/>
    <cellStyle name="Normal 12 83 3" xfId="37037"/>
    <cellStyle name="Normal 12 84" xfId="9539"/>
    <cellStyle name="Normal 12 84 2" xfId="23661"/>
    <cellStyle name="Normal 12 84 2 2" xfId="50669"/>
    <cellStyle name="Normal 12 84 3" xfId="37165"/>
    <cellStyle name="Normal 12 85" xfId="9681"/>
    <cellStyle name="Normal 12 85 2" xfId="23789"/>
    <cellStyle name="Normal 12 85 2 2" xfId="50797"/>
    <cellStyle name="Normal 12 85 3" xfId="37293"/>
    <cellStyle name="Normal 12 86" xfId="9823"/>
    <cellStyle name="Normal 12 86 2" xfId="23917"/>
    <cellStyle name="Normal 12 86 2 2" xfId="50925"/>
    <cellStyle name="Normal 12 86 3" xfId="37421"/>
    <cellStyle name="Normal 12 87" xfId="9965"/>
    <cellStyle name="Normal 12 87 2" xfId="24045"/>
    <cellStyle name="Normal 12 87 2 2" xfId="51053"/>
    <cellStyle name="Normal 12 87 3" xfId="37549"/>
    <cellStyle name="Normal 12 88" xfId="10107"/>
    <cellStyle name="Normal 12 88 2" xfId="24173"/>
    <cellStyle name="Normal 12 88 2 2" xfId="51181"/>
    <cellStyle name="Normal 12 88 3" xfId="37677"/>
    <cellStyle name="Normal 12 89" xfId="10249"/>
    <cellStyle name="Normal 12 89 2" xfId="24301"/>
    <cellStyle name="Normal 12 89 2 2" xfId="51309"/>
    <cellStyle name="Normal 12 89 3" xfId="37805"/>
    <cellStyle name="Normal 12 9" xfId="1156"/>
    <cellStyle name="Normal 12 9 2" xfId="16328"/>
    <cellStyle name="Normal 12 9 2 2" xfId="43336"/>
    <cellStyle name="Normal 12 9 3" xfId="29832"/>
    <cellStyle name="Normal 12 90" xfId="10391"/>
    <cellStyle name="Normal 12 90 2" xfId="24429"/>
    <cellStyle name="Normal 12 90 2 2" xfId="51437"/>
    <cellStyle name="Normal 12 90 3" xfId="37933"/>
    <cellStyle name="Normal 12 91" xfId="10533"/>
    <cellStyle name="Normal 12 91 2" xfId="24557"/>
    <cellStyle name="Normal 12 91 2 2" xfId="51565"/>
    <cellStyle name="Normal 12 91 3" xfId="38061"/>
    <cellStyle name="Normal 12 92" xfId="10675"/>
    <cellStyle name="Normal 12 92 2" xfId="24685"/>
    <cellStyle name="Normal 12 92 2 2" xfId="51693"/>
    <cellStyle name="Normal 12 92 3" xfId="38189"/>
    <cellStyle name="Normal 12 93" xfId="10817"/>
    <cellStyle name="Normal 12 93 2" xfId="24813"/>
    <cellStyle name="Normal 12 93 2 2" xfId="51821"/>
    <cellStyle name="Normal 12 93 3" xfId="38317"/>
    <cellStyle name="Normal 12 94" xfId="10959"/>
    <cellStyle name="Normal 12 94 2" xfId="24941"/>
    <cellStyle name="Normal 12 94 2 2" xfId="51949"/>
    <cellStyle name="Normal 12 94 3" xfId="38445"/>
    <cellStyle name="Normal 12 95" xfId="11101"/>
    <cellStyle name="Normal 12 95 2" xfId="25069"/>
    <cellStyle name="Normal 12 95 2 2" xfId="52077"/>
    <cellStyle name="Normal 12 95 3" xfId="38573"/>
    <cellStyle name="Normal 12 96" xfId="11243"/>
    <cellStyle name="Normal 12 96 2" xfId="25197"/>
    <cellStyle name="Normal 12 96 2 2" xfId="52205"/>
    <cellStyle name="Normal 12 96 3" xfId="38701"/>
    <cellStyle name="Normal 12 97" xfId="11385"/>
    <cellStyle name="Normal 12 97 2" xfId="25325"/>
    <cellStyle name="Normal 12 97 2 2" xfId="52333"/>
    <cellStyle name="Normal 12 97 3" xfId="38829"/>
    <cellStyle name="Normal 12 98" xfId="11527"/>
    <cellStyle name="Normal 12 98 2" xfId="25453"/>
    <cellStyle name="Normal 12 98 2 2" xfId="52461"/>
    <cellStyle name="Normal 12 98 3" xfId="38957"/>
    <cellStyle name="Normal 12 99" xfId="11669"/>
    <cellStyle name="Normal 12 99 2" xfId="25581"/>
    <cellStyle name="Normal 12 99 2 2" xfId="52589"/>
    <cellStyle name="Normal 12 99 3" xfId="39085"/>
    <cellStyle name="Normal 120" xfId="9162"/>
    <cellStyle name="Normal 120 2" xfId="23322"/>
    <cellStyle name="Normal 120 2 2" xfId="50330"/>
    <cellStyle name="Normal 120 3" xfId="36826"/>
    <cellStyle name="Normal 121" xfId="9304"/>
    <cellStyle name="Normal 121 2" xfId="23450"/>
    <cellStyle name="Normal 121 2 2" xfId="50458"/>
    <cellStyle name="Normal 121 3" xfId="36954"/>
    <cellStyle name="Normal 122" xfId="9446"/>
    <cellStyle name="Normal 122 2" xfId="23578"/>
    <cellStyle name="Normal 122 2 2" xfId="50586"/>
    <cellStyle name="Normal 122 3" xfId="37082"/>
    <cellStyle name="Normal 123" xfId="9588"/>
    <cellStyle name="Normal 123 2" xfId="23706"/>
    <cellStyle name="Normal 123 2 2" xfId="50714"/>
    <cellStyle name="Normal 123 3" xfId="37210"/>
    <cellStyle name="Normal 124" xfId="9730"/>
    <cellStyle name="Normal 124 2" xfId="23834"/>
    <cellStyle name="Normal 124 2 2" xfId="50842"/>
    <cellStyle name="Normal 124 3" xfId="37338"/>
    <cellStyle name="Normal 125" xfId="9872"/>
    <cellStyle name="Normal 125 2" xfId="23962"/>
    <cellStyle name="Normal 125 2 2" xfId="50970"/>
    <cellStyle name="Normal 125 3" xfId="37466"/>
    <cellStyle name="Normal 126" xfId="10014"/>
    <cellStyle name="Normal 126 2" xfId="24090"/>
    <cellStyle name="Normal 126 2 2" xfId="51098"/>
    <cellStyle name="Normal 126 3" xfId="37594"/>
    <cellStyle name="Normal 127" xfId="10156"/>
    <cellStyle name="Normal 127 2" xfId="24218"/>
    <cellStyle name="Normal 127 2 2" xfId="51226"/>
    <cellStyle name="Normal 127 3" xfId="37722"/>
    <cellStyle name="Normal 128" xfId="10298"/>
    <cellStyle name="Normal 128 2" xfId="24346"/>
    <cellStyle name="Normal 128 2 2" xfId="51354"/>
    <cellStyle name="Normal 128 3" xfId="37850"/>
    <cellStyle name="Normal 129" xfId="10440"/>
    <cellStyle name="Normal 129 2" xfId="24474"/>
    <cellStyle name="Normal 129 2 2" xfId="51482"/>
    <cellStyle name="Normal 129 3" xfId="37978"/>
    <cellStyle name="Normal 13" xfId="158"/>
    <cellStyle name="Normal 13 10" xfId="1263"/>
    <cellStyle name="Normal 13 10 2" xfId="16421"/>
    <cellStyle name="Normal 13 10 2 2" xfId="43429"/>
    <cellStyle name="Normal 13 10 3" xfId="29925"/>
    <cellStyle name="Normal 13 100" xfId="11812"/>
    <cellStyle name="Normal 13 100 2" xfId="25710"/>
    <cellStyle name="Normal 13 100 2 2" xfId="52718"/>
    <cellStyle name="Normal 13 100 3" xfId="39214"/>
    <cellStyle name="Normal 13 101" xfId="11954"/>
    <cellStyle name="Normal 13 101 2" xfId="25838"/>
    <cellStyle name="Normal 13 101 2 2" xfId="52846"/>
    <cellStyle name="Normal 13 101 3" xfId="39342"/>
    <cellStyle name="Normal 13 102" xfId="12096"/>
    <cellStyle name="Normal 13 102 2" xfId="25966"/>
    <cellStyle name="Normal 13 102 2 2" xfId="52974"/>
    <cellStyle name="Normal 13 102 3" xfId="39470"/>
    <cellStyle name="Normal 13 103" xfId="12238"/>
    <cellStyle name="Normal 13 103 2" xfId="26094"/>
    <cellStyle name="Normal 13 103 2 2" xfId="53102"/>
    <cellStyle name="Normal 13 103 3" xfId="39598"/>
    <cellStyle name="Normal 13 104" xfId="12380"/>
    <cellStyle name="Normal 13 104 2" xfId="26222"/>
    <cellStyle name="Normal 13 104 2 2" xfId="53230"/>
    <cellStyle name="Normal 13 104 3" xfId="39726"/>
    <cellStyle name="Normal 13 105" xfId="12522"/>
    <cellStyle name="Normal 13 105 2" xfId="26350"/>
    <cellStyle name="Normal 13 105 2 2" xfId="53358"/>
    <cellStyle name="Normal 13 105 3" xfId="39854"/>
    <cellStyle name="Normal 13 106" xfId="12664"/>
    <cellStyle name="Normal 13 106 2" xfId="26478"/>
    <cellStyle name="Normal 13 106 2 2" xfId="53486"/>
    <cellStyle name="Normal 13 106 3" xfId="39982"/>
    <cellStyle name="Normal 13 107" xfId="12806"/>
    <cellStyle name="Normal 13 107 2" xfId="26606"/>
    <cellStyle name="Normal 13 107 2 2" xfId="53614"/>
    <cellStyle name="Normal 13 107 3" xfId="40110"/>
    <cellStyle name="Normal 13 108" xfId="12948"/>
    <cellStyle name="Normal 13 108 2" xfId="26734"/>
    <cellStyle name="Normal 13 108 2 2" xfId="53742"/>
    <cellStyle name="Normal 13 108 3" xfId="40238"/>
    <cellStyle name="Normal 13 109" xfId="13090"/>
    <cellStyle name="Normal 13 109 2" xfId="26862"/>
    <cellStyle name="Normal 13 109 2 2" xfId="53870"/>
    <cellStyle name="Normal 13 109 3" xfId="40366"/>
    <cellStyle name="Normal 13 11" xfId="1369"/>
    <cellStyle name="Normal 13 11 2" xfId="16513"/>
    <cellStyle name="Normal 13 11 2 2" xfId="43521"/>
    <cellStyle name="Normal 13 11 3" xfId="30017"/>
    <cellStyle name="Normal 13 110" xfId="13232"/>
    <cellStyle name="Normal 13 110 2" xfId="26990"/>
    <cellStyle name="Normal 13 110 2 2" xfId="53998"/>
    <cellStyle name="Normal 13 110 3" xfId="40494"/>
    <cellStyle name="Normal 13 111" xfId="13374"/>
    <cellStyle name="Normal 13 111 2" xfId="27118"/>
    <cellStyle name="Normal 13 111 2 2" xfId="54126"/>
    <cellStyle name="Normal 13 111 3" xfId="40622"/>
    <cellStyle name="Normal 13 112" xfId="13516"/>
    <cellStyle name="Normal 13 112 2" xfId="27246"/>
    <cellStyle name="Normal 13 112 2 2" xfId="54254"/>
    <cellStyle name="Normal 13 112 3" xfId="40750"/>
    <cellStyle name="Normal 13 113" xfId="13658"/>
    <cellStyle name="Normal 13 113 2" xfId="27374"/>
    <cellStyle name="Normal 13 113 2 2" xfId="54382"/>
    <cellStyle name="Normal 13 113 3" xfId="40878"/>
    <cellStyle name="Normal 13 114" xfId="13800"/>
    <cellStyle name="Normal 13 114 2" xfId="27502"/>
    <cellStyle name="Normal 13 114 2 2" xfId="54510"/>
    <cellStyle name="Normal 13 114 3" xfId="41006"/>
    <cellStyle name="Normal 13 115" xfId="13941"/>
    <cellStyle name="Normal 13 115 2" xfId="27629"/>
    <cellStyle name="Normal 13 115 2 2" xfId="54637"/>
    <cellStyle name="Normal 13 115 3" xfId="41133"/>
    <cellStyle name="Normal 13 116" xfId="14082"/>
    <cellStyle name="Normal 13 116 2" xfId="27756"/>
    <cellStyle name="Normal 13 116 2 2" xfId="54764"/>
    <cellStyle name="Normal 13 116 3" xfId="41260"/>
    <cellStyle name="Normal 13 117" xfId="14223"/>
    <cellStyle name="Normal 13 117 2" xfId="27883"/>
    <cellStyle name="Normal 13 117 2 2" xfId="54891"/>
    <cellStyle name="Normal 13 117 3" xfId="41387"/>
    <cellStyle name="Normal 13 118" xfId="14364"/>
    <cellStyle name="Normal 13 118 2" xfId="28010"/>
    <cellStyle name="Normal 13 118 2 2" xfId="55018"/>
    <cellStyle name="Normal 13 118 3" xfId="41514"/>
    <cellStyle name="Normal 13 119" xfId="14504"/>
    <cellStyle name="Normal 13 119 2" xfId="28136"/>
    <cellStyle name="Normal 13 119 2 2" xfId="55144"/>
    <cellStyle name="Normal 13 119 3" xfId="41640"/>
    <cellStyle name="Normal 13 12" xfId="1475"/>
    <cellStyle name="Normal 13 12 2" xfId="16605"/>
    <cellStyle name="Normal 13 12 2 2" xfId="43613"/>
    <cellStyle name="Normal 13 12 3" xfId="30109"/>
    <cellStyle name="Normal 13 120" xfId="14644"/>
    <cellStyle name="Normal 13 120 2" xfId="28262"/>
    <cellStyle name="Normal 13 120 2 2" xfId="55270"/>
    <cellStyle name="Normal 13 120 3" xfId="41766"/>
    <cellStyle name="Normal 13 121" xfId="14783"/>
    <cellStyle name="Normal 13 121 2" xfId="28387"/>
    <cellStyle name="Normal 13 121 2 2" xfId="55395"/>
    <cellStyle name="Normal 13 121 3" xfId="41891"/>
    <cellStyle name="Normal 13 122" xfId="14918"/>
    <cellStyle name="Normal 13 122 2" xfId="28509"/>
    <cellStyle name="Normal 13 122 2 2" xfId="55517"/>
    <cellStyle name="Normal 13 122 3" xfId="42013"/>
    <cellStyle name="Normal 13 123" xfId="15052"/>
    <cellStyle name="Normal 13 123 2" xfId="28630"/>
    <cellStyle name="Normal 13 123 2 2" xfId="55638"/>
    <cellStyle name="Normal 13 123 3" xfId="42134"/>
    <cellStyle name="Normal 13 124" xfId="15179"/>
    <cellStyle name="Normal 13 124 2" xfId="28746"/>
    <cellStyle name="Normal 13 124 2 2" xfId="55754"/>
    <cellStyle name="Normal 13 124 3" xfId="42250"/>
    <cellStyle name="Normal 13 125" xfId="15299"/>
    <cellStyle name="Normal 13 125 2" xfId="28859"/>
    <cellStyle name="Normal 13 125 2 2" xfId="55867"/>
    <cellStyle name="Normal 13 125 3" xfId="42363"/>
    <cellStyle name="Normal 13 126" xfId="15514"/>
    <cellStyle name="Normal 13 126 2" xfId="42522"/>
    <cellStyle name="Normal 13 127" xfId="29018"/>
    <cellStyle name="Normal 13 13" xfId="1581"/>
    <cellStyle name="Normal 13 13 2" xfId="16697"/>
    <cellStyle name="Normal 13 13 2 2" xfId="43705"/>
    <cellStyle name="Normal 13 13 3" xfId="30201"/>
    <cellStyle name="Normal 13 14" xfId="1687"/>
    <cellStyle name="Normal 13 14 2" xfId="16789"/>
    <cellStyle name="Normal 13 14 2 2" xfId="43797"/>
    <cellStyle name="Normal 13 14 3" xfId="30293"/>
    <cellStyle name="Normal 13 15" xfId="1793"/>
    <cellStyle name="Normal 13 15 2" xfId="16881"/>
    <cellStyle name="Normal 13 15 2 2" xfId="43889"/>
    <cellStyle name="Normal 13 15 3" xfId="30385"/>
    <cellStyle name="Normal 13 16" xfId="1899"/>
    <cellStyle name="Normal 13 16 2" xfId="16973"/>
    <cellStyle name="Normal 13 16 2 2" xfId="43981"/>
    <cellStyle name="Normal 13 16 3" xfId="30477"/>
    <cellStyle name="Normal 13 17" xfId="2005"/>
    <cellStyle name="Normal 13 17 2" xfId="17065"/>
    <cellStyle name="Normal 13 17 2 2" xfId="44073"/>
    <cellStyle name="Normal 13 17 3" xfId="30569"/>
    <cellStyle name="Normal 13 18" xfId="2111"/>
    <cellStyle name="Normal 13 18 2" xfId="17157"/>
    <cellStyle name="Normal 13 18 2 2" xfId="44165"/>
    <cellStyle name="Normal 13 18 3" xfId="30661"/>
    <cellStyle name="Normal 13 19" xfId="2217"/>
    <cellStyle name="Normal 13 19 2" xfId="17249"/>
    <cellStyle name="Normal 13 19 2 2" xfId="44257"/>
    <cellStyle name="Normal 13 19 3" xfId="30753"/>
    <cellStyle name="Normal 13 2" xfId="335"/>
    <cellStyle name="Normal 13 2 2" xfId="15637"/>
    <cellStyle name="Normal 13 2 2 2" xfId="42645"/>
    <cellStyle name="Normal 13 2 3" xfId="29141"/>
    <cellStyle name="Normal 13 20" xfId="2323"/>
    <cellStyle name="Normal 13 20 2" xfId="17341"/>
    <cellStyle name="Normal 13 20 2 2" xfId="44349"/>
    <cellStyle name="Normal 13 20 3" xfId="30845"/>
    <cellStyle name="Normal 13 21" xfId="2429"/>
    <cellStyle name="Normal 13 21 2" xfId="17433"/>
    <cellStyle name="Normal 13 21 2 2" xfId="44441"/>
    <cellStyle name="Normal 13 21 3" xfId="30937"/>
    <cellStyle name="Normal 13 22" xfId="2535"/>
    <cellStyle name="Normal 13 22 2" xfId="17525"/>
    <cellStyle name="Normal 13 22 2 2" xfId="44533"/>
    <cellStyle name="Normal 13 22 3" xfId="31029"/>
    <cellStyle name="Normal 13 23" xfId="2641"/>
    <cellStyle name="Normal 13 23 2" xfId="17617"/>
    <cellStyle name="Normal 13 23 2 2" xfId="44625"/>
    <cellStyle name="Normal 13 23 3" xfId="31121"/>
    <cellStyle name="Normal 13 24" xfId="2747"/>
    <cellStyle name="Normal 13 24 2" xfId="17709"/>
    <cellStyle name="Normal 13 24 2 2" xfId="44717"/>
    <cellStyle name="Normal 13 24 3" xfId="31213"/>
    <cellStyle name="Normal 13 25" xfId="2853"/>
    <cellStyle name="Normal 13 25 2" xfId="17801"/>
    <cellStyle name="Normal 13 25 2 2" xfId="44809"/>
    <cellStyle name="Normal 13 25 3" xfId="31305"/>
    <cellStyle name="Normal 13 26" xfId="2959"/>
    <cellStyle name="Normal 13 26 2" xfId="17893"/>
    <cellStyle name="Normal 13 26 2 2" xfId="44901"/>
    <cellStyle name="Normal 13 26 3" xfId="31397"/>
    <cellStyle name="Normal 13 27" xfId="3065"/>
    <cellStyle name="Normal 13 27 2" xfId="17985"/>
    <cellStyle name="Normal 13 27 2 2" xfId="44993"/>
    <cellStyle name="Normal 13 27 3" xfId="31489"/>
    <cellStyle name="Normal 13 28" xfId="3171"/>
    <cellStyle name="Normal 13 28 2" xfId="18077"/>
    <cellStyle name="Normal 13 28 2 2" xfId="45085"/>
    <cellStyle name="Normal 13 28 3" xfId="31581"/>
    <cellStyle name="Normal 13 29" xfId="3277"/>
    <cellStyle name="Normal 13 29 2" xfId="18169"/>
    <cellStyle name="Normal 13 29 2 2" xfId="45177"/>
    <cellStyle name="Normal 13 29 3" xfId="31673"/>
    <cellStyle name="Normal 13 3" xfId="522"/>
    <cellStyle name="Normal 13 3 2" xfId="15778"/>
    <cellStyle name="Normal 13 3 2 2" xfId="42786"/>
    <cellStyle name="Normal 13 3 3" xfId="29282"/>
    <cellStyle name="Normal 13 30" xfId="3383"/>
    <cellStyle name="Normal 13 30 2" xfId="18261"/>
    <cellStyle name="Normal 13 30 2 2" xfId="45269"/>
    <cellStyle name="Normal 13 30 3" xfId="31765"/>
    <cellStyle name="Normal 13 31" xfId="3489"/>
    <cellStyle name="Normal 13 31 2" xfId="18353"/>
    <cellStyle name="Normal 13 31 2 2" xfId="45361"/>
    <cellStyle name="Normal 13 31 3" xfId="31857"/>
    <cellStyle name="Normal 13 32" xfId="3595"/>
    <cellStyle name="Normal 13 32 2" xfId="18445"/>
    <cellStyle name="Normal 13 32 2 2" xfId="45453"/>
    <cellStyle name="Normal 13 32 3" xfId="31949"/>
    <cellStyle name="Normal 13 33" xfId="3701"/>
    <cellStyle name="Normal 13 33 2" xfId="18537"/>
    <cellStyle name="Normal 13 33 2 2" xfId="45545"/>
    <cellStyle name="Normal 13 33 3" xfId="32041"/>
    <cellStyle name="Normal 13 34" xfId="3807"/>
    <cellStyle name="Normal 13 34 2" xfId="18629"/>
    <cellStyle name="Normal 13 34 2 2" xfId="45637"/>
    <cellStyle name="Normal 13 34 3" xfId="32133"/>
    <cellStyle name="Normal 13 35" xfId="3913"/>
    <cellStyle name="Normal 13 35 2" xfId="18721"/>
    <cellStyle name="Normal 13 35 2 2" xfId="45729"/>
    <cellStyle name="Normal 13 35 3" xfId="32225"/>
    <cellStyle name="Normal 13 36" xfId="4019"/>
    <cellStyle name="Normal 13 36 2" xfId="18813"/>
    <cellStyle name="Normal 13 36 2 2" xfId="45821"/>
    <cellStyle name="Normal 13 36 3" xfId="32317"/>
    <cellStyle name="Normal 13 37" xfId="4125"/>
    <cellStyle name="Normal 13 37 2" xfId="18905"/>
    <cellStyle name="Normal 13 37 2 2" xfId="45913"/>
    <cellStyle name="Normal 13 37 3" xfId="32409"/>
    <cellStyle name="Normal 13 38" xfId="4231"/>
    <cellStyle name="Normal 13 38 2" xfId="18997"/>
    <cellStyle name="Normal 13 38 2 2" xfId="46005"/>
    <cellStyle name="Normal 13 38 3" xfId="32501"/>
    <cellStyle name="Normal 13 39" xfId="4337"/>
    <cellStyle name="Normal 13 39 2" xfId="19089"/>
    <cellStyle name="Normal 13 39 2 2" xfId="46097"/>
    <cellStyle name="Normal 13 39 3" xfId="32593"/>
    <cellStyle name="Normal 13 4" xfId="627"/>
    <cellStyle name="Normal 13 4 2" xfId="15869"/>
    <cellStyle name="Normal 13 4 2 2" xfId="42877"/>
    <cellStyle name="Normal 13 4 3" xfId="29373"/>
    <cellStyle name="Normal 13 40" xfId="4443"/>
    <cellStyle name="Normal 13 40 2" xfId="19181"/>
    <cellStyle name="Normal 13 40 2 2" xfId="46189"/>
    <cellStyle name="Normal 13 40 3" xfId="32685"/>
    <cellStyle name="Normal 13 41" xfId="4549"/>
    <cellStyle name="Normal 13 41 2" xfId="19273"/>
    <cellStyle name="Normal 13 41 2 2" xfId="46281"/>
    <cellStyle name="Normal 13 41 3" xfId="32777"/>
    <cellStyle name="Normal 13 42" xfId="4655"/>
    <cellStyle name="Normal 13 42 2" xfId="19365"/>
    <cellStyle name="Normal 13 42 2 2" xfId="46373"/>
    <cellStyle name="Normal 13 42 3" xfId="32869"/>
    <cellStyle name="Normal 13 43" xfId="4761"/>
    <cellStyle name="Normal 13 43 2" xfId="19457"/>
    <cellStyle name="Normal 13 43 2 2" xfId="46465"/>
    <cellStyle name="Normal 13 43 3" xfId="32961"/>
    <cellStyle name="Normal 13 44" xfId="4867"/>
    <cellStyle name="Normal 13 44 2" xfId="19549"/>
    <cellStyle name="Normal 13 44 2 2" xfId="46557"/>
    <cellStyle name="Normal 13 44 3" xfId="33053"/>
    <cellStyle name="Normal 13 45" xfId="4973"/>
    <cellStyle name="Normal 13 45 2" xfId="19641"/>
    <cellStyle name="Normal 13 45 2 2" xfId="46649"/>
    <cellStyle name="Normal 13 45 3" xfId="33145"/>
    <cellStyle name="Normal 13 46" xfId="5079"/>
    <cellStyle name="Normal 13 46 2" xfId="19733"/>
    <cellStyle name="Normal 13 46 2 2" xfId="46741"/>
    <cellStyle name="Normal 13 46 3" xfId="33237"/>
    <cellStyle name="Normal 13 47" xfId="5185"/>
    <cellStyle name="Normal 13 47 2" xfId="19825"/>
    <cellStyle name="Normal 13 47 2 2" xfId="46833"/>
    <cellStyle name="Normal 13 47 3" xfId="33329"/>
    <cellStyle name="Normal 13 48" xfId="5291"/>
    <cellStyle name="Normal 13 48 2" xfId="19917"/>
    <cellStyle name="Normal 13 48 2 2" xfId="46925"/>
    <cellStyle name="Normal 13 48 3" xfId="33421"/>
    <cellStyle name="Normal 13 49" xfId="5397"/>
    <cellStyle name="Normal 13 49 2" xfId="20009"/>
    <cellStyle name="Normal 13 49 2 2" xfId="47017"/>
    <cellStyle name="Normal 13 49 3" xfId="33513"/>
    <cellStyle name="Normal 13 5" xfId="733"/>
    <cellStyle name="Normal 13 5 2" xfId="15961"/>
    <cellStyle name="Normal 13 5 2 2" xfId="42969"/>
    <cellStyle name="Normal 13 5 3" xfId="29465"/>
    <cellStyle name="Normal 13 50" xfId="5503"/>
    <cellStyle name="Normal 13 50 2" xfId="20101"/>
    <cellStyle name="Normal 13 50 2 2" xfId="47109"/>
    <cellStyle name="Normal 13 50 3" xfId="33605"/>
    <cellStyle name="Normal 13 51" xfId="5609"/>
    <cellStyle name="Normal 13 51 2" xfId="20193"/>
    <cellStyle name="Normal 13 51 2 2" xfId="47201"/>
    <cellStyle name="Normal 13 51 3" xfId="33697"/>
    <cellStyle name="Normal 13 52" xfId="5715"/>
    <cellStyle name="Normal 13 52 2" xfId="20285"/>
    <cellStyle name="Normal 13 52 2 2" xfId="47293"/>
    <cellStyle name="Normal 13 52 3" xfId="33789"/>
    <cellStyle name="Normal 13 53" xfId="5821"/>
    <cellStyle name="Normal 13 53 2" xfId="20377"/>
    <cellStyle name="Normal 13 53 2 2" xfId="47385"/>
    <cellStyle name="Normal 13 53 3" xfId="33881"/>
    <cellStyle name="Normal 13 54" xfId="5927"/>
    <cellStyle name="Normal 13 54 2" xfId="20469"/>
    <cellStyle name="Normal 13 54 2 2" xfId="47477"/>
    <cellStyle name="Normal 13 54 3" xfId="33973"/>
    <cellStyle name="Normal 13 55" xfId="6033"/>
    <cellStyle name="Normal 13 55 2" xfId="20561"/>
    <cellStyle name="Normal 13 55 2 2" xfId="47569"/>
    <cellStyle name="Normal 13 55 3" xfId="34065"/>
    <cellStyle name="Normal 13 56" xfId="6139"/>
    <cellStyle name="Normal 13 56 2" xfId="20653"/>
    <cellStyle name="Normal 13 56 2 2" xfId="47661"/>
    <cellStyle name="Normal 13 56 3" xfId="34157"/>
    <cellStyle name="Normal 13 57" xfId="6245"/>
    <cellStyle name="Normal 13 57 2" xfId="20745"/>
    <cellStyle name="Normal 13 57 2 2" xfId="47753"/>
    <cellStyle name="Normal 13 57 3" xfId="34249"/>
    <cellStyle name="Normal 13 58" xfId="6351"/>
    <cellStyle name="Normal 13 58 2" xfId="20837"/>
    <cellStyle name="Normal 13 58 2 2" xfId="47845"/>
    <cellStyle name="Normal 13 58 3" xfId="34341"/>
    <cellStyle name="Normal 13 59" xfId="6457"/>
    <cellStyle name="Normal 13 59 2" xfId="20929"/>
    <cellStyle name="Normal 13 59 2 2" xfId="47937"/>
    <cellStyle name="Normal 13 59 3" xfId="34433"/>
    <cellStyle name="Normal 13 6" xfId="839"/>
    <cellStyle name="Normal 13 6 2" xfId="16053"/>
    <cellStyle name="Normal 13 6 2 2" xfId="43061"/>
    <cellStyle name="Normal 13 6 3" xfId="29557"/>
    <cellStyle name="Normal 13 60" xfId="6563"/>
    <cellStyle name="Normal 13 60 2" xfId="21021"/>
    <cellStyle name="Normal 13 60 2 2" xfId="48029"/>
    <cellStyle name="Normal 13 60 3" xfId="34525"/>
    <cellStyle name="Normal 13 61" xfId="6668"/>
    <cellStyle name="Normal 13 61 2" xfId="21112"/>
    <cellStyle name="Normal 13 61 2 2" xfId="48120"/>
    <cellStyle name="Normal 13 61 3" xfId="34616"/>
    <cellStyle name="Normal 13 62" xfId="6773"/>
    <cellStyle name="Normal 13 62 2" xfId="21203"/>
    <cellStyle name="Normal 13 62 2 2" xfId="48211"/>
    <cellStyle name="Normal 13 62 3" xfId="34707"/>
    <cellStyle name="Normal 13 63" xfId="6878"/>
    <cellStyle name="Normal 13 63 2" xfId="21294"/>
    <cellStyle name="Normal 13 63 2 2" xfId="48302"/>
    <cellStyle name="Normal 13 63 3" xfId="34798"/>
    <cellStyle name="Normal 13 64" xfId="6983"/>
    <cellStyle name="Normal 13 64 2" xfId="21385"/>
    <cellStyle name="Normal 13 64 2 2" xfId="48393"/>
    <cellStyle name="Normal 13 64 3" xfId="34889"/>
    <cellStyle name="Normal 13 65" xfId="7087"/>
    <cellStyle name="Normal 13 65 2" xfId="21475"/>
    <cellStyle name="Normal 13 65 2 2" xfId="48483"/>
    <cellStyle name="Normal 13 65 3" xfId="34979"/>
    <cellStyle name="Normal 13 66" xfId="7191"/>
    <cellStyle name="Normal 13 66 2" xfId="21565"/>
    <cellStyle name="Normal 13 66 2 2" xfId="48573"/>
    <cellStyle name="Normal 13 66 3" xfId="35069"/>
    <cellStyle name="Normal 13 67" xfId="7294"/>
    <cellStyle name="Normal 13 67 2" xfId="21654"/>
    <cellStyle name="Normal 13 67 2 2" xfId="48662"/>
    <cellStyle name="Normal 13 67 3" xfId="35158"/>
    <cellStyle name="Normal 13 68" xfId="7394"/>
    <cellStyle name="Normal 13 68 2" xfId="21741"/>
    <cellStyle name="Normal 13 68 2 2" xfId="48749"/>
    <cellStyle name="Normal 13 68 3" xfId="35245"/>
    <cellStyle name="Normal 13 69" xfId="7492"/>
    <cellStyle name="Normal 13 69 2" xfId="21826"/>
    <cellStyle name="Normal 13 69 2 2" xfId="48834"/>
    <cellStyle name="Normal 13 69 3" xfId="35330"/>
    <cellStyle name="Normal 13 7" xfId="945"/>
    <cellStyle name="Normal 13 7 2" xfId="16145"/>
    <cellStyle name="Normal 13 7 2 2" xfId="43153"/>
    <cellStyle name="Normal 13 7 3" xfId="29649"/>
    <cellStyle name="Normal 13 70" xfId="7581"/>
    <cellStyle name="Normal 13 70 2" xfId="21904"/>
    <cellStyle name="Normal 13 70 2 2" xfId="48912"/>
    <cellStyle name="Normal 13 70 3" xfId="35408"/>
    <cellStyle name="Normal 13 71" xfId="7657"/>
    <cellStyle name="Normal 13 71 2" xfId="21973"/>
    <cellStyle name="Normal 13 71 2 2" xfId="48981"/>
    <cellStyle name="Normal 13 71 3" xfId="35477"/>
    <cellStyle name="Normal 13 72" xfId="7836"/>
    <cellStyle name="Normal 13 72 2" xfId="22126"/>
    <cellStyle name="Normal 13 72 2 2" xfId="49134"/>
    <cellStyle name="Normal 13 72 3" xfId="35630"/>
    <cellStyle name="Normal 13 73" xfId="7978"/>
    <cellStyle name="Normal 13 73 2" xfId="22254"/>
    <cellStyle name="Normal 13 73 2 2" xfId="49262"/>
    <cellStyle name="Normal 13 73 3" xfId="35758"/>
    <cellStyle name="Normal 13 74" xfId="8120"/>
    <cellStyle name="Normal 13 74 2" xfId="22382"/>
    <cellStyle name="Normal 13 74 2 2" xfId="49390"/>
    <cellStyle name="Normal 13 74 3" xfId="35886"/>
    <cellStyle name="Normal 13 75" xfId="8262"/>
    <cellStyle name="Normal 13 75 2" xfId="22510"/>
    <cellStyle name="Normal 13 75 2 2" xfId="49518"/>
    <cellStyle name="Normal 13 75 3" xfId="36014"/>
    <cellStyle name="Normal 13 76" xfId="8404"/>
    <cellStyle name="Normal 13 76 2" xfId="22638"/>
    <cellStyle name="Normal 13 76 2 2" xfId="49646"/>
    <cellStyle name="Normal 13 76 3" xfId="36142"/>
    <cellStyle name="Normal 13 77" xfId="8546"/>
    <cellStyle name="Normal 13 77 2" xfId="22766"/>
    <cellStyle name="Normal 13 77 2 2" xfId="49774"/>
    <cellStyle name="Normal 13 77 3" xfId="36270"/>
    <cellStyle name="Normal 13 78" xfId="8688"/>
    <cellStyle name="Normal 13 78 2" xfId="22894"/>
    <cellStyle name="Normal 13 78 2 2" xfId="49902"/>
    <cellStyle name="Normal 13 78 3" xfId="36398"/>
    <cellStyle name="Normal 13 79" xfId="8830"/>
    <cellStyle name="Normal 13 79 2" xfId="23022"/>
    <cellStyle name="Normal 13 79 2 2" xfId="50030"/>
    <cellStyle name="Normal 13 79 3" xfId="36526"/>
    <cellStyle name="Normal 13 8" xfId="1051"/>
    <cellStyle name="Normal 13 8 2" xfId="16237"/>
    <cellStyle name="Normal 13 8 2 2" xfId="43245"/>
    <cellStyle name="Normal 13 8 3" xfId="29741"/>
    <cellStyle name="Normal 13 80" xfId="8972"/>
    <cellStyle name="Normal 13 80 2" xfId="23150"/>
    <cellStyle name="Normal 13 80 2 2" xfId="50158"/>
    <cellStyle name="Normal 13 80 3" xfId="36654"/>
    <cellStyle name="Normal 13 81" xfId="9114"/>
    <cellStyle name="Normal 13 81 2" xfId="23278"/>
    <cellStyle name="Normal 13 81 2 2" xfId="50286"/>
    <cellStyle name="Normal 13 81 3" xfId="36782"/>
    <cellStyle name="Normal 13 82" xfId="9256"/>
    <cellStyle name="Normal 13 82 2" xfId="23406"/>
    <cellStyle name="Normal 13 82 2 2" xfId="50414"/>
    <cellStyle name="Normal 13 82 3" xfId="36910"/>
    <cellStyle name="Normal 13 83" xfId="9398"/>
    <cellStyle name="Normal 13 83 2" xfId="23534"/>
    <cellStyle name="Normal 13 83 2 2" xfId="50542"/>
    <cellStyle name="Normal 13 83 3" xfId="37038"/>
    <cellStyle name="Normal 13 84" xfId="9540"/>
    <cellStyle name="Normal 13 84 2" xfId="23662"/>
    <cellStyle name="Normal 13 84 2 2" xfId="50670"/>
    <cellStyle name="Normal 13 84 3" xfId="37166"/>
    <cellStyle name="Normal 13 85" xfId="9682"/>
    <cellStyle name="Normal 13 85 2" xfId="23790"/>
    <cellStyle name="Normal 13 85 2 2" xfId="50798"/>
    <cellStyle name="Normal 13 85 3" xfId="37294"/>
    <cellStyle name="Normal 13 86" xfId="9824"/>
    <cellStyle name="Normal 13 86 2" xfId="23918"/>
    <cellStyle name="Normal 13 86 2 2" xfId="50926"/>
    <cellStyle name="Normal 13 86 3" xfId="37422"/>
    <cellStyle name="Normal 13 87" xfId="9966"/>
    <cellStyle name="Normal 13 87 2" xfId="24046"/>
    <cellStyle name="Normal 13 87 2 2" xfId="51054"/>
    <cellStyle name="Normal 13 87 3" xfId="37550"/>
    <cellStyle name="Normal 13 88" xfId="10108"/>
    <cellStyle name="Normal 13 88 2" xfId="24174"/>
    <cellStyle name="Normal 13 88 2 2" xfId="51182"/>
    <cellStyle name="Normal 13 88 3" xfId="37678"/>
    <cellStyle name="Normal 13 89" xfId="10250"/>
    <cellStyle name="Normal 13 89 2" xfId="24302"/>
    <cellStyle name="Normal 13 89 2 2" xfId="51310"/>
    <cellStyle name="Normal 13 89 3" xfId="37806"/>
    <cellStyle name="Normal 13 9" xfId="1157"/>
    <cellStyle name="Normal 13 9 2" xfId="16329"/>
    <cellStyle name="Normal 13 9 2 2" xfId="43337"/>
    <cellStyle name="Normal 13 9 3" xfId="29833"/>
    <cellStyle name="Normal 13 90" xfId="10392"/>
    <cellStyle name="Normal 13 90 2" xfId="24430"/>
    <cellStyle name="Normal 13 90 2 2" xfId="51438"/>
    <cellStyle name="Normal 13 90 3" xfId="37934"/>
    <cellStyle name="Normal 13 91" xfId="10534"/>
    <cellStyle name="Normal 13 91 2" xfId="24558"/>
    <cellStyle name="Normal 13 91 2 2" xfId="51566"/>
    <cellStyle name="Normal 13 91 3" xfId="38062"/>
    <cellStyle name="Normal 13 92" xfId="10676"/>
    <cellStyle name="Normal 13 92 2" xfId="24686"/>
    <cellStyle name="Normal 13 92 2 2" xfId="51694"/>
    <cellStyle name="Normal 13 92 3" xfId="38190"/>
    <cellStyle name="Normal 13 93" xfId="10818"/>
    <cellStyle name="Normal 13 93 2" xfId="24814"/>
    <cellStyle name="Normal 13 93 2 2" xfId="51822"/>
    <cellStyle name="Normal 13 93 3" xfId="38318"/>
    <cellStyle name="Normal 13 94" xfId="10960"/>
    <cellStyle name="Normal 13 94 2" xfId="24942"/>
    <cellStyle name="Normal 13 94 2 2" xfId="51950"/>
    <cellStyle name="Normal 13 94 3" xfId="38446"/>
    <cellStyle name="Normal 13 95" xfId="11102"/>
    <cellStyle name="Normal 13 95 2" xfId="25070"/>
    <cellStyle name="Normal 13 95 2 2" xfId="52078"/>
    <cellStyle name="Normal 13 95 3" xfId="38574"/>
    <cellStyle name="Normal 13 96" xfId="11244"/>
    <cellStyle name="Normal 13 96 2" xfId="25198"/>
    <cellStyle name="Normal 13 96 2 2" xfId="52206"/>
    <cellStyle name="Normal 13 96 3" xfId="38702"/>
    <cellStyle name="Normal 13 97" xfId="11386"/>
    <cellStyle name="Normal 13 97 2" xfId="25326"/>
    <cellStyle name="Normal 13 97 2 2" xfId="52334"/>
    <cellStyle name="Normal 13 97 3" xfId="38830"/>
    <cellStyle name="Normal 13 98" xfId="11528"/>
    <cellStyle name="Normal 13 98 2" xfId="25454"/>
    <cellStyle name="Normal 13 98 2 2" xfId="52462"/>
    <cellStyle name="Normal 13 98 3" xfId="38958"/>
    <cellStyle name="Normal 13 99" xfId="11670"/>
    <cellStyle name="Normal 13 99 2" xfId="25582"/>
    <cellStyle name="Normal 13 99 2 2" xfId="52590"/>
    <cellStyle name="Normal 13 99 3" xfId="39086"/>
    <cellStyle name="Normal 130" xfId="10582"/>
    <cellStyle name="Normal 130 2" xfId="24602"/>
    <cellStyle name="Normal 130 2 2" xfId="51610"/>
    <cellStyle name="Normal 130 3" xfId="38106"/>
    <cellStyle name="Normal 131" xfId="10724"/>
    <cellStyle name="Normal 131 2" xfId="24730"/>
    <cellStyle name="Normal 131 2 2" xfId="51738"/>
    <cellStyle name="Normal 131 3" xfId="38234"/>
    <cellStyle name="Normal 132" xfId="10866"/>
    <cellStyle name="Normal 132 2" xfId="24858"/>
    <cellStyle name="Normal 132 2 2" xfId="51866"/>
    <cellStyle name="Normal 132 3" xfId="38362"/>
    <cellStyle name="Normal 133" xfId="11008"/>
    <cellStyle name="Normal 133 2" xfId="24986"/>
    <cellStyle name="Normal 133 2 2" xfId="51994"/>
    <cellStyle name="Normal 133 3" xfId="38490"/>
    <cellStyle name="Normal 134" xfId="11150"/>
    <cellStyle name="Normal 134 2" xfId="25114"/>
    <cellStyle name="Normal 134 2 2" xfId="52122"/>
    <cellStyle name="Normal 134 3" xfId="38618"/>
    <cellStyle name="Normal 135" xfId="11292"/>
    <cellStyle name="Normal 135 2" xfId="25242"/>
    <cellStyle name="Normal 135 2 2" xfId="52250"/>
    <cellStyle name="Normal 135 3" xfId="38746"/>
    <cellStyle name="Normal 136" xfId="11434"/>
    <cellStyle name="Normal 136 2" xfId="25370"/>
    <cellStyle name="Normal 136 2 2" xfId="52378"/>
    <cellStyle name="Normal 136 3" xfId="38874"/>
    <cellStyle name="Normal 137" xfId="11576"/>
    <cellStyle name="Normal 137 2" xfId="25498"/>
    <cellStyle name="Normal 137 2 2" xfId="52506"/>
    <cellStyle name="Normal 137 3" xfId="39002"/>
    <cellStyle name="Normal 138" xfId="11718"/>
    <cellStyle name="Normal 138 2" xfId="25626"/>
    <cellStyle name="Normal 138 2 2" xfId="52634"/>
    <cellStyle name="Normal 138 3" xfId="39130"/>
    <cellStyle name="Normal 139" xfId="11860"/>
    <cellStyle name="Normal 139 2" xfId="25754"/>
    <cellStyle name="Normal 139 2 2" xfId="52762"/>
    <cellStyle name="Normal 139 3" xfId="39258"/>
    <cellStyle name="Normal 14" xfId="159"/>
    <cellStyle name="Normal 14 10" xfId="1264"/>
    <cellStyle name="Normal 14 10 2" xfId="16422"/>
    <cellStyle name="Normal 14 10 2 2" xfId="43430"/>
    <cellStyle name="Normal 14 10 3" xfId="29926"/>
    <cellStyle name="Normal 14 100" xfId="11813"/>
    <cellStyle name="Normal 14 100 2" xfId="25711"/>
    <cellStyle name="Normal 14 100 2 2" xfId="52719"/>
    <cellStyle name="Normal 14 100 3" xfId="39215"/>
    <cellStyle name="Normal 14 101" xfId="11955"/>
    <cellStyle name="Normal 14 101 2" xfId="25839"/>
    <cellStyle name="Normal 14 101 2 2" xfId="52847"/>
    <cellStyle name="Normal 14 101 3" xfId="39343"/>
    <cellStyle name="Normal 14 102" xfId="12097"/>
    <cellStyle name="Normal 14 102 2" xfId="25967"/>
    <cellStyle name="Normal 14 102 2 2" xfId="52975"/>
    <cellStyle name="Normal 14 102 3" xfId="39471"/>
    <cellStyle name="Normal 14 103" xfId="12239"/>
    <cellStyle name="Normal 14 103 2" xfId="26095"/>
    <cellStyle name="Normal 14 103 2 2" xfId="53103"/>
    <cellStyle name="Normal 14 103 3" xfId="39599"/>
    <cellStyle name="Normal 14 104" xfId="12381"/>
    <cellStyle name="Normal 14 104 2" xfId="26223"/>
    <cellStyle name="Normal 14 104 2 2" xfId="53231"/>
    <cellStyle name="Normal 14 104 3" xfId="39727"/>
    <cellStyle name="Normal 14 105" xfId="12523"/>
    <cellStyle name="Normal 14 105 2" xfId="26351"/>
    <cellStyle name="Normal 14 105 2 2" xfId="53359"/>
    <cellStyle name="Normal 14 105 3" xfId="39855"/>
    <cellStyle name="Normal 14 106" xfId="12665"/>
    <cellStyle name="Normal 14 106 2" xfId="26479"/>
    <cellStyle name="Normal 14 106 2 2" xfId="53487"/>
    <cellStyle name="Normal 14 106 3" xfId="39983"/>
    <cellStyle name="Normal 14 107" xfId="12807"/>
    <cellStyle name="Normal 14 107 2" xfId="26607"/>
    <cellStyle name="Normal 14 107 2 2" xfId="53615"/>
    <cellStyle name="Normal 14 107 3" xfId="40111"/>
    <cellStyle name="Normal 14 108" xfId="12949"/>
    <cellStyle name="Normal 14 108 2" xfId="26735"/>
    <cellStyle name="Normal 14 108 2 2" xfId="53743"/>
    <cellStyle name="Normal 14 108 3" xfId="40239"/>
    <cellStyle name="Normal 14 109" xfId="13091"/>
    <cellStyle name="Normal 14 109 2" xfId="26863"/>
    <cellStyle name="Normal 14 109 2 2" xfId="53871"/>
    <cellStyle name="Normal 14 109 3" xfId="40367"/>
    <cellStyle name="Normal 14 11" xfId="1370"/>
    <cellStyle name="Normal 14 11 2" xfId="16514"/>
    <cellStyle name="Normal 14 11 2 2" xfId="43522"/>
    <cellStyle name="Normal 14 11 3" xfId="30018"/>
    <cellStyle name="Normal 14 110" xfId="13233"/>
    <cellStyle name="Normal 14 110 2" xfId="26991"/>
    <cellStyle name="Normal 14 110 2 2" xfId="53999"/>
    <cellStyle name="Normal 14 110 3" xfId="40495"/>
    <cellStyle name="Normal 14 111" xfId="13375"/>
    <cellStyle name="Normal 14 111 2" xfId="27119"/>
    <cellStyle name="Normal 14 111 2 2" xfId="54127"/>
    <cellStyle name="Normal 14 111 3" xfId="40623"/>
    <cellStyle name="Normal 14 112" xfId="13517"/>
    <cellStyle name="Normal 14 112 2" xfId="27247"/>
    <cellStyle name="Normal 14 112 2 2" xfId="54255"/>
    <cellStyle name="Normal 14 112 3" xfId="40751"/>
    <cellStyle name="Normal 14 113" xfId="13659"/>
    <cellStyle name="Normal 14 113 2" xfId="27375"/>
    <cellStyle name="Normal 14 113 2 2" xfId="54383"/>
    <cellStyle name="Normal 14 113 3" xfId="40879"/>
    <cellStyle name="Normal 14 114" xfId="13801"/>
    <cellStyle name="Normal 14 114 2" xfId="27503"/>
    <cellStyle name="Normal 14 114 2 2" xfId="54511"/>
    <cellStyle name="Normal 14 114 3" xfId="41007"/>
    <cellStyle name="Normal 14 115" xfId="13942"/>
    <cellStyle name="Normal 14 115 2" xfId="27630"/>
    <cellStyle name="Normal 14 115 2 2" xfId="54638"/>
    <cellStyle name="Normal 14 115 3" xfId="41134"/>
    <cellStyle name="Normal 14 116" xfId="14083"/>
    <cellStyle name="Normal 14 116 2" xfId="27757"/>
    <cellStyle name="Normal 14 116 2 2" xfId="54765"/>
    <cellStyle name="Normal 14 116 3" xfId="41261"/>
    <cellStyle name="Normal 14 117" xfId="14224"/>
    <cellStyle name="Normal 14 117 2" xfId="27884"/>
    <cellStyle name="Normal 14 117 2 2" xfId="54892"/>
    <cellStyle name="Normal 14 117 3" xfId="41388"/>
    <cellStyle name="Normal 14 118" xfId="14365"/>
    <cellStyle name="Normal 14 118 2" xfId="28011"/>
    <cellStyle name="Normal 14 118 2 2" xfId="55019"/>
    <cellStyle name="Normal 14 118 3" xfId="41515"/>
    <cellStyle name="Normal 14 119" xfId="14505"/>
    <cellStyle name="Normal 14 119 2" xfId="28137"/>
    <cellStyle name="Normal 14 119 2 2" xfId="55145"/>
    <cellStyle name="Normal 14 119 3" xfId="41641"/>
    <cellStyle name="Normal 14 12" xfId="1476"/>
    <cellStyle name="Normal 14 12 2" xfId="16606"/>
    <cellStyle name="Normal 14 12 2 2" xfId="43614"/>
    <cellStyle name="Normal 14 12 3" xfId="30110"/>
    <cellStyle name="Normal 14 120" xfId="14645"/>
    <cellStyle name="Normal 14 120 2" xfId="28263"/>
    <cellStyle name="Normal 14 120 2 2" xfId="55271"/>
    <cellStyle name="Normal 14 120 3" xfId="41767"/>
    <cellStyle name="Normal 14 121" xfId="14784"/>
    <cellStyle name="Normal 14 121 2" xfId="28388"/>
    <cellStyle name="Normal 14 121 2 2" xfId="55396"/>
    <cellStyle name="Normal 14 121 3" xfId="41892"/>
    <cellStyle name="Normal 14 122" xfId="14919"/>
    <cellStyle name="Normal 14 122 2" xfId="28510"/>
    <cellStyle name="Normal 14 122 2 2" xfId="55518"/>
    <cellStyle name="Normal 14 122 3" xfId="42014"/>
    <cellStyle name="Normal 14 123" xfId="15053"/>
    <cellStyle name="Normal 14 123 2" xfId="28631"/>
    <cellStyle name="Normal 14 123 2 2" xfId="55639"/>
    <cellStyle name="Normal 14 123 3" xfId="42135"/>
    <cellStyle name="Normal 14 124" xfId="15180"/>
    <cellStyle name="Normal 14 124 2" xfId="28747"/>
    <cellStyle name="Normal 14 124 2 2" xfId="55755"/>
    <cellStyle name="Normal 14 124 3" xfId="42251"/>
    <cellStyle name="Normal 14 125" xfId="15300"/>
    <cellStyle name="Normal 14 125 2" xfId="28860"/>
    <cellStyle name="Normal 14 125 2 2" xfId="55868"/>
    <cellStyle name="Normal 14 125 3" xfId="42364"/>
    <cellStyle name="Normal 14 126" xfId="15515"/>
    <cellStyle name="Normal 14 126 2" xfId="42523"/>
    <cellStyle name="Normal 14 127" xfId="29019"/>
    <cellStyle name="Normal 14 13" xfId="1582"/>
    <cellStyle name="Normal 14 13 2" xfId="16698"/>
    <cellStyle name="Normal 14 13 2 2" xfId="43706"/>
    <cellStyle name="Normal 14 13 3" xfId="30202"/>
    <cellStyle name="Normal 14 14" xfId="1688"/>
    <cellStyle name="Normal 14 14 2" xfId="16790"/>
    <cellStyle name="Normal 14 14 2 2" xfId="43798"/>
    <cellStyle name="Normal 14 14 3" xfId="30294"/>
    <cellStyle name="Normal 14 15" xfId="1794"/>
    <cellStyle name="Normal 14 15 2" xfId="16882"/>
    <cellStyle name="Normal 14 15 2 2" xfId="43890"/>
    <cellStyle name="Normal 14 15 3" xfId="30386"/>
    <cellStyle name="Normal 14 16" xfId="1900"/>
    <cellStyle name="Normal 14 16 2" xfId="16974"/>
    <cellStyle name="Normal 14 16 2 2" xfId="43982"/>
    <cellStyle name="Normal 14 16 3" xfId="30478"/>
    <cellStyle name="Normal 14 17" xfId="2006"/>
    <cellStyle name="Normal 14 17 2" xfId="17066"/>
    <cellStyle name="Normal 14 17 2 2" xfId="44074"/>
    <cellStyle name="Normal 14 17 3" xfId="30570"/>
    <cellStyle name="Normal 14 18" xfId="2112"/>
    <cellStyle name="Normal 14 18 2" xfId="17158"/>
    <cellStyle name="Normal 14 18 2 2" xfId="44166"/>
    <cellStyle name="Normal 14 18 3" xfId="30662"/>
    <cellStyle name="Normal 14 19" xfId="2218"/>
    <cellStyle name="Normal 14 19 2" xfId="17250"/>
    <cellStyle name="Normal 14 19 2 2" xfId="44258"/>
    <cellStyle name="Normal 14 19 3" xfId="30754"/>
    <cellStyle name="Normal 14 2" xfId="336"/>
    <cellStyle name="Normal 14 2 2" xfId="15638"/>
    <cellStyle name="Normal 14 2 2 2" xfId="42646"/>
    <cellStyle name="Normal 14 2 3" xfId="29142"/>
    <cellStyle name="Normal 14 20" xfId="2324"/>
    <cellStyle name="Normal 14 20 2" xfId="17342"/>
    <cellStyle name="Normal 14 20 2 2" xfId="44350"/>
    <cellStyle name="Normal 14 20 3" xfId="30846"/>
    <cellStyle name="Normal 14 21" xfId="2430"/>
    <cellStyle name="Normal 14 21 2" xfId="17434"/>
    <cellStyle name="Normal 14 21 2 2" xfId="44442"/>
    <cellStyle name="Normal 14 21 3" xfId="30938"/>
    <cellStyle name="Normal 14 22" xfId="2536"/>
    <cellStyle name="Normal 14 22 2" xfId="17526"/>
    <cellStyle name="Normal 14 22 2 2" xfId="44534"/>
    <cellStyle name="Normal 14 22 3" xfId="31030"/>
    <cellStyle name="Normal 14 23" xfId="2642"/>
    <cellStyle name="Normal 14 23 2" xfId="17618"/>
    <cellStyle name="Normal 14 23 2 2" xfId="44626"/>
    <cellStyle name="Normal 14 23 3" xfId="31122"/>
    <cellStyle name="Normal 14 24" xfId="2748"/>
    <cellStyle name="Normal 14 24 2" xfId="17710"/>
    <cellStyle name="Normal 14 24 2 2" xfId="44718"/>
    <cellStyle name="Normal 14 24 3" xfId="31214"/>
    <cellStyle name="Normal 14 25" xfId="2854"/>
    <cellStyle name="Normal 14 25 2" xfId="17802"/>
    <cellStyle name="Normal 14 25 2 2" xfId="44810"/>
    <cellStyle name="Normal 14 25 3" xfId="31306"/>
    <cellStyle name="Normal 14 26" xfId="2960"/>
    <cellStyle name="Normal 14 26 2" xfId="17894"/>
    <cellStyle name="Normal 14 26 2 2" xfId="44902"/>
    <cellStyle name="Normal 14 26 3" xfId="31398"/>
    <cellStyle name="Normal 14 27" xfId="3066"/>
    <cellStyle name="Normal 14 27 2" xfId="17986"/>
    <cellStyle name="Normal 14 27 2 2" xfId="44994"/>
    <cellStyle name="Normal 14 27 3" xfId="31490"/>
    <cellStyle name="Normal 14 28" xfId="3172"/>
    <cellStyle name="Normal 14 28 2" xfId="18078"/>
    <cellStyle name="Normal 14 28 2 2" xfId="45086"/>
    <cellStyle name="Normal 14 28 3" xfId="31582"/>
    <cellStyle name="Normal 14 29" xfId="3278"/>
    <cellStyle name="Normal 14 29 2" xfId="18170"/>
    <cellStyle name="Normal 14 29 2 2" xfId="45178"/>
    <cellStyle name="Normal 14 29 3" xfId="31674"/>
    <cellStyle name="Normal 14 3" xfId="523"/>
    <cellStyle name="Normal 14 3 2" xfId="15779"/>
    <cellStyle name="Normal 14 3 2 2" xfId="42787"/>
    <cellStyle name="Normal 14 3 3" xfId="29283"/>
    <cellStyle name="Normal 14 30" xfId="3384"/>
    <cellStyle name="Normal 14 30 2" xfId="18262"/>
    <cellStyle name="Normal 14 30 2 2" xfId="45270"/>
    <cellStyle name="Normal 14 30 3" xfId="31766"/>
    <cellStyle name="Normal 14 31" xfId="3490"/>
    <cellStyle name="Normal 14 31 2" xfId="18354"/>
    <cellStyle name="Normal 14 31 2 2" xfId="45362"/>
    <cellStyle name="Normal 14 31 3" xfId="31858"/>
    <cellStyle name="Normal 14 32" xfId="3596"/>
    <cellStyle name="Normal 14 32 2" xfId="18446"/>
    <cellStyle name="Normal 14 32 2 2" xfId="45454"/>
    <cellStyle name="Normal 14 32 3" xfId="31950"/>
    <cellStyle name="Normal 14 33" xfId="3702"/>
    <cellStyle name="Normal 14 33 2" xfId="18538"/>
    <cellStyle name="Normal 14 33 2 2" xfId="45546"/>
    <cellStyle name="Normal 14 33 3" xfId="32042"/>
    <cellStyle name="Normal 14 34" xfId="3808"/>
    <cellStyle name="Normal 14 34 2" xfId="18630"/>
    <cellStyle name="Normal 14 34 2 2" xfId="45638"/>
    <cellStyle name="Normal 14 34 3" xfId="32134"/>
    <cellStyle name="Normal 14 35" xfId="3914"/>
    <cellStyle name="Normal 14 35 2" xfId="18722"/>
    <cellStyle name="Normal 14 35 2 2" xfId="45730"/>
    <cellStyle name="Normal 14 35 3" xfId="32226"/>
    <cellStyle name="Normal 14 36" xfId="4020"/>
    <cellStyle name="Normal 14 36 2" xfId="18814"/>
    <cellStyle name="Normal 14 36 2 2" xfId="45822"/>
    <cellStyle name="Normal 14 36 3" xfId="32318"/>
    <cellStyle name="Normal 14 37" xfId="4126"/>
    <cellStyle name="Normal 14 37 2" xfId="18906"/>
    <cellStyle name="Normal 14 37 2 2" xfId="45914"/>
    <cellStyle name="Normal 14 37 3" xfId="32410"/>
    <cellStyle name="Normal 14 38" xfId="4232"/>
    <cellStyle name="Normal 14 38 2" xfId="18998"/>
    <cellStyle name="Normal 14 38 2 2" xfId="46006"/>
    <cellStyle name="Normal 14 38 3" xfId="32502"/>
    <cellStyle name="Normal 14 39" xfId="4338"/>
    <cellStyle name="Normal 14 39 2" xfId="19090"/>
    <cellStyle name="Normal 14 39 2 2" xfId="46098"/>
    <cellStyle name="Normal 14 39 3" xfId="32594"/>
    <cellStyle name="Normal 14 4" xfId="628"/>
    <cellStyle name="Normal 14 4 2" xfId="15870"/>
    <cellStyle name="Normal 14 4 2 2" xfId="42878"/>
    <cellStyle name="Normal 14 4 3" xfId="29374"/>
    <cellStyle name="Normal 14 40" xfId="4444"/>
    <cellStyle name="Normal 14 40 2" xfId="19182"/>
    <cellStyle name="Normal 14 40 2 2" xfId="46190"/>
    <cellStyle name="Normal 14 40 3" xfId="32686"/>
    <cellStyle name="Normal 14 41" xfId="4550"/>
    <cellStyle name="Normal 14 41 2" xfId="19274"/>
    <cellStyle name="Normal 14 41 2 2" xfId="46282"/>
    <cellStyle name="Normal 14 41 3" xfId="32778"/>
    <cellStyle name="Normal 14 42" xfId="4656"/>
    <cellStyle name="Normal 14 42 2" xfId="19366"/>
    <cellStyle name="Normal 14 42 2 2" xfId="46374"/>
    <cellStyle name="Normal 14 42 3" xfId="32870"/>
    <cellStyle name="Normal 14 43" xfId="4762"/>
    <cellStyle name="Normal 14 43 2" xfId="19458"/>
    <cellStyle name="Normal 14 43 2 2" xfId="46466"/>
    <cellStyle name="Normal 14 43 3" xfId="32962"/>
    <cellStyle name="Normal 14 44" xfId="4868"/>
    <cellStyle name="Normal 14 44 2" xfId="19550"/>
    <cellStyle name="Normal 14 44 2 2" xfId="46558"/>
    <cellStyle name="Normal 14 44 3" xfId="33054"/>
    <cellStyle name="Normal 14 45" xfId="4974"/>
    <cellStyle name="Normal 14 45 2" xfId="19642"/>
    <cellStyle name="Normal 14 45 2 2" xfId="46650"/>
    <cellStyle name="Normal 14 45 3" xfId="33146"/>
    <cellStyle name="Normal 14 46" xfId="5080"/>
    <cellStyle name="Normal 14 46 2" xfId="19734"/>
    <cellStyle name="Normal 14 46 2 2" xfId="46742"/>
    <cellStyle name="Normal 14 46 3" xfId="33238"/>
    <cellStyle name="Normal 14 47" xfId="5186"/>
    <cellStyle name="Normal 14 47 2" xfId="19826"/>
    <cellStyle name="Normal 14 47 2 2" xfId="46834"/>
    <cellStyle name="Normal 14 47 3" xfId="33330"/>
    <cellStyle name="Normal 14 48" xfId="5292"/>
    <cellStyle name="Normal 14 48 2" xfId="19918"/>
    <cellStyle name="Normal 14 48 2 2" xfId="46926"/>
    <cellStyle name="Normal 14 48 3" xfId="33422"/>
    <cellStyle name="Normal 14 49" xfId="5398"/>
    <cellStyle name="Normal 14 49 2" xfId="20010"/>
    <cellStyle name="Normal 14 49 2 2" xfId="47018"/>
    <cellStyle name="Normal 14 49 3" xfId="33514"/>
    <cellStyle name="Normal 14 5" xfId="734"/>
    <cellStyle name="Normal 14 5 2" xfId="15962"/>
    <cellStyle name="Normal 14 5 2 2" xfId="42970"/>
    <cellStyle name="Normal 14 5 3" xfId="29466"/>
    <cellStyle name="Normal 14 50" xfId="5504"/>
    <cellStyle name="Normal 14 50 2" xfId="20102"/>
    <cellStyle name="Normal 14 50 2 2" xfId="47110"/>
    <cellStyle name="Normal 14 50 3" xfId="33606"/>
    <cellStyle name="Normal 14 51" xfId="5610"/>
    <cellStyle name="Normal 14 51 2" xfId="20194"/>
    <cellStyle name="Normal 14 51 2 2" xfId="47202"/>
    <cellStyle name="Normal 14 51 3" xfId="33698"/>
    <cellStyle name="Normal 14 52" xfId="5716"/>
    <cellStyle name="Normal 14 52 2" xfId="20286"/>
    <cellStyle name="Normal 14 52 2 2" xfId="47294"/>
    <cellStyle name="Normal 14 52 3" xfId="33790"/>
    <cellStyle name="Normal 14 53" xfId="5822"/>
    <cellStyle name="Normal 14 53 2" xfId="20378"/>
    <cellStyle name="Normal 14 53 2 2" xfId="47386"/>
    <cellStyle name="Normal 14 53 3" xfId="33882"/>
    <cellStyle name="Normal 14 54" xfId="5928"/>
    <cellStyle name="Normal 14 54 2" xfId="20470"/>
    <cellStyle name="Normal 14 54 2 2" xfId="47478"/>
    <cellStyle name="Normal 14 54 3" xfId="33974"/>
    <cellStyle name="Normal 14 55" xfId="6034"/>
    <cellStyle name="Normal 14 55 2" xfId="20562"/>
    <cellStyle name="Normal 14 55 2 2" xfId="47570"/>
    <cellStyle name="Normal 14 55 3" xfId="34066"/>
    <cellStyle name="Normal 14 56" xfId="6140"/>
    <cellStyle name="Normal 14 56 2" xfId="20654"/>
    <cellStyle name="Normal 14 56 2 2" xfId="47662"/>
    <cellStyle name="Normal 14 56 3" xfId="34158"/>
    <cellStyle name="Normal 14 57" xfId="6246"/>
    <cellStyle name="Normal 14 57 2" xfId="20746"/>
    <cellStyle name="Normal 14 57 2 2" xfId="47754"/>
    <cellStyle name="Normal 14 57 3" xfId="34250"/>
    <cellStyle name="Normal 14 58" xfId="6352"/>
    <cellStyle name="Normal 14 58 2" xfId="20838"/>
    <cellStyle name="Normal 14 58 2 2" xfId="47846"/>
    <cellStyle name="Normal 14 58 3" xfId="34342"/>
    <cellStyle name="Normal 14 59" xfId="6458"/>
    <cellStyle name="Normal 14 59 2" xfId="20930"/>
    <cellStyle name="Normal 14 59 2 2" xfId="47938"/>
    <cellStyle name="Normal 14 59 3" xfId="34434"/>
    <cellStyle name="Normal 14 6" xfId="840"/>
    <cellStyle name="Normal 14 6 2" xfId="16054"/>
    <cellStyle name="Normal 14 6 2 2" xfId="43062"/>
    <cellStyle name="Normal 14 6 3" xfId="29558"/>
    <cellStyle name="Normal 14 60" xfId="6564"/>
    <cellStyle name="Normal 14 60 2" xfId="21022"/>
    <cellStyle name="Normal 14 60 2 2" xfId="48030"/>
    <cellStyle name="Normal 14 60 3" xfId="34526"/>
    <cellStyle name="Normal 14 61" xfId="6669"/>
    <cellStyle name="Normal 14 61 2" xfId="21113"/>
    <cellStyle name="Normal 14 61 2 2" xfId="48121"/>
    <cellStyle name="Normal 14 61 3" xfId="34617"/>
    <cellStyle name="Normal 14 62" xfId="6774"/>
    <cellStyle name="Normal 14 62 2" xfId="21204"/>
    <cellStyle name="Normal 14 62 2 2" xfId="48212"/>
    <cellStyle name="Normal 14 62 3" xfId="34708"/>
    <cellStyle name="Normal 14 63" xfId="6879"/>
    <cellStyle name="Normal 14 63 2" xfId="21295"/>
    <cellStyle name="Normal 14 63 2 2" xfId="48303"/>
    <cellStyle name="Normal 14 63 3" xfId="34799"/>
    <cellStyle name="Normal 14 64" xfId="6984"/>
    <cellStyle name="Normal 14 64 2" xfId="21386"/>
    <cellStyle name="Normal 14 64 2 2" xfId="48394"/>
    <cellStyle name="Normal 14 64 3" xfId="34890"/>
    <cellStyle name="Normal 14 65" xfId="7088"/>
    <cellStyle name="Normal 14 65 2" xfId="21476"/>
    <cellStyle name="Normal 14 65 2 2" xfId="48484"/>
    <cellStyle name="Normal 14 65 3" xfId="34980"/>
    <cellStyle name="Normal 14 66" xfId="7192"/>
    <cellStyle name="Normal 14 66 2" xfId="21566"/>
    <cellStyle name="Normal 14 66 2 2" xfId="48574"/>
    <cellStyle name="Normal 14 66 3" xfId="35070"/>
    <cellStyle name="Normal 14 67" xfId="7295"/>
    <cellStyle name="Normal 14 67 2" xfId="21655"/>
    <cellStyle name="Normal 14 67 2 2" xfId="48663"/>
    <cellStyle name="Normal 14 67 3" xfId="35159"/>
    <cellStyle name="Normal 14 68" xfId="7395"/>
    <cellStyle name="Normal 14 68 2" xfId="21742"/>
    <cellStyle name="Normal 14 68 2 2" xfId="48750"/>
    <cellStyle name="Normal 14 68 3" xfId="35246"/>
    <cellStyle name="Normal 14 69" xfId="7493"/>
    <cellStyle name="Normal 14 69 2" xfId="21827"/>
    <cellStyle name="Normal 14 69 2 2" xfId="48835"/>
    <cellStyle name="Normal 14 69 3" xfId="35331"/>
    <cellStyle name="Normal 14 7" xfId="946"/>
    <cellStyle name="Normal 14 7 2" xfId="16146"/>
    <cellStyle name="Normal 14 7 2 2" xfId="43154"/>
    <cellStyle name="Normal 14 7 3" xfId="29650"/>
    <cellStyle name="Normal 14 70" xfId="7582"/>
    <cellStyle name="Normal 14 70 2" xfId="21905"/>
    <cellStyle name="Normal 14 70 2 2" xfId="48913"/>
    <cellStyle name="Normal 14 70 3" xfId="35409"/>
    <cellStyle name="Normal 14 71" xfId="7658"/>
    <cellStyle name="Normal 14 71 2" xfId="21974"/>
    <cellStyle name="Normal 14 71 2 2" xfId="48982"/>
    <cellStyle name="Normal 14 71 3" xfId="35478"/>
    <cellStyle name="Normal 14 72" xfId="7837"/>
    <cellStyle name="Normal 14 72 2" xfId="22127"/>
    <cellStyle name="Normal 14 72 2 2" xfId="49135"/>
    <cellStyle name="Normal 14 72 3" xfId="35631"/>
    <cellStyle name="Normal 14 73" xfId="7979"/>
    <cellStyle name="Normal 14 73 2" xfId="22255"/>
    <cellStyle name="Normal 14 73 2 2" xfId="49263"/>
    <cellStyle name="Normal 14 73 3" xfId="35759"/>
    <cellStyle name="Normal 14 74" xfId="8121"/>
    <cellStyle name="Normal 14 74 2" xfId="22383"/>
    <cellStyle name="Normal 14 74 2 2" xfId="49391"/>
    <cellStyle name="Normal 14 74 3" xfId="35887"/>
    <cellStyle name="Normal 14 75" xfId="8263"/>
    <cellStyle name="Normal 14 75 2" xfId="22511"/>
    <cellStyle name="Normal 14 75 2 2" xfId="49519"/>
    <cellStyle name="Normal 14 75 3" xfId="36015"/>
    <cellStyle name="Normal 14 76" xfId="8405"/>
    <cellStyle name="Normal 14 76 2" xfId="22639"/>
    <cellStyle name="Normal 14 76 2 2" xfId="49647"/>
    <cellStyle name="Normal 14 76 3" xfId="36143"/>
    <cellStyle name="Normal 14 77" xfId="8547"/>
    <cellStyle name="Normal 14 77 2" xfId="22767"/>
    <cellStyle name="Normal 14 77 2 2" xfId="49775"/>
    <cellStyle name="Normal 14 77 3" xfId="36271"/>
    <cellStyle name="Normal 14 78" xfId="8689"/>
    <cellStyle name="Normal 14 78 2" xfId="22895"/>
    <cellStyle name="Normal 14 78 2 2" xfId="49903"/>
    <cellStyle name="Normal 14 78 3" xfId="36399"/>
    <cellStyle name="Normal 14 79" xfId="8831"/>
    <cellStyle name="Normal 14 79 2" xfId="23023"/>
    <cellStyle name="Normal 14 79 2 2" xfId="50031"/>
    <cellStyle name="Normal 14 79 3" xfId="36527"/>
    <cellStyle name="Normal 14 8" xfId="1052"/>
    <cellStyle name="Normal 14 8 2" xfId="16238"/>
    <cellStyle name="Normal 14 8 2 2" xfId="43246"/>
    <cellStyle name="Normal 14 8 3" xfId="29742"/>
    <cellStyle name="Normal 14 80" xfId="8973"/>
    <cellStyle name="Normal 14 80 2" xfId="23151"/>
    <cellStyle name="Normal 14 80 2 2" xfId="50159"/>
    <cellStyle name="Normal 14 80 3" xfId="36655"/>
    <cellStyle name="Normal 14 81" xfId="9115"/>
    <cellStyle name="Normal 14 81 2" xfId="23279"/>
    <cellStyle name="Normal 14 81 2 2" xfId="50287"/>
    <cellStyle name="Normal 14 81 3" xfId="36783"/>
    <cellStyle name="Normal 14 82" xfId="9257"/>
    <cellStyle name="Normal 14 82 2" xfId="23407"/>
    <cellStyle name="Normal 14 82 2 2" xfId="50415"/>
    <cellStyle name="Normal 14 82 3" xfId="36911"/>
    <cellStyle name="Normal 14 83" xfId="9399"/>
    <cellStyle name="Normal 14 83 2" xfId="23535"/>
    <cellStyle name="Normal 14 83 2 2" xfId="50543"/>
    <cellStyle name="Normal 14 83 3" xfId="37039"/>
    <cellStyle name="Normal 14 84" xfId="9541"/>
    <cellStyle name="Normal 14 84 2" xfId="23663"/>
    <cellStyle name="Normal 14 84 2 2" xfId="50671"/>
    <cellStyle name="Normal 14 84 3" xfId="37167"/>
    <cellStyle name="Normal 14 85" xfId="9683"/>
    <cellStyle name="Normal 14 85 2" xfId="23791"/>
    <cellStyle name="Normal 14 85 2 2" xfId="50799"/>
    <cellStyle name="Normal 14 85 3" xfId="37295"/>
    <cellStyle name="Normal 14 86" xfId="9825"/>
    <cellStyle name="Normal 14 86 2" xfId="23919"/>
    <cellStyle name="Normal 14 86 2 2" xfId="50927"/>
    <cellStyle name="Normal 14 86 3" xfId="37423"/>
    <cellStyle name="Normal 14 87" xfId="9967"/>
    <cellStyle name="Normal 14 87 2" xfId="24047"/>
    <cellStyle name="Normal 14 87 2 2" xfId="51055"/>
    <cellStyle name="Normal 14 87 3" xfId="37551"/>
    <cellStyle name="Normal 14 88" xfId="10109"/>
    <cellStyle name="Normal 14 88 2" xfId="24175"/>
    <cellStyle name="Normal 14 88 2 2" xfId="51183"/>
    <cellStyle name="Normal 14 88 3" xfId="37679"/>
    <cellStyle name="Normal 14 89" xfId="10251"/>
    <cellStyle name="Normal 14 89 2" xfId="24303"/>
    <cellStyle name="Normal 14 89 2 2" xfId="51311"/>
    <cellStyle name="Normal 14 89 3" xfId="37807"/>
    <cellStyle name="Normal 14 9" xfId="1158"/>
    <cellStyle name="Normal 14 9 2" xfId="16330"/>
    <cellStyle name="Normal 14 9 2 2" xfId="43338"/>
    <cellStyle name="Normal 14 9 3" xfId="29834"/>
    <cellStyle name="Normal 14 90" xfId="10393"/>
    <cellStyle name="Normal 14 90 2" xfId="24431"/>
    <cellStyle name="Normal 14 90 2 2" xfId="51439"/>
    <cellStyle name="Normal 14 90 3" xfId="37935"/>
    <cellStyle name="Normal 14 91" xfId="10535"/>
    <cellStyle name="Normal 14 91 2" xfId="24559"/>
    <cellStyle name="Normal 14 91 2 2" xfId="51567"/>
    <cellStyle name="Normal 14 91 3" xfId="38063"/>
    <cellStyle name="Normal 14 92" xfId="10677"/>
    <cellStyle name="Normal 14 92 2" xfId="24687"/>
    <cellStyle name="Normal 14 92 2 2" xfId="51695"/>
    <cellStyle name="Normal 14 92 3" xfId="38191"/>
    <cellStyle name="Normal 14 93" xfId="10819"/>
    <cellStyle name="Normal 14 93 2" xfId="24815"/>
    <cellStyle name="Normal 14 93 2 2" xfId="51823"/>
    <cellStyle name="Normal 14 93 3" xfId="38319"/>
    <cellStyle name="Normal 14 94" xfId="10961"/>
    <cellStyle name="Normal 14 94 2" xfId="24943"/>
    <cellStyle name="Normal 14 94 2 2" xfId="51951"/>
    <cellStyle name="Normal 14 94 3" xfId="38447"/>
    <cellStyle name="Normal 14 95" xfId="11103"/>
    <cellStyle name="Normal 14 95 2" xfId="25071"/>
    <cellStyle name="Normal 14 95 2 2" xfId="52079"/>
    <cellStyle name="Normal 14 95 3" xfId="38575"/>
    <cellStyle name="Normal 14 96" xfId="11245"/>
    <cellStyle name="Normal 14 96 2" xfId="25199"/>
    <cellStyle name="Normal 14 96 2 2" xfId="52207"/>
    <cellStyle name="Normal 14 96 3" xfId="38703"/>
    <cellStyle name="Normal 14 97" xfId="11387"/>
    <cellStyle name="Normal 14 97 2" xfId="25327"/>
    <cellStyle name="Normal 14 97 2 2" xfId="52335"/>
    <cellStyle name="Normal 14 97 3" xfId="38831"/>
    <cellStyle name="Normal 14 98" xfId="11529"/>
    <cellStyle name="Normal 14 98 2" xfId="25455"/>
    <cellStyle name="Normal 14 98 2 2" xfId="52463"/>
    <cellStyle name="Normal 14 98 3" xfId="38959"/>
    <cellStyle name="Normal 14 99" xfId="11671"/>
    <cellStyle name="Normal 14 99 2" xfId="25583"/>
    <cellStyle name="Normal 14 99 2 2" xfId="52591"/>
    <cellStyle name="Normal 14 99 3" xfId="39087"/>
    <cellStyle name="Normal 140" xfId="12002"/>
    <cellStyle name="Normal 140 2" xfId="25882"/>
    <cellStyle name="Normal 140 2 2" xfId="52890"/>
    <cellStyle name="Normal 140 3" xfId="39386"/>
    <cellStyle name="Normal 141" xfId="12144"/>
    <cellStyle name="Normal 141 2" xfId="26010"/>
    <cellStyle name="Normal 141 2 2" xfId="53018"/>
    <cellStyle name="Normal 141 3" xfId="39514"/>
    <cellStyle name="Normal 142" xfId="12286"/>
    <cellStyle name="Normal 142 2" xfId="26138"/>
    <cellStyle name="Normal 142 2 2" xfId="53146"/>
    <cellStyle name="Normal 142 3" xfId="39642"/>
    <cellStyle name="Normal 143" xfId="12428"/>
    <cellStyle name="Normal 143 2" xfId="26266"/>
    <cellStyle name="Normal 143 2 2" xfId="53274"/>
    <cellStyle name="Normal 143 3" xfId="39770"/>
    <cellStyle name="Normal 144" xfId="12570"/>
    <cellStyle name="Normal 144 2" xfId="26394"/>
    <cellStyle name="Normal 144 2 2" xfId="53402"/>
    <cellStyle name="Normal 144 3" xfId="39898"/>
    <cellStyle name="Normal 145" xfId="12712"/>
    <cellStyle name="Normal 145 2" xfId="26522"/>
    <cellStyle name="Normal 145 2 2" xfId="53530"/>
    <cellStyle name="Normal 145 3" xfId="40026"/>
    <cellStyle name="Normal 146" xfId="12854"/>
    <cellStyle name="Normal 146 2" xfId="26650"/>
    <cellStyle name="Normal 146 2 2" xfId="53658"/>
    <cellStyle name="Normal 146 3" xfId="40154"/>
    <cellStyle name="Normal 147" xfId="12996"/>
    <cellStyle name="Normal 147 2" xfId="26778"/>
    <cellStyle name="Normal 147 2 2" xfId="53786"/>
    <cellStyle name="Normal 147 3" xfId="40282"/>
    <cellStyle name="Normal 148" xfId="13138"/>
    <cellStyle name="Normal 148 2" xfId="26906"/>
    <cellStyle name="Normal 148 2 2" xfId="53914"/>
    <cellStyle name="Normal 148 3" xfId="40410"/>
    <cellStyle name="Normal 149" xfId="13280"/>
    <cellStyle name="Normal 149 2" xfId="27034"/>
    <cellStyle name="Normal 149 2 2" xfId="54042"/>
    <cellStyle name="Normal 149 3" xfId="40538"/>
    <cellStyle name="Normal 15" xfId="160"/>
    <cellStyle name="Normal 15 10" xfId="1265"/>
    <cellStyle name="Normal 15 10 2" xfId="16423"/>
    <cellStyle name="Normal 15 10 2 2" xfId="43431"/>
    <cellStyle name="Normal 15 10 3" xfId="29927"/>
    <cellStyle name="Normal 15 100" xfId="11814"/>
    <cellStyle name="Normal 15 100 2" xfId="25712"/>
    <cellStyle name="Normal 15 100 2 2" xfId="52720"/>
    <cellStyle name="Normal 15 100 3" xfId="39216"/>
    <cellStyle name="Normal 15 101" xfId="11956"/>
    <cellStyle name="Normal 15 101 2" xfId="25840"/>
    <cellStyle name="Normal 15 101 2 2" xfId="52848"/>
    <cellStyle name="Normal 15 101 3" xfId="39344"/>
    <cellStyle name="Normal 15 102" xfId="12098"/>
    <cellStyle name="Normal 15 102 2" xfId="25968"/>
    <cellStyle name="Normal 15 102 2 2" xfId="52976"/>
    <cellStyle name="Normal 15 102 3" xfId="39472"/>
    <cellStyle name="Normal 15 103" xfId="12240"/>
    <cellStyle name="Normal 15 103 2" xfId="26096"/>
    <cellStyle name="Normal 15 103 2 2" xfId="53104"/>
    <cellStyle name="Normal 15 103 3" xfId="39600"/>
    <cellStyle name="Normal 15 104" xfId="12382"/>
    <cellStyle name="Normal 15 104 2" xfId="26224"/>
    <cellStyle name="Normal 15 104 2 2" xfId="53232"/>
    <cellStyle name="Normal 15 104 3" xfId="39728"/>
    <cellStyle name="Normal 15 105" xfId="12524"/>
    <cellStyle name="Normal 15 105 2" xfId="26352"/>
    <cellStyle name="Normal 15 105 2 2" xfId="53360"/>
    <cellStyle name="Normal 15 105 3" xfId="39856"/>
    <cellStyle name="Normal 15 106" xfId="12666"/>
    <cellStyle name="Normal 15 106 2" xfId="26480"/>
    <cellStyle name="Normal 15 106 2 2" xfId="53488"/>
    <cellStyle name="Normal 15 106 3" xfId="39984"/>
    <cellStyle name="Normal 15 107" xfId="12808"/>
    <cellStyle name="Normal 15 107 2" xfId="26608"/>
    <cellStyle name="Normal 15 107 2 2" xfId="53616"/>
    <cellStyle name="Normal 15 107 3" xfId="40112"/>
    <cellStyle name="Normal 15 108" xfId="12950"/>
    <cellStyle name="Normal 15 108 2" xfId="26736"/>
    <cellStyle name="Normal 15 108 2 2" xfId="53744"/>
    <cellStyle name="Normal 15 108 3" xfId="40240"/>
    <cellStyle name="Normal 15 109" xfId="13092"/>
    <cellStyle name="Normal 15 109 2" xfId="26864"/>
    <cellStyle name="Normal 15 109 2 2" xfId="53872"/>
    <cellStyle name="Normal 15 109 3" xfId="40368"/>
    <cellStyle name="Normal 15 11" xfId="1371"/>
    <cellStyle name="Normal 15 11 2" xfId="16515"/>
    <cellStyle name="Normal 15 11 2 2" xfId="43523"/>
    <cellStyle name="Normal 15 11 3" xfId="30019"/>
    <cellStyle name="Normal 15 110" xfId="13234"/>
    <cellStyle name="Normal 15 110 2" xfId="26992"/>
    <cellStyle name="Normal 15 110 2 2" xfId="54000"/>
    <cellStyle name="Normal 15 110 3" xfId="40496"/>
    <cellStyle name="Normal 15 111" xfId="13376"/>
    <cellStyle name="Normal 15 111 2" xfId="27120"/>
    <cellStyle name="Normal 15 111 2 2" xfId="54128"/>
    <cellStyle name="Normal 15 111 3" xfId="40624"/>
    <cellStyle name="Normal 15 112" xfId="13518"/>
    <cellStyle name="Normal 15 112 2" xfId="27248"/>
    <cellStyle name="Normal 15 112 2 2" xfId="54256"/>
    <cellStyle name="Normal 15 112 3" xfId="40752"/>
    <cellStyle name="Normal 15 113" xfId="13660"/>
    <cellStyle name="Normal 15 113 2" xfId="27376"/>
    <cellStyle name="Normal 15 113 2 2" xfId="54384"/>
    <cellStyle name="Normal 15 113 3" xfId="40880"/>
    <cellStyle name="Normal 15 114" xfId="13802"/>
    <cellStyle name="Normal 15 114 2" xfId="27504"/>
    <cellStyle name="Normal 15 114 2 2" xfId="54512"/>
    <cellStyle name="Normal 15 114 3" xfId="41008"/>
    <cellStyle name="Normal 15 115" xfId="13943"/>
    <cellStyle name="Normal 15 115 2" xfId="27631"/>
    <cellStyle name="Normal 15 115 2 2" xfId="54639"/>
    <cellStyle name="Normal 15 115 3" xfId="41135"/>
    <cellStyle name="Normal 15 116" xfId="14084"/>
    <cellStyle name="Normal 15 116 2" xfId="27758"/>
    <cellStyle name="Normal 15 116 2 2" xfId="54766"/>
    <cellStyle name="Normal 15 116 3" xfId="41262"/>
    <cellStyle name="Normal 15 117" xfId="14225"/>
    <cellStyle name="Normal 15 117 2" xfId="27885"/>
    <cellStyle name="Normal 15 117 2 2" xfId="54893"/>
    <cellStyle name="Normal 15 117 3" xfId="41389"/>
    <cellStyle name="Normal 15 118" xfId="14366"/>
    <cellStyle name="Normal 15 118 2" xfId="28012"/>
    <cellStyle name="Normal 15 118 2 2" xfId="55020"/>
    <cellStyle name="Normal 15 118 3" xfId="41516"/>
    <cellStyle name="Normal 15 119" xfId="14506"/>
    <cellStyle name="Normal 15 119 2" xfId="28138"/>
    <cellStyle name="Normal 15 119 2 2" xfId="55146"/>
    <cellStyle name="Normal 15 119 3" xfId="41642"/>
    <cellStyle name="Normal 15 12" xfId="1477"/>
    <cellStyle name="Normal 15 12 2" xfId="16607"/>
    <cellStyle name="Normal 15 12 2 2" xfId="43615"/>
    <cellStyle name="Normal 15 12 3" xfId="30111"/>
    <cellStyle name="Normal 15 120" xfId="14646"/>
    <cellStyle name="Normal 15 120 2" xfId="28264"/>
    <cellStyle name="Normal 15 120 2 2" xfId="55272"/>
    <cellStyle name="Normal 15 120 3" xfId="41768"/>
    <cellStyle name="Normal 15 121" xfId="14785"/>
    <cellStyle name="Normal 15 121 2" xfId="28389"/>
    <cellStyle name="Normal 15 121 2 2" xfId="55397"/>
    <cellStyle name="Normal 15 121 3" xfId="41893"/>
    <cellStyle name="Normal 15 122" xfId="14920"/>
    <cellStyle name="Normal 15 122 2" xfId="28511"/>
    <cellStyle name="Normal 15 122 2 2" xfId="55519"/>
    <cellStyle name="Normal 15 122 3" xfId="42015"/>
    <cellStyle name="Normal 15 123" xfId="15054"/>
    <cellStyle name="Normal 15 123 2" xfId="28632"/>
    <cellStyle name="Normal 15 123 2 2" xfId="55640"/>
    <cellStyle name="Normal 15 123 3" xfId="42136"/>
    <cellStyle name="Normal 15 124" xfId="15181"/>
    <cellStyle name="Normal 15 124 2" xfId="28748"/>
    <cellStyle name="Normal 15 124 2 2" xfId="55756"/>
    <cellStyle name="Normal 15 124 3" xfId="42252"/>
    <cellStyle name="Normal 15 125" xfId="15301"/>
    <cellStyle name="Normal 15 125 2" xfId="28861"/>
    <cellStyle name="Normal 15 125 2 2" xfId="55869"/>
    <cellStyle name="Normal 15 125 3" xfId="42365"/>
    <cellStyle name="Normal 15 126" xfId="15516"/>
    <cellStyle name="Normal 15 126 2" xfId="42524"/>
    <cellStyle name="Normal 15 127" xfId="29020"/>
    <cellStyle name="Normal 15 13" xfId="1583"/>
    <cellStyle name="Normal 15 13 2" xfId="16699"/>
    <cellStyle name="Normal 15 13 2 2" xfId="43707"/>
    <cellStyle name="Normal 15 13 3" xfId="30203"/>
    <cellStyle name="Normal 15 14" xfId="1689"/>
    <cellStyle name="Normal 15 14 2" xfId="16791"/>
    <cellStyle name="Normal 15 14 2 2" xfId="43799"/>
    <cellStyle name="Normal 15 14 3" xfId="30295"/>
    <cellStyle name="Normal 15 15" xfId="1795"/>
    <cellStyle name="Normal 15 15 2" xfId="16883"/>
    <cellStyle name="Normal 15 15 2 2" xfId="43891"/>
    <cellStyle name="Normal 15 15 3" xfId="30387"/>
    <cellStyle name="Normal 15 16" xfId="1901"/>
    <cellStyle name="Normal 15 16 2" xfId="16975"/>
    <cellStyle name="Normal 15 16 2 2" xfId="43983"/>
    <cellStyle name="Normal 15 16 3" xfId="30479"/>
    <cellStyle name="Normal 15 17" xfId="2007"/>
    <cellStyle name="Normal 15 17 2" xfId="17067"/>
    <cellStyle name="Normal 15 17 2 2" xfId="44075"/>
    <cellStyle name="Normal 15 17 3" xfId="30571"/>
    <cellStyle name="Normal 15 18" xfId="2113"/>
    <cellStyle name="Normal 15 18 2" xfId="17159"/>
    <cellStyle name="Normal 15 18 2 2" xfId="44167"/>
    <cellStyle name="Normal 15 18 3" xfId="30663"/>
    <cellStyle name="Normal 15 19" xfId="2219"/>
    <cellStyle name="Normal 15 19 2" xfId="17251"/>
    <cellStyle name="Normal 15 19 2 2" xfId="44259"/>
    <cellStyle name="Normal 15 19 3" xfId="30755"/>
    <cellStyle name="Normal 15 2" xfId="337"/>
    <cellStyle name="Normal 15 2 2" xfId="15639"/>
    <cellStyle name="Normal 15 2 2 2" xfId="42647"/>
    <cellStyle name="Normal 15 2 3" xfId="29143"/>
    <cellStyle name="Normal 15 20" xfId="2325"/>
    <cellStyle name="Normal 15 20 2" xfId="17343"/>
    <cellStyle name="Normal 15 20 2 2" xfId="44351"/>
    <cellStyle name="Normal 15 20 3" xfId="30847"/>
    <cellStyle name="Normal 15 21" xfId="2431"/>
    <cellStyle name="Normal 15 21 2" xfId="17435"/>
    <cellStyle name="Normal 15 21 2 2" xfId="44443"/>
    <cellStyle name="Normal 15 21 3" xfId="30939"/>
    <cellStyle name="Normal 15 22" xfId="2537"/>
    <cellStyle name="Normal 15 22 2" xfId="17527"/>
    <cellStyle name="Normal 15 22 2 2" xfId="44535"/>
    <cellStyle name="Normal 15 22 3" xfId="31031"/>
    <cellStyle name="Normal 15 23" xfId="2643"/>
    <cellStyle name="Normal 15 23 2" xfId="17619"/>
    <cellStyle name="Normal 15 23 2 2" xfId="44627"/>
    <cellStyle name="Normal 15 23 3" xfId="31123"/>
    <cellStyle name="Normal 15 24" xfId="2749"/>
    <cellStyle name="Normal 15 24 2" xfId="17711"/>
    <cellStyle name="Normal 15 24 2 2" xfId="44719"/>
    <cellStyle name="Normal 15 24 3" xfId="31215"/>
    <cellStyle name="Normal 15 25" xfId="2855"/>
    <cellStyle name="Normal 15 25 2" xfId="17803"/>
    <cellStyle name="Normal 15 25 2 2" xfId="44811"/>
    <cellStyle name="Normal 15 25 3" xfId="31307"/>
    <cellStyle name="Normal 15 26" xfId="2961"/>
    <cellStyle name="Normal 15 26 2" xfId="17895"/>
    <cellStyle name="Normal 15 26 2 2" xfId="44903"/>
    <cellStyle name="Normal 15 26 3" xfId="31399"/>
    <cellStyle name="Normal 15 27" xfId="3067"/>
    <cellStyle name="Normal 15 27 2" xfId="17987"/>
    <cellStyle name="Normal 15 27 2 2" xfId="44995"/>
    <cellStyle name="Normal 15 27 3" xfId="31491"/>
    <cellStyle name="Normal 15 28" xfId="3173"/>
    <cellStyle name="Normal 15 28 2" xfId="18079"/>
    <cellStyle name="Normal 15 28 2 2" xfId="45087"/>
    <cellStyle name="Normal 15 28 3" xfId="31583"/>
    <cellStyle name="Normal 15 29" xfId="3279"/>
    <cellStyle name="Normal 15 29 2" xfId="18171"/>
    <cellStyle name="Normal 15 29 2 2" xfId="45179"/>
    <cellStyle name="Normal 15 29 3" xfId="31675"/>
    <cellStyle name="Normal 15 3" xfId="524"/>
    <cellStyle name="Normal 15 3 2" xfId="15780"/>
    <cellStyle name="Normal 15 3 2 2" xfId="42788"/>
    <cellStyle name="Normal 15 3 3" xfId="29284"/>
    <cellStyle name="Normal 15 30" xfId="3385"/>
    <cellStyle name="Normal 15 30 2" xfId="18263"/>
    <cellStyle name="Normal 15 30 2 2" xfId="45271"/>
    <cellStyle name="Normal 15 30 3" xfId="31767"/>
    <cellStyle name="Normal 15 31" xfId="3491"/>
    <cellStyle name="Normal 15 31 2" xfId="18355"/>
    <cellStyle name="Normal 15 31 2 2" xfId="45363"/>
    <cellStyle name="Normal 15 31 3" xfId="31859"/>
    <cellStyle name="Normal 15 32" xfId="3597"/>
    <cellStyle name="Normal 15 32 2" xfId="18447"/>
    <cellStyle name="Normal 15 32 2 2" xfId="45455"/>
    <cellStyle name="Normal 15 32 3" xfId="31951"/>
    <cellStyle name="Normal 15 33" xfId="3703"/>
    <cellStyle name="Normal 15 33 2" xfId="18539"/>
    <cellStyle name="Normal 15 33 2 2" xfId="45547"/>
    <cellStyle name="Normal 15 33 3" xfId="32043"/>
    <cellStyle name="Normal 15 34" xfId="3809"/>
    <cellStyle name="Normal 15 34 2" xfId="18631"/>
    <cellStyle name="Normal 15 34 2 2" xfId="45639"/>
    <cellStyle name="Normal 15 34 3" xfId="32135"/>
    <cellStyle name="Normal 15 35" xfId="3915"/>
    <cellStyle name="Normal 15 35 2" xfId="18723"/>
    <cellStyle name="Normal 15 35 2 2" xfId="45731"/>
    <cellStyle name="Normal 15 35 3" xfId="32227"/>
    <cellStyle name="Normal 15 36" xfId="4021"/>
    <cellStyle name="Normal 15 36 2" xfId="18815"/>
    <cellStyle name="Normal 15 36 2 2" xfId="45823"/>
    <cellStyle name="Normal 15 36 3" xfId="32319"/>
    <cellStyle name="Normal 15 37" xfId="4127"/>
    <cellStyle name="Normal 15 37 2" xfId="18907"/>
    <cellStyle name="Normal 15 37 2 2" xfId="45915"/>
    <cellStyle name="Normal 15 37 3" xfId="32411"/>
    <cellStyle name="Normal 15 38" xfId="4233"/>
    <cellStyle name="Normal 15 38 2" xfId="18999"/>
    <cellStyle name="Normal 15 38 2 2" xfId="46007"/>
    <cellStyle name="Normal 15 38 3" xfId="32503"/>
    <cellStyle name="Normal 15 39" xfId="4339"/>
    <cellStyle name="Normal 15 39 2" xfId="19091"/>
    <cellStyle name="Normal 15 39 2 2" xfId="46099"/>
    <cellStyle name="Normal 15 39 3" xfId="32595"/>
    <cellStyle name="Normal 15 4" xfId="629"/>
    <cellStyle name="Normal 15 4 2" xfId="15871"/>
    <cellStyle name="Normal 15 4 2 2" xfId="42879"/>
    <cellStyle name="Normal 15 4 3" xfId="29375"/>
    <cellStyle name="Normal 15 40" xfId="4445"/>
    <cellStyle name="Normal 15 40 2" xfId="19183"/>
    <cellStyle name="Normal 15 40 2 2" xfId="46191"/>
    <cellStyle name="Normal 15 40 3" xfId="32687"/>
    <cellStyle name="Normal 15 41" xfId="4551"/>
    <cellStyle name="Normal 15 41 2" xfId="19275"/>
    <cellStyle name="Normal 15 41 2 2" xfId="46283"/>
    <cellStyle name="Normal 15 41 3" xfId="32779"/>
    <cellStyle name="Normal 15 42" xfId="4657"/>
    <cellStyle name="Normal 15 42 2" xfId="19367"/>
    <cellStyle name="Normal 15 42 2 2" xfId="46375"/>
    <cellStyle name="Normal 15 42 3" xfId="32871"/>
    <cellStyle name="Normal 15 43" xfId="4763"/>
    <cellStyle name="Normal 15 43 2" xfId="19459"/>
    <cellStyle name="Normal 15 43 2 2" xfId="46467"/>
    <cellStyle name="Normal 15 43 3" xfId="32963"/>
    <cellStyle name="Normal 15 44" xfId="4869"/>
    <cellStyle name="Normal 15 44 2" xfId="19551"/>
    <cellStyle name="Normal 15 44 2 2" xfId="46559"/>
    <cellStyle name="Normal 15 44 3" xfId="33055"/>
    <cellStyle name="Normal 15 45" xfId="4975"/>
    <cellStyle name="Normal 15 45 2" xfId="19643"/>
    <cellStyle name="Normal 15 45 2 2" xfId="46651"/>
    <cellStyle name="Normal 15 45 3" xfId="33147"/>
    <cellStyle name="Normal 15 46" xfId="5081"/>
    <cellStyle name="Normal 15 46 2" xfId="19735"/>
    <cellStyle name="Normal 15 46 2 2" xfId="46743"/>
    <cellStyle name="Normal 15 46 3" xfId="33239"/>
    <cellStyle name="Normal 15 47" xfId="5187"/>
    <cellStyle name="Normal 15 47 2" xfId="19827"/>
    <cellStyle name="Normal 15 47 2 2" xfId="46835"/>
    <cellStyle name="Normal 15 47 3" xfId="33331"/>
    <cellStyle name="Normal 15 48" xfId="5293"/>
    <cellStyle name="Normal 15 48 2" xfId="19919"/>
    <cellStyle name="Normal 15 48 2 2" xfId="46927"/>
    <cellStyle name="Normal 15 48 3" xfId="33423"/>
    <cellStyle name="Normal 15 49" xfId="5399"/>
    <cellStyle name="Normal 15 49 2" xfId="20011"/>
    <cellStyle name="Normal 15 49 2 2" xfId="47019"/>
    <cellStyle name="Normal 15 49 3" xfId="33515"/>
    <cellStyle name="Normal 15 5" xfId="735"/>
    <cellStyle name="Normal 15 5 2" xfId="15963"/>
    <cellStyle name="Normal 15 5 2 2" xfId="42971"/>
    <cellStyle name="Normal 15 5 3" xfId="29467"/>
    <cellStyle name="Normal 15 50" xfId="5505"/>
    <cellStyle name="Normal 15 50 2" xfId="20103"/>
    <cellStyle name="Normal 15 50 2 2" xfId="47111"/>
    <cellStyle name="Normal 15 50 3" xfId="33607"/>
    <cellStyle name="Normal 15 51" xfId="5611"/>
    <cellStyle name="Normal 15 51 2" xfId="20195"/>
    <cellStyle name="Normal 15 51 2 2" xfId="47203"/>
    <cellStyle name="Normal 15 51 3" xfId="33699"/>
    <cellStyle name="Normal 15 52" xfId="5717"/>
    <cellStyle name="Normal 15 52 2" xfId="20287"/>
    <cellStyle name="Normal 15 52 2 2" xfId="47295"/>
    <cellStyle name="Normal 15 52 3" xfId="33791"/>
    <cellStyle name="Normal 15 53" xfId="5823"/>
    <cellStyle name="Normal 15 53 2" xfId="20379"/>
    <cellStyle name="Normal 15 53 2 2" xfId="47387"/>
    <cellStyle name="Normal 15 53 3" xfId="33883"/>
    <cellStyle name="Normal 15 54" xfId="5929"/>
    <cellStyle name="Normal 15 54 2" xfId="20471"/>
    <cellStyle name="Normal 15 54 2 2" xfId="47479"/>
    <cellStyle name="Normal 15 54 3" xfId="33975"/>
    <cellStyle name="Normal 15 55" xfId="6035"/>
    <cellStyle name="Normal 15 55 2" xfId="20563"/>
    <cellStyle name="Normal 15 55 2 2" xfId="47571"/>
    <cellStyle name="Normal 15 55 3" xfId="34067"/>
    <cellStyle name="Normal 15 56" xfId="6141"/>
    <cellStyle name="Normal 15 56 2" xfId="20655"/>
    <cellStyle name="Normal 15 56 2 2" xfId="47663"/>
    <cellStyle name="Normal 15 56 3" xfId="34159"/>
    <cellStyle name="Normal 15 57" xfId="6247"/>
    <cellStyle name="Normal 15 57 2" xfId="20747"/>
    <cellStyle name="Normal 15 57 2 2" xfId="47755"/>
    <cellStyle name="Normal 15 57 3" xfId="34251"/>
    <cellStyle name="Normal 15 58" xfId="6353"/>
    <cellStyle name="Normal 15 58 2" xfId="20839"/>
    <cellStyle name="Normal 15 58 2 2" xfId="47847"/>
    <cellStyle name="Normal 15 58 3" xfId="34343"/>
    <cellStyle name="Normal 15 59" xfId="6459"/>
    <cellStyle name="Normal 15 59 2" xfId="20931"/>
    <cellStyle name="Normal 15 59 2 2" xfId="47939"/>
    <cellStyle name="Normal 15 59 3" xfId="34435"/>
    <cellStyle name="Normal 15 6" xfId="841"/>
    <cellStyle name="Normal 15 6 2" xfId="16055"/>
    <cellStyle name="Normal 15 6 2 2" xfId="43063"/>
    <cellStyle name="Normal 15 6 3" xfId="29559"/>
    <cellStyle name="Normal 15 60" xfId="6565"/>
    <cellStyle name="Normal 15 60 2" xfId="21023"/>
    <cellStyle name="Normal 15 60 2 2" xfId="48031"/>
    <cellStyle name="Normal 15 60 3" xfId="34527"/>
    <cellStyle name="Normal 15 61" xfId="6670"/>
    <cellStyle name="Normal 15 61 2" xfId="21114"/>
    <cellStyle name="Normal 15 61 2 2" xfId="48122"/>
    <cellStyle name="Normal 15 61 3" xfId="34618"/>
    <cellStyle name="Normal 15 62" xfId="6775"/>
    <cellStyle name="Normal 15 62 2" xfId="21205"/>
    <cellStyle name="Normal 15 62 2 2" xfId="48213"/>
    <cellStyle name="Normal 15 62 3" xfId="34709"/>
    <cellStyle name="Normal 15 63" xfId="6880"/>
    <cellStyle name="Normal 15 63 2" xfId="21296"/>
    <cellStyle name="Normal 15 63 2 2" xfId="48304"/>
    <cellStyle name="Normal 15 63 3" xfId="34800"/>
    <cellStyle name="Normal 15 64" xfId="6985"/>
    <cellStyle name="Normal 15 64 2" xfId="21387"/>
    <cellStyle name="Normal 15 64 2 2" xfId="48395"/>
    <cellStyle name="Normal 15 64 3" xfId="34891"/>
    <cellStyle name="Normal 15 65" xfId="7089"/>
    <cellStyle name="Normal 15 65 2" xfId="21477"/>
    <cellStyle name="Normal 15 65 2 2" xfId="48485"/>
    <cellStyle name="Normal 15 65 3" xfId="34981"/>
    <cellStyle name="Normal 15 66" xfId="7193"/>
    <cellStyle name="Normal 15 66 2" xfId="21567"/>
    <cellStyle name="Normal 15 66 2 2" xfId="48575"/>
    <cellStyle name="Normal 15 66 3" xfId="35071"/>
    <cellStyle name="Normal 15 67" xfId="7296"/>
    <cellStyle name="Normal 15 67 2" xfId="21656"/>
    <cellStyle name="Normal 15 67 2 2" xfId="48664"/>
    <cellStyle name="Normal 15 67 3" xfId="35160"/>
    <cellStyle name="Normal 15 68" xfId="7396"/>
    <cellStyle name="Normal 15 68 2" xfId="21743"/>
    <cellStyle name="Normal 15 68 2 2" xfId="48751"/>
    <cellStyle name="Normal 15 68 3" xfId="35247"/>
    <cellStyle name="Normal 15 69" xfId="7494"/>
    <cellStyle name="Normal 15 69 2" xfId="21828"/>
    <cellStyle name="Normal 15 69 2 2" xfId="48836"/>
    <cellStyle name="Normal 15 69 3" xfId="35332"/>
    <cellStyle name="Normal 15 7" xfId="947"/>
    <cellStyle name="Normal 15 7 2" xfId="16147"/>
    <cellStyle name="Normal 15 7 2 2" xfId="43155"/>
    <cellStyle name="Normal 15 7 3" xfId="29651"/>
    <cellStyle name="Normal 15 70" xfId="7583"/>
    <cellStyle name="Normal 15 70 2" xfId="21906"/>
    <cellStyle name="Normal 15 70 2 2" xfId="48914"/>
    <cellStyle name="Normal 15 70 3" xfId="35410"/>
    <cellStyle name="Normal 15 71" xfId="7659"/>
    <cellStyle name="Normal 15 71 2" xfId="21975"/>
    <cellStyle name="Normal 15 71 2 2" xfId="48983"/>
    <cellStyle name="Normal 15 71 3" xfId="35479"/>
    <cellStyle name="Normal 15 72" xfId="7838"/>
    <cellStyle name="Normal 15 72 2" xfId="22128"/>
    <cellStyle name="Normal 15 72 2 2" xfId="49136"/>
    <cellStyle name="Normal 15 72 3" xfId="35632"/>
    <cellStyle name="Normal 15 73" xfId="7980"/>
    <cellStyle name="Normal 15 73 2" xfId="22256"/>
    <cellStyle name="Normal 15 73 2 2" xfId="49264"/>
    <cellStyle name="Normal 15 73 3" xfId="35760"/>
    <cellStyle name="Normal 15 74" xfId="8122"/>
    <cellStyle name="Normal 15 74 2" xfId="22384"/>
    <cellStyle name="Normal 15 74 2 2" xfId="49392"/>
    <cellStyle name="Normal 15 74 3" xfId="35888"/>
    <cellStyle name="Normal 15 75" xfId="8264"/>
    <cellStyle name="Normal 15 75 2" xfId="22512"/>
    <cellStyle name="Normal 15 75 2 2" xfId="49520"/>
    <cellStyle name="Normal 15 75 3" xfId="36016"/>
    <cellStyle name="Normal 15 76" xfId="8406"/>
    <cellStyle name="Normal 15 76 2" xfId="22640"/>
    <cellStyle name="Normal 15 76 2 2" xfId="49648"/>
    <cellStyle name="Normal 15 76 3" xfId="36144"/>
    <cellStyle name="Normal 15 77" xfId="8548"/>
    <cellStyle name="Normal 15 77 2" xfId="22768"/>
    <cellStyle name="Normal 15 77 2 2" xfId="49776"/>
    <cellStyle name="Normal 15 77 3" xfId="36272"/>
    <cellStyle name="Normal 15 78" xfId="8690"/>
    <cellStyle name="Normal 15 78 2" xfId="22896"/>
    <cellStyle name="Normal 15 78 2 2" xfId="49904"/>
    <cellStyle name="Normal 15 78 3" xfId="36400"/>
    <cellStyle name="Normal 15 79" xfId="8832"/>
    <cellStyle name="Normal 15 79 2" xfId="23024"/>
    <cellStyle name="Normal 15 79 2 2" xfId="50032"/>
    <cellStyle name="Normal 15 79 3" xfId="36528"/>
    <cellStyle name="Normal 15 8" xfId="1053"/>
    <cellStyle name="Normal 15 8 2" xfId="16239"/>
    <cellStyle name="Normal 15 8 2 2" xfId="43247"/>
    <cellStyle name="Normal 15 8 3" xfId="29743"/>
    <cellStyle name="Normal 15 80" xfId="8974"/>
    <cellStyle name="Normal 15 80 2" xfId="23152"/>
    <cellStyle name="Normal 15 80 2 2" xfId="50160"/>
    <cellStyle name="Normal 15 80 3" xfId="36656"/>
    <cellStyle name="Normal 15 81" xfId="9116"/>
    <cellStyle name="Normal 15 81 2" xfId="23280"/>
    <cellStyle name="Normal 15 81 2 2" xfId="50288"/>
    <cellStyle name="Normal 15 81 3" xfId="36784"/>
    <cellStyle name="Normal 15 82" xfId="9258"/>
    <cellStyle name="Normal 15 82 2" xfId="23408"/>
    <cellStyle name="Normal 15 82 2 2" xfId="50416"/>
    <cellStyle name="Normal 15 82 3" xfId="36912"/>
    <cellStyle name="Normal 15 83" xfId="9400"/>
    <cellStyle name="Normal 15 83 2" xfId="23536"/>
    <cellStyle name="Normal 15 83 2 2" xfId="50544"/>
    <cellStyle name="Normal 15 83 3" xfId="37040"/>
    <cellStyle name="Normal 15 84" xfId="9542"/>
    <cellStyle name="Normal 15 84 2" xfId="23664"/>
    <cellStyle name="Normal 15 84 2 2" xfId="50672"/>
    <cellStyle name="Normal 15 84 3" xfId="37168"/>
    <cellStyle name="Normal 15 85" xfId="9684"/>
    <cellStyle name="Normal 15 85 2" xfId="23792"/>
    <cellStyle name="Normal 15 85 2 2" xfId="50800"/>
    <cellStyle name="Normal 15 85 3" xfId="37296"/>
    <cellStyle name="Normal 15 86" xfId="9826"/>
    <cellStyle name="Normal 15 86 2" xfId="23920"/>
    <cellStyle name="Normal 15 86 2 2" xfId="50928"/>
    <cellStyle name="Normal 15 86 3" xfId="37424"/>
    <cellStyle name="Normal 15 87" xfId="9968"/>
    <cellStyle name="Normal 15 87 2" xfId="24048"/>
    <cellStyle name="Normal 15 87 2 2" xfId="51056"/>
    <cellStyle name="Normal 15 87 3" xfId="37552"/>
    <cellStyle name="Normal 15 88" xfId="10110"/>
    <cellStyle name="Normal 15 88 2" xfId="24176"/>
    <cellStyle name="Normal 15 88 2 2" xfId="51184"/>
    <cellStyle name="Normal 15 88 3" xfId="37680"/>
    <cellStyle name="Normal 15 89" xfId="10252"/>
    <cellStyle name="Normal 15 89 2" xfId="24304"/>
    <cellStyle name="Normal 15 89 2 2" xfId="51312"/>
    <cellStyle name="Normal 15 89 3" xfId="37808"/>
    <cellStyle name="Normal 15 9" xfId="1159"/>
    <cellStyle name="Normal 15 9 2" xfId="16331"/>
    <cellStyle name="Normal 15 9 2 2" xfId="43339"/>
    <cellStyle name="Normal 15 9 3" xfId="29835"/>
    <cellStyle name="Normal 15 90" xfId="10394"/>
    <cellStyle name="Normal 15 90 2" xfId="24432"/>
    <cellStyle name="Normal 15 90 2 2" xfId="51440"/>
    <cellStyle name="Normal 15 90 3" xfId="37936"/>
    <cellStyle name="Normal 15 91" xfId="10536"/>
    <cellStyle name="Normal 15 91 2" xfId="24560"/>
    <cellStyle name="Normal 15 91 2 2" xfId="51568"/>
    <cellStyle name="Normal 15 91 3" xfId="38064"/>
    <cellStyle name="Normal 15 92" xfId="10678"/>
    <cellStyle name="Normal 15 92 2" xfId="24688"/>
    <cellStyle name="Normal 15 92 2 2" xfId="51696"/>
    <cellStyle name="Normal 15 92 3" xfId="38192"/>
    <cellStyle name="Normal 15 93" xfId="10820"/>
    <cellStyle name="Normal 15 93 2" xfId="24816"/>
    <cellStyle name="Normal 15 93 2 2" xfId="51824"/>
    <cellStyle name="Normal 15 93 3" xfId="38320"/>
    <cellStyle name="Normal 15 94" xfId="10962"/>
    <cellStyle name="Normal 15 94 2" xfId="24944"/>
    <cellStyle name="Normal 15 94 2 2" xfId="51952"/>
    <cellStyle name="Normal 15 94 3" xfId="38448"/>
    <cellStyle name="Normal 15 95" xfId="11104"/>
    <cellStyle name="Normal 15 95 2" xfId="25072"/>
    <cellStyle name="Normal 15 95 2 2" xfId="52080"/>
    <cellStyle name="Normal 15 95 3" xfId="38576"/>
    <cellStyle name="Normal 15 96" xfId="11246"/>
    <cellStyle name="Normal 15 96 2" xfId="25200"/>
    <cellStyle name="Normal 15 96 2 2" xfId="52208"/>
    <cellStyle name="Normal 15 96 3" xfId="38704"/>
    <cellStyle name="Normal 15 97" xfId="11388"/>
    <cellStyle name="Normal 15 97 2" xfId="25328"/>
    <cellStyle name="Normal 15 97 2 2" xfId="52336"/>
    <cellStyle name="Normal 15 97 3" xfId="38832"/>
    <cellStyle name="Normal 15 98" xfId="11530"/>
    <cellStyle name="Normal 15 98 2" xfId="25456"/>
    <cellStyle name="Normal 15 98 2 2" xfId="52464"/>
    <cellStyle name="Normal 15 98 3" xfId="38960"/>
    <cellStyle name="Normal 15 99" xfId="11672"/>
    <cellStyle name="Normal 15 99 2" xfId="25584"/>
    <cellStyle name="Normal 15 99 2 2" xfId="52592"/>
    <cellStyle name="Normal 15 99 3" xfId="39088"/>
    <cellStyle name="Normal 150" xfId="13422"/>
    <cellStyle name="Normal 150 2" xfId="27162"/>
    <cellStyle name="Normal 150 2 2" xfId="54170"/>
    <cellStyle name="Normal 150 3" xfId="40666"/>
    <cellStyle name="Normal 151" xfId="13564"/>
    <cellStyle name="Normal 151 2" xfId="27290"/>
    <cellStyle name="Normal 151 2 2" xfId="54298"/>
    <cellStyle name="Normal 151 3" xfId="40794"/>
    <cellStyle name="Normal 152" xfId="13706"/>
    <cellStyle name="Normal 152 2" xfId="27418"/>
    <cellStyle name="Normal 152 2 2" xfId="54426"/>
    <cellStyle name="Normal 152 3" xfId="40922"/>
    <cellStyle name="Normal 153" xfId="13847"/>
    <cellStyle name="Normal 153 2" xfId="27545"/>
    <cellStyle name="Normal 153 2 2" xfId="54553"/>
    <cellStyle name="Normal 153 3" xfId="41049"/>
    <cellStyle name="Normal 154" xfId="13988"/>
    <cellStyle name="Normal 154 2" xfId="27672"/>
    <cellStyle name="Normal 154 2 2" xfId="54680"/>
    <cellStyle name="Normal 154 3" xfId="41176"/>
    <cellStyle name="Normal 155" xfId="14129"/>
    <cellStyle name="Normal 155 2" xfId="27799"/>
    <cellStyle name="Normal 155 2 2" xfId="54807"/>
    <cellStyle name="Normal 155 3" xfId="41303"/>
    <cellStyle name="Normal 156" xfId="14270"/>
    <cellStyle name="Normal 156 2" xfId="27926"/>
    <cellStyle name="Normal 156 2 2" xfId="54934"/>
    <cellStyle name="Normal 156 3" xfId="41430"/>
    <cellStyle name="Normal 157" xfId="14411"/>
    <cellStyle name="Normal 157 2" xfId="28053"/>
    <cellStyle name="Normal 157 2 2" xfId="55061"/>
    <cellStyle name="Normal 157 3" xfId="41557"/>
    <cellStyle name="Normal 158" xfId="14551"/>
    <cellStyle name="Normal 158 2" xfId="28179"/>
    <cellStyle name="Normal 158 2 2" xfId="55187"/>
    <cellStyle name="Normal 158 3" xfId="41683"/>
    <cellStyle name="Normal 159" xfId="14691"/>
    <cellStyle name="Normal 159 2" xfId="28305"/>
    <cellStyle name="Normal 159 2 2" xfId="55313"/>
    <cellStyle name="Normal 159 3" xfId="41809"/>
    <cellStyle name="Normal 16" xfId="161"/>
    <cellStyle name="Normal 16 10" xfId="1266"/>
    <cellStyle name="Normal 16 10 2" xfId="16424"/>
    <cellStyle name="Normal 16 10 2 2" xfId="43432"/>
    <cellStyle name="Normal 16 10 3" xfId="29928"/>
    <cellStyle name="Normal 16 100" xfId="11815"/>
    <cellStyle name="Normal 16 100 2" xfId="25713"/>
    <cellStyle name="Normal 16 100 2 2" xfId="52721"/>
    <cellStyle name="Normal 16 100 3" xfId="39217"/>
    <cellStyle name="Normal 16 101" xfId="11957"/>
    <cellStyle name="Normal 16 101 2" xfId="25841"/>
    <cellStyle name="Normal 16 101 2 2" xfId="52849"/>
    <cellStyle name="Normal 16 101 3" xfId="39345"/>
    <cellStyle name="Normal 16 102" xfId="12099"/>
    <cellStyle name="Normal 16 102 2" xfId="25969"/>
    <cellStyle name="Normal 16 102 2 2" xfId="52977"/>
    <cellStyle name="Normal 16 102 3" xfId="39473"/>
    <cellStyle name="Normal 16 103" xfId="12241"/>
    <cellStyle name="Normal 16 103 2" xfId="26097"/>
    <cellStyle name="Normal 16 103 2 2" xfId="53105"/>
    <cellStyle name="Normal 16 103 3" xfId="39601"/>
    <cellStyle name="Normal 16 104" xfId="12383"/>
    <cellStyle name="Normal 16 104 2" xfId="26225"/>
    <cellStyle name="Normal 16 104 2 2" xfId="53233"/>
    <cellStyle name="Normal 16 104 3" xfId="39729"/>
    <cellStyle name="Normal 16 105" xfId="12525"/>
    <cellStyle name="Normal 16 105 2" xfId="26353"/>
    <cellStyle name="Normal 16 105 2 2" xfId="53361"/>
    <cellStyle name="Normal 16 105 3" xfId="39857"/>
    <cellStyle name="Normal 16 106" xfId="12667"/>
    <cellStyle name="Normal 16 106 2" xfId="26481"/>
    <cellStyle name="Normal 16 106 2 2" xfId="53489"/>
    <cellStyle name="Normal 16 106 3" xfId="39985"/>
    <cellStyle name="Normal 16 107" xfId="12809"/>
    <cellStyle name="Normal 16 107 2" xfId="26609"/>
    <cellStyle name="Normal 16 107 2 2" xfId="53617"/>
    <cellStyle name="Normal 16 107 3" xfId="40113"/>
    <cellStyle name="Normal 16 108" xfId="12951"/>
    <cellStyle name="Normal 16 108 2" xfId="26737"/>
    <cellStyle name="Normal 16 108 2 2" xfId="53745"/>
    <cellStyle name="Normal 16 108 3" xfId="40241"/>
    <cellStyle name="Normal 16 109" xfId="13093"/>
    <cellStyle name="Normal 16 109 2" xfId="26865"/>
    <cellStyle name="Normal 16 109 2 2" xfId="53873"/>
    <cellStyle name="Normal 16 109 3" xfId="40369"/>
    <cellStyle name="Normal 16 11" xfId="1372"/>
    <cellStyle name="Normal 16 11 2" xfId="16516"/>
    <cellStyle name="Normal 16 11 2 2" xfId="43524"/>
    <cellStyle name="Normal 16 11 3" xfId="30020"/>
    <cellStyle name="Normal 16 110" xfId="13235"/>
    <cellStyle name="Normal 16 110 2" xfId="26993"/>
    <cellStyle name="Normal 16 110 2 2" xfId="54001"/>
    <cellStyle name="Normal 16 110 3" xfId="40497"/>
    <cellStyle name="Normal 16 111" xfId="13377"/>
    <cellStyle name="Normal 16 111 2" xfId="27121"/>
    <cellStyle name="Normal 16 111 2 2" xfId="54129"/>
    <cellStyle name="Normal 16 111 3" xfId="40625"/>
    <cellStyle name="Normal 16 112" xfId="13519"/>
    <cellStyle name="Normal 16 112 2" xfId="27249"/>
    <cellStyle name="Normal 16 112 2 2" xfId="54257"/>
    <cellStyle name="Normal 16 112 3" xfId="40753"/>
    <cellStyle name="Normal 16 113" xfId="13661"/>
    <cellStyle name="Normal 16 113 2" xfId="27377"/>
    <cellStyle name="Normal 16 113 2 2" xfId="54385"/>
    <cellStyle name="Normal 16 113 3" xfId="40881"/>
    <cellStyle name="Normal 16 114" xfId="13803"/>
    <cellStyle name="Normal 16 114 2" xfId="27505"/>
    <cellStyle name="Normal 16 114 2 2" xfId="54513"/>
    <cellStyle name="Normal 16 114 3" xfId="41009"/>
    <cellStyle name="Normal 16 115" xfId="13944"/>
    <cellStyle name="Normal 16 115 2" xfId="27632"/>
    <cellStyle name="Normal 16 115 2 2" xfId="54640"/>
    <cellStyle name="Normal 16 115 3" xfId="41136"/>
    <cellStyle name="Normal 16 116" xfId="14085"/>
    <cellStyle name="Normal 16 116 2" xfId="27759"/>
    <cellStyle name="Normal 16 116 2 2" xfId="54767"/>
    <cellStyle name="Normal 16 116 3" xfId="41263"/>
    <cellStyle name="Normal 16 117" xfId="14226"/>
    <cellStyle name="Normal 16 117 2" xfId="27886"/>
    <cellStyle name="Normal 16 117 2 2" xfId="54894"/>
    <cellStyle name="Normal 16 117 3" xfId="41390"/>
    <cellStyle name="Normal 16 118" xfId="14367"/>
    <cellStyle name="Normal 16 118 2" xfId="28013"/>
    <cellStyle name="Normal 16 118 2 2" xfId="55021"/>
    <cellStyle name="Normal 16 118 3" xfId="41517"/>
    <cellStyle name="Normal 16 119" xfId="14507"/>
    <cellStyle name="Normal 16 119 2" xfId="28139"/>
    <cellStyle name="Normal 16 119 2 2" xfId="55147"/>
    <cellStyle name="Normal 16 119 3" xfId="41643"/>
    <cellStyle name="Normal 16 12" xfId="1478"/>
    <cellStyle name="Normal 16 12 2" xfId="16608"/>
    <cellStyle name="Normal 16 12 2 2" xfId="43616"/>
    <cellStyle name="Normal 16 12 3" xfId="30112"/>
    <cellStyle name="Normal 16 120" xfId="14647"/>
    <cellStyle name="Normal 16 120 2" xfId="28265"/>
    <cellStyle name="Normal 16 120 2 2" xfId="55273"/>
    <cellStyle name="Normal 16 120 3" xfId="41769"/>
    <cellStyle name="Normal 16 121" xfId="14786"/>
    <cellStyle name="Normal 16 121 2" xfId="28390"/>
    <cellStyle name="Normal 16 121 2 2" xfId="55398"/>
    <cellStyle name="Normal 16 121 3" xfId="41894"/>
    <cellStyle name="Normal 16 122" xfId="14921"/>
    <cellStyle name="Normal 16 122 2" xfId="28512"/>
    <cellStyle name="Normal 16 122 2 2" xfId="55520"/>
    <cellStyle name="Normal 16 122 3" xfId="42016"/>
    <cellStyle name="Normal 16 123" xfId="15055"/>
    <cellStyle name="Normal 16 123 2" xfId="28633"/>
    <cellStyle name="Normal 16 123 2 2" xfId="55641"/>
    <cellStyle name="Normal 16 123 3" xfId="42137"/>
    <cellStyle name="Normal 16 124" xfId="15182"/>
    <cellStyle name="Normal 16 124 2" xfId="28749"/>
    <cellStyle name="Normal 16 124 2 2" xfId="55757"/>
    <cellStyle name="Normal 16 124 3" xfId="42253"/>
    <cellStyle name="Normal 16 125" xfId="15302"/>
    <cellStyle name="Normal 16 125 2" xfId="28862"/>
    <cellStyle name="Normal 16 125 2 2" xfId="55870"/>
    <cellStyle name="Normal 16 125 3" xfId="42366"/>
    <cellStyle name="Normal 16 126" xfId="15517"/>
    <cellStyle name="Normal 16 126 2" xfId="42525"/>
    <cellStyle name="Normal 16 127" xfId="29021"/>
    <cellStyle name="Normal 16 13" xfId="1584"/>
    <cellStyle name="Normal 16 13 2" xfId="16700"/>
    <cellStyle name="Normal 16 13 2 2" xfId="43708"/>
    <cellStyle name="Normal 16 13 3" xfId="30204"/>
    <cellStyle name="Normal 16 14" xfId="1690"/>
    <cellStyle name="Normal 16 14 2" xfId="16792"/>
    <cellStyle name="Normal 16 14 2 2" xfId="43800"/>
    <cellStyle name="Normal 16 14 3" xfId="30296"/>
    <cellStyle name="Normal 16 15" xfId="1796"/>
    <cellStyle name="Normal 16 15 2" xfId="16884"/>
    <cellStyle name="Normal 16 15 2 2" xfId="43892"/>
    <cellStyle name="Normal 16 15 3" xfId="30388"/>
    <cellStyle name="Normal 16 16" xfId="1902"/>
    <cellStyle name="Normal 16 16 2" xfId="16976"/>
    <cellStyle name="Normal 16 16 2 2" xfId="43984"/>
    <cellStyle name="Normal 16 16 3" xfId="30480"/>
    <cellStyle name="Normal 16 17" xfId="2008"/>
    <cellStyle name="Normal 16 17 2" xfId="17068"/>
    <cellStyle name="Normal 16 17 2 2" xfId="44076"/>
    <cellStyle name="Normal 16 17 3" xfId="30572"/>
    <cellStyle name="Normal 16 18" xfId="2114"/>
    <cellStyle name="Normal 16 18 2" xfId="17160"/>
    <cellStyle name="Normal 16 18 2 2" xfId="44168"/>
    <cellStyle name="Normal 16 18 3" xfId="30664"/>
    <cellStyle name="Normal 16 19" xfId="2220"/>
    <cellStyle name="Normal 16 19 2" xfId="17252"/>
    <cellStyle name="Normal 16 19 2 2" xfId="44260"/>
    <cellStyle name="Normal 16 19 3" xfId="30756"/>
    <cellStyle name="Normal 16 2" xfId="338"/>
    <cellStyle name="Normal 16 2 2" xfId="15640"/>
    <cellStyle name="Normal 16 2 2 2" xfId="42648"/>
    <cellStyle name="Normal 16 2 3" xfId="29144"/>
    <cellStyle name="Normal 16 20" xfId="2326"/>
    <cellStyle name="Normal 16 20 2" xfId="17344"/>
    <cellStyle name="Normal 16 20 2 2" xfId="44352"/>
    <cellStyle name="Normal 16 20 3" xfId="30848"/>
    <cellStyle name="Normal 16 21" xfId="2432"/>
    <cellStyle name="Normal 16 21 2" xfId="17436"/>
    <cellStyle name="Normal 16 21 2 2" xfId="44444"/>
    <cellStyle name="Normal 16 21 3" xfId="30940"/>
    <cellStyle name="Normal 16 22" xfId="2538"/>
    <cellStyle name="Normal 16 22 2" xfId="17528"/>
    <cellStyle name="Normal 16 22 2 2" xfId="44536"/>
    <cellStyle name="Normal 16 22 3" xfId="31032"/>
    <cellStyle name="Normal 16 23" xfId="2644"/>
    <cellStyle name="Normal 16 23 2" xfId="17620"/>
    <cellStyle name="Normal 16 23 2 2" xfId="44628"/>
    <cellStyle name="Normal 16 23 3" xfId="31124"/>
    <cellStyle name="Normal 16 24" xfId="2750"/>
    <cellStyle name="Normal 16 24 2" xfId="17712"/>
    <cellStyle name="Normal 16 24 2 2" xfId="44720"/>
    <cellStyle name="Normal 16 24 3" xfId="31216"/>
    <cellStyle name="Normal 16 25" xfId="2856"/>
    <cellStyle name="Normal 16 25 2" xfId="17804"/>
    <cellStyle name="Normal 16 25 2 2" xfId="44812"/>
    <cellStyle name="Normal 16 25 3" xfId="31308"/>
    <cellStyle name="Normal 16 26" xfId="2962"/>
    <cellStyle name="Normal 16 26 2" xfId="17896"/>
    <cellStyle name="Normal 16 26 2 2" xfId="44904"/>
    <cellStyle name="Normal 16 26 3" xfId="31400"/>
    <cellStyle name="Normal 16 27" xfId="3068"/>
    <cellStyle name="Normal 16 27 2" xfId="17988"/>
    <cellStyle name="Normal 16 27 2 2" xfId="44996"/>
    <cellStyle name="Normal 16 27 3" xfId="31492"/>
    <cellStyle name="Normal 16 28" xfId="3174"/>
    <cellStyle name="Normal 16 28 2" xfId="18080"/>
    <cellStyle name="Normal 16 28 2 2" xfId="45088"/>
    <cellStyle name="Normal 16 28 3" xfId="31584"/>
    <cellStyle name="Normal 16 29" xfId="3280"/>
    <cellStyle name="Normal 16 29 2" xfId="18172"/>
    <cellStyle name="Normal 16 29 2 2" xfId="45180"/>
    <cellStyle name="Normal 16 29 3" xfId="31676"/>
    <cellStyle name="Normal 16 3" xfId="525"/>
    <cellStyle name="Normal 16 3 2" xfId="15781"/>
    <cellStyle name="Normal 16 3 2 2" xfId="42789"/>
    <cellStyle name="Normal 16 3 3" xfId="29285"/>
    <cellStyle name="Normal 16 30" xfId="3386"/>
    <cellStyle name="Normal 16 30 2" xfId="18264"/>
    <cellStyle name="Normal 16 30 2 2" xfId="45272"/>
    <cellStyle name="Normal 16 30 3" xfId="31768"/>
    <cellStyle name="Normal 16 31" xfId="3492"/>
    <cellStyle name="Normal 16 31 2" xfId="18356"/>
    <cellStyle name="Normal 16 31 2 2" xfId="45364"/>
    <cellStyle name="Normal 16 31 3" xfId="31860"/>
    <cellStyle name="Normal 16 32" xfId="3598"/>
    <cellStyle name="Normal 16 32 2" xfId="18448"/>
    <cellStyle name="Normal 16 32 2 2" xfId="45456"/>
    <cellStyle name="Normal 16 32 3" xfId="31952"/>
    <cellStyle name="Normal 16 33" xfId="3704"/>
    <cellStyle name="Normal 16 33 2" xfId="18540"/>
    <cellStyle name="Normal 16 33 2 2" xfId="45548"/>
    <cellStyle name="Normal 16 33 3" xfId="32044"/>
    <cellStyle name="Normal 16 34" xfId="3810"/>
    <cellStyle name="Normal 16 34 2" xfId="18632"/>
    <cellStyle name="Normal 16 34 2 2" xfId="45640"/>
    <cellStyle name="Normal 16 34 3" xfId="32136"/>
    <cellStyle name="Normal 16 35" xfId="3916"/>
    <cellStyle name="Normal 16 35 2" xfId="18724"/>
    <cellStyle name="Normal 16 35 2 2" xfId="45732"/>
    <cellStyle name="Normal 16 35 3" xfId="32228"/>
    <cellStyle name="Normal 16 36" xfId="4022"/>
    <cellStyle name="Normal 16 36 2" xfId="18816"/>
    <cellStyle name="Normal 16 36 2 2" xfId="45824"/>
    <cellStyle name="Normal 16 36 3" xfId="32320"/>
    <cellStyle name="Normal 16 37" xfId="4128"/>
    <cellStyle name="Normal 16 37 2" xfId="18908"/>
    <cellStyle name="Normal 16 37 2 2" xfId="45916"/>
    <cellStyle name="Normal 16 37 3" xfId="32412"/>
    <cellStyle name="Normal 16 38" xfId="4234"/>
    <cellStyle name="Normal 16 38 2" xfId="19000"/>
    <cellStyle name="Normal 16 38 2 2" xfId="46008"/>
    <cellStyle name="Normal 16 38 3" xfId="32504"/>
    <cellStyle name="Normal 16 39" xfId="4340"/>
    <cellStyle name="Normal 16 39 2" xfId="19092"/>
    <cellStyle name="Normal 16 39 2 2" xfId="46100"/>
    <cellStyle name="Normal 16 39 3" xfId="32596"/>
    <cellStyle name="Normal 16 4" xfId="630"/>
    <cellStyle name="Normal 16 4 2" xfId="15872"/>
    <cellStyle name="Normal 16 4 2 2" xfId="42880"/>
    <cellStyle name="Normal 16 4 3" xfId="29376"/>
    <cellStyle name="Normal 16 40" xfId="4446"/>
    <cellStyle name="Normal 16 40 2" xfId="19184"/>
    <cellStyle name="Normal 16 40 2 2" xfId="46192"/>
    <cellStyle name="Normal 16 40 3" xfId="32688"/>
    <cellStyle name="Normal 16 41" xfId="4552"/>
    <cellStyle name="Normal 16 41 2" xfId="19276"/>
    <cellStyle name="Normal 16 41 2 2" xfId="46284"/>
    <cellStyle name="Normal 16 41 3" xfId="32780"/>
    <cellStyle name="Normal 16 42" xfId="4658"/>
    <cellStyle name="Normal 16 42 2" xfId="19368"/>
    <cellStyle name="Normal 16 42 2 2" xfId="46376"/>
    <cellStyle name="Normal 16 42 3" xfId="32872"/>
    <cellStyle name="Normal 16 43" xfId="4764"/>
    <cellStyle name="Normal 16 43 2" xfId="19460"/>
    <cellStyle name="Normal 16 43 2 2" xfId="46468"/>
    <cellStyle name="Normal 16 43 3" xfId="32964"/>
    <cellStyle name="Normal 16 44" xfId="4870"/>
    <cellStyle name="Normal 16 44 2" xfId="19552"/>
    <cellStyle name="Normal 16 44 2 2" xfId="46560"/>
    <cellStyle name="Normal 16 44 3" xfId="33056"/>
    <cellStyle name="Normal 16 45" xfId="4976"/>
    <cellStyle name="Normal 16 45 2" xfId="19644"/>
    <cellStyle name="Normal 16 45 2 2" xfId="46652"/>
    <cellStyle name="Normal 16 45 3" xfId="33148"/>
    <cellStyle name="Normal 16 46" xfId="5082"/>
    <cellStyle name="Normal 16 46 2" xfId="19736"/>
    <cellStyle name="Normal 16 46 2 2" xfId="46744"/>
    <cellStyle name="Normal 16 46 3" xfId="33240"/>
    <cellStyle name="Normal 16 47" xfId="5188"/>
    <cellStyle name="Normal 16 47 2" xfId="19828"/>
    <cellStyle name="Normal 16 47 2 2" xfId="46836"/>
    <cellStyle name="Normal 16 47 3" xfId="33332"/>
    <cellStyle name="Normal 16 48" xfId="5294"/>
    <cellStyle name="Normal 16 48 2" xfId="19920"/>
    <cellStyle name="Normal 16 48 2 2" xfId="46928"/>
    <cellStyle name="Normal 16 48 3" xfId="33424"/>
    <cellStyle name="Normal 16 49" xfId="5400"/>
    <cellStyle name="Normal 16 49 2" xfId="20012"/>
    <cellStyle name="Normal 16 49 2 2" xfId="47020"/>
    <cellStyle name="Normal 16 49 3" xfId="33516"/>
    <cellStyle name="Normal 16 5" xfId="736"/>
    <cellStyle name="Normal 16 5 2" xfId="15964"/>
    <cellStyle name="Normal 16 5 2 2" xfId="42972"/>
    <cellStyle name="Normal 16 5 3" xfId="29468"/>
    <cellStyle name="Normal 16 50" xfId="5506"/>
    <cellStyle name="Normal 16 50 2" xfId="20104"/>
    <cellStyle name="Normal 16 50 2 2" xfId="47112"/>
    <cellStyle name="Normal 16 50 3" xfId="33608"/>
    <cellStyle name="Normal 16 51" xfId="5612"/>
    <cellStyle name="Normal 16 51 2" xfId="20196"/>
    <cellStyle name="Normal 16 51 2 2" xfId="47204"/>
    <cellStyle name="Normal 16 51 3" xfId="33700"/>
    <cellStyle name="Normal 16 52" xfId="5718"/>
    <cellStyle name="Normal 16 52 2" xfId="20288"/>
    <cellStyle name="Normal 16 52 2 2" xfId="47296"/>
    <cellStyle name="Normal 16 52 3" xfId="33792"/>
    <cellStyle name="Normal 16 53" xfId="5824"/>
    <cellStyle name="Normal 16 53 2" xfId="20380"/>
    <cellStyle name="Normal 16 53 2 2" xfId="47388"/>
    <cellStyle name="Normal 16 53 3" xfId="33884"/>
    <cellStyle name="Normal 16 54" xfId="5930"/>
    <cellStyle name="Normal 16 54 2" xfId="20472"/>
    <cellStyle name="Normal 16 54 2 2" xfId="47480"/>
    <cellStyle name="Normal 16 54 3" xfId="33976"/>
    <cellStyle name="Normal 16 55" xfId="6036"/>
    <cellStyle name="Normal 16 55 2" xfId="20564"/>
    <cellStyle name="Normal 16 55 2 2" xfId="47572"/>
    <cellStyle name="Normal 16 55 3" xfId="34068"/>
    <cellStyle name="Normal 16 56" xfId="6142"/>
    <cellStyle name="Normal 16 56 2" xfId="20656"/>
    <cellStyle name="Normal 16 56 2 2" xfId="47664"/>
    <cellStyle name="Normal 16 56 3" xfId="34160"/>
    <cellStyle name="Normal 16 57" xfId="6248"/>
    <cellStyle name="Normal 16 57 2" xfId="20748"/>
    <cellStyle name="Normal 16 57 2 2" xfId="47756"/>
    <cellStyle name="Normal 16 57 3" xfId="34252"/>
    <cellStyle name="Normal 16 58" xfId="6354"/>
    <cellStyle name="Normal 16 58 2" xfId="20840"/>
    <cellStyle name="Normal 16 58 2 2" xfId="47848"/>
    <cellStyle name="Normal 16 58 3" xfId="34344"/>
    <cellStyle name="Normal 16 59" xfId="6460"/>
    <cellStyle name="Normal 16 59 2" xfId="20932"/>
    <cellStyle name="Normal 16 59 2 2" xfId="47940"/>
    <cellStyle name="Normal 16 59 3" xfId="34436"/>
    <cellStyle name="Normal 16 6" xfId="842"/>
    <cellStyle name="Normal 16 6 2" xfId="16056"/>
    <cellStyle name="Normal 16 6 2 2" xfId="43064"/>
    <cellStyle name="Normal 16 6 3" xfId="29560"/>
    <cellStyle name="Normal 16 60" xfId="6566"/>
    <cellStyle name="Normal 16 60 2" xfId="21024"/>
    <cellStyle name="Normal 16 60 2 2" xfId="48032"/>
    <cellStyle name="Normal 16 60 3" xfId="34528"/>
    <cellStyle name="Normal 16 61" xfId="6671"/>
    <cellStyle name="Normal 16 61 2" xfId="21115"/>
    <cellStyle name="Normal 16 61 2 2" xfId="48123"/>
    <cellStyle name="Normal 16 61 3" xfId="34619"/>
    <cellStyle name="Normal 16 62" xfId="6776"/>
    <cellStyle name="Normal 16 62 2" xfId="21206"/>
    <cellStyle name="Normal 16 62 2 2" xfId="48214"/>
    <cellStyle name="Normal 16 62 3" xfId="34710"/>
    <cellStyle name="Normal 16 63" xfId="6881"/>
    <cellStyle name="Normal 16 63 2" xfId="21297"/>
    <cellStyle name="Normal 16 63 2 2" xfId="48305"/>
    <cellStyle name="Normal 16 63 3" xfId="34801"/>
    <cellStyle name="Normal 16 64" xfId="6986"/>
    <cellStyle name="Normal 16 64 2" xfId="21388"/>
    <cellStyle name="Normal 16 64 2 2" xfId="48396"/>
    <cellStyle name="Normal 16 64 3" xfId="34892"/>
    <cellStyle name="Normal 16 65" xfId="7090"/>
    <cellStyle name="Normal 16 65 2" xfId="21478"/>
    <cellStyle name="Normal 16 65 2 2" xfId="48486"/>
    <cellStyle name="Normal 16 65 3" xfId="34982"/>
    <cellStyle name="Normal 16 66" xfId="7194"/>
    <cellStyle name="Normal 16 66 2" xfId="21568"/>
    <cellStyle name="Normal 16 66 2 2" xfId="48576"/>
    <cellStyle name="Normal 16 66 3" xfId="35072"/>
    <cellStyle name="Normal 16 67" xfId="7297"/>
    <cellStyle name="Normal 16 67 2" xfId="21657"/>
    <cellStyle name="Normal 16 67 2 2" xfId="48665"/>
    <cellStyle name="Normal 16 67 3" xfId="35161"/>
    <cellStyle name="Normal 16 68" xfId="7397"/>
    <cellStyle name="Normal 16 68 2" xfId="21744"/>
    <cellStyle name="Normal 16 68 2 2" xfId="48752"/>
    <cellStyle name="Normal 16 68 3" xfId="35248"/>
    <cellStyle name="Normal 16 69" xfId="7495"/>
    <cellStyle name="Normal 16 69 2" xfId="21829"/>
    <cellStyle name="Normal 16 69 2 2" xfId="48837"/>
    <cellStyle name="Normal 16 69 3" xfId="35333"/>
    <cellStyle name="Normal 16 7" xfId="948"/>
    <cellStyle name="Normal 16 7 2" xfId="16148"/>
    <cellStyle name="Normal 16 7 2 2" xfId="43156"/>
    <cellStyle name="Normal 16 7 3" xfId="29652"/>
    <cellStyle name="Normal 16 70" xfId="7584"/>
    <cellStyle name="Normal 16 70 2" xfId="21907"/>
    <cellStyle name="Normal 16 70 2 2" xfId="48915"/>
    <cellStyle name="Normal 16 70 3" xfId="35411"/>
    <cellStyle name="Normal 16 71" xfId="7660"/>
    <cellStyle name="Normal 16 71 2" xfId="21976"/>
    <cellStyle name="Normal 16 71 2 2" xfId="48984"/>
    <cellStyle name="Normal 16 71 3" xfId="35480"/>
    <cellStyle name="Normal 16 72" xfId="7839"/>
    <cellStyle name="Normal 16 72 2" xfId="22129"/>
    <cellStyle name="Normal 16 72 2 2" xfId="49137"/>
    <cellStyle name="Normal 16 72 3" xfId="35633"/>
    <cellStyle name="Normal 16 73" xfId="7981"/>
    <cellStyle name="Normal 16 73 2" xfId="22257"/>
    <cellStyle name="Normal 16 73 2 2" xfId="49265"/>
    <cellStyle name="Normal 16 73 3" xfId="35761"/>
    <cellStyle name="Normal 16 74" xfId="8123"/>
    <cellStyle name="Normal 16 74 2" xfId="22385"/>
    <cellStyle name="Normal 16 74 2 2" xfId="49393"/>
    <cellStyle name="Normal 16 74 3" xfId="35889"/>
    <cellStyle name="Normal 16 75" xfId="8265"/>
    <cellStyle name="Normal 16 75 2" xfId="22513"/>
    <cellStyle name="Normal 16 75 2 2" xfId="49521"/>
    <cellStyle name="Normal 16 75 3" xfId="36017"/>
    <cellStyle name="Normal 16 76" xfId="8407"/>
    <cellStyle name="Normal 16 76 2" xfId="22641"/>
    <cellStyle name="Normal 16 76 2 2" xfId="49649"/>
    <cellStyle name="Normal 16 76 3" xfId="36145"/>
    <cellStyle name="Normal 16 77" xfId="8549"/>
    <cellStyle name="Normal 16 77 2" xfId="22769"/>
    <cellStyle name="Normal 16 77 2 2" xfId="49777"/>
    <cellStyle name="Normal 16 77 3" xfId="36273"/>
    <cellStyle name="Normal 16 78" xfId="8691"/>
    <cellStyle name="Normal 16 78 2" xfId="22897"/>
    <cellStyle name="Normal 16 78 2 2" xfId="49905"/>
    <cellStyle name="Normal 16 78 3" xfId="36401"/>
    <cellStyle name="Normal 16 79" xfId="8833"/>
    <cellStyle name="Normal 16 79 2" xfId="23025"/>
    <cellStyle name="Normal 16 79 2 2" xfId="50033"/>
    <cellStyle name="Normal 16 79 3" xfId="36529"/>
    <cellStyle name="Normal 16 8" xfId="1054"/>
    <cellStyle name="Normal 16 8 2" xfId="16240"/>
    <cellStyle name="Normal 16 8 2 2" xfId="43248"/>
    <cellStyle name="Normal 16 8 3" xfId="29744"/>
    <cellStyle name="Normal 16 80" xfId="8975"/>
    <cellStyle name="Normal 16 80 2" xfId="23153"/>
    <cellStyle name="Normal 16 80 2 2" xfId="50161"/>
    <cellStyle name="Normal 16 80 3" xfId="36657"/>
    <cellStyle name="Normal 16 81" xfId="9117"/>
    <cellStyle name="Normal 16 81 2" xfId="23281"/>
    <cellStyle name="Normal 16 81 2 2" xfId="50289"/>
    <cellStyle name="Normal 16 81 3" xfId="36785"/>
    <cellStyle name="Normal 16 82" xfId="9259"/>
    <cellStyle name="Normal 16 82 2" xfId="23409"/>
    <cellStyle name="Normal 16 82 2 2" xfId="50417"/>
    <cellStyle name="Normal 16 82 3" xfId="36913"/>
    <cellStyle name="Normal 16 83" xfId="9401"/>
    <cellStyle name="Normal 16 83 2" xfId="23537"/>
    <cellStyle name="Normal 16 83 2 2" xfId="50545"/>
    <cellStyle name="Normal 16 83 3" xfId="37041"/>
    <cellStyle name="Normal 16 84" xfId="9543"/>
    <cellStyle name="Normal 16 84 2" xfId="23665"/>
    <cellStyle name="Normal 16 84 2 2" xfId="50673"/>
    <cellStyle name="Normal 16 84 3" xfId="37169"/>
    <cellStyle name="Normal 16 85" xfId="9685"/>
    <cellStyle name="Normal 16 85 2" xfId="23793"/>
    <cellStyle name="Normal 16 85 2 2" xfId="50801"/>
    <cellStyle name="Normal 16 85 3" xfId="37297"/>
    <cellStyle name="Normal 16 86" xfId="9827"/>
    <cellStyle name="Normal 16 86 2" xfId="23921"/>
    <cellStyle name="Normal 16 86 2 2" xfId="50929"/>
    <cellStyle name="Normal 16 86 3" xfId="37425"/>
    <cellStyle name="Normal 16 87" xfId="9969"/>
    <cellStyle name="Normal 16 87 2" xfId="24049"/>
    <cellStyle name="Normal 16 87 2 2" xfId="51057"/>
    <cellStyle name="Normal 16 87 3" xfId="37553"/>
    <cellStyle name="Normal 16 88" xfId="10111"/>
    <cellStyle name="Normal 16 88 2" xfId="24177"/>
    <cellStyle name="Normal 16 88 2 2" xfId="51185"/>
    <cellStyle name="Normal 16 88 3" xfId="37681"/>
    <cellStyle name="Normal 16 89" xfId="10253"/>
    <cellStyle name="Normal 16 89 2" xfId="24305"/>
    <cellStyle name="Normal 16 89 2 2" xfId="51313"/>
    <cellStyle name="Normal 16 89 3" xfId="37809"/>
    <cellStyle name="Normal 16 9" xfId="1160"/>
    <cellStyle name="Normal 16 9 2" xfId="16332"/>
    <cellStyle name="Normal 16 9 2 2" xfId="43340"/>
    <cellStyle name="Normal 16 9 3" xfId="29836"/>
    <cellStyle name="Normal 16 90" xfId="10395"/>
    <cellStyle name="Normal 16 90 2" xfId="24433"/>
    <cellStyle name="Normal 16 90 2 2" xfId="51441"/>
    <cellStyle name="Normal 16 90 3" xfId="37937"/>
    <cellStyle name="Normal 16 91" xfId="10537"/>
    <cellStyle name="Normal 16 91 2" xfId="24561"/>
    <cellStyle name="Normal 16 91 2 2" xfId="51569"/>
    <cellStyle name="Normal 16 91 3" xfId="38065"/>
    <cellStyle name="Normal 16 92" xfId="10679"/>
    <cellStyle name="Normal 16 92 2" xfId="24689"/>
    <cellStyle name="Normal 16 92 2 2" xfId="51697"/>
    <cellStyle name="Normal 16 92 3" xfId="38193"/>
    <cellStyle name="Normal 16 93" xfId="10821"/>
    <cellStyle name="Normal 16 93 2" xfId="24817"/>
    <cellStyle name="Normal 16 93 2 2" xfId="51825"/>
    <cellStyle name="Normal 16 93 3" xfId="38321"/>
    <cellStyle name="Normal 16 94" xfId="10963"/>
    <cellStyle name="Normal 16 94 2" xfId="24945"/>
    <cellStyle name="Normal 16 94 2 2" xfId="51953"/>
    <cellStyle name="Normal 16 94 3" xfId="38449"/>
    <cellStyle name="Normal 16 95" xfId="11105"/>
    <cellStyle name="Normal 16 95 2" xfId="25073"/>
    <cellStyle name="Normal 16 95 2 2" xfId="52081"/>
    <cellStyle name="Normal 16 95 3" xfId="38577"/>
    <cellStyle name="Normal 16 96" xfId="11247"/>
    <cellStyle name="Normal 16 96 2" xfId="25201"/>
    <cellStyle name="Normal 16 96 2 2" xfId="52209"/>
    <cellStyle name="Normal 16 96 3" xfId="38705"/>
    <cellStyle name="Normal 16 97" xfId="11389"/>
    <cellStyle name="Normal 16 97 2" xfId="25329"/>
    <cellStyle name="Normal 16 97 2 2" xfId="52337"/>
    <cellStyle name="Normal 16 97 3" xfId="38833"/>
    <cellStyle name="Normal 16 98" xfId="11531"/>
    <cellStyle name="Normal 16 98 2" xfId="25457"/>
    <cellStyle name="Normal 16 98 2 2" xfId="52465"/>
    <cellStyle name="Normal 16 98 3" xfId="38961"/>
    <cellStyle name="Normal 16 99" xfId="11673"/>
    <cellStyle name="Normal 16 99 2" xfId="25585"/>
    <cellStyle name="Normal 16 99 2 2" xfId="52593"/>
    <cellStyle name="Normal 16 99 3" xfId="39089"/>
    <cellStyle name="Normal 160" xfId="15355"/>
    <cellStyle name="Normal 160 2" xfId="28915"/>
    <cellStyle name="Normal 160 2 2" xfId="55923"/>
    <cellStyle name="Normal 160 3" xfId="42419"/>
    <cellStyle name="Normal 161" xfId="15397"/>
    <cellStyle name="Normal 161 2" xfId="28929"/>
    <cellStyle name="Normal 161 2 2" xfId="55937"/>
    <cellStyle name="Normal 161 3" xfId="42433"/>
    <cellStyle name="Normal 162" xfId="15094"/>
    <cellStyle name="Normal 162 2" xfId="28668"/>
    <cellStyle name="Normal 162 2 2" xfId="55676"/>
    <cellStyle name="Normal 162 3" xfId="42172"/>
    <cellStyle name="Normal 163" xfId="15219"/>
    <cellStyle name="Normal 163 2" xfId="28784"/>
    <cellStyle name="Normal 163 2 2" xfId="55792"/>
    <cellStyle name="Normal 163 3" xfId="42288"/>
    <cellStyle name="Normal 164" xfId="15398"/>
    <cellStyle name="Normal 164 2" xfId="28930"/>
    <cellStyle name="Normal 164 2 2" xfId="55938"/>
    <cellStyle name="Normal 164 3" xfId="42434"/>
    <cellStyle name="Normal 165" xfId="15399"/>
    <cellStyle name="Normal 165 2" xfId="28931"/>
    <cellStyle name="Normal 165 2 2" xfId="55939"/>
    <cellStyle name="Normal 165 3" xfId="42435"/>
    <cellStyle name="Normal 166" xfId="15441"/>
    <cellStyle name="Normal 166 2" xfId="28945"/>
    <cellStyle name="Normal 166 2 2" xfId="55953"/>
    <cellStyle name="Normal 166 3" xfId="42449"/>
    <cellStyle name="Normal 167" xfId="15442"/>
    <cellStyle name="Normal 167 2" xfId="28946"/>
    <cellStyle name="Normal 167 2 2" xfId="55954"/>
    <cellStyle name="Normal 167 3" xfId="42450"/>
    <cellStyle name="Normal 168" xfId="55955"/>
    <cellStyle name="Normal 169" xfId="55956"/>
    <cellStyle name="Normal 17" xfId="162"/>
    <cellStyle name="Normal 17 10" xfId="1267"/>
    <cellStyle name="Normal 17 10 2" xfId="16425"/>
    <cellStyle name="Normal 17 10 2 2" xfId="43433"/>
    <cellStyle name="Normal 17 10 3" xfId="29929"/>
    <cellStyle name="Normal 17 100" xfId="11816"/>
    <cellStyle name="Normal 17 100 2" xfId="25714"/>
    <cellStyle name="Normal 17 100 2 2" xfId="52722"/>
    <cellStyle name="Normal 17 100 3" xfId="39218"/>
    <cellStyle name="Normal 17 101" xfId="11958"/>
    <cellStyle name="Normal 17 101 2" xfId="25842"/>
    <cellStyle name="Normal 17 101 2 2" xfId="52850"/>
    <cellStyle name="Normal 17 101 3" xfId="39346"/>
    <cellStyle name="Normal 17 102" xfId="12100"/>
    <cellStyle name="Normal 17 102 2" xfId="25970"/>
    <cellStyle name="Normal 17 102 2 2" xfId="52978"/>
    <cellStyle name="Normal 17 102 3" xfId="39474"/>
    <cellStyle name="Normal 17 103" xfId="12242"/>
    <cellStyle name="Normal 17 103 2" xfId="26098"/>
    <cellStyle name="Normal 17 103 2 2" xfId="53106"/>
    <cellStyle name="Normal 17 103 3" xfId="39602"/>
    <cellStyle name="Normal 17 104" xfId="12384"/>
    <cellStyle name="Normal 17 104 2" xfId="26226"/>
    <cellStyle name="Normal 17 104 2 2" xfId="53234"/>
    <cellStyle name="Normal 17 104 3" xfId="39730"/>
    <cellStyle name="Normal 17 105" xfId="12526"/>
    <cellStyle name="Normal 17 105 2" xfId="26354"/>
    <cellStyle name="Normal 17 105 2 2" xfId="53362"/>
    <cellStyle name="Normal 17 105 3" xfId="39858"/>
    <cellStyle name="Normal 17 106" xfId="12668"/>
    <cellStyle name="Normal 17 106 2" xfId="26482"/>
    <cellStyle name="Normal 17 106 2 2" xfId="53490"/>
    <cellStyle name="Normal 17 106 3" xfId="39986"/>
    <cellStyle name="Normal 17 107" xfId="12810"/>
    <cellStyle name="Normal 17 107 2" xfId="26610"/>
    <cellStyle name="Normal 17 107 2 2" xfId="53618"/>
    <cellStyle name="Normal 17 107 3" xfId="40114"/>
    <cellStyle name="Normal 17 108" xfId="12952"/>
    <cellStyle name="Normal 17 108 2" xfId="26738"/>
    <cellStyle name="Normal 17 108 2 2" xfId="53746"/>
    <cellStyle name="Normal 17 108 3" xfId="40242"/>
    <cellStyle name="Normal 17 109" xfId="13094"/>
    <cellStyle name="Normal 17 109 2" xfId="26866"/>
    <cellStyle name="Normal 17 109 2 2" xfId="53874"/>
    <cellStyle name="Normal 17 109 3" xfId="40370"/>
    <cellStyle name="Normal 17 11" xfId="1373"/>
    <cellStyle name="Normal 17 11 2" xfId="16517"/>
    <cellStyle name="Normal 17 11 2 2" xfId="43525"/>
    <cellStyle name="Normal 17 11 3" xfId="30021"/>
    <cellStyle name="Normal 17 110" xfId="13236"/>
    <cellStyle name="Normal 17 110 2" xfId="26994"/>
    <cellStyle name="Normal 17 110 2 2" xfId="54002"/>
    <cellStyle name="Normal 17 110 3" xfId="40498"/>
    <cellStyle name="Normal 17 111" xfId="13378"/>
    <cellStyle name="Normal 17 111 2" xfId="27122"/>
    <cellStyle name="Normal 17 111 2 2" xfId="54130"/>
    <cellStyle name="Normal 17 111 3" xfId="40626"/>
    <cellStyle name="Normal 17 112" xfId="13520"/>
    <cellStyle name="Normal 17 112 2" xfId="27250"/>
    <cellStyle name="Normal 17 112 2 2" xfId="54258"/>
    <cellStyle name="Normal 17 112 3" xfId="40754"/>
    <cellStyle name="Normal 17 113" xfId="13662"/>
    <cellStyle name="Normal 17 113 2" xfId="27378"/>
    <cellStyle name="Normal 17 113 2 2" xfId="54386"/>
    <cellStyle name="Normal 17 113 3" xfId="40882"/>
    <cellStyle name="Normal 17 114" xfId="13804"/>
    <cellStyle name="Normal 17 114 2" xfId="27506"/>
    <cellStyle name="Normal 17 114 2 2" xfId="54514"/>
    <cellStyle name="Normal 17 114 3" xfId="41010"/>
    <cellStyle name="Normal 17 115" xfId="13945"/>
    <cellStyle name="Normal 17 115 2" xfId="27633"/>
    <cellStyle name="Normal 17 115 2 2" xfId="54641"/>
    <cellStyle name="Normal 17 115 3" xfId="41137"/>
    <cellStyle name="Normal 17 116" xfId="14086"/>
    <cellStyle name="Normal 17 116 2" xfId="27760"/>
    <cellStyle name="Normal 17 116 2 2" xfId="54768"/>
    <cellStyle name="Normal 17 116 3" xfId="41264"/>
    <cellStyle name="Normal 17 117" xfId="14227"/>
    <cellStyle name="Normal 17 117 2" xfId="27887"/>
    <cellStyle name="Normal 17 117 2 2" xfId="54895"/>
    <cellStyle name="Normal 17 117 3" xfId="41391"/>
    <cellStyle name="Normal 17 118" xfId="14368"/>
    <cellStyle name="Normal 17 118 2" xfId="28014"/>
    <cellStyle name="Normal 17 118 2 2" xfId="55022"/>
    <cellStyle name="Normal 17 118 3" xfId="41518"/>
    <cellStyle name="Normal 17 119" xfId="14508"/>
    <cellStyle name="Normal 17 119 2" xfId="28140"/>
    <cellStyle name="Normal 17 119 2 2" xfId="55148"/>
    <cellStyle name="Normal 17 119 3" xfId="41644"/>
    <cellStyle name="Normal 17 12" xfId="1479"/>
    <cellStyle name="Normal 17 12 2" xfId="16609"/>
    <cellStyle name="Normal 17 12 2 2" xfId="43617"/>
    <cellStyle name="Normal 17 12 3" xfId="30113"/>
    <cellStyle name="Normal 17 120" xfId="14648"/>
    <cellStyle name="Normal 17 120 2" xfId="28266"/>
    <cellStyle name="Normal 17 120 2 2" xfId="55274"/>
    <cellStyle name="Normal 17 120 3" xfId="41770"/>
    <cellStyle name="Normal 17 121" xfId="14787"/>
    <cellStyle name="Normal 17 121 2" xfId="28391"/>
    <cellStyle name="Normal 17 121 2 2" xfId="55399"/>
    <cellStyle name="Normal 17 121 3" xfId="41895"/>
    <cellStyle name="Normal 17 122" xfId="14922"/>
    <cellStyle name="Normal 17 122 2" xfId="28513"/>
    <cellStyle name="Normal 17 122 2 2" xfId="55521"/>
    <cellStyle name="Normal 17 122 3" xfId="42017"/>
    <cellStyle name="Normal 17 123" xfId="15056"/>
    <cellStyle name="Normal 17 123 2" xfId="28634"/>
    <cellStyle name="Normal 17 123 2 2" xfId="55642"/>
    <cellStyle name="Normal 17 123 3" xfId="42138"/>
    <cellStyle name="Normal 17 124" xfId="15183"/>
    <cellStyle name="Normal 17 124 2" xfId="28750"/>
    <cellStyle name="Normal 17 124 2 2" xfId="55758"/>
    <cellStyle name="Normal 17 124 3" xfId="42254"/>
    <cellStyle name="Normal 17 125" xfId="15303"/>
    <cellStyle name="Normal 17 125 2" xfId="28863"/>
    <cellStyle name="Normal 17 125 2 2" xfId="55871"/>
    <cellStyle name="Normal 17 125 3" xfId="42367"/>
    <cellStyle name="Normal 17 126" xfId="15518"/>
    <cellStyle name="Normal 17 126 2" xfId="42526"/>
    <cellStyle name="Normal 17 127" xfId="29022"/>
    <cellStyle name="Normal 17 13" xfId="1585"/>
    <cellStyle name="Normal 17 13 2" xfId="16701"/>
    <cellStyle name="Normal 17 13 2 2" xfId="43709"/>
    <cellStyle name="Normal 17 13 3" xfId="30205"/>
    <cellStyle name="Normal 17 14" xfId="1691"/>
    <cellStyle name="Normal 17 14 2" xfId="16793"/>
    <cellStyle name="Normal 17 14 2 2" xfId="43801"/>
    <cellStyle name="Normal 17 14 3" xfId="30297"/>
    <cellStyle name="Normal 17 15" xfId="1797"/>
    <cellStyle name="Normal 17 15 2" xfId="16885"/>
    <cellStyle name="Normal 17 15 2 2" xfId="43893"/>
    <cellStyle name="Normal 17 15 3" xfId="30389"/>
    <cellStyle name="Normal 17 16" xfId="1903"/>
    <cellStyle name="Normal 17 16 2" xfId="16977"/>
    <cellStyle name="Normal 17 16 2 2" xfId="43985"/>
    <cellStyle name="Normal 17 16 3" xfId="30481"/>
    <cellStyle name="Normal 17 17" xfId="2009"/>
    <cellStyle name="Normal 17 17 2" xfId="17069"/>
    <cellStyle name="Normal 17 17 2 2" xfId="44077"/>
    <cellStyle name="Normal 17 17 3" xfId="30573"/>
    <cellStyle name="Normal 17 18" xfId="2115"/>
    <cellStyle name="Normal 17 18 2" xfId="17161"/>
    <cellStyle name="Normal 17 18 2 2" xfId="44169"/>
    <cellStyle name="Normal 17 18 3" xfId="30665"/>
    <cellStyle name="Normal 17 19" xfId="2221"/>
    <cellStyle name="Normal 17 19 2" xfId="17253"/>
    <cellStyle name="Normal 17 19 2 2" xfId="44261"/>
    <cellStyle name="Normal 17 19 3" xfId="30757"/>
    <cellStyle name="Normal 17 2" xfId="339"/>
    <cellStyle name="Normal 17 2 2" xfId="15641"/>
    <cellStyle name="Normal 17 2 2 2" xfId="42649"/>
    <cellStyle name="Normal 17 2 3" xfId="29145"/>
    <cellStyle name="Normal 17 20" xfId="2327"/>
    <cellStyle name="Normal 17 20 2" xfId="17345"/>
    <cellStyle name="Normal 17 20 2 2" xfId="44353"/>
    <cellStyle name="Normal 17 20 3" xfId="30849"/>
    <cellStyle name="Normal 17 21" xfId="2433"/>
    <cellStyle name="Normal 17 21 2" xfId="17437"/>
    <cellStyle name="Normal 17 21 2 2" xfId="44445"/>
    <cellStyle name="Normal 17 21 3" xfId="30941"/>
    <cellStyle name="Normal 17 22" xfId="2539"/>
    <cellStyle name="Normal 17 22 2" xfId="17529"/>
    <cellStyle name="Normal 17 22 2 2" xfId="44537"/>
    <cellStyle name="Normal 17 22 3" xfId="31033"/>
    <cellStyle name="Normal 17 23" xfId="2645"/>
    <cellStyle name="Normal 17 23 2" xfId="17621"/>
    <cellStyle name="Normal 17 23 2 2" xfId="44629"/>
    <cellStyle name="Normal 17 23 3" xfId="31125"/>
    <cellStyle name="Normal 17 24" xfId="2751"/>
    <cellStyle name="Normal 17 24 2" xfId="17713"/>
    <cellStyle name="Normal 17 24 2 2" xfId="44721"/>
    <cellStyle name="Normal 17 24 3" xfId="31217"/>
    <cellStyle name="Normal 17 25" xfId="2857"/>
    <cellStyle name="Normal 17 25 2" xfId="17805"/>
    <cellStyle name="Normal 17 25 2 2" xfId="44813"/>
    <cellStyle name="Normal 17 25 3" xfId="31309"/>
    <cellStyle name="Normal 17 26" xfId="2963"/>
    <cellStyle name="Normal 17 26 2" xfId="17897"/>
    <cellStyle name="Normal 17 26 2 2" xfId="44905"/>
    <cellStyle name="Normal 17 26 3" xfId="31401"/>
    <cellStyle name="Normal 17 27" xfId="3069"/>
    <cellStyle name="Normal 17 27 2" xfId="17989"/>
    <cellStyle name="Normal 17 27 2 2" xfId="44997"/>
    <cellStyle name="Normal 17 27 3" xfId="31493"/>
    <cellStyle name="Normal 17 28" xfId="3175"/>
    <cellStyle name="Normal 17 28 2" xfId="18081"/>
    <cellStyle name="Normal 17 28 2 2" xfId="45089"/>
    <cellStyle name="Normal 17 28 3" xfId="31585"/>
    <cellStyle name="Normal 17 29" xfId="3281"/>
    <cellStyle name="Normal 17 29 2" xfId="18173"/>
    <cellStyle name="Normal 17 29 2 2" xfId="45181"/>
    <cellStyle name="Normal 17 29 3" xfId="31677"/>
    <cellStyle name="Normal 17 3" xfId="526"/>
    <cellStyle name="Normal 17 3 2" xfId="15782"/>
    <cellStyle name="Normal 17 3 2 2" xfId="42790"/>
    <cellStyle name="Normal 17 3 3" xfId="29286"/>
    <cellStyle name="Normal 17 30" xfId="3387"/>
    <cellStyle name="Normal 17 30 2" xfId="18265"/>
    <cellStyle name="Normal 17 30 2 2" xfId="45273"/>
    <cellStyle name="Normal 17 30 3" xfId="31769"/>
    <cellStyle name="Normal 17 31" xfId="3493"/>
    <cellStyle name="Normal 17 31 2" xfId="18357"/>
    <cellStyle name="Normal 17 31 2 2" xfId="45365"/>
    <cellStyle name="Normal 17 31 3" xfId="31861"/>
    <cellStyle name="Normal 17 32" xfId="3599"/>
    <cellStyle name="Normal 17 32 2" xfId="18449"/>
    <cellStyle name="Normal 17 32 2 2" xfId="45457"/>
    <cellStyle name="Normal 17 32 3" xfId="31953"/>
    <cellStyle name="Normal 17 33" xfId="3705"/>
    <cellStyle name="Normal 17 33 2" xfId="18541"/>
    <cellStyle name="Normal 17 33 2 2" xfId="45549"/>
    <cellStyle name="Normal 17 33 3" xfId="32045"/>
    <cellStyle name="Normal 17 34" xfId="3811"/>
    <cellStyle name="Normal 17 34 2" xfId="18633"/>
    <cellStyle name="Normal 17 34 2 2" xfId="45641"/>
    <cellStyle name="Normal 17 34 3" xfId="32137"/>
    <cellStyle name="Normal 17 35" xfId="3917"/>
    <cellStyle name="Normal 17 35 2" xfId="18725"/>
    <cellStyle name="Normal 17 35 2 2" xfId="45733"/>
    <cellStyle name="Normal 17 35 3" xfId="32229"/>
    <cellStyle name="Normal 17 36" xfId="4023"/>
    <cellStyle name="Normal 17 36 2" xfId="18817"/>
    <cellStyle name="Normal 17 36 2 2" xfId="45825"/>
    <cellStyle name="Normal 17 36 3" xfId="32321"/>
    <cellStyle name="Normal 17 37" xfId="4129"/>
    <cellStyle name="Normal 17 37 2" xfId="18909"/>
    <cellStyle name="Normal 17 37 2 2" xfId="45917"/>
    <cellStyle name="Normal 17 37 3" xfId="32413"/>
    <cellStyle name="Normal 17 38" xfId="4235"/>
    <cellStyle name="Normal 17 38 2" xfId="19001"/>
    <cellStyle name="Normal 17 38 2 2" xfId="46009"/>
    <cellStyle name="Normal 17 38 3" xfId="32505"/>
    <cellStyle name="Normal 17 39" xfId="4341"/>
    <cellStyle name="Normal 17 39 2" xfId="19093"/>
    <cellStyle name="Normal 17 39 2 2" xfId="46101"/>
    <cellStyle name="Normal 17 39 3" xfId="32597"/>
    <cellStyle name="Normal 17 4" xfId="631"/>
    <cellStyle name="Normal 17 4 2" xfId="15873"/>
    <cellStyle name="Normal 17 4 2 2" xfId="42881"/>
    <cellStyle name="Normal 17 4 3" xfId="29377"/>
    <cellStyle name="Normal 17 40" xfId="4447"/>
    <cellStyle name="Normal 17 40 2" xfId="19185"/>
    <cellStyle name="Normal 17 40 2 2" xfId="46193"/>
    <cellStyle name="Normal 17 40 3" xfId="32689"/>
    <cellStyle name="Normal 17 41" xfId="4553"/>
    <cellStyle name="Normal 17 41 2" xfId="19277"/>
    <cellStyle name="Normal 17 41 2 2" xfId="46285"/>
    <cellStyle name="Normal 17 41 3" xfId="32781"/>
    <cellStyle name="Normal 17 42" xfId="4659"/>
    <cellStyle name="Normal 17 42 2" xfId="19369"/>
    <cellStyle name="Normal 17 42 2 2" xfId="46377"/>
    <cellStyle name="Normal 17 42 3" xfId="32873"/>
    <cellStyle name="Normal 17 43" xfId="4765"/>
    <cellStyle name="Normal 17 43 2" xfId="19461"/>
    <cellStyle name="Normal 17 43 2 2" xfId="46469"/>
    <cellStyle name="Normal 17 43 3" xfId="32965"/>
    <cellStyle name="Normal 17 44" xfId="4871"/>
    <cellStyle name="Normal 17 44 2" xfId="19553"/>
    <cellStyle name="Normal 17 44 2 2" xfId="46561"/>
    <cellStyle name="Normal 17 44 3" xfId="33057"/>
    <cellStyle name="Normal 17 45" xfId="4977"/>
    <cellStyle name="Normal 17 45 2" xfId="19645"/>
    <cellStyle name="Normal 17 45 2 2" xfId="46653"/>
    <cellStyle name="Normal 17 45 3" xfId="33149"/>
    <cellStyle name="Normal 17 46" xfId="5083"/>
    <cellStyle name="Normal 17 46 2" xfId="19737"/>
    <cellStyle name="Normal 17 46 2 2" xfId="46745"/>
    <cellStyle name="Normal 17 46 3" xfId="33241"/>
    <cellStyle name="Normal 17 47" xfId="5189"/>
    <cellStyle name="Normal 17 47 2" xfId="19829"/>
    <cellStyle name="Normal 17 47 2 2" xfId="46837"/>
    <cellStyle name="Normal 17 47 3" xfId="33333"/>
    <cellStyle name="Normal 17 48" xfId="5295"/>
    <cellStyle name="Normal 17 48 2" xfId="19921"/>
    <cellStyle name="Normal 17 48 2 2" xfId="46929"/>
    <cellStyle name="Normal 17 48 3" xfId="33425"/>
    <cellStyle name="Normal 17 49" xfId="5401"/>
    <cellStyle name="Normal 17 49 2" xfId="20013"/>
    <cellStyle name="Normal 17 49 2 2" xfId="47021"/>
    <cellStyle name="Normal 17 49 3" xfId="33517"/>
    <cellStyle name="Normal 17 5" xfId="737"/>
    <cellStyle name="Normal 17 5 2" xfId="15965"/>
    <cellStyle name="Normal 17 5 2 2" xfId="42973"/>
    <cellStyle name="Normal 17 5 3" xfId="29469"/>
    <cellStyle name="Normal 17 50" xfId="5507"/>
    <cellStyle name="Normal 17 50 2" xfId="20105"/>
    <cellStyle name="Normal 17 50 2 2" xfId="47113"/>
    <cellStyle name="Normal 17 50 3" xfId="33609"/>
    <cellStyle name="Normal 17 51" xfId="5613"/>
    <cellStyle name="Normal 17 51 2" xfId="20197"/>
    <cellStyle name="Normal 17 51 2 2" xfId="47205"/>
    <cellStyle name="Normal 17 51 3" xfId="33701"/>
    <cellStyle name="Normal 17 52" xfId="5719"/>
    <cellStyle name="Normal 17 52 2" xfId="20289"/>
    <cellStyle name="Normal 17 52 2 2" xfId="47297"/>
    <cellStyle name="Normal 17 52 3" xfId="33793"/>
    <cellStyle name="Normal 17 53" xfId="5825"/>
    <cellStyle name="Normal 17 53 2" xfId="20381"/>
    <cellStyle name="Normal 17 53 2 2" xfId="47389"/>
    <cellStyle name="Normal 17 53 3" xfId="33885"/>
    <cellStyle name="Normal 17 54" xfId="5931"/>
    <cellStyle name="Normal 17 54 2" xfId="20473"/>
    <cellStyle name="Normal 17 54 2 2" xfId="47481"/>
    <cellStyle name="Normal 17 54 3" xfId="33977"/>
    <cellStyle name="Normal 17 55" xfId="6037"/>
    <cellStyle name="Normal 17 55 2" xfId="20565"/>
    <cellStyle name="Normal 17 55 2 2" xfId="47573"/>
    <cellStyle name="Normal 17 55 3" xfId="34069"/>
    <cellStyle name="Normal 17 56" xfId="6143"/>
    <cellStyle name="Normal 17 56 2" xfId="20657"/>
    <cellStyle name="Normal 17 56 2 2" xfId="47665"/>
    <cellStyle name="Normal 17 56 3" xfId="34161"/>
    <cellStyle name="Normal 17 57" xfId="6249"/>
    <cellStyle name="Normal 17 57 2" xfId="20749"/>
    <cellStyle name="Normal 17 57 2 2" xfId="47757"/>
    <cellStyle name="Normal 17 57 3" xfId="34253"/>
    <cellStyle name="Normal 17 58" xfId="6355"/>
    <cellStyle name="Normal 17 58 2" xfId="20841"/>
    <cellStyle name="Normal 17 58 2 2" xfId="47849"/>
    <cellStyle name="Normal 17 58 3" xfId="34345"/>
    <cellStyle name="Normal 17 59" xfId="6461"/>
    <cellStyle name="Normal 17 59 2" xfId="20933"/>
    <cellStyle name="Normal 17 59 2 2" xfId="47941"/>
    <cellStyle name="Normal 17 59 3" xfId="34437"/>
    <cellStyle name="Normal 17 6" xfId="843"/>
    <cellStyle name="Normal 17 6 2" xfId="16057"/>
    <cellStyle name="Normal 17 6 2 2" xfId="43065"/>
    <cellStyle name="Normal 17 6 3" xfId="29561"/>
    <cellStyle name="Normal 17 60" xfId="6567"/>
    <cellStyle name="Normal 17 60 2" xfId="21025"/>
    <cellStyle name="Normal 17 60 2 2" xfId="48033"/>
    <cellStyle name="Normal 17 60 3" xfId="34529"/>
    <cellStyle name="Normal 17 61" xfId="6672"/>
    <cellStyle name="Normal 17 61 2" xfId="21116"/>
    <cellStyle name="Normal 17 61 2 2" xfId="48124"/>
    <cellStyle name="Normal 17 61 3" xfId="34620"/>
    <cellStyle name="Normal 17 62" xfId="6777"/>
    <cellStyle name="Normal 17 62 2" xfId="21207"/>
    <cellStyle name="Normal 17 62 2 2" xfId="48215"/>
    <cellStyle name="Normal 17 62 3" xfId="34711"/>
    <cellStyle name="Normal 17 63" xfId="6882"/>
    <cellStyle name="Normal 17 63 2" xfId="21298"/>
    <cellStyle name="Normal 17 63 2 2" xfId="48306"/>
    <cellStyle name="Normal 17 63 3" xfId="34802"/>
    <cellStyle name="Normal 17 64" xfId="6987"/>
    <cellStyle name="Normal 17 64 2" xfId="21389"/>
    <cellStyle name="Normal 17 64 2 2" xfId="48397"/>
    <cellStyle name="Normal 17 64 3" xfId="34893"/>
    <cellStyle name="Normal 17 65" xfId="7091"/>
    <cellStyle name="Normal 17 65 2" xfId="21479"/>
    <cellStyle name="Normal 17 65 2 2" xfId="48487"/>
    <cellStyle name="Normal 17 65 3" xfId="34983"/>
    <cellStyle name="Normal 17 66" xfId="7195"/>
    <cellStyle name="Normal 17 66 2" xfId="21569"/>
    <cellStyle name="Normal 17 66 2 2" xfId="48577"/>
    <cellStyle name="Normal 17 66 3" xfId="35073"/>
    <cellStyle name="Normal 17 67" xfId="7298"/>
    <cellStyle name="Normal 17 67 2" xfId="21658"/>
    <cellStyle name="Normal 17 67 2 2" xfId="48666"/>
    <cellStyle name="Normal 17 67 3" xfId="35162"/>
    <cellStyle name="Normal 17 68" xfId="7398"/>
    <cellStyle name="Normal 17 68 2" xfId="21745"/>
    <cellStyle name="Normal 17 68 2 2" xfId="48753"/>
    <cellStyle name="Normal 17 68 3" xfId="35249"/>
    <cellStyle name="Normal 17 69" xfId="7496"/>
    <cellStyle name="Normal 17 69 2" xfId="21830"/>
    <cellStyle name="Normal 17 69 2 2" xfId="48838"/>
    <cellStyle name="Normal 17 69 3" xfId="35334"/>
    <cellStyle name="Normal 17 7" xfId="949"/>
    <cellStyle name="Normal 17 7 2" xfId="16149"/>
    <cellStyle name="Normal 17 7 2 2" xfId="43157"/>
    <cellStyle name="Normal 17 7 3" xfId="29653"/>
    <cellStyle name="Normal 17 70" xfId="7585"/>
    <cellStyle name="Normal 17 70 2" xfId="21908"/>
    <cellStyle name="Normal 17 70 2 2" xfId="48916"/>
    <cellStyle name="Normal 17 70 3" xfId="35412"/>
    <cellStyle name="Normal 17 71" xfId="7661"/>
    <cellStyle name="Normal 17 71 2" xfId="21977"/>
    <cellStyle name="Normal 17 71 2 2" xfId="48985"/>
    <cellStyle name="Normal 17 71 3" xfId="35481"/>
    <cellStyle name="Normal 17 72" xfId="7840"/>
    <cellStyle name="Normal 17 72 2" xfId="22130"/>
    <cellStyle name="Normal 17 72 2 2" xfId="49138"/>
    <cellStyle name="Normal 17 72 3" xfId="35634"/>
    <cellStyle name="Normal 17 73" xfId="7982"/>
    <cellStyle name="Normal 17 73 2" xfId="22258"/>
    <cellStyle name="Normal 17 73 2 2" xfId="49266"/>
    <cellStyle name="Normal 17 73 3" xfId="35762"/>
    <cellStyle name="Normal 17 74" xfId="8124"/>
    <cellStyle name="Normal 17 74 2" xfId="22386"/>
    <cellStyle name="Normal 17 74 2 2" xfId="49394"/>
    <cellStyle name="Normal 17 74 3" xfId="35890"/>
    <cellStyle name="Normal 17 75" xfId="8266"/>
    <cellStyle name="Normal 17 75 2" xfId="22514"/>
    <cellStyle name="Normal 17 75 2 2" xfId="49522"/>
    <cellStyle name="Normal 17 75 3" xfId="36018"/>
    <cellStyle name="Normal 17 76" xfId="8408"/>
    <cellStyle name="Normal 17 76 2" xfId="22642"/>
    <cellStyle name="Normal 17 76 2 2" xfId="49650"/>
    <cellStyle name="Normal 17 76 3" xfId="36146"/>
    <cellStyle name="Normal 17 77" xfId="8550"/>
    <cellStyle name="Normal 17 77 2" xfId="22770"/>
    <cellStyle name="Normal 17 77 2 2" xfId="49778"/>
    <cellStyle name="Normal 17 77 3" xfId="36274"/>
    <cellStyle name="Normal 17 78" xfId="8692"/>
    <cellStyle name="Normal 17 78 2" xfId="22898"/>
    <cellStyle name="Normal 17 78 2 2" xfId="49906"/>
    <cellStyle name="Normal 17 78 3" xfId="36402"/>
    <cellStyle name="Normal 17 79" xfId="8834"/>
    <cellStyle name="Normal 17 79 2" xfId="23026"/>
    <cellStyle name="Normal 17 79 2 2" xfId="50034"/>
    <cellStyle name="Normal 17 79 3" xfId="36530"/>
    <cellStyle name="Normal 17 8" xfId="1055"/>
    <cellStyle name="Normal 17 8 2" xfId="16241"/>
    <cellStyle name="Normal 17 8 2 2" xfId="43249"/>
    <cellStyle name="Normal 17 8 3" xfId="29745"/>
    <cellStyle name="Normal 17 80" xfId="8976"/>
    <cellStyle name="Normal 17 80 2" xfId="23154"/>
    <cellStyle name="Normal 17 80 2 2" xfId="50162"/>
    <cellStyle name="Normal 17 80 3" xfId="36658"/>
    <cellStyle name="Normal 17 81" xfId="9118"/>
    <cellStyle name="Normal 17 81 2" xfId="23282"/>
    <cellStyle name="Normal 17 81 2 2" xfId="50290"/>
    <cellStyle name="Normal 17 81 3" xfId="36786"/>
    <cellStyle name="Normal 17 82" xfId="9260"/>
    <cellStyle name="Normal 17 82 2" xfId="23410"/>
    <cellStyle name="Normal 17 82 2 2" xfId="50418"/>
    <cellStyle name="Normal 17 82 3" xfId="36914"/>
    <cellStyle name="Normal 17 83" xfId="9402"/>
    <cellStyle name="Normal 17 83 2" xfId="23538"/>
    <cellStyle name="Normal 17 83 2 2" xfId="50546"/>
    <cellStyle name="Normal 17 83 3" xfId="37042"/>
    <cellStyle name="Normal 17 84" xfId="9544"/>
    <cellStyle name="Normal 17 84 2" xfId="23666"/>
    <cellStyle name="Normal 17 84 2 2" xfId="50674"/>
    <cellStyle name="Normal 17 84 3" xfId="37170"/>
    <cellStyle name="Normal 17 85" xfId="9686"/>
    <cellStyle name="Normal 17 85 2" xfId="23794"/>
    <cellStyle name="Normal 17 85 2 2" xfId="50802"/>
    <cellStyle name="Normal 17 85 3" xfId="37298"/>
    <cellStyle name="Normal 17 86" xfId="9828"/>
    <cellStyle name="Normal 17 86 2" xfId="23922"/>
    <cellStyle name="Normal 17 86 2 2" xfId="50930"/>
    <cellStyle name="Normal 17 86 3" xfId="37426"/>
    <cellStyle name="Normal 17 87" xfId="9970"/>
    <cellStyle name="Normal 17 87 2" xfId="24050"/>
    <cellStyle name="Normal 17 87 2 2" xfId="51058"/>
    <cellStyle name="Normal 17 87 3" xfId="37554"/>
    <cellStyle name="Normal 17 88" xfId="10112"/>
    <cellStyle name="Normal 17 88 2" xfId="24178"/>
    <cellStyle name="Normal 17 88 2 2" xfId="51186"/>
    <cellStyle name="Normal 17 88 3" xfId="37682"/>
    <cellStyle name="Normal 17 89" xfId="10254"/>
    <cellStyle name="Normal 17 89 2" xfId="24306"/>
    <cellStyle name="Normal 17 89 2 2" xfId="51314"/>
    <cellStyle name="Normal 17 89 3" xfId="37810"/>
    <cellStyle name="Normal 17 9" xfId="1161"/>
    <cellStyle name="Normal 17 9 2" xfId="16333"/>
    <cellStyle name="Normal 17 9 2 2" xfId="43341"/>
    <cellStyle name="Normal 17 9 3" xfId="29837"/>
    <cellStyle name="Normal 17 90" xfId="10396"/>
    <cellStyle name="Normal 17 90 2" xfId="24434"/>
    <cellStyle name="Normal 17 90 2 2" xfId="51442"/>
    <cellStyle name="Normal 17 90 3" xfId="37938"/>
    <cellStyle name="Normal 17 91" xfId="10538"/>
    <cellStyle name="Normal 17 91 2" xfId="24562"/>
    <cellStyle name="Normal 17 91 2 2" xfId="51570"/>
    <cellStyle name="Normal 17 91 3" xfId="38066"/>
    <cellStyle name="Normal 17 92" xfId="10680"/>
    <cellStyle name="Normal 17 92 2" xfId="24690"/>
    <cellStyle name="Normal 17 92 2 2" xfId="51698"/>
    <cellStyle name="Normal 17 92 3" xfId="38194"/>
    <cellStyle name="Normal 17 93" xfId="10822"/>
    <cellStyle name="Normal 17 93 2" xfId="24818"/>
    <cellStyle name="Normal 17 93 2 2" xfId="51826"/>
    <cellStyle name="Normal 17 93 3" xfId="38322"/>
    <cellStyle name="Normal 17 94" xfId="10964"/>
    <cellStyle name="Normal 17 94 2" xfId="24946"/>
    <cellStyle name="Normal 17 94 2 2" xfId="51954"/>
    <cellStyle name="Normal 17 94 3" xfId="38450"/>
    <cellStyle name="Normal 17 95" xfId="11106"/>
    <cellStyle name="Normal 17 95 2" xfId="25074"/>
    <cellStyle name="Normal 17 95 2 2" xfId="52082"/>
    <cellStyle name="Normal 17 95 3" xfId="38578"/>
    <cellStyle name="Normal 17 96" xfId="11248"/>
    <cellStyle name="Normal 17 96 2" xfId="25202"/>
    <cellStyle name="Normal 17 96 2 2" xfId="52210"/>
    <cellStyle name="Normal 17 96 3" xfId="38706"/>
    <cellStyle name="Normal 17 97" xfId="11390"/>
    <cellStyle name="Normal 17 97 2" xfId="25330"/>
    <cellStyle name="Normal 17 97 2 2" xfId="52338"/>
    <cellStyle name="Normal 17 97 3" xfId="38834"/>
    <cellStyle name="Normal 17 98" xfId="11532"/>
    <cellStyle name="Normal 17 98 2" xfId="25458"/>
    <cellStyle name="Normal 17 98 2 2" xfId="52466"/>
    <cellStyle name="Normal 17 98 3" xfId="38962"/>
    <cellStyle name="Normal 17 99" xfId="11674"/>
    <cellStyle name="Normal 17 99 2" xfId="25586"/>
    <cellStyle name="Normal 17 99 2 2" xfId="52594"/>
    <cellStyle name="Normal 17 99 3" xfId="39090"/>
    <cellStyle name="Normal 170" xfId="55957"/>
    <cellStyle name="Normal 171" xfId="2"/>
    <cellStyle name="Normal 172" xfId="55963"/>
    <cellStyle name="Normal 173" xfId="56001"/>
    <cellStyle name="Normal 174" xfId="56013"/>
    <cellStyle name="Normal 175" xfId="56016"/>
    <cellStyle name="Normal 176" xfId="56019"/>
    <cellStyle name="Normal 177" xfId="56027"/>
    <cellStyle name="Normal 178" xfId="56022"/>
    <cellStyle name="Normal 179" xfId="56029"/>
    <cellStyle name="Normal 18" xfId="163"/>
    <cellStyle name="Normal 18 10" xfId="1268"/>
    <cellStyle name="Normal 18 10 2" xfId="16426"/>
    <cellStyle name="Normal 18 10 2 2" xfId="43434"/>
    <cellStyle name="Normal 18 10 3" xfId="29930"/>
    <cellStyle name="Normal 18 100" xfId="11817"/>
    <cellStyle name="Normal 18 100 2" xfId="25715"/>
    <cellStyle name="Normal 18 100 2 2" xfId="52723"/>
    <cellStyle name="Normal 18 100 3" xfId="39219"/>
    <cellStyle name="Normal 18 101" xfId="11959"/>
    <cellStyle name="Normal 18 101 2" xfId="25843"/>
    <cellStyle name="Normal 18 101 2 2" xfId="52851"/>
    <cellStyle name="Normal 18 101 3" xfId="39347"/>
    <cellStyle name="Normal 18 102" xfId="12101"/>
    <cellStyle name="Normal 18 102 2" xfId="25971"/>
    <cellStyle name="Normal 18 102 2 2" xfId="52979"/>
    <cellStyle name="Normal 18 102 3" xfId="39475"/>
    <cellStyle name="Normal 18 103" xfId="12243"/>
    <cellStyle name="Normal 18 103 2" xfId="26099"/>
    <cellStyle name="Normal 18 103 2 2" xfId="53107"/>
    <cellStyle name="Normal 18 103 3" xfId="39603"/>
    <cellStyle name="Normal 18 104" xfId="12385"/>
    <cellStyle name="Normal 18 104 2" xfId="26227"/>
    <cellStyle name="Normal 18 104 2 2" xfId="53235"/>
    <cellStyle name="Normal 18 104 3" xfId="39731"/>
    <cellStyle name="Normal 18 105" xfId="12527"/>
    <cellStyle name="Normal 18 105 2" xfId="26355"/>
    <cellStyle name="Normal 18 105 2 2" xfId="53363"/>
    <cellStyle name="Normal 18 105 3" xfId="39859"/>
    <cellStyle name="Normal 18 106" xfId="12669"/>
    <cellStyle name="Normal 18 106 2" xfId="26483"/>
    <cellStyle name="Normal 18 106 2 2" xfId="53491"/>
    <cellStyle name="Normal 18 106 3" xfId="39987"/>
    <cellStyle name="Normal 18 107" xfId="12811"/>
    <cellStyle name="Normal 18 107 2" xfId="26611"/>
    <cellStyle name="Normal 18 107 2 2" xfId="53619"/>
    <cellStyle name="Normal 18 107 3" xfId="40115"/>
    <cellStyle name="Normal 18 108" xfId="12953"/>
    <cellStyle name="Normal 18 108 2" xfId="26739"/>
    <cellStyle name="Normal 18 108 2 2" xfId="53747"/>
    <cellStyle name="Normal 18 108 3" xfId="40243"/>
    <cellStyle name="Normal 18 109" xfId="13095"/>
    <cellStyle name="Normal 18 109 2" xfId="26867"/>
    <cellStyle name="Normal 18 109 2 2" xfId="53875"/>
    <cellStyle name="Normal 18 109 3" xfId="40371"/>
    <cellStyle name="Normal 18 11" xfId="1374"/>
    <cellStyle name="Normal 18 11 2" xfId="16518"/>
    <cellStyle name="Normal 18 11 2 2" xfId="43526"/>
    <cellStyle name="Normal 18 11 3" xfId="30022"/>
    <cellStyle name="Normal 18 110" xfId="13237"/>
    <cellStyle name="Normal 18 110 2" xfId="26995"/>
    <cellStyle name="Normal 18 110 2 2" xfId="54003"/>
    <cellStyle name="Normal 18 110 3" xfId="40499"/>
    <cellStyle name="Normal 18 111" xfId="13379"/>
    <cellStyle name="Normal 18 111 2" xfId="27123"/>
    <cellStyle name="Normal 18 111 2 2" xfId="54131"/>
    <cellStyle name="Normal 18 111 3" xfId="40627"/>
    <cellStyle name="Normal 18 112" xfId="13521"/>
    <cellStyle name="Normal 18 112 2" xfId="27251"/>
    <cellStyle name="Normal 18 112 2 2" xfId="54259"/>
    <cellStyle name="Normal 18 112 3" xfId="40755"/>
    <cellStyle name="Normal 18 113" xfId="13663"/>
    <cellStyle name="Normal 18 113 2" xfId="27379"/>
    <cellStyle name="Normal 18 113 2 2" xfId="54387"/>
    <cellStyle name="Normal 18 113 3" xfId="40883"/>
    <cellStyle name="Normal 18 114" xfId="13805"/>
    <cellStyle name="Normal 18 114 2" xfId="27507"/>
    <cellStyle name="Normal 18 114 2 2" xfId="54515"/>
    <cellStyle name="Normal 18 114 3" xfId="41011"/>
    <cellStyle name="Normal 18 115" xfId="13946"/>
    <cellStyle name="Normal 18 115 2" xfId="27634"/>
    <cellStyle name="Normal 18 115 2 2" xfId="54642"/>
    <cellStyle name="Normal 18 115 3" xfId="41138"/>
    <cellStyle name="Normal 18 116" xfId="14087"/>
    <cellStyle name="Normal 18 116 2" xfId="27761"/>
    <cellStyle name="Normal 18 116 2 2" xfId="54769"/>
    <cellStyle name="Normal 18 116 3" xfId="41265"/>
    <cellStyle name="Normal 18 117" xfId="14228"/>
    <cellStyle name="Normal 18 117 2" xfId="27888"/>
    <cellStyle name="Normal 18 117 2 2" xfId="54896"/>
    <cellStyle name="Normal 18 117 3" xfId="41392"/>
    <cellStyle name="Normal 18 118" xfId="14369"/>
    <cellStyle name="Normal 18 118 2" xfId="28015"/>
    <cellStyle name="Normal 18 118 2 2" xfId="55023"/>
    <cellStyle name="Normal 18 118 3" xfId="41519"/>
    <cellStyle name="Normal 18 119" xfId="14509"/>
    <cellStyle name="Normal 18 119 2" xfId="28141"/>
    <cellStyle name="Normal 18 119 2 2" xfId="55149"/>
    <cellStyle name="Normal 18 119 3" xfId="41645"/>
    <cellStyle name="Normal 18 12" xfId="1480"/>
    <cellStyle name="Normal 18 12 2" xfId="16610"/>
    <cellStyle name="Normal 18 12 2 2" xfId="43618"/>
    <cellStyle name="Normal 18 12 3" xfId="30114"/>
    <cellStyle name="Normal 18 120" xfId="14649"/>
    <cellStyle name="Normal 18 120 2" xfId="28267"/>
    <cellStyle name="Normal 18 120 2 2" xfId="55275"/>
    <cellStyle name="Normal 18 120 3" xfId="41771"/>
    <cellStyle name="Normal 18 121" xfId="14788"/>
    <cellStyle name="Normal 18 121 2" xfId="28392"/>
    <cellStyle name="Normal 18 121 2 2" xfId="55400"/>
    <cellStyle name="Normal 18 121 3" xfId="41896"/>
    <cellStyle name="Normal 18 122" xfId="14923"/>
    <cellStyle name="Normal 18 122 2" xfId="28514"/>
    <cellStyle name="Normal 18 122 2 2" xfId="55522"/>
    <cellStyle name="Normal 18 122 3" xfId="42018"/>
    <cellStyle name="Normal 18 123" xfId="15057"/>
    <cellStyle name="Normal 18 123 2" xfId="28635"/>
    <cellStyle name="Normal 18 123 2 2" xfId="55643"/>
    <cellStyle name="Normal 18 123 3" xfId="42139"/>
    <cellStyle name="Normal 18 124" xfId="15184"/>
    <cellStyle name="Normal 18 124 2" xfId="28751"/>
    <cellStyle name="Normal 18 124 2 2" xfId="55759"/>
    <cellStyle name="Normal 18 124 3" xfId="42255"/>
    <cellStyle name="Normal 18 125" xfId="15304"/>
    <cellStyle name="Normal 18 125 2" xfId="28864"/>
    <cellStyle name="Normal 18 125 2 2" xfId="55872"/>
    <cellStyle name="Normal 18 125 3" xfId="42368"/>
    <cellStyle name="Normal 18 126" xfId="15519"/>
    <cellStyle name="Normal 18 126 2" xfId="42527"/>
    <cellStyle name="Normal 18 127" xfId="29023"/>
    <cellStyle name="Normal 18 13" xfId="1586"/>
    <cellStyle name="Normal 18 13 2" xfId="16702"/>
    <cellStyle name="Normal 18 13 2 2" xfId="43710"/>
    <cellStyle name="Normal 18 13 3" xfId="30206"/>
    <cellStyle name="Normal 18 14" xfId="1692"/>
    <cellStyle name="Normal 18 14 2" xfId="16794"/>
    <cellStyle name="Normal 18 14 2 2" xfId="43802"/>
    <cellStyle name="Normal 18 14 3" xfId="30298"/>
    <cellStyle name="Normal 18 15" xfId="1798"/>
    <cellStyle name="Normal 18 15 2" xfId="16886"/>
    <cellStyle name="Normal 18 15 2 2" xfId="43894"/>
    <cellStyle name="Normal 18 15 3" xfId="30390"/>
    <cellStyle name="Normal 18 16" xfId="1904"/>
    <cellStyle name="Normal 18 16 2" xfId="16978"/>
    <cellStyle name="Normal 18 16 2 2" xfId="43986"/>
    <cellStyle name="Normal 18 16 3" xfId="30482"/>
    <cellStyle name="Normal 18 17" xfId="2010"/>
    <cellStyle name="Normal 18 17 2" xfId="17070"/>
    <cellStyle name="Normal 18 17 2 2" xfId="44078"/>
    <cellStyle name="Normal 18 17 3" xfId="30574"/>
    <cellStyle name="Normal 18 18" xfId="2116"/>
    <cellStyle name="Normal 18 18 2" xfId="17162"/>
    <cellStyle name="Normal 18 18 2 2" xfId="44170"/>
    <cellStyle name="Normal 18 18 3" xfId="30666"/>
    <cellStyle name="Normal 18 19" xfId="2222"/>
    <cellStyle name="Normal 18 19 2" xfId="17254"/>
    <cellStyle name="Normal 18 19 2 2" xfId="44262"/>
    <cellStyle name="Normal 18 19 3" xfId="30758"/>
    <cellStyle name="Normal 18 2" xfId="340"/>
    <cellStyle name="Normal 18 2 2" xfId="15642"/>
    <cellStyle name="Normal 18 2 2 2" xfId="42650"/>
    <cellStyle name="Normal 18 2 3" xfId="29146"/>
    <cellStyle name="Normal 18 20" xfId="2328"/>
    <cellStyle name="Normal 18 20 2" xfId="17346"/>
    <cellStyle name="Normal 18 20 2 2" xfId="44354"/>
    <cellStyle name="Normal 18 20 3" xfId="30850"/>
    <cellStyle name="Normal 18 21" xfId="2434"/>
    <cellStyle name="Normal 18 21 2" xfId="17438"/>
    <cellStyle name="Normal 18 21 2 2" xfId="44446"/>
    <cellStyle name="Normal 18 21 3" xfId="30942"/>
    <cellStyle name="Normal 18 22" xfId="2540"/>
    <cellStyle name="Normal 18 22 2" xfId="17530"/>
    <cellStyle name="Normal 18 22 2 2" xfId="44538"/>
    <cellStyle name="Normal 18 22 3" xfId="31034"/>
    <cellStyle name="Normal 18 23" xfId="2646"/>
    <cellStyle name="Normal 18 23 2" xfId="17622"/>
    <cellStyle name="Normal 18 23 2 2" xfId="44630"/>
    <cellStyle name="Normal 18 23 3" xfId="31126"/>
    <cellStyle name="Normal 18 24" xfId="2752"/>
    <cellStyle name="Normal 18 24 2" xfId="17714"/>
    <cellStyle name="Normal 18 24 2 2" xfId="44722"/>
    <cellStyle name="Normal 18 24 3" xfId="31218"/>
    <cellStyle name="Normal 18 25" xfId="2858"/>
    <cellStyle name="Normal 18 25 2" xfId="17806"/>
    <cellStyle name="Normal 18 25 2 2" xfId="44814"/>
    <cellStyle name="Normal 18 25 3" xfId="31310"/>
    <cellStyle name="Normal 18 26" xfId="2964"/>
    <cellStyle name="Normal 18 26 2" xfId="17898"/>
    <cellStyle name="Normal 18 26 2 2" xfId="44906"/>
    <cellStyle name="Normal 18 26 3" xfId="31402"/>
    <cellStyle name="Normal 18 27" xfId="3070"/>
    <cellStyle name="Normal 18 27 2" xfId="17990"/>
    <cellStyle name="Normal 18 27 2 2" xfId="44998"/>
    <cellStyle name="Normal 18 27 3" xfId="31494"/>
    <cellStyle name="Normal 18 28" xfId="3176"/>
    <cellStyle name="Normal 18 28 2" xfId="18082"/>
    <cellStyle name="Normal 18 28 2 2" xfId="45090"/>
    <cellStyle name="Normal 18 28 3" xfId="31586"/>
    <cellStyle name="Normal 18 29" xfId="3282"/>
    <cellStyle name="Normal 18 29 2" xfId="18174"/>
    <cellStyle name="Normal 18 29 2 2" xfId="45182"/>
    <cellStyle name="Normal 18 29 3" xfId="31678"/>
    <cellStyle name="Normal 18 3" xfId="527"/>
    <cellStyle name="Normal 18 3 2" xfId="15783"/>
    <cellStyle name="Normal 18 3 2 2" xfId="42791"/>
    <cellStyle name="Normal 18 3 3" xfId="29287"/>
    <cellStyle name="Normal 18 30" xfId="3388"/>
    <cellStyle name="Normal 18 30 2" xfId="18266"/>
    <cellStyle name="Normal 18 30 2 2" xfId="45274"/>
    <cellStyle name="Normal 18 30 3" xfId="31770"/>
    <cellStyle name="Normal 18 31" xfId="3494"/>
    <cellStyle name="Normal 18 31 2" xfId="18358"/>
    <cellStyle name="Normal 18 31 2 2" xfId="45366"/>
    <cellStyle name="Normal 18 31 3" xfId="31862"/>
    <cellStyle name="Normal 18 32" xfId="3600"/>
    <cellStyle name="Normal 18 32 2" xfId="18450"/>
    <cellStyle name="Normal 18 32 2 2" xfId="45458"/>
    <cellStyle name="Normal 18 32 3" xfId="31954"/>
    <cellStyle name="Normal 18 33" xfId="3706"/>
    <cellStyle name="Normal 18 33 2" xfId="18542"/>
    <cellStyle name="Normal 18 33 2 2" xfId="45550"/>
    <cellStyle name="Normal 18 33 3" xfId="32046"/>
    <cellStyle name="Normal 18 34" xfId="3812"/>
    <cellStyle name="Normal 18 34 2" xfId="18634"/>
    <cellStyle name="Normal 18 34 2 2" xfId="45642"/>
    <cellStyle name="Normal 18 34 3" xfId="32138"/>
    <cellStyle name="Normal 18 35" xfId="3918"/>
    <cellStyle name="Normal 18 35 2" xfId="18726"/>
    <cellStyle name="Normal 18 35 2 2" xfId="45734"/>
    <cellStyle name="Normal 18 35 3" xfId="32230"/>
    <cellStyle name="Normal 18 36" xfId="4024"/>
    <cellStyle name="Normal 18 36 2" xfId="18818"/>
    <cellStyle name="Normal 18 36 2 2" xfId="45826"/>
    <cellStyle name="Normal 18 36 3" xfId="32322"/>
    <cellStyle name="Normal 18 37" xfId="4130"/>
    <cellStyle name="Normal 18 37 2" xfId="18910"/>
    <cellStyle name="Normal 18 37 2 2" xfId="45918"/>
    <cellStyle name="Normal 18 37 3" xfId="32414"/>
    <cellStyle name="Normal 18 38" xfId="4236"/>
    <cellStyle name="Normal 18 38 2" xfId="19002"/>
    <cellStyle name="Normal 18 38 2 2" xfId="46010"/>
    <cellStyle name="Normal 18 38 3" xfId="32506"/>
    <cellStyle name="Normal 18 39" xfId="4342"/>
    <cellStyle name="Normal 18 39 2" xfId="19094"/>
    <cellStyle name="Normal 18 39 2 2" xfId="46102"/>
    <cellStyle name="Normal 18 39 3" xfId="32598"/>
    <cellStyle name="Normal 18 4" xfId="632"/>
    <cellStyle name="Normal 18 4 2" xfId="15874"/>
    <cellStyle name="Normal 18 4 2 2" xfId="42882"/>
    <cellStyle name="Normal 18 4 3" xfId="29378"/>
    <cellStyle name="Normal 18 40" xfId="4448"/>
    <cellStyle name="Normal 18 40 2" xfId="19186"/>
    <cellStyle name="Normal 18 40 2 2" xfId="46194"/>
    <cellStyle name="Normal 18 40 3" xfId="32690"/>
    <cellStyle name="Normal 18 41" xfId="4554"/>
    <cellStyle name="Normal 18 41 2" xfId="19278"/>
    <cellStyle name="Normal 18 41 2 2" xfId="46286"/>
    <cellStyle name="Normal 18 41 3" xfId="32782"/>
    <cellStyle name="Normal 18 42" xfId="4660"/>
    <cellStyle name="Normal 18 42 2" xfId="19370"/>
    <cellStyle name="Normal 18 42 2 2" xfId="46378"/>
    <cellStyle name="Normal 18 42 3" xfId="32874"/>
    <cellStyle name="Normal 18 43" xfId="4766"/>
    <cellStyle name="Normal 18 43 2" xfId="19462"/>
    <cellStyle name="Normal 18 43 2 2" xfId="46470"/>
    <cellStyle name="Normal 18 43 3" xfId="32966"/>
    <cellStyle name="Normal 18 44" xfId="4872"/>
    <cellStyle name="Normal 18 44 2" xfId="19554"/>
    <cellStyle name="Normal 18 44 2 2" xfId="46562"/>
    <cellStyle name="Normal 18 44 3" xfId="33058"/>
    <cellStyle name="Normal 18 45" xfId="4978"/>
    <cellStyle name="Normal 18 45 2" xfId="19646"/>
    <cellStyle name="Normal 18 45 2 2" xfId="46654"/>
    <cellStyle name="Normal 18 45 3" xfId="33150"/>
    <cellStyle name="Normal 18 46" xfId="5084"/>
    <cellStyle name="Normal 18 46 2" xfId="19738"/>
    <cellStyle name="Normal 18 46 2 2" xfId="46746"/>
    <cellStyle name="Normal 18 46 3" xfId="33242"/>
    <cellStyle name="Normal 18 47" xfId="5190"/>
    <cellStyle name="Normal 18 47 2" xfId="19830"/>
    <cellStyle name="Normal 18 47 2 2" xfId="46838"/>
    <cellStyle name="Normal 18 47 3" xfId="33334"/>
    <cellStyle name="Normal 18 48" xfId="5296"/>
    <cellStyle name="Normal 18 48 2" xfId="19922"/>
    <cellStyle name="Normal 18 48 2 2" xfId="46930"/>
    <cellStyle name="Normal 18 48 3" xfId="33426"/>
    <cellStyle name="Normal 18 49" xfId="5402"/>
    <cellStyle name="Normal 18 49 2" xfId="20014"/>
    <cellStyle name="Normal 18 49 2 2" xfId="47022"/>
    <cellStyle name="Normal 18 49 3" xfId="33518"/>
    <cellStyle name="Normal 18 5" xfId="738"/>
    <cellStyle name="Normal 18 5 2" xfId="15966"/>
    <cellStyle name="Normal 18 5 2 2" xfId="42974"/>
    <cellStyle name="Normal 18 5 3" xfId="29470"/>
    <cellStyle name="Normal 18 50" xfId="5508"/>
    <cellStyle name="Normal 18 50 2" xfId="20106"/>
    <cellStyle name="Normal 18 50 2 2" xfId="47114"/>
    <cellStyle name="Normal 18 50 3" xfId="33610"/>
    <cellStyle name="Normal 18 51" xfId="5614"/>
    <cellStyle name="Normal 18 51 2" xfId="20198"/>
    <cellStyle name="Normal 18 51 2 2" xfId="47206"/>
    <cellStyle name="Normal 18 51 3" xfId="33702"/>
    <cellStyle name="Normal 18 52" xfId="5720"/>
    <cellStyle name="Normal 18 52 2" xfId="20290"/>
    <cellStyle name="Normal 18 52 2 2" xfId="47298"/>
    <cellStyle name="Normal 18 52 3" xfId="33794"/>
    <cellStyle name="Normal 18 53" xfId="5826"/>
    <cellStyle name="Normal 18 53 2" xfId="20382"/>
    <cellStyle name="Normal 18 53 2 2" xfId="47390"/>
    <cellStyle name="Normal 18 53 3" xfId="33886"/>
    <cellStyle name="Normal 18 54" xfId="5932"/>
    <cellStyle name="Normal 18 54 2" xfId="20474"/>
    <cellStyle name="Normal 18 54 2 2" xfId="47482"/>
    <cellStyle name="Normal 18 54 3" xfId="33978"/>
    <cellStyle name="Normal 18 55" xfId="6038"/>
    <cellStyle name="Normal 18 55 2" xfId="20566"/>
    <cellStyle name="Normal 18 55 2 2" xfId="47574"/>
    <cellStyle name="Normal 18 55 3" xfId="34070"/>
    <cellStyle name="Normal 18 56" xfId="6144"/>
    <cellStyle name="Normal 18 56 2" xfId="20658"/>
    <cellStyle name="Normal 18 56 2 2" xfId="47666"/>
    <cellStyle name="Normal 18 56 3" xfId="34162"/>
    <cellStyle name="Normal 18 57" xfId="6250"/>
    <cellStyle name="Normal 18 57 2" xfId="20750"/>
    <cellStyle name="Normal 18 57 2 2" xfId="47758"/>
    <cellStyle name="Normal 18 57 3" xfId="34254"/>
    <cellStyle name="Normal 18 58" xfId="6356"/>
    <cellStyle name="Normal 18 58 2" xfId="20842"/>
    <cellStyle name="Normal 18 58 2 2" xfId="47850"/>
    <cellStyle name="Normal 18 58 3" xfId="34346"/>
    <cellStyle name="Normal 18 59" xfId="6462"/>
    <cellStyle name="Normal 18 59 2" xfId="20934"/>
    <cellStyle name="Normal 18 59 2 2" xfId="47942"/>
    <cellStyle name="Normal 18 59 3" xfId="34438"/>
    <cellStyle name="Normal 18 6" xfId="844"/>
    <cellStyle name="Normal 18 6 2" xfId="16058"/>
    <cellStyle name="Normal 18 6 2 2" xfId="43066"/>
    <cellStyle name="Normal 18 6 3" xfId="29562"/>
    <cellStyle name="Normal 18 60" xfId="6568"/>
    <cellStyle name="Normal 18 60 2" xfId="21026"/>
    <cellStyle name="Normal 18 60 2 2" xfId="48034"/>
    <cellStyle name="Normal 18 60 3" xfId="34530"/>
    <cellStyle name="Normal 18 61" xfId="6673"/>
    <cellStyle name="Normal 18 61 2" xfId="21117"/>
    <cellStyle name="Normal 18 61 2 2" xfId="48125"/>
    <cellStyle name="Normal 18 61 3" xfId="34621"/>
    <cellStyle name="Normal 18 62" xfId="6778"/>
    <cellStyle name="Normal 18 62 2" xfId="21208"/>
    <cellStyle name="Normal 18 62 2 2" xfId="48216"/>
    <cellStyle name="Normal 18 62 3" xfId="34712"/>
    <cellStyle name="Normal 18 63" xfId="6883"/>
    <cellStyle name="Normal 18 63 2" xfId="21299"/>
    <cellStyle name="Normal 18 63 2 2" xfId="48307"/>
    <cellStyle name="Normal 18 63 3" xfId="34803"/>
    <cellStyle name="Normal 18 64" xfId="6988"/>
    <cellStyle name="Normal 18 64 2" xfId="21390"/>
    <cellStyle name="Normal 18 64 2 2" xfId="48398"/>
    <cellStyle name="Normal 18 64 3" xfId="34894"/>
    <cellStyle name="Normal 18 65" xfId="7092"/>
    <cellStyle name="Normal 18 65 2" xfId="21480"/>
    <cellStyle name="Normal 18 65 2 2" xfId="48488"/>
    <cellStyle name="Normal 18 65 3" xfId="34984"/>
    <cellStyle name="Normal 18 66" xfId="7196"/>
    <cellStyle name="Normal 18 66 2" xfId="21570"/>
    <cellStyle name="Normal 18 66 2 2" xfId="48578"/>
    <cellStyle name="Normal 18 66 3" xfId="35074"/>
    <cellStyle name="Normal 18 67" xfId="7299"/>
    <cellStyle name="Normal 18 67 2" xfId="21659"/>
    <cellStyle name="Normal 18 67 2 2" xfId="48667"/>
    <cellStyle name="Normal 18 67 3" xfId="35163"/>
    <cellStyle name="Normal 18 68" xfId="7399"/>
    <cellStyle name="Normal 18 68 2" xfId="21746"/>
    <cellStyle name="Normal 18 68 2 2" xfId="48754"/>
    <cellStyle name="Normal 18 68 3" xfId="35250"/>
    <cellStyle name="Normal 18 69" xfId="7497"/>
    <cellStyle name="Normal 18 69 2" xfId="21831"/>
    <cellStyle name="Normal 18 69 2 2" xfId="48839"/>
    <cellStyle name="Normal 18 69 3" xfId="35335"/>
    <cellStyle name="Normal 18 7" xfId="950"/>
    <cellStyle name="Normal 18 7 2" xfId="16150"/>
    <cellStyle name="Normal 18 7 2 2" xfId="43158"/>
    <cellStyle name="Normal 18 7 3" xfId="29654"/>
    <cellStyle name="Normal 18 70" xfId="7586"/>
    <cellStyle name="Normal 18 70 2" xfId="21909"/>
    <cellStyle name="Normal 18 70 2 2" xfId="48917"/>
    <cellStyle name="Normal 18 70 3" xfId="35413"/>
    <cellStyle name="Normal 18 71" xfId="7662"/>
    <cellStyle name="Normal 18 71 2" xfId="21978"/>
    <cellStyle name="Normal 18 71 2 2" xfId="48986"/>
    <cellStyle name="Normal 18 71 3" xfId="35482"/>
    <cellStyle name="Normal 18 72" xfId="7841"/>
    <cellStyle name="Normal 18 72 2" xfId="22131"/>
    <cellStyle name="Normal 18 72 2 2" xfId="49139"/>
    <cellStyle name="Normal 18 72 3" xfId="35635"/>
    <cellStyle name="Normal 18 73" xfId="7983"/>
    <cellStyle name="Normal 18 73 2" xfId="22259"/>
    <cellStyle name="Normal 18 73 2 2" xfId="49267"/>
    <cellStyle name="Normal 18 73 3" xfId="35763"/>
    <cellStyle name="Normal 18 74" xfId="8125"/>
    <cellStyle name="Normal 18 74 2" xfId="22387"/>
    <cellStyle name="Normal 18 74 2 2" xfId="49395"/>
    <cellStyle name="Normal 18 74 3" xfId="35891"/>
    <cellStyle name="Normal 18 75" xfId="8267"/>
    <cellStyle name="Normal 18 75 2" xfId="22515"/>
    <cellStyle name="Normal 18 75 2 2" xfId="49523"/>
    <cellStyle name="Normal 18 75 3" xfId="36019"/>
    <cellStyle name="Normal 18 76" xfId="8409"/>
    <cellStyle name="Normal 18 76 2" xfId="22643"/>
    <cellStyle name="Normal 18 76 2 2" xfId="49651"/>
    <cellStyle name="Normal 18 76 3" xfId="36147"/>
    <cellStyle name="Normal 18 77" xfId="8551"/>
    <cellStyle name="Normal 18 77 2" xfId="22771"/>
    <cellStyle name="Normal 18 77 2 2" xfId="49779"/>
    <cellStyle name="Normal 18 77 3" xfId="36275"/>
    <cellStyle name="Normal 18 78" xfId="8693"/>
    <cellStyle name="Normal 18 78 2" xfId="22899"/>
    <cellStyle name="Normal 18 78 2 2" xfId="49907"/>
    <cellStyle name="Normal 18 78 3" xfId="36403"/>
    <cellStyle name="Normal 18 79" xfId="8835"/>
    <cellStyle name="Normal 18 79 2" xfId="23027"/>
    <cellStyle name="Normal 18 79 2 2" xfId="50035"/>
    <cellStyle name="Normal 18 79 3" xfId="36531"/>
    <cellStyle name="Normal 18 8" xfId="1056"/>
    <cellStyle name="Normal 18 8 2" xfId="16242"/>
    <cellStyle name="Normal 18 8 2 2" xfId="43250"/>
    <cellStyle name="Normal 18 8 3" xfId="29746"/>
    <cellStyle name="Normal 18 80" xfId="8977"/>
    <cellStyle name="Normal 18 80 2" xfId="23155"/>
    <cellStyle name="Normal 18 80 2 2" xfId="50163"/>
    <cellStyle name="Normal 18 80 3" xfId="36659"/>
    <cellStyle name="Normal 18 81" xfId="9119"/>
    <cellStyle name="Normal 18 81 2" xfId="23283"/>
    <cellStyle name="Normal 18 81 2 2" xfId="50291"/>
    <cellStyle name="Normal 18 81 3" xfId="36787"/>
    <cellStyle name="Normal 18 82" xfId="9261"/>
    <cellStyle name="Normal 18 82 2" xfId="23411"/>
    <cellStyle name="Normal 18 82 2 2" xfId="50419"/>
    <cellStyle name="Normal 18 82 3" xfId="36915"/>
    <cellStyle name="Normal 18 83" xfId="9403"/>
    <cellStyle name="Normal 18 83 2" xfId="23539"/>
    <cellStyle name="Normal 18 83 2 2" xfId="50547"/>
    <cellStyle name="Normal 18 83 3" xfId="37043"/>
    <cellStyle name="Normal 18 84" xfId="9545"/>
    <cellStyle name="Normal 18 84 2" xfId="23667"/>
    <cellStyle name="Normal 18 84 2 2" xfId="50675"/>
    <cellStyle name="Normal 18 84 3" xfId="37171"/>
    <cellStyle name="Normal 18 85" xfId="9687"/>
    <cellStyle name="Normal 18 85 2" xfId="23795"/>
    <cellStyle name="Normal 18 85 2 2" xfId="50803"/>
    <cellStyle name="Normal 18 85 3" xfId="37299"/>
    <cellStyle name="Normal 18 86" xfId="9829"/>
    <cellStyle name="Normal 18 86 2" xfId="23923"/>
    <cellStyle name="Normal 18 86 2 2" xfId="50931"/>
    <cellStyle name="Normal 18 86 3" xfId="37427"/>
    <cellStyle name="Normal 18 87" xfId="9971"/>
    <cellStyle name="Normal 18 87 2" xfId="24051"/>
    <cellStyle name="Normal 18 87 2 2" xfId="51059"/>
    <cellStyle name="Normal 18 87 3" xfId="37555"/>
    <cellStyle name="Normal 18 88" xfId="10113"/>
    <cellStyle name="Normal 18 88 2" xfId="24179"/>
    <cellStyle name="Normal 18 88 2 2" xfId="51187"/>
    <cellStyle name="Normal 18 88 3" xfId="37683"/>
    <cellStyle name="Normal 18 89" xfId="10255"/>
    <cellStyle name="Normal 18 89 2" xfId="24307"/>
    <cellStyle name="Normal 18 89 2 2" xfId="51315"/>
    <cellStyle name="Normal 18 89 3" xfId="37811"/>
    <cellStyle name="Normal 18 9" xfId="1162"/>
    <cellStyle name="Normal 18 9 2" xfId="16334"/>
    <cellStyle name="Normal 18 9 2 2" xfId="43342"/>
    <cellStyle name="Normal 18 9 3" xfId="29838"/>
    <cellStyle name="Normal 18 90" xfId="10397"/>
    <cellStyle name="Normal 18 90 2" xfId="24435"/>
    <cellStyle name="Normal 18 90 2 2" xfId="51443"/>
    <cellStyle name="Normal 18 90 3" xfId="37939"/>
    <cellStyle name="Normal 18 91" xfId="10539"/>
    <cellStyle name="Normal 18 91 2" xfId="24563"/>
    <cellStyle name="Normal 18 91 2 2" xfId="51571"/>
    <cellStyle name="Normal 18 91 3" xfId="38067"/>
    <cellStyle name="Normal 18 92" xfId="10681"/>
    <cellStyle name="Normal 18 92 2" xfId="24691"/>
    <cellStyle name="Normal 18 92 2 2" xfId="51699"/>
    <cellStyle name="Normal 18 92 3" xfId="38195"/>
    <cellStyle name="Normal 18 93" xfId="10823"/>
    <cellStyle name="Normal 18 93 2" xfId="24819"/>
    <cellStyle name="Normal 18 93 2 2" xfId="51827"/>
    <cellStyle name="Normal 18 93 3" xfId="38323"/>
    <cellStyle name="Normal 18 94" xfId="10965"/>
    <cellStyle name="Normal 18 94 2" xfId="24947"/>
    <cellStyle name="Normal 18 94 2 2" xfId="51955"/>
    <cellStyle name="Normal 18 94 3" xfId="38451"/>
    <cellStyle name="Normal 18 95" xfId="11107"/>
    <cellStyle name="Normal 18 95 2" xfId="25075"/>
    <cellStyle name="Normal 18 95 2 2" xfId="52083"/>
    <cellStyle name="Normal 18 95 3" xfId="38579"/>
    <cellStyle name="Normal 18 96" xfId="11249"/>
    <cellStyle name="Normal 18 96 2" xfId="25203"/>
    <cellStyle name="Normal 18 96 2 2" xfId="52211"/>
    <cellStyle name="Normal 18 96 3" xfId="38707"/>
    <cellStyle name="Normal 18 97" xfId="11391"/>
    <cellStyle name="Normal 18 97 2" xfId="25331"/>
    <cellStyle name="Normal 18 97 2 2" xfId="52339"/>
    <cellStyle name="Normal 18 97 3" xfId="38835"/>
    <cellStyle name="Normal 18 98" xfId="11533"/>
    <cellStyle name="Normal 18 98 2" xfId="25459"/>
    <cellStyle name="Normal 18 98 2 2" xfId="52467"/>
    <cellStyle name="Normal 18 98 3" xfId="38963"/>
    <cellStyle name="Normal 18 99" xfId="11675"/>
    <cellStyle name="Normal 18 99 2" xfId="25587"/>
    <cellStyle name="Normal 18 99 2 2" xfId="52595"/>
    <cellStyle name="Normal 18 99 3" xfId="39091"/>
    <cellStyle name="Normal 180" xfId="56032"/>
    <cellStyle name="Normal 181" xfId="56035"/>
    <cellStyle name="Normal 182" xfId="56038"/>
    <cellStyle name="Normal 183" xfId="56041"/>
    <cellStyle name="Normal 184" xfId="56044"/>
    <cellStyle name="Normal 185" xfId="56047"/>
    <cellStyle name="Normal 186" xfId="56050"/>
    <cellStyle name="Normal 187" xfId="56053"/>
    <cellStyle name="Normal 188" xfId="56056"/>
    <cellStyle name="Normal 189" xfId="56059"/>
    <cellStyle name="Normal 19" xfId="164"/>
    <cellStyle name="Normal 19 10" xfId="1269"/>
    <cellStyle name="Normal 19 10 2" xfId="16427"/>
    <cellStyle name="Normal 19 10 2 2" xfId="43435"/>
    <cellStyle name="Normal 19 10 3" xfId="29931"/>
    <cellStyle name="Normal 19 100" xfId="11818"/>
    <cellStyle name="Normal 19 100 2" xfId="25716"/>
    <cellStyle name="Normal 19 100 2 2" xfId="52724"/>
    <cellStyle name="Normal 19 100 3" xfId="39220"/>
    <cellStyle name="Normal 19 101" xfId="11960"/>
    <cellStyle name="Normal 19 101 2" xfId="25844"/>
    <cellStyle name="Normal 19 101 2 2" xfId="52852"/>
    <cellStyle name="Normal 19 101 3" xfId="39348"/>
    <cellStyle name="Normal 19 102" xfId="12102"/>
    <cellStyle name="Normal 19 102 2" xfId="25972"/>
    <cellStyle name="Normal 19 102 2 2" xfId="52980"/>
    <cellStyle name="Normal 19 102 3" xfId="39476"/>
    <cellStyle name="Normal 19 103" xfId="12244"/>
    <cellStyle name="Normal 19 103 2" xfId="26100"/>
    <cellStyle name="Normal 19 103 2 2" xfId="53108"/>
    <cellStyle name="Normal 19 103 3" xfId="39604"/>
    <cellStyle name="Normal 19 104" xfId="12386"/>
    <cellStyle name="Normal 19 104 2" xfId="26228"/>
    <cellStyle name="Normal 19 104 2 2" xfId="53236"/>
    <cellStyle name="Normal 19 104 3" xfId="39732"/>
    <cellStyle name="Normal 19 105" xfId="12528"/>
    <cellStyle name="Normal 19 105 2" xfId="26356"/>
    <cellStyle name="Normal 19 105 2 2" xfId="53364"/>
    <cellStyle name="Normal 19 105 3" xfId="39860"/>
    <cellStyle name="Normal 19 106" xfId="12670"/>
    <cellStyle name="Normal 19 106 2" xfId="26484"/>
    <cellStyle name="Normal 19 106 2 2" xfId="53492"/>
    <cellStyle name="Normal 19 106 3" xfId="39988"/>
    <cellStyle name="Normal 19 107" xfId="12812"/>
    <cellStyle name="Normal 19 107 2" xfId="26612"/>
    <cellStyle name="Normal 19 107 2 2" xfId="53620"/>
    <cellStyle name="Normal 19 107 3" xfId="40116"/>
    <cellStyle name="Normal 19 108" xfId="12954"/>
    <cellStyle name="Normal 19 108 2" xfId="26740"/>
    <cellStyle name="Normal 19 108 2 2" xfId="53748"/>
    <cellStyle name="Normal 19 108 3" xfId="40244"/>
    <cellStyle name="Normal 19 109" xfId="13096"/>
    <cellStyle name="Normal 19 109 2" xfId="26868"/>
    <cellStyle name="Normal 19 109 2 2" xfId="53876"/>
    <cellStyle name="Normal 19 109 3" xfId="40372"/>
    <cellStyle name="Normal 19 11" xfId="1375"/>
    <cellStyle name="Normal 19 11 2" xfId="16519"/>
    <cellStyle name="Normal 19 11 2 2" xfId="43527"/>
    <cellStyle name="Normal 19 11 3" xfId="30023"/>
    <cellStyle name="Normal 19 110" xfId="13238"/>
    <cellStyle name="Normal 19 110 2" xfId="26996"/>
    <cellStyle name="Normal 19 110 2 2" xfId="54004"/>
    <cellStyle name="Normal 19 110 3" xfId="40500"/>
    <cellStyle name="Normal 19 111" xfId="13380"/>
    <cellStyle name="Normal 19 111 2" xfId="27124"/>
    <cellStyle name="Normal 19 111 2 2" xfId="54132"/>
    <cellStyle name="Normal 19 111 3" xfId="40628"/>
    <cellStyle name="Normal 19 112" xfId="13522"/>
    <cellStyle name="Normal 19 112 2" xfId="27252"/>
    <cellStyle name="Normal 19 112 2 2" xfId="54260"/>
    <cellStyle name="Normal 19 112 3" xfId="40756"/>
    <cellStyle name="Normal 19 113" xfId="13664"/>
    <cellStyle name="Normal 19 113 2" xfId="27380"/>
    <cellStyle name="Normal 19 113 2 2" xfId="54388"/>
    <cellStyle name="Normal 19 113 3" xfId="40884"/>
    <cellStyle name="Normal 19 114" xfId="13806"/>
    <cellStyle name="Normal 19 114 2" xfId="27508"/>
    <cellStyle name="Normal 19 114 2 2" xfId="54516"/>
    <cellStyle name="Normal 19 114 3" xfId="41012"/>
    <cellStyle name="Normal 19 115" xfId="13947"/>
    <cellStyle name="Normal 19 115 2" xfId="27635"/>
    <cellStyle name="Normal 19 115 2 2" xfId="54643"/>
    <cellStyle name="Normal 19 115 3" xfId="41139"/>
    <cellStyle name="Normal 19 116" xfId="14088"/>
    <cellStyle name="Normal 19 116 2" xfId="27762"/>
    <cellStyle name="Normal 19 116 2 2" xfId="54770"/>
    <cellStyle name="Normal 19 116 3" xfId="41266"/>
    <cellStyle name="Normal 19 117" xfId="14229"/>
    <cellStyle name="Normal 19 117 2" xfId="27889"/>
    <cellStyle name="Normal 19 117 2 2" xfId="54897"/>
    <cellStyle name="Normal 19 117 3" xfId="41393"/>
    <cellStyle name="Normal 19 118" xfId="14370"/>
    <cellStyle name="Normal 19 118 2" xfId="28016"/>
    <cellStyle name="Normal 19 118 2 2" xfId="55024"/>
    <cellStyle name="Normal 19 118 3" xfId="41520"/>
    <cellStyle name="Normal 19 119" xfId="14510"/>
    <cellStyle name="Normal 19 119 2" xfId="28142"/>
    <cellStyle name="Normal 19 119 2 2" xfId="55150"/>
    <cellStyle name="Normal 19 119 3" xfId="41646"/>
    <cellStyle name="Normal 19 12" xfId="1481"/>
    <cellStyle name="Normal 19 12 2" xfId="16611"/>
    <cellStyle name="Normal 19 12 2 2" xfId="43619"/>
    <cellStyle name="Normal 19 12 3" xfId="30115"/>
    <cellStyle name="Normal 19 120" xfId="14650"/>
    <cellStyle name="Normal 19 120 2" xfId="28268"/>
    <cellStyle name="Normal 19 120 2 2" xfId="55276"/>
    <cellStyle name="Normal 19 120 3" xfId="41772"/>
    <cellStyle name="Normal 19 121" xfId="14789"/>
    <cellStyle name="Normal 19 121 2" xfId="28393"/>
    <cellStyle name="Normal 19 121 2 2" xfId="55401"/>
    <cellStyle name="Normal 19 121 3" xfId="41897"/>
    <cellStyle name="Normal 19 122" xfId="14924"/>
    <cellStyle name="Normal 19 122 2" xfId="28515"/>
    <cellStyle name="Normal 19 122 2 2" xfId="55523"/>
    <cellStyle name="Normal 19 122 3" xfId="42019"/>
    <cellStyle name="Normal 19 123" xfId="15058"/>
    <cellStyle name="Normal 19 123 2" xfId="28636"/>
    <cellStyle name="Normal 19 123 2 2" xfId="55644"/>
    <cellStyle name="Normal 19 123 3" xfId="42140"/>
    <cellStyle name="Normal 19 124" xfId="15185"/>
    <cellStyle name="Normal 19 124 2" xfId="28752"/>
    <cellStyle name="Normal 19 124 2 2" xfId="55760"/>
    <cellStyle name="Normal 19 124 3" xfId="42256"/>
    <cellStyle name="Normal 19 125" xfId="15305"/>
    <cellStyle name="Normal 19 125 2" xfId="28865"/>
    <cellStyle name="Normal 19 125 2 2" xfId="55873"/>
    <cellStyle name="Normal 19 125 3" xfId="42369"/>
    <cellStyle name="Normal 19 126" xfId="15520"/>
    <cellStyle name="Normal 19 126 2" xfId="42528"/>
    <cellStyle name="Normal 19 127" xfId="29024"/>
    <cellStyle name="Normal 19 13" xfId="1587"/>
    <cellStyle name="Normal 19 13 2" xfId="16703"/>
    <cellStyle name="Normal 19 13 2 2" xfId="43711"/>
    <cellStyle name="Normal 19 13 3" xfId="30207"/>
    <cellStyle name="Normal 19 14" xfId="1693"/>
    <cellStyle name="Normal 19 14 2" xfId="16795"/>
    <cellStyle name="Normal 19 14 2 2" xfId="43803"/>
    <cellStyle name="Normal 19 14 3" xfId="30299"/>
    <cellStyle name="Normal 19 15" xfId="1799"/>
    <cellStyle name="Normal 19 15 2" xfId="16887"/>
    <cellStyle name="Normal 19 15 2 2" xfId="43895"/>
    <cellStyle name="Normal 19 15 3" xfId="30391"/>
    <cellStyle name="Normal 19 16" xfId="1905"/>
    <cellStyle name="Normal 19 16 2" xfId="16979"/>
    <cellStyle name="Normal 19 16 2 2" xfId="43987"/>
    <cellStyle name="Normal 19 16 3" xfId="30483"/>
    <cellStyle name="Normal 19 17" xfId="2011"/>
    <cellStyle name="Normal 19 17 2" xfId="17071"/>
    <cellStyle name="Normal 19 17 2 2" xfId="44079"/>
    <cellStyle name="Normal 19 17 3" xfId="30575"/>
    <cellStyle name="Normal 19 18" xfId="2117"/>
    <cellStyle name="Normal 19 18 2" xfId="17163"/>
    <cellStyle name="Normal 19 18 2 2" xfId="44171"/>
    <cellStyle name="Normal 19 18 3" xfId="30667"/>
    <cellStyle name="Normal 19 19" xfId="2223"/>
    <cellStyle name="Normal 19 19 2" xfId="17255"/>
    <cellStyle name="Normal 19 19 2 2" xfId="44263"/>
    <cellStyle name="Normal 19 19 3" xfId="30759"/>
    <cellStyle name="Normal 19 2" xfId="341"/>
    <cellStyle name="Normal 19 2 2" xfId="15643"/>
    <cellStyle name="Normal 19 2 2 2" xfId="42651"/>
    <cellStyle name="Normal 19 2 3" xfId="29147"/>
    <cellStyle name="Normal 19 20" xfId="2329"/>
    <cellStyle name="Normal 19 20 2" xfId="17347"/>
    <cellStyle name="Normal 19 20 2 2" xfId="44355"/>
    <cellStyle name="Normal 19 20 3" xfId="30851"/>
    <cellStyle name="Normal 19 21" xfId="2435"/>
    <cellStyle name="Normal 19 21 2" xfId="17439"/>
    <cellStyle name="Normal 19 21 2 2" xfId="44447"/>
    <cellStyle name="Normal 19 21 3" xfId="30943"/>
    <cellStyle name="Normal 19 22" xfId="2541"/>
    <cellStyle name="Normal 19 22 2" xfId="17531"/>
    <cellStyle name="Normal 19 22 2 2" xfId="44539"/>
    <cellStyle name="Normal 19 22 3" xfId="31035"/>
    <cellStyle name="Normal 19 23" xfId="2647"/>
    <cellStyle name="Normal 19 23 2" xfId="17623"/>
    <cellStyle name="Normal 19 23 2 2" xfId="44631"/>
    <cellStyle name="Normal 19 23 3" xfId="31127"/>
    <cellStyle name="Normal 19 24" xfId="2753"/>
    <cellStyle name="Normal 19 24 2" xfId="17715"/>
    <cellStyle name="Normal 19 24 2 2" xfId="44723"/>
    <cellStyle name="Normal 19 24 3" xfId="31219"/>
    <cellStyle name="Normal 19 25" xfId="2859"/>
    <cellStyle name="Normal 19 25 2" xfId="17807"/>
    <cellStyle name="Normal 19 25 2 2" xfId="44815"/>
    <cellStyle name="Normal 19 25 3" xfId="31311"/>
    <cellStyle name="Normal 19 26" xfId="2965"/>
    <cellStyle name="Normal 19 26 2" xfId="17899"/>
    <cellStyle name="Normal 19 26 2 2" xfId="44907"/>
    <cellStyle name="Normal 19 26 3" xfId="31403"/>
    <cellStyle name="Normal 19 27" xfId="3071"/>
    <cellStyle name="Normal 19 27 2" xfId="17991"/>
    <cellStyle name="Normal 19 27 2 2" xfId="44999"/>
    <cellStyle name="Normal 19 27 3" xfId="31495"/>
    <cellStyle name="Normal 19 28" xfId="3177"/>
    <cellStyle name="Normal 19 28 2" xfId="18083"/>
    <cellStyle name="Normal 19 28 2 2" xfId="45091"/>
    <cellStyle name="Normal 19 28 3" xfId="31587"/>
    <cellStyle name="Normal 19 29" xfId="3283"/>
    <cellStyle name="Normal 19 29 2" xfId="18175"/>
    <cellStyle name="Normal 19 29 2 2" xfId="45183"/>
    <cellStyle name="Normal 19 29 3" xfId="31679"/>
    <cellStyle name="Normal 19 3" xfId="528"/>
    <cellStyle name="Normal 19 3 2" xfId="15784"/>
    <cellStyle name="Normal 19 3 2 2" xfId="42792"/>
    <cellStyle name="Normal 19 3 3" xfId="29288"/>
    <cellStyle name="Normal 19 30" xfId="3389"/>
    <cellStyle name="Normal 19 30 2" xfId="18267"/>
    <cellStyle name="Normal 19 30 2 2" xfId="45275"/>
    <cellStyle name="Normal 19 30 3" xfId="31771"/>
    <cellStyle name="Normal 19 31" xfId="3495"/>
    <cellStyle name="Normal 19 31 2" xfId="18359"/>
    <cellStyle name="Normal 19 31 2 2" xfId="45367"/>
    <cellStyle name="Normal 19 31 3" xfId="31863"/>
    <cellStyle name="Normal 19 32" xfId="3601"/>
    <cellStyle name="Normal 19 32 2" xfId="18451"/>
    <cellStyle name="Normal 19 32 2 2" xfId="45459"/>
    <cellStyle name="Normal 19 32 3" xfId="31955"/>
    <cellStyle name="Normal 19 33" xfId="3707"/>
    <cellStyle name="Normal 19 33 2" xfId="18543"/>
    <cellStyle name="Normal 19 33 2 2" xfId="45551"/>
    <cellStyle name="Normal 19 33 3" xfId="32047"/>
    <cellStyle name="Normal 19 34" xfId="3813"/>
    <cellStyle name="Normal 19 34 2" xfId="18635"/>
    <cellStyle name="Normal 19 34 2 2" xfId="45643"/>
    <cellStyle name="Normal 19 34 3" xfId="32139"/>
    <cellStyle name="Normal 19 35" xfId="3919"/>
    <cellStyle name="Normal 19 35 2" xfId="18727"/>
    <cellStyle name="Normal 19 35 2 2" xfId="45735"/>
    <cellStyle name="Normal 19 35 3" xfId="32231"/>
    <cellStyle name="Normal 19 36" xfId="4025"/>
    <cellStyle name="Normal 19 36 2" xfId="18819"/>
    <cellStyle name="Normal 19 36 2 2" xfId="45827"/>
    <cellStyle name="Normal 19 36 3" xfId="32323"/>
    <cellStyle name="Normal 19 37" xfId="4131"/>
    <cellStyle name="Normal 19 37 2" xfId="18911"/>
    <cellStyle name="Normal 19 37 2 2" xfId="45919"/>
    <cellStyle name="Normal 19 37 3" xfId="32415"/>
    <cellStyle name="Normal 19 38" xfId="4237"/>
    <cellStyle name="Normal 19 38 2" xfId="19003"/>
    <cellStyle name="Normal 19 38 2 2" xfId="46011"/>
    <cellStyle name="Normal 19 38 3" xfId="32507"/>
    <cellStyle name="Normal 19 39" xfId="4343"/>
    <cellStyle name="Normal 19 39 2" xfId="19095"/>
    <cellStyle name="Normal 19 39 2 2" xfId="46103"/>
    <cellStyle name="Normal 19 39 3" xfId="32599"/>
    <cellStyle name="Normal 19 4" xfId="633"/>
    <cellStyle name="Normal 19 4 2" xfId="15875"/>
    <cellStyle name="Normal 19 4 2 2" xfId="42883"/>
    <cellStyle name="Normal 19 4 3" xfId="29379"/>
    <cellStyle name="Normal 19 40" xfId="4449"/>
    <cellStyle name="Normal 19 40 2" xfId="19187"/>
    <cellStyle name="Normal 19 40 2 2" xfId="46195"/>
    <cellStyle name="Normal 19 40 3" xfId="32691"/>
    <cellStyle name="Normal 19 41" xfId="4555"/>
    <cellStyle name="Normal 19 41 2" xfId="19279"/>
    <cellStyle name="Normal 19 41 2 2" xfId="46287"/>
    <cellStyle name="Normal 19 41 3" xfId="32783"/>
    <cellStyle name="Normal 19 42" xfId="4661"/>
    <cellStyle name="Normal 19 42 2" xfId="19371"/>
    <cellStyle name="Normal 19 42 2 2" xfId="46379"/>
    <cellStyle name="Normal 19 42 3" xfId="32875"/>
    <cellStyle name="Normal 19 43" xfId="4767"/>
    <cellStyle name="Normal 19 43 2" xfId="19463"/>
    <cellStyle name="Normal 19 43 2 2" xfId="46471"/>
    <cellStyle name="Normal 19 43 3" xfId="32967"/>
    <cellStyle name="Normal 19 44" xfId="4873"/>
    <cellStyle name="Normal 19 44 2" xfId="19555"/>
    <cellStyle name="Normal 19 44 2 2" xfId="46563"/>
    <cellStyle name="Normal 19 44 3" xfId="33059"/>
    <cellStyle name="Normal 19 45" xfId="4979"/>
    <cellStyle name="Normal 19 45 2" xfId="19647"/>
    <cellStyle name="Normal 19 45 2 2" xfId="46655"/>
    <cellStyle name="Normal 19 45 3" xfId="33151"/>
    <cellStyle name="Normal 19 46" xfId="5085"/>
    <cellStyle name="Normal 19 46 2" xfId="19739"/>
    <cellStyle name="Normal 19 46 2 2" xfId="46747"/>
    <cellStyle name="Normal 19 46 3" xfId="33243"/>
    <cellStyle name="Normal 19 47" xfId="5191"/>
    <cellStyle name="Normal 19 47 2" xfId="19831"/>
    <cellStyle name="Normal 19 47 2 2" xfId="46839"/>
    <cellStyle name="Normal 19 47 3" xfId="33335"/>
    <cellStyle name="Normal 19 48" xfId="5297"/>
    <cellStyle name="Normal 19 48 2" xfId="19923"/>
    <cellStyle name="Normal 19 48 2 2" xfId="46931"/>
    <cellStyle name="Normal 19 48 3" xfId="33427"/>
    <cellStyle name="Normal 19 49" xfId="5403"/>
    <cellStyle name="Normal 19 49 2" xfId="20015"/>
    <cellStyle name="Normal 19 49 2 2" xfId="47023"/>
    <cellStyle name="Normal 19 49 3" xfId="33519"/>
    <cellStyle name="Normal 19 5" xfId="739"/>
    <cellStyle name="Normal 19 5 2" xfId="15967"/>
    <cellStyle name="Normal 19 5 2 2" xfId="42975"/>
    <cellStyle name="Normal 19 5 3" xfId="29471"/>
    <cellStyle name="Normal 19 50" xfId="5509"/>
    <cellStyle name="Normal 19 50 2" xfId="20107"/>
    <cellStyle name="Normal 19 50 2 2" xfId="47115"/>
    <cellStyle name="Normal 19 50 3" xfId="33611"/>
    <cellStyle name="Normal 19 51" xfId="5615"/>
    <cellStyle name="Normal 19 51 2" xfId="20199"/>
    <cellStyle name="Normal 19 51 2 2" xfId="47207"/>
    <cellStyle name="Normal 19 51 3" xfId="33703"/>
    <cellStyle name="Normal 19 52" xfId="5721"/>
    <cellStyle name="Normal 19 52 2" xfId="20291"/>
    <cellStyle name="Normal 19 52 2 2" xfId="47299"/>
    <cellStyle name="Normal 19 52 3" xfId="33795"/>
    <cellStyle name="Normal 19 53" xfId="5827"/>
    <cellStyle name="Normal 19 53 2" xfId="20383"/>
    <cellStyle name="Normal 19 53 2 2" xfId="47391"/>
    <cellStyle name="Normal 19 53 3" xfId="33887"/>
    <cellStyle name="Normal 19 54" xfId="5933"/>
    <cellStyle name="Normal 19 54 2" xfId="20475"/>
    <cellStyle name="Normal 19 54 2 2" xfId="47483"/>
    <cellStyle name="Normal 19 54 3" xfId="33979"/>
    <cellStyle name="Normal 19 55" xfId="6039"/>
    <cellStyle name="Normal 19 55 2" xfId="20567"/>
    <cellStyle name="Normal 19 55 2 2" xfId="47575"/>
    <cellStyle name="Normal 19 55 3" xfId="34071"/>
    <cellStyle name="Normal 19 56" xfId="6145"/>
    <cellStyle name="Normal 19 56 2" xfId="20659"/>
    <cellStyle name="Normal 19 56 2 2" xfId="47667"/>
    <cellStyle name="Normal 19 56 3" xfId="34163"/>
    <cellStyle name="Normal 19 57" xfId="6251"/>
    <cellStyle name="Normal 19 57 2" xfId="20751"/>
    <cellStyle name="Normal 19 57 2 2" xfId="47759"/>
    <cellStyle name="Normal 19 57 3" xfId="34255"/>
    <cellStyle name="Normal 19 58" xfId="6357"/>
    <cellStyle name="Normal 19 58 2" xfId="20843"/>
    <cellStyle name="Normal 19 58 2 2" xfId="47851"/>
    <cellStyle name="Normal 19 58 3" xfId="34347"/>
    <cellStyle name="Normal 19 59" xfId="6463"/>
    <cellStyle name="Normal 19 59 2" xfId="20935"/>
    <cellStyle name="Normal 19 59 2 2" xfId="47943"/>
    <cellStyle name="Normal 19 59 3" xfId="34439"/>
    <cellStyle name="Normal 19 6" xfId="845"/>
    <cellStyle name="Normal 19 6 2" xfId="16059"/>
    <cellStyle name="Normal 19 6 2 2" xfId="43067"/>
    <cellStyle name="Normal 19 6 3" xfId="29563"/>
    <cellStyle name="Normal 19 60" xfId="6569"/>
    <cellStyle name="Normal 19 60 2" xfId="21027"/>
    <cellStyle name="Normal 19 60 2 2" xfId="48035"/>
    <cellStyle name="Normal 19 60 3" xfId="34531"/>
    <cellStyle name="Normal 19 61" xfId="6674"/>
    <cellStyle name="Normal 19 61 2" xfId="21118"/>
    <cellStyle name="Normal 19 61 2 2" xfId="48126"/>
    <cellStyle name="Normal 19 61 3" xfId="34622"/>
    <cellStyle name="Normal 19 62" xfId="6779"/>
    <cellStyle name="Normal 19 62 2" xfId="21209"/>
    <cellStyle name="Normal 19 62 2 2" xfId="48217"/>
    <cellStyle name="Normal 19 62 3" xfId="34713"/>
    <cellStyle name="Normal 19 63" xfId="6884"/>
    <cellStyle name="Normal 19 63 2" xfId="21300"/>
    <cellStyle name="Normal 19 63 2 2" xfId="48308"/>
    <cellStyle name="Normal 19 63 3" xfId="34804"/>
    <cellStyle name="Normal 19 64" xfId="6989"/>
    <cellStyle name="Normal 19 64 2" xfId="21391"/>
    <cellStyle name="Normal 19 64 2 2" xfId="48399"/>
    <cellStyle name="Normal 19 64 3" xfId="34895"/>
    <cellStyle name="Normal 19 65" xfId="7093"/>
    <cellStyle name="Normal 19 65 2" xfId="21481"/>
    <cellStyle name="Normal 19 65 2 2" xfId="48489"/>
    <cellStyle name="Normal 19 65 3" xfId="34985"/>
    <cellStyle name="Normal 19 66" xfId="7197"/>
    <cellStyle name="Normal 19 66 2" xfId="21571"/>
    <cellStyle name="Normal 19 66 2 2" xfId="48579"/>
    <cellStyle name="Normal 19 66 3" xfId="35075"/>
    <cellStyle name="Normal 19 67" xfId="7300"/>
    <cellStyle name="Normal 19 67 2" xfId="21660"/>
    <cellStyle name="Normal 19 67 2 2" xfId="48668"/>
    <cellStyle name="Normal 19 67 3" xfId="35164"/>
    <cellStyle name="Normal 19 68" xfId="7400"/>
    <cellStyle name="Normal 19 68 2" xfId="21747"/>
    <cellStyle name="Normal 19 68 2 2" xfId="48755"/>
    <cellStyle name="Normal 19 68 3" xfId="35251"/>
    <cellStyle name="Normal 19 69" xfId="7498"/>
    <cellStyle name="Normal 19 69 2" xfId="21832"/>
    <cellStyle name="Normal 19 69 2 2" xfId="48840"/>
    <cellStyle name="Normal 19 69 3" xfId="35336"/>
    <cellStyle name="Normal 19 7" xfId="951"/>
    <cellStyle name="Normal 19 7 2" xfId="16151"/>
    <cellStyle name="Normal 19 7 2 2" xfId="43159"/>
    <cellStyle name="Normal 19 7 3" xfId="29655"/>
    <cellStyle name="Normal 19 70" xfId="7587"/>
    <cellStyle name="Normal 19 70 2" xfId="21910"/>
    <cellStyle name="Normal 19 70 2 2" xfId="48918"/>
    <cellStyle name="Normal 19 70 3" xfId="35414"/>
    <cellStyle name="Normal 19 71" xfId="7663"/>
    <cellStyle name="Normal 19 71 2" xfId="21979"/>
    <cellStyle name="Normal 19 71 2 2" xfId="48987"/>
    <cellStyle name="Normal 19 71 3" xfId="35483"/>
    <cellStyle name="Normal 19 72" xfId="7842"/>
    <cellStyle name="Normal 19 72 2" xfId="22132"/>
    <cellStyle name="Normal 19 72 2 2" xfId="49140"/>
    <cellStyle name="Normal 19 72 3" xfId="35636"/>
    <cellStyle name="Normal 19 73" xfId="7984"/>
    <cellStyle name="Normal 19 73 2" xfId="22260"/>
    <cellStyle name="Normal 19 73 2 2" xfId="49268"/>
    <cellStyle name="Normal 19 73 3" xfId="35764"/>
    <cellStyle name="Normal 19 74" xfId="8126"/>
    <cellStyle name="Normal 19 74 2" xfId="22388"/>
    <cellStyle name="Normal 19 74 2 2" xfId="49396"/>
    <cellStyle name="Normal 19 74 3" xfId="35892"/>
    <cellStyle name="Normal 19 75" xfId="8268"/>
    <cellStyle name="Normal 19 75 2" xfId="22516"/>
    <cellStyle name="Normal 19 75 2 2" xfId="49524"/>
    <cellStyle name="Normal 19 75 3" xfId="36020"/>
    <cellStyle name="Normal 19 76" xfId="8410"/>
    <cellStyle name="Normal 19 76 2" xfId="22644"/>
    <cellStyle name="Normal 19 76 2 2" xfId="49652"/>
    <cellStyle name="Normal 19 76 3" xfId="36148"/>
    <cellStyle name="Normal 19 77" xfId="8552"/>
    <cellStyle name="Normal 19 77 2" xfId="22772"/>
    <cellStyle name="Normal 19 77 2 2" xfId="49780"/>
    <cellStyle name="Normal 19 77 3" xfId="36276"/>
    <cellStyle name="Normal 19 78" xfId="8694"/>
    <cellStyle name="Normal 19 78 2" xfId="22900"/>
    <cellStyle name="Normal 19 78 2 2" xfId="49908"/>
    <cellStyle name="Normal 19 78 3" xfId="36404"/>
    <cellStyle name="Normal 19 79" xfId="8836"/>
    <cellStyle name="Normal 19 79 2" xfId="23028"/>
    <cellStyle name="Normal 19 79 2 2" xfId="50036"/>
    <cellStyle name="Normal 19 79 3" xfId="36532"/>
    <cellStyle name="Normal 19 8" xfId="1057"/>
    <cellStyle name="Normal 19 8 2" xfId="16243"/>
    <cellStyle name="Normal 19 8 2 2" xfId="43251"/>
    <cellStyle name="Normal 19 8 3" xfId="29747"/>
    <cellStyle name="Normal 19 80" xfId="8978"/>
    <cellStyle name="Normal 19 80 2" xfId="23156"/>
    <cellStyle name="Normal 19 80 2 2" xfId="50164"/>
    <cellStyle name="Normal 19 80 3" xfId="36660"/>
    <cellStyle name="Normal 19 81" xfId="9120"/>
    <cellStyle name="Normal 19 81 2" xfId="23284"/>
    <cellStyle name="Normal 19 81 2 2" xfId="50292"/>
    <cellStyle name="Normal 19 81 3" xfId="36788"/>
    <cellStyle name="Normal 19 82" xfId="9262"/>
    <cellStyle name="Normal 19 82 2" xfId="23412"/>
    <cellStyle name="Normal 19 82 2 2" xfId="50420"/>
    <cellStyle name="Normal 19 82 3" xfId="36916"/>
    <cellStyle name="Normal 19 83" xfId="9404"/>
    <cellStyle name="Normal 19 83 2" xfId="23540"/>
    <cellStyle name="Normal 19 83 2 2" xfId="50548"/>
    <cellStyle name="Normal 19 83 3" xfId="37044"/>
    <cellStyle name="Normal 19 84" xfId="9546"/>
    <cellStyle name="Normal 19 84 2" xfId="23668"/>
    <cellStyle name="Normal 19 84 2 2" xfId="50676"/>
    <cellStyle name="Normal 19 84 3" xfId="37172"/>
    <cellStyle name="Normal 19 85" xfId="9688"/>
    <cellStyle name="Normal 19 85 2" xfId="23796"/>
    <cellStyle name="Normal 19 85 2 2" xfId="50804"/>
    <cellStyle name="Normal 19 85 3" xfId="37300"/>
    <cellStyle name="Normal 19 86" xfId="9830"/>
    <cellStyle name="Normal 19 86 2" xfId="23924"/>
    <cellStyle name="Normal 19 86 2 2" xfId="50932"/>
    <cellStyle name="Normal 19 86 3" xfId="37428"/>
    <cellStyle name="Normal 19 87" xfId="9972"/>
    <cellStyle name="Normal 19 87 2" xfId="24052"/>
    <cellStyle name="Normal 19 87 2 2" xfId="51060"/>
    <cellStyle name="Normal 19 87 3" xfId="37556"/>
    <cellStyle name="Normal 19 88" xfId="10114"/>
    <cellStyle name="Normal 19 88 2" xfId="24180"/>
    <cellStyle name="Normal 19 88 2 2" xfId="51188"/>
    <cellStyle name="Normal 19 88 3" xfId="37684"/>
    <cellStyle name="Normal 19 89" xfId="10256"/>
    <cellStyle name="Normal 19 89 2" xfId="24308"/>
    <cellStyle name="Normal 19 89 2 2" xfId="51316"/>
    <cellStyle name="Normal 19 89 3" xfId="37812"/>
    <cellStyle name="Normal 19 9" xfId="1163"/>
    <cellStyle name="Normal 19 9 2" xfId="16335"/>
    <cellStyle name="Normal 19 9 2 2" xfId="43343"/>
    <cellStyle name="Normal 19 9 3" xfId="29839"/>
    <cellStyle name="Normal 19 90" xfId="10398"/>
    <cellStyle name="Normal 19 90 2" xfId="24436"/>
    <cellStyle name="Normal 19 90 2 2" xfId="51444"/>
    <cellStyle name="Normal 19 90 3" xfId="37940"/>
    <cellStyle name="Normal 19 91" xfId="10540"/>
    <cellStyle name="Normal 19 91 2" xfId="24564"/>
    <cellStyle name="Normal 19 91 2 2" xfId="51572"/>
    <cellStyle name="Normal 19 91 3" xfId="38068"/>
    <cellStyle name="Normal 19 92" xfId="10682"/>
    <cellStyle name="Normal 19 92 2" xfId="24692"/>
    <cellStyle name="Normal 19 92 2 2" xfId="51700"/>
    <cellStyle name="Normal 19 92 3" xfId="38196"/>
    <cellStyle name="Normal 19 93" xfId="10824"/>
    <cellStyle name="Normal 19 93 2" xfId="24820"/>
    <cellStyle name="Normal 19 93 2 2" xfId="51828"/>
    <cellStyle name="Normal 19 93 3" xfId="38324"/>
    <cellStyle name="Normal 19 94" xfId="10966"/>
    <cellStyle name="Normal 19 94 2" xfId="24948"/>
    <cellStyle name="Normal 19 94 2 2" xfId="51956"/>
    <cellStyle name="Normal 19 94 3" xfId="38452"/>
    <cellStyle name="Normal 19 95" xfId="11108"/>
    <cellStyle name="Normal 19 95 2" xfId="25076"/>
    <cellStyle name="Normal 19 95 2 2" xfId="52084"/>
    <cellStyle name="Normal 19 95 3" xfId="38580"/>
    <cellStyle name="Normal 19 96" xfId="11250"/>
    <cellStyle name="Normal 19 96 2" xfId="25204"/>
    <cellStyle name="Normal 19 96 2 2" xfId="52212"/>
    <cellStyle name="Normal 19 96 3" xfId="38708"/>
    <cellStyle name="Normal 19 97" xfId="11392"/>
    <cellStyle name="Normal 19 97 2" xfId="25332"/>
    <cellStyle name="Normal 19 97 2 2" xfId="52340"/>
    <cellStyle name="Normal 19 97 3" xfId="38836"/>
    <cellStyle name="Normal 19 98" xfId="11534"/>
    <cellStyle name="Normal 19 98 2" xfId="25460"/>
    <cellStyle name="Normal 19 98 2 2" xfId="52468"/>
    <cellStyle name="Normal 19 98 3" xfId="38964"/>
    <cellStyle name="Normal 19 99" xfId="11676"/>
    <cellStyle name="Normal 19 99 2" xfId="25588"/>
    <cellStyle name="Normal 19 99 2 2" xfId="52596"/>
    <cellStyle name="Normal 19 99 3" xfId="39092"/>
    <cellStyle name="Normal 190" xfId="56062"/>
    <cellStyle name="Normal 191" xfId="56065"/>
    <cellStyle name="Normal 192" xfId="56071"/>
    <cellStyle name="Normal 193" xfId="56074"/>
    <cellStyle name="Normal 194" xfId="56077"/>
    <cellStyle name="Normal 195" xfId="56080"/>
    <cellStyle name="Normal 196" xfId="56083"/>
    <cellStyle name="Normal 197" xfId="56086"/>
    <cellStyle name="Normal 198" xfId="56089"/>
    <cellStyle name="Normal 199" xfId="56092"/>
    <cellStyle name="Normal 2" xfId="94"/>
    <cellStyle name="Normal 2 2" xfId="274"/>
    <cellStyle name="Normal 2 3" xfId="412"/>
    <cellStyle name="Normal 20" xfId="165"/>
    <cellStyle name="Normal 20 10" xfId="1270"/>
    <cellStyle name="Normal 20 10 2" xfId="16428"/>
    <cellStyle name="Normal 20 10 2 2" xfId="43436"/>
    <cellStyle name="Normal 20 10 3" xfId="29932"/>
    <cellStyle name="Normal 20 100" xfId="11819"/>
    <cellStyle name="Normal 20 100 2" xfId="25717"/>
    <cellStyle name="Normal 20 100 2 2" xfId="52725"/>
    <cellStyle name="Normal 20 100 3" xfId="39221"/>
    <cellStyle name="Normal 20 101" xfId="11961"/>
    <cellStyle name="Normal 20 101 2" xfId="25845"/>
    <cellStyle name="Normal 20 101 2 2" xfId="52853"/>
    <cellStyle name="Normal 20 101 3" xfId="39349"/>
    <cellStyle name="Normal 20 102" xfId="12103"/>
    <cellStyle name="Normal 20 102 2" xfId="25973"/>
    <cellStyle name="Normal 20 102 2 2" xfId="52981"/>
    <cellStyle name="Normal 20 102 3" xfId="39477"/>
    <cellStyle name="Normal 20 103" xfId="12245"/>
    <cellStyle name="Normal 20 103 2" xfId="26101"/>
    <cellStyle name="Normal 20 103 2 2" xfId="53109"/>
    <cellStyle name="Normal 20 103 3" xfId="39605"/>
    <cellStyle name="Normal 20 104" xfId="12387"/>
    <cellStyle name="Normal 20 104 2" xfId="26229"/>
    <cellStyle name="Normal 20 104 2 2" xfId="53237"/>
    <cellStyle name="Normal 20 104 3" xfId="39733"/>
    <cellStyle name="Normal 20 105" xfId="12529"/>
    <cellStyle name="Normal 20 105 2" xfId="26357"/>
    <cellStyle name="Normal 20 105 2 2" xfId="53365"/>
    <cellStyle name="Normal 20 105 3" xfId="39861"/>
    <cellStyle name="Normal 20 106" xfId="12671"/>
    <cellStyle name="Normal 20 106 2" xfId="26485"/>
    <cellStyle name="Normal 20 106 2 2" xfId="53493"/>
    <cellStyle name="Normal 20 106 3" xfId="39989"/>
    <cellStyle name="Normal 20 107" xfId="12813"/>
    <cellStyle name="Normal 20 107 2" xfId="26613"/>
    <cellStyle name="Normal 20 107 2 2" xfId="53621"/>
    <cellStyle name="Normal 20 107 3" xfId="40117"/>
    <cellStyle name="Normal 20 108" xfId="12955"/>
    <cellStyle name="Normal 20 108 2" xfId="26741"/>
    <cellStyle name="Normal 20 108 2 2" xfId="53749"/>
    <cellStyle name="Normal 20 108 3" xfId="40245"/>
    <cellStyle name="Normal 20 109" xfId="13097"/>
    <cellStyle name="Normal 20 109 2" xfId="26869"/>
    <cellStyle name="Normal 20 109 2 2" xfId="53877"/>
    <cellStyle name="Normal 20 109 3" xfId="40373"/>
    <cellStyle name="Normal 20 11" xfId="1376"/>
    <cellStyle name="Normal 20 11 2" xfId="16520"/>
    <cellStyle name="Normal 20 11 2 2" xfId="43528"/>
    <cellStyle name="Normal 20 11 3" xfId="30024"/>
    <cellStyle name="Normal 20 110" xfId="13239"/>
    <cellStyle name="Normal 20 110 2" xfId="26997"/>
    <cellStyle name="Normal 20 110 2 2" xfId="54005"/>
    <cellStyle name="Normal 20 110 3" xfId="40501"/>
    <cellStyle name="Normal 20 111" xfId="13381"/>
    <cellStyle name="Normal 20 111 2" xfId="27125"/>
    <cellStyle name="Normal 20 111 2 2" xfId="54133"/>
    <cellStyle name="Normal 20 111 3" xfId="40629"/>
    <cellStyle name="Normal 20 112" xfId="13523"/>
    <cellStyle name="Normal 20 112 2" xfId="27253"/>
    <cellStyle name="Normal 20 112 2 2" xfId="54261"/>
    <cellStyle name="Normal 20 112 3" xfId="40757"/>
    <cellStyle name="Normal 20 113" xfId="13665"/>
    <cellStyle name="Normal 20 113 2" xfId="27381"/>
    <cellStyle name="Normal 20 113 2 2" xfId="54389"/>
    <cellStyle name="Normal 20 113 3" xfId="40885"/>
    <cellStyle name="Normal 20 114" xfId="13807"/>
    <cellStyle name="Normal 20 114 2" xfId="27509"/>
    <cellStyle name="Normal 20 114 2 2" xfId="54517"/>
    <cellStyle name="Normal 20 114 3" xfId="41013"/>
    <cellStyle name="Normal 20 115" xfId="13948"/>
    <cellStyle name="Normal 20 115 2" xfId="27636"/>
    <cellStyle name="Normal 20 115 2 2" xfId="54644"/>
    <cellStyle name="Normal 20 115 3" xfId="41140"/>
    <cellStyle name="Normal 20 116" xfId="14089"/>
    <cellStyle name="Normal 20 116 2" xfId="27763"/>
    <cellStyle name="Normal 20 116 2 2" xfId="54771"/>
    <cellStyle name="Normal 20 116 3" xfId="41267"/>
    <cellStyle name="Normal 20 117" xfId="14230"/>
    <cellStyle name="Normal 20 117 2" xfId="27890"/>
    <cellStyle name="Normal 20 117 2 2" xfId="54898"/>
    <cellStyle name="Normal 20 117 3" xfId="41394"/>
    <cellStyle name="Normal 20 118" xfId="14371"/>
    <cellStyle name="Normal 20 118 2" xfId="28017"/>
    <cellStyle name="Normal 20 118 2 2" xfId="55025"/>
    <cellStyle name="Normal 20 118 3" xfId="41521"/>
    <cellStyle name="Normal 20 119" xfId="14511"/>
    <cellStyle name="Normal 20 119 2" xfId="28143"/>
    <cellStyle name="Normal 20 119 2 2" xfId="55151"/>
    <cellStyle name="Normal 20 119 3" xfId="41647"/>
    <cellStyle name="Normal 20 12" xfId="1482"/>
    <cellStyle name="Normal 20 12 2" xfId="16612"/>
    <cellStyle name="Normal 20 12 2 2" xfId="43620"/>
    <cellStyle name="Normal 20 12 3" xfId="30116"/>
    <cellStyle name="Normal 20 120" xfId="14651"/>
    <cellStyle name="Normal 20 120 2" xfId="28269"/>
    <cellStyle name="Normal 20 120 2 2" xfId="55277"/>
    <cellStyle name="Normal 20 120 3" xfId="41773"/>
    <cellStyle name="Normal 20 121" xfId="14790"/>
    <cellStyle name="Normal 20 121 2" xfId="28394"/>
    <cellStyle name="Normal 20 121 2 2" xfId="55402"/>
    <cellStyle name="Normal 20 121 3" xfId="41898"/>
    <cellStyle name="Normal 20 122" xfId="14925"/>
    <cellStyle name="Normal 20 122 2" xfId="28516"/>
    <cellStyle name="Normal 20 122 2 2" xfId="55524"/>
    <cellStyle name="Normal 20 122 3" xfId="42020"/>
    <cellStyle name="Normal 20 123" xfId="15059"/>
    <cellStyle name="Normal 20 123 2" xfId="28637"/>
    <cellStyle name="Normal 20 123 2 2" xfId="55645"/>
    <cellStyle name="Normal 20 123 3" xfId="42141"/>
    <cellStyle name="Normal 20 124" xfId="15186"/>
    <cellStyle name="Normal 20 124 2" xfId="28753"/>
    <cellStyle name="Normal 20 124 2 2" xfId="55761"/>
    <cellStyle name="Normal 20 124 3" xfId="42257"/>
    <cellStyle name="Normal 20 125" xfId="15306"/>
    <cellStyle name="Normal 20 125 2" xfId="28866"/>
    <cellStyle name="Normal 20 125 2 2" xfId="55874"/>
    <cellStyle name="Normal 20 125 3" xfId="42370"/>
    <cellStyle name="Normal 20 126" xfId="15521"/>
    <cellStyle name="Normal 20 126 2" xfId="42529"/>
    <cellStyle name="Normal 20 127" xfId="29025"/>
    <cellStyle name="Normal 20 13" xfId="1588"/>
    <cellStyle name="Normal 20 13 2" xfId="16704"/>
    <cellStyle name="Normal 20 13 2 2" xfId="43712"/>
    <cellStyle name="Normal 20 13 3" xfId="30208"/>
    <cellStyle name="Normal 20 14" xfId="1694"/>
    <cellStyle name="Normal 20 14 2" xfId="16796"/>
    <cellStyle name="Normal 20 14 2 2" xfId="43804"/>
    <cellStyle name="Normal 20 14 3" xfId="30300"/>
    <cellStyle name="Normal 20 15" xfId="1800"/>
    <cellStyle name="Normal 20 15 2" xfId="16888"/>
    <cellStyle name="Normal 20 15 2 2" xfId="43896"/>
    <cellStyle name="Normal 20 15 3" xfId="30392"/>
    <cellStyle name="Normal 20 16" xfId="1906"/>
    <cellStyle name="Normal 20 16 2" xfId="16980"/>
    <cellStyle name="Normal 20 16 2 2" xfId="43988"/>
    <cellStyle name="Normal 20 16 3" xfId="30484"/>
    <cellStyle name="Normal 20 17" xfId="2012"/>
    <cellStyle name="Normal 20 17 2" xfId="17072"/>
    <cellStyle name="Normal 20 17 2 2" xfId="44080"/>
    <cellStyle name="Normal 20 17 3" xfId="30576"/>
    <cellStyle name="Normal 20 18" xfId="2118"/>
    <cellStyle name="Normal 20 18 2" xfId="17164"/>
    <cellStyle name="Normal 20 18 2 2" xfId="44172"/>
    <cellStyle name="Normal 20 18 3" xfId="30668"/>
    <cellStyle name="Normal 20 19" xfId="2224"/>
    <cellStyle name="Normal 20 19 2" xfId="17256"/>
    <cellStyle name="Normal 20 19 2 2" xfId="44264"/>
    <cellStyle name="Normal 20 19 3" xfId="30760"/>
    <cellStyle name="Normal 20 2" xfId="342"/>
    <cellStyle name="Normal 20 2 2" xfId="15644"/>
    <cellStyle name="Normal 20 2 2 2" xfId="42652"/>
    <cellStyle name="Normal 20 2 3" xfId="29148"/>
    <cellStyle name="Normal 20 20" xfId="2330"/>
    <cellStyle name="Normal 20 20 2" xfId="17348"/>
    <cellStyle name="Normal 20 20 2 2" xfId="44356"/>
    <cellStyle name="Normal 20 20 3" xfId="30852"/>
    <cellStyle name="Normal 20 21" xfId="2436"/>
    <cellStyle name="Normal 20 21 2" xfId="17440"/>
    <cellStyle name="Normal 20 21 2 2" xfId="44448"/>
    <cellStyle name="Normal 20 21 3" xfId="30944"/>
    <cellStyle name="Normal 20 22" xfId="2542"/>
    <cellStyle name="Normal 20 22 2" xfId="17532"/>
    <cellStyle name="Normal 20 22 2 2" xfId="44540"/>
    <cellStyle name="Normal 20 22 3" xfId="31036"/>
    <cellStyle name="Normal 20 23" xfId="2648"/>
    <cellStyle name="Normal 20 23 2" xfId="17624"/>
    <cellStyle name="Normal 20 23 2 2" xfId="44632"/>
    <cellStyle name="Normal 20 23 3" xfId="31128"/>
    <cellStyle name="Normal 20 24" xfId="2754"/>
    <cellStyle name="Normal 20 24 2" xfId="17716"/>
    <cellStyle name="Normal 20 24 2 2" xfId="44724"/>
    <cellStyle name="Normal 20 24 3" xfId="31220"/>
    <cellStyle name="Normal 20 25" xfId="2860"/>
    <cellStyle name="Normal 20 25 2" xfId="17808"/>
    <cellStyle name="Normal 20 25 2 2" xfId="44816"/>
    <cellStyle name="Normal 20 25 3" xfId="31312"/>
    <cellStyle name="Normal 20 26" xfId="2966"/>
    <cellStyle name="Normal 20 26 2" xfId="17900"/>
    <cellStyle name="Normal 20 26 2 2" xfId="44908"/>
    <cellStyle name="Normal 20 26 3" xfId="31404"/>
    <cellStyle name="Normal 20 27" xfId="3072"/>
    <cellStyle name="Normal 20 27 2" xfId="17992"/>
    <cellStyle name="Normal 20 27 2 2" xfId="45000"/>
    <cellStyle name="Normal 20 27 3" xfId="31496"/>
    <cellStyle name="Normal 20 28" xfId="3178"/>
    <cellStyle name="Normal 20 28 2" xfId="18084"/>
    <cellStyle name="Normal 20 28 2 2" xfId="45092"/>
    <cellStyle name="Normal 20 28 3" xfId="31588"/>
    <cellStyle name="Normal 20 29" xfId="3284"/>
    <cellStyle name="Normal 20 29 2" xfId="18176"/>
    <cellStyle name="Normal 20 29 2 2" xfId="45184"/>
    <cellStyle name="Normal 20 29 3" xfId="31680"/>
    <cellStyle name="Normal 20 3" xfId="529"/>
    <cellStyle name="Normal 20 3 2" xfId="15785"/>
    <cellStyle name="Normal 20 3 2 2" xfId="42793"/>
    <cellStyle name="Normal 20 3 3" xfId="29289"/>
    <cellStyle name="Normal 20 30" xfId="3390"/>
    <cellStyle name="Normal 20 30 2" xfId="18268"/>
    <cellStyle name="Normal 20 30 2 2" xfId="45276"/>
    <cellStyle name="Normal 20 30 3" xfId="31772"/>
    <cellStyle name="Normal 20 31" xfId="3496"/>
    <cellStyle name="Normal 20 31 2" xfId="18360"/>
    <cellStyle name="Normal 20 31 2 2" xfId="45368"/>
    <cellStyle name="Normal 20 31 3" xfId="31864"/>
    <cellStyle name="Normal 20 32" xfId="3602"/>
    <cellStyle name="Normal 20 32 2" xfId="18452"/>
    <cellStyle name="Normal 20 32 2 2" xfId="45460"/>
    <cellStyle name="Normal 20 32 3" xfId="31956"/>
    <cellStyle name="Normal 20 33" xfId="3708"/>
    <cellStyle name="Normal 20 33 2" xfId="18544"/>
    <cellStyle name="Normal 20 33 2 2" xfId="45552"/>
    <cellStyle name="Normal 20 33 3" xfId="32048"/>
    <cellStyle name="Normal 20 34" xfId="3814"/>
    <cellStyle name="Normal 20 34 2" xfId="18636"/>
    <cellStyle name="Normal 20 34 2 2" xfId="45644"/>
    <cellStyle name="Normal 20 34 3" xfId="32140"/>
    <cellStyle name="Normal 20 35" xfId="3920"/>
    <cellStyle name="Normal 20 35 2" xfId="18728"/>
    <cellStyle name="Normal 20 35 2 2" xfId="45736"/>
    <cellStyle name="Normal 20 35 3" xfId="32232"/>
    <cellStyle name="Normal 20 36" xfId="4026"/>
    <cellStyle name="Normal 20 36 2" xfId="18820"/>
    <cellStyle name="Normal 20 36 2 2" xfId="45828"/>
    <cellStyle name="Normal 20 36 3" xfId="32324"/>
    <cellStyle name="Normal 20 37" xfId="4132"/>
    <cellStyle name="Normal 20 37 2" xfId="18912"/>
    <cellStyle name="Normal 20 37 2 2" xfId="45920"/>
    <cellStyle name="Normal 20 37 3" xfId="32416"/>
    <cellStyle name="Normal 20 38" xfId="4238"/>
    <cellStyle name="Normal 20 38 2" xfId="19004"/>
    <cellStyle name="Normal 20 38 2 2" xfId="46012"/>
    <cellStyle name="Normal 20 38 3" xfId="32508"/>
    <cellStyle name="Normal 20 39" xfId="4344"/>
    <cellStyle name="Normal 20 39 2" xfId="19096"/>
    <cellStyle name="Normal 20 39 2 2" xfId="46104"/>
    <cellStyle name="Normal 20 39 3" xfId="32600"/>
    <cellStyle name="Normal 20 4" xfId="634"/>
    <cellStyle name="Normal 20 4 2" xfId="15876"/>
    <cellStyle name="Normal 20 4 2 2" xfId="42884"/>
    <cellStyle name="Normal 20 4 3" xfId="29380"/>
    <cellStyle name="Normal 20 40" xfId="4450"/>
    <cellStyle name="Normal 20 40 2" xfId="19188"/>
    <cellStyle name="Normal 20 40 2 2" xfId="46196"/>
    <cellStyle name="Normal 20 40 3" xfId="32692"/>
    <cellStyle name="Normal 20 41" xfId="4556"/>
    <cellStyle name="Normal 20 41 2" xfId="19280"/>
    <cellStyle name="Normal 20 41 2 2" xfId="46288"/>
    <cellStyle name="Normal 20 41 3" xfId="32784"/>
    <cellStyle name="Normal 20 42" xfId="4662"/>
    <cellStyle name="Normal 20 42 2" xfId="19372"/>
    <cellStyle name="Normal 20 42 2 2" xfId="46380"/>
    <cellStyle name="Normal 20 42 3" xfId="32876"/>
    <cellStyle name="Normal 20 43" xfId="4768"/>
    <cellStyle name="Normal 20 43 2" xfId="19464"/>
    <cellStyle name="Normal 20 43 2 2" xfId="46472"/>
    <cellStyle name="Normal 20 43 3" xfId="32968"/>
    <cellStyle name="Normal 20 44" xfId="4874"/>
    <cellStyle name="Normal 20 44 2" xfId="19556"/>
    <cellStyle name="Normal 20 44 2 2" xfId="46564"/>
    <cellStyle name="Normal 20 44 3" xfId="33060"/>
    <cellStyle name="Normal 20 45" xfId="4980"/>
    <cellStyle name="Normal 20 45 2" xfId="19648"/>
    <cellStyle name="Normal 20 45 2 2" xfId="46656"/>
    <cellStyle name="Normal 20 45 3" xfId="33152"/>
    <cellStyle name="Normal 20 46" xfId="5086"/>
    <cellStyle name="Normal 20 46 2" xfId="19740"/>
    <cellStyle name="Normal 20 46 2 2" xfId="46748"/>
    <cellStyle name="Normal 20 46 3" xfId="33244"/>
    <cellStyle name="Normal 20 47" xfId="5192"/>
    <cellStyle name="Normal 20 47 2" xfId="19832"/>
    <cellStyle name="Normal 20 47 2 2" xfId="46840"/>
    <cellStyle name="Normal 20 47 3" xfId="33336"/>
    <cellStyle name="Normal 20 48" xfId="5298"/>
    <cellStyle name="Normal 20 48 2" xfId="19924"/>
    <cellStyle name="Normal 20 48 2 2" xfId="46932"/>
    <cellStyle name="Normal 20 48 3" xfId="33428"/>
    <cellStyle name="Normal 20 49" xfId="5404"/>
    <cellStyle name="Normal 20 49 2" xfId="20016"/>
    <cellStyle name="Normal 20 49 2 2" xfId="47024"/>
    <cellStyle name="Normal 20 49 3" xfId="33520"/>
    <cellStyle name="Normal 20 5" xfId="740"/>
    <cellStyle name="Normal 20 5 2" xfId="15968"/>
    <cellStyle name="Normal 20 5 2 2" xfId="42976"/>
    <cellStyle name="Normal 20 5 3" xfId="29472"/>
    <cellStyle name="Normal 20 50" xfId="5510"/>
    <cellStyle name="Normal 20 50 2" xfId="20108"/>
    <cellStyle name="Normal 20 50 2 2" xfId="47116"/>
    <cellStyle name="Normal 20 50 3" xfId="33612"/>
    <cellStyle name="Normal 20 51" xfId="5616"/>
    <cellStyle name="Normal 20 51 2" xfId="20200"/>
    <cellStyle name="Normal 20 51 2 2" xfId="47208"/>
    <cellStyle name="Normal 20 51 3" xfId="33704"/>
    <cellStyle name="Normal 20 52" xfId="5722"/>
    <cellStyle name="Normal 20 52 2" xfId="20292"/>
    <cellStyle name="Normal 20 52 2 2" xfId="47300"/>
    <cellStyle name="Normal 20 52 3" xfId="33796"/>
    <cellStyle name="Normal 20 53" xfId="5828"/>
    <cellStyle name="Normal 20 53 2" xfId="20384"/>
    <cellStyle name="Normal 20 53 2 2" xfId="47392"/>
    <cellStyle name="Normal 20 53 3" xfId="33888"/>
    <cellStyle name="Normal 20 54" xfId="5934"/>
    <cellStyle name="Normal 20 54 2" xfId="20476"/>
    <cellStyle name="Normal 20 54 2 2" xfId="47484"/>
    <cellStyle name="Normal 20 54 3" xfId="33980"/>
    <cellStyle name="Normal 20 55" xfId="6040"/>
    <cellStyle name="Normal 20 55 2" xfId="20568"/>
    <cellStyle name="Normal 20 55 2 2" xfId="47576"/>
    <cellStyle name="Normal 20 55 3" xfId="34072"/>
    <cellStyle name="Normal 20 56" xfId="6146"/>
    <cellStyle name="Normal 20 56 2" xfId="20660"/>
    <cellStyle name="Normal 20 56 2 2" xfId="47668"/>
    <cellStyle name="Normal 20 56 3" xfId="34164"/>
    <cellStyle name="Normal 20 57" xfId="6252"/>
    <cellStyle name="Normal 20 57 2" xfId="20752"/>
    <cellStyle name="Normal 20 57 2 2" xfId="47760"/>
    <cellStyle name="Normal 20 57 3" xfId="34256"/>
    <cellStyle name="Normal 20 58" xfId="6358"/>
    <cellStyle name="Normal 20 58 2" xfId="20844"/>
    <cellStyle name="Normal 20 58 2 2" xfId="47852"/>
    <cellStyle name="Normal 20 58 3" xfId="34348"/>
    <cellStyle name="Normal 20 59" xfId="6464"/>
    <cellStyle name="Normal 20 59 2" xfId="20936"/>
    <cellStyle name="Normal 20 59 2 2" xfId="47944"/>
    <cellStyle name="Normal 20 59 3" xfId="34440"/>
    <cellStyle name="Normal 20 6" xfId="846"/>
    <cellStyle name="Normal 20 6 2" xfId="16060"/>
    <cellStyle name="Normal 20 6 2 2" xfId="43068"/>
    <cellStyle name="Normal 20 6 3" xfId="29564"/>
    <cellStyle name="Normal 20 60" xfId="6570"/>
    <cellStyle name="Normal 20 60 2" xfId="21028"/>
    <cellStyle name="Normal 20 60 2 2" xfId="48036"/>
    <cellStyle name="Normal 20 60 3" xfId="34532"/>
    <cellStyle name="Normal 20 61" xfId="6675"/>
    <cellStyle name="Normal 20 61 2" xfId="21119"/>
    <cellStyle name="Normal 20 61 2 2" xfId="48127"/>
    <cellStyle name="Normal 20 61 3" xfId="34623"/>
    <cellStyle name="Normal 20 62" xfId="6780"/>
    <cellStyle name="Normal 20 62 2" xfId="21210"/>
    <cellStyle name="Normal 20 62 2 2" xfId="48218"/>
    <cellStyle name="Normal 20 62 3" xfId="34714"/>
    <cellStyle name="Normal 20 63" xfId="6885"/>
    <cellStyle name="Normal 20 63 2" xfId="21301"/>
    <cellStyle name="Normal 20 63 2 2" xfId="48309"/>
    <cellStyle name="Normal 20 63 3" xfId="34805"/>
    <cellStyle name="Normal 20 64" xfId="6990"/>
    <cellStyle name="Normal 20 64 2" xfId="21392"/>
    <cellStyle name="Normal 20 64 2 2" xfId="48400"/>
    <cellStyle name="Normal 20 64 3" xfId="34896"/>
    <cellStyle name="Normal 20 65" xfId="7094"/>
    <cellStyle name="Normal 20 65 2" xfId="21482"/>
    <cellStyle name="Normal 20 65 2 2" xfId="48490"/>
    <cellStyle name="Normal 20 65 3" xfId="34986"/>
    <cellStyle name="Normal 20 66" xfId="7198"/>
    <cellStyle name="Normal 20 66 2" xfId="21572"/>
    <cellStyle name="Normal 20 66 2 2" xfId="48580"/>
    <cellStyle name="Normal 20 66 3" xfId="35076"/>
    <cellStyle name="Normal 20 67" xfId="7301"/>
    <cellStyle name="Normal 20 67 2" xfId="21661"/>
    <cellStyle name="Normal 20 67 2 2" xfId="48669"/>
    <cellStyle name="Normal 20 67 3" xfId="35165"/>
    <cellStyle name="Normal 20 68" xfId="7401"/>
    <cellStyle name="Normal 20 68 2" xfId="21748"/>
    <cellStyle name="Normal 20 68 2 2" xfId="48756"/>
    <cellStyle name="Normal 20 68 3" xfId="35252"/>
    <cellStyle name="Normal 20 69" xfId="7499"/>
    <cellStyle name="Normal 20 69 2" xfId="21833"/>
    <cellStyle name="Normal 20 69 2 2" xfId="48841"/>
    <cellStyle name="Normal 20 69 3" xfId="35337"/>
    <cellStyle name="Normal 20 7" xfId="952"/>
    <cellStyle name="Normal 20 7 2" xfId="16152"/>
    <cellStyle name="Normal 20 7 2 2" xfId="43160"/>
    <cellStyle name="Normal 20 7 3" xfId="29656"/>
    <cellStyle name="Normal 20 70" xfId="7588"/>
    <cellStyle name="Normal 20 70 2" xfId="21911"/>
    <cellStyle name="Normal 20 70 2 2" xfId="48919"/>
    <cellStyle name="Normal 20 70 3" xfId="35415"/>
    <cellStyle name="Normal 20 71" xfId="7664"/>
    <cellStyle name="Normal 20 71 2" xfId="21980"/>
    <cellStyle name="Normal 20 71 2 2" xfId="48988"/>
    <cellStyle name="Normal 20 71 3" xfId="35484"/>
    <cellStyle name="Normal 20 72" xfId="7843"/>
    <cellStyle name="Normal 20 72 2" xfId="22133"/>
    <cellStyle name="Normal 20 72 2 2" xfId="49141"/>
    <cellStyle name="Normal 20 72 3" xfId="35637"/>
    <cellStyle name="Normal 20 73" xfId="7985"/>
    <cellStyle name="Normal 20 73 2" xfId="22261"/>
    <cellStyle name="Normal 20 73 2 2" xfId="49269"/>
    <cellStyle name="Normal 20 73 3" xfId="35765"/>
    <cellStyle name="Normal 20 74" xfId="8127"/>
    <cellStyle name="Normal 20 74 2" xfId="22389"/>
    <cellStyle name="Normal 20 74 2 2" xfId="49397"/>
    <cellStyle name="Normal 20 74 3" xfId="35893"/>
    <cellStyle name="Normal 20 75" xfId="8269"/>
    <cellStyle name="Normal 20 75 2" xfId="22517"/>
    <cellStyle name="Normal 20 75 2 2" xfId="49525"/>
    <cellStyle name="Normal 20 75 3" xfId="36021"/>
    <cellStyle name="Normal 20 76" xfId="8411"/>
    <cellStyle name="Normal 20 76 2" xfId="22645"/>
    <cellStyle name="Normal 20 76 2 2" xfId="49653"/>
    <cellStyle name="Normal 20 76 3" xfId="36149"/>
    <cellStyle name="Normal 20 77" xfId="8553"/>
    <cellStyle name="Normal 20 77 2" xfId="22773"/>
    <cellStyle name="Normal 20 77 2 2" xfId="49781"/>
    <cellStyle name="Normal 20 77 3" xfId="36277"/>
    <cellStyle name="Normal 20 78" xfId="8695"/>
    <cellStyle name="Normal 20 78 2" xfId="22901"/>
    <cellStyle name="Normal 20 78 2 2" xfId="49909"/>
    <cellStyle name="Normal 20 78 3" xfId="36405"/>
    <cellStyle name="Normal 20 79" xfId="8837"/>
    <cellStyle name="Normal 20 79 2" xfId="23029"/>
    <cellStyle name="Normal 20 79 2 2" xfId="50037"/>
    <cellStyle name="Normal 20 79 3" xfId="36533"/>
    <cellStyle name="Normal 20 8" xfId="1058"/>
    <cellStyle name="Normal 20 8 2" xfId="16244"/>
    <cellStyle name="Normal 20 8 2 2" xfId="43252"/>
    <cellStyle name="Normal 20 8 3" xfId="29748"/>
    <cellStyle name="Normal 20 80" xfId="8979"/>
    <cellStyle name="Normal 20 80 2" xfId="23157"/>
    <cellStyle name="Normal 20 80 2 2" xfId="50165"/>
    <cellStyle name="Normal 20 80 3" xfId="36661"/>
    <cellStyle name="Normal 20 81" xfId="9121"/>
    <cellStyle name="Normal 20 81 2" xfId="23285"/>
    <cellStyle name="Normal 20 81 2 2" xfId="50293"/>
    <cellStyle name="Normal 20 81 3" xfId="36789"/>
    <cellStyle name="Normal 20 82" xfId="9263"/>
    <cellStyle name="Normal 20 82 2" xfId="23413"/>
    <cellStyle name="Normal 20 82 2 2" xfId="50421"/>
    <cellStyle name="Normal 20 82 3" xfId="36917"/>
    <cellStyle name="Normal 20 83" xfId="9405"/>
    <cellStyle name="Normal 20 83 2" xfId="23541"/>
    <cellStyle name="Normal 20 83 2 2" xfId="50549"/>
    <cellStyle name="Normal 20 83 3" xfId="37045"/>
    <cellStyle name="Normal 20 84" xfId="9547"/>
    <cellStyle name="Normal 20 84 2" xfId="23669"/>
    <cellStyle name="Normal 20 84 2 2" xfId="50677"/>
    <cellStyle name="Normal 20 84 3" xfId="37173"/>
    <cellStyle name="Normal 20 85" xfId="9689"/>
    <cellStyle name="Normal 20 85 2" xfId="23797"/>
    <cellStyle name="Normal 20 85 2 2" xfId="50805"/>
    <cellStyle name="Normal 20 85 3" xfId="37301"/>
    <cellStyle name="Normal 20 86" xfId="9831"/>
    <cellStyle name="Normal 20 86 2" xfId="23925"/>
    <cellStyle name="Normal 20 86 2 2" xfId="50933"/>
    <cellStyle name="Normal 20 86 3" xfId="37429"/>
    <cellStyle name="Normal 20 87" xfId="9973"/>
    <cellStyle name="Normal 20 87 2" xfId="24053"/>
    <cellStyle name="Normal 20 87 2 2" xfId="51061"/>
    <cellStyle name="Normal 20 87 3" xfId="37557"/>
    <cellStyle name="Normal 20 88" xfId="10115"/>
    <cellStyle name="Normal 20 88 2" xfId="24181"/>
    <cellStyle name="Normal 20 88 2 2" xfId="51189"/>
    <cellStyle name="Normal 20 88 3" xfId="37685"/>
    <cellStyle name="Normal 20 89" xfId="10257"/>
    <cellStyle name="Normal 20 89 2" xfId="24309"/>
    <cellStyle name="Normal 20 89 2 2" xfId="51317"/>
    <cellStyle name="Normal 20 89 3" xfId="37813"/>
    <cellStyle name="Normal 20 9" xfId="1164"/>
    <cellStyle name="Normal 20 9 2" xfId="16336"/>
    <cellStyle name="Normal 20 9 2 2" xfId="43344"/>
    <cellStyle name="Normal 20 9 3" xfId="29840"/>
    <cellStyle name="Normal 20 90" xfId="10399"/>
    <cellStyle name="Normal 20 90 2" xfId="24437"/>
    <cellStyle name="Normal 20 90 2 2" xfId="51445"/>
    <cellStyle name="Normal 20 90 3" xfId="37941"/>
    <cellStyle name="Normal 20 91" xfId="10541"/>
    <cellStyle name="Normal 20 91 2" xfId="24565"/>
    <cellStyle name="Normal 20 91 2 2" xfId="51573"/>
    <cellStyle name="Normal 20 91 3" xfId="38069"/>
    <cellStyle name="Normal 20 92" xfId="10683"/>
    <cellStyle name="Normal 20 92 2" xfId="24693"/>
    <cellStyle name="Normal 20 92 2 2" xfId="51701"/>
    <cellStyle name="Normal 20 92 3" xfId="38197"/>
    <cellStyle name="Normal 20 93" xfId="10825"/>
    <cellStyle name="Normal 20 93 2" xfId="24821"/>
    <cellStyle name="Normal 20 93 2 2" xfId="51829"/>
    <cellStyle name="Normal 20 93 3" xfId="38325"/>
    <cellStyle name="Normal 20 94" xfId="10967"/>
    <cellStyle name="Normal 20 94 2" xfId="24949"/>
    <cellStyle name="Normal 20 94 2 2" xfId="51957"/>
    <cellStyle name="Normal 20 94 3" xfId="38453"/>
    <cellStyle name="Normal 20 95" xfId="11109"/>
    <cellStyle name="Normal 20 95 2" xfId="25077"/>
    <cellStyle name="Normal 20 95 2 2" xfId="52085"/>
    <cellStyle name="Normal 20 95 3" xfId="38581"/>
    <cellStyle name="Normal 20 96" xfId="11251"/>
    <cellStyle name="Normal 20 96 2" xfId="25205"/>
    <cellStyle name="Normal 20 96 2 2" xfId="52213"/>
    <cellStyle name="Normal 20 96 3" xfId="38709"/>
    <cellStyle name="Normal 20 97" xfId="11393"/>
    <cellStyle name="Normal 20 97 2" xfId="25333"/>
    <cellStyle name="Normal 20 97 2 2" xfId="52341"/>
    <cellStyle name="Normal 20 97 3" xfId="38837"/>
    <cellStyle name="Normal 20 98" xfId="11535"/>
    <cellStyle name="Normal 20 98 2" xfId="25461"/>
    <cellStyle name="Normal 20 98 2 2" xfId="52469"/>
    <cellStyle name="Normal 20 98 3" xfId="38965"/>
    <cellStyle name="Normal 20 99" xfId="11677"/>
    <cellStyle name="Normal 20 99 2" xfId="25589"/>
    <cellStyle name="Normal 20 99 2 2" xfId="52597"/>
    <cellStyle name="Normal 20 99 3" xfId="39093"/>
    <cellStyle name="Normal 200" xfId="56095"/>
    <cellStyle name="Normal 201" xfId="56098"/>
    <cellStyle name="Normal 202" xfId="56101"/>
    <cellStyle name="Normal 203" xfId="56104"/>
    <cellStyle name="Normal 204" xfId="56107"/>
    <cellStyle name="Normal 205" xfId="56110"/>
    <cellStyle name="Normal 206" xfId="56113"/>
    <cellStyle name="Normal 207" xfId="56116"/>
    <cellStyle name="Normal 208" xfId="56119"/>
    <cellStyle name="Normal 209" xfId="56122"/>
    <cellStyle name="Normal 21" xfId="166"/>
    <cellStyle name="Normal 21 10" xfId="1271"/>
    <cellStyle name="Normal 21 10 2" xfId="16429"/>
    <cellStyle name="Normal 21 10 2 2" xfId="43437"/>
    <cellStyle name="Normal 21 10 3" xfId="29933"/>
    <cellStyle name="Normal 21 100" xfId="11820"/>
    <cellStyle name="Normal 21 100 2" xfId="25718"/>
    <cellStyle name="Normal 21 100 2 2" xfId="52726"/>
    <cellStyle name="Normal 21 100 3" xfId="39222"/>
    <cellStyle name="Normal 21 101" xfId="11962"/>
    <cellStyle name="Normal 21 101 2" xfId="25846"/>
    <cellStyle name="Normal 21 101 2 2" xfId="52854"/>
    <cellStyle name="Normal 21 101 3" xfId="39350"/>
    <cellStyle name="Normal 21 102" xfId="12104"/>
    <cellStyle name="Normal 21 102 2" xfId="25974"/>
    <cellStyle name="Normal 21 102 2 2" xfId="52982"/>
    <cellStyle name="Normal 21 102 3" xfId="39478"/>
    <cellStyle name="Normal 21 103" xfId="12246"/>
    <cellStyle name="Normal 21 103 2" xfId="26102"/>
    <cellStyle name="Normal 21 103 2 2" xfId="53110"/>
    <cellStyle name="Normal 21 103 3" xfId="39606"/>
    <cellStyle name="Normal 21 104" xfId="12388"/>
    <cellStyle name="Normal 21 104 2" xfId="26230"/>
    <cellStyle name="Normal 21 104 2 2" xfId="53238"/>
    <cellStyle name="Normal 21 104 3" xfId="39734"/>
    <cellStyle name="Normal 21 105" xfId="12530"/>
    <cellStyle name="Normal 21 105 2" xfId="26358"/>
    <cellStyle name="Normal 21 105 2 2" xfId="53366"/>
    <cellStyle name="Normal 21 105 3" xfId="39862"/>
    <cellStyle name="Normal 21 106" xfId="12672"/>
    <cellStyle name="Normal 21 106 2" xfId="26486"/>
    <cellStyle name="Normal 21 106 2 2" xfId="53494"/>
    <cellStyle name="Normal 21 106 3" xfId="39990"/>
    <cellStyle name="Normal 21 107" xfId="12814"/>
    <cellStyle name="Normal 21 107 2" xfId="26614"/>
    <cellStyle name="Normal 21 107 2 2" xfId="53622"/>
    <cellStyle name="Normal 21 107 3" xfId="40118"/>
    <cellStyle name="Normal 21 108" xfId="12956"/>
    <cellStyle name="Normal 21 108 2" xfId="26742"/>
    <cellStyle name="Normal 21 108 2 2" xfId="53750"/>
    <cellStyle name="Normal 21 108 3" xfId="40246"/>
    <cellStyle name="Normal 21 109" xfId="13098"/>
    <cellStyle name="Normal 21 109 2" xfId="26870"/>
    <cellStyle name="Normal 21 109 2 2" xfId="53878"/>
    <cellStyle name="Normal 21 109 3" xfId="40374"/>
    <cellStyle name="Normal 21 11" xfId="1377"/>
    <cellStyle name="Normal 21 11 2" xfId="16521"/>
    <cellStyle name="Normal 21 11 2 2" xfId="43529"/>
    <cellStyle name="Normal 21 11 3" xfId="30025"/>
    <cellStyle name="Normal 21 110" xfId="13240"/>
    <cellStyle name="Normal 21 110 2" xfId="26998"/>
    <cellStyle name="Normal 21 110 2 2" xfId="54006"/>
    <cellStyle name="Normal 21 110 3" xfId="40502"/>
    <cellStyle name="Normal 21 111" xfId="13382"/>
    <cellStyle name="Normal 21 111 2" xfId="27126"/>
    <cellStyle name="Normal 21 111 2 2" xfId="54134"/>
    <cellStyle name="Normal 21 111 3" xfId="40630"/>
    <cellStyle name="Normal 21 112" xfId="13524"/>
    <cellStyle name="Normal 21 112 2" xfId="27254"/>
    <cellStyle name="Normal 21 112 2 2" xfId="54262"/>
    <cellStyle name="Normal 21 112 3" xfId="40758"/>
    <cellStyle name="Normal 21 113" xfId="13666"/>
    <cellStyle name="Normal 21 113 2" xfId="27382"/>
    <cellStyle name="Normal 21 113 2 2" xfId="54390"/>
    <cellStyle name="Normal 21 113 3" xfId="40886"/>
    <cellStyle name="Normal 21 114" xfId="13808"/>
    <cellStyle name="Normal 21 114 2" xfId="27510"/>
    <cellStyle name="Normal 21 114 2 2" xfId="54518"/>
    <cellStyle name="Normal 21 114 3" xfId="41014"/>
    <cellStyle name="Normal 21 115" xfId="13949"/>
    <cellStyle name="Normal 21 115 2" xfId="27637"/>
    <cellStyle name="Normal 21 115 2 2" xfId="54645"/>
    <cellStyle name="Normal 21 115 3" xfId="41141"/>
    <cellStyle name="Normal 21 116" xfId="14090"/>
    <cellStyle name="Normal 21 116 2" xfId="27764"/>
    <cellStyle name="Normal 21 116 2 2" xfId="54772"/>
    <cellStyle name="Normal 21 116 3" xfId="41268"/>
    <cellStyle name="Normal 21 117" xfId="14231"/>
    <cellStyle name="Normal 21 117 2" xfId="27891"/>
    <cellStyle name="Normal 21 117 2 2" xfId="54899"/>
    <cellStyle name="Normal 21 117 3" xfId="41395"/>
    <cellStyle name="Normal 21 118" xfId="14372"/>
    <cellStyle name="Normal 21 118 2" xfId="28018"/>
    <cellStyle name="Normal 21 118 2 2" xfId="55026"/>
    <cellStyle name="Normal 21 118 3" xfId="41522"/>
    <cellStyle name="Normal 21 119" xfId="14512"/>
    <cellStyle name="Normal 21 119 2" xfId="28144"/>
    <cellStyle name="Normal 21 119 2 2" xfId="55152"/>
    <cellStyle name="Normal 21 119 3" xfId="41648"/>
    <cellStyle name="Normal 21 12" xfId="1483"/>
    <cellStyle name="Normal 21 12 2" xfId="16613"/>
    <cellStyle name="Normal 21 12 2 2" xfId="43621"/>
    <cellStyle name="Normal 21 12 3" xfId="30117"/>
    <cellStyle name="Normal 21 120" xfId="14652"/>
    <cellStyle name="Normal 21 120 2" xfId="28270"/>
    <cellStyle name="Normal 21 120 2 2" xfId="55278"/>
    <cellStyle name="Normal 21 120 3" xfId="41774"/>
    <cellStyle name="Normal 21 121" xfId="14791"/>
    <cellStyle name="Normal 21 121 2" xfId="28395"/>
    <cellStyle name="Normal 21 121 2 2" xfId="55403"/>
    <cellStyle name="Normal 21 121 3" xfId="41899"/>
    <cellStyle name="Normal 21 122" xfId="14926"/>
    <cellStyle name="Normal 21 122 2" xfId="28517"/>
    <cellStyle name="Normal 21 122 2 2" xfId="55525"/>
    <cellStyle name="Normal 21 122 3" xfId="42021"/>
    <cellStyle name="Normal 21 123" xfId="15060"/>
    <cellStyle name="Normal 21 123 2" xfId="28638"/>
    <cellStyle name="Normal 21 123 2 2" xfId="55646"/>
    <cellStyle name="Normal 21 123 3" xfId="42142"/>
    <cellStyle name="Normal 21 124" xfId="15187"/>
    <cellStyle name="Normal 21 124 2" xfId="28754"/>
    <cellStyle name="Normal 21 124 2 2" xfId="55762"/>
    <cellStyle name="Normal 21 124 3" xfId="42258"/>
    <cellStyle name="Normal 21 125" xfId="15307"/>
    <cellStyle name="Normal 21 125 2" xfId="28867"/>
    <cellStyle name="Normal 21 125 2 2" xfId="55875"/>
    <cellStyle name="Normal 21 125 3" xfId="42371"/>
    <cellStyle name="Normal 21 126" xfId="15522"/>
    <cellStyle name="Normal 21 126 2" xfId="42530"/>
    <cellStyle name="Normal 21 127" xfId="29026"/>
    <cellStyle name="Normal 21 13" xfId="1589"/>
    <cellStyle name="Normal 21 13 2" xfId="16705"/>
    <cellStyle name="Normal 21 13 2 2" xfId="43713"/>
    <cellStyle name="Normal 21 13 3" xfId="30209"/>
    <cellStyle name="Normal 21 14" xfId="1695"/>
    <cellStyle name="Normal 21 14 2" xfId="16797"/>
    <cellStyle name="Normal 21 14 2 2" xfId="43805"/>
    <cellStyle name="Normal 21 14 3" xfId="30301"/>
    <cellStyle name="Normal 21 15" xfId="1801"/>
    <cellStyle name="Normal 21 15 2" xfId="16889"/>
    <cellStyle name="Normal 21 15 2 2" xfId="43897"/>
    <cellStyle name="Normal 21 15 3" xfId="30393"/>
    <cellStyle name="Normal 21 16" xfId="1907"/>
    <cellStyle name="Normal 21 16 2" xfId="16981"/>
    <cellStyle name="Normal 21 16 2 2" xfId="43989"/>
    <cellStyle name="Normal 21 16 3" xfId="30485"/>
    <cellStyle name="Normal 21 17" xfId="2013"/>
    <cellStyle name="Normal 21 17 2" xfId="17073"/>
    <cellStyle name="Normal 21 17 2 2" xfId="44081"/>
    <cellStyle name="Normal 21 17 3" xfId="30577"/>
    <cellStyle name="Normal 21 18" xfId="2119"/>
    <cellStyle name="Normal 21 18 2" xfId="17165"/>
    <cellStyle name="Normal 21 18 2 2" xfId="44173"/>
    <cellStyle name="Normal 21 18 3" xfId="30669"/>
    <cellStyle name="Normal 21 19" xfId="2225"/>
    <cellStyle name="Normal 21 19 2" xfId="17257"/>
    <cellStyle name="Normal 21 19 2 2" xfId="44265"/>
    <cellStyle name="Normal 21 19 3" xfId="30761"/>
    <cellStyle name="Normal 21 2" xfId="343"/>
    <cellStyle name="Normal 21 2 2" xfId="15645"/>
    <cellStyle name="Normal 21 2 2 2" xfId="42653"/>
    <cellStyle name="Normal 21 2 3" xfId="29149"/>
    <cellStyle name="Normal 21 20" xfId="2331"/>
    <cellStyle name="Normal 21 20 2" xfId="17349"/>
    <cellStyle name="Normal 21 20 2 2" xfId="44357"/>
    <cellStyle name="Normal 21 20 3" xfId="30853"/>
    <cellStyle name="Normal 21 21" xfId="2437"/>
    <cellStyle name="Normal 21 21 2" xfId="17441"/>
    <cellStyle name="Normal 21 21 2 2" xfId="44449"/>
    <cellStyle name="Normal 21 21 3" xfId="30945"/>
    <cellStyle name="Normal 21 22" xfId="2543"/>
    <cellStyle name="Normal 21 22 2" xfId="17533"/>
    <cellStyle name="Normal 21 22 2 2" xfId="44541"/>
    <cellStyle name="Normal 21 22 3" xfId="31037"/>
    <cellStyle name="Normal 21 23" xfId="2649"/>
    <cellStyle name="Normal 21 23 2" xfId="17625"/>
    <cellStyle name="Normal 21 23 2 2" xfId="44633"/>
    <cellStyle name="Normal 21 23 3" xfId="31129"/>
    <cellStyle name="Normal 21 24" xfId="2755"/>
    <cellStyle name="Normal 21 24 2" xfId="17717"/>
    <cellStyle name="Normal 21 24 2 2" xfId="44725"/>
    <cellStyle name="Normal 21 24 3" xfId="31221"/>
    <cellStyle name="Normal 21 25" xfId="2861"/>
    <cellStyle name="Normal 21 25 2" xfId="17809"/>
    <cellStyle name="Normal 21 25 2 2" xfId="44817"/>
    <cellStyle name="Normal 21 25 3" xfId="31313"/>
    <cellStyle name="Normal 21 26" xfId="2967"/>
    <cellStyle name="Normal 21 26 2" xfId="17901"/>
    <cellStyle name="Normal 21 26 2 2" xfId="44909"/>
    <cellStyle name="Normal 21 26 3" xfId="31405"/>
    <cellStyle name="Normal 21 27" xfId="3073"/>
    <cellStyle name="Normal 21 27 2" xfId="17993"/>
    <cellStyle name="Normal 21 27 2 2" xfId="45001"/>
    <cellStyle name="Normal 21 27 3" xfId="31497"/>
    <cellStyle name="Normal 21 28" xfId="3179"/>
    <cellStyle name="Normal 21 28 2" xfId="18085"/>
    <cellStyle name="Normal 21 28 2 2" xfId="45093"/>
    <cellStyle name="Normal 21 28 3" xfId="31589"/>
    <cellStyle name="Normal 21 29" xfId="3285"/>
    <cellStyle name="Normal 21 29 2" xfId="18177"/>
    <cellStyle name="Normal 21 29 2 2" xfId="45185"/>
    <cellStyle name="Normal 21 29 3" xfId="31681"/>
    <cellStyle name="Normal 21 3" xfId="530"/>
    <cellStyle name="Normal 21 3 2" xfId="15786"/>
    <cellStyle name="Normal 21 3 2 2" xfId="42794"/>
    <cellStyle name="Normal 21 3 3" xfId="29290"/>
    <cellStyle name="Normal 21 30" xfId="3391"/>
    <cellStyle name="Normal 21 30 2" xfId="18269"/>
    <cellStyle name="Normal 21 30 2 2" xfId="45277"/>
    <cellStyle name="Normal 21 30 3" xfId="31773"/>
    <cellStyle name="Normal 21 31" xfId="3497"/>
    <cellStyle name="Normal 21 31 2" xfId="18361"/>
    <cellStyle name="Normal 21 31 2 2" xfId="45369"/>
    <cellStyle name="Normal 21 31 3" xfId="31865"/>
    <cellStyle name="Normal 21 32" xfId="3603"/>
    <cellStyle name="Normal 21 32 2" xfId="18453"/>
    <cellStyle name="Normal 21 32 2 2" xfId="45461"/>
    <cellStyle name="Normal 21 32 3" xfId="31957"/>
    <cellStyle name="Normal 21 33" xfId="3709"/>
    <cellStyle name="Normal 21 33 2" xfId="18545"/>
    <cellStyle name="Normal 21 33 2 2" xfId="45553"/>
    <cellStyle name="Normal 21 33 3" xfId="32049"/>
    <cellStyle name="Normal 21 34" xfId="3815"/>
    <cellStyle name="Normal 21 34 2" xfId="18637"/>
    <cellStyle name="Normal 21 34 2 2" xfId="45645"/>
    <cellStyle name="Normal 21 34 3" xfId="32141"/>
    <cellStyle name="Normal 21 35" xfId="3921"/>
    <cellStyle name="Normal 21 35 2" xfId="18729"/>
    <cellStyle name="Normal 21 35 2 2" xfId="45737"/>
    <cellStyle name="Normal 21 35 3" xfId="32233"/>
    <cellStyle name="Normal 21 36" xfId="4027"/>
    <cellStyle name="Normal 21 36 2" xfId="18821"/>
    <cellStyle name="Normal 21 36 2 2" xfId="45829"/>
    <cellStyle name="Normal 21 36 3" xfId="32325"/>
    <cellStyle name="Normal 21 37" xfId="4133"/>
    <cellStyle name="Normal 21 37 2" xfId="18913"/>
    <cellStyle name="Normal 21 37 2 2" xfId="45921"/>
    <cellStyle name="Normal 21 37 3" xfId="32417"/>
    <cellStyle name="Normal 21 38" xfId="4239"/>
    <cellStyle name="Normal 21 38 2" xfId="19005"/>
    <cellStyle name="Normal 21 38 2 2" xfId="46013"/>
    <cellStyle name="Normal 21 38 3" xfId="32509"/>
    <cellStyle name="Normal 21 39" xfId="4345"/>
    <cellStyle name="Normal 21 39 2" xfId="19097"/>
    <cellStyle name="Normal 21 39 2 2" xfId="46105"/>
    <cellStyle name="Normal 21 39 3" xfId="32601"/>
    <cellStyle name="Normal 21 4" xfId="635"/>
    <cellStyle name="Normal 21 4 2" xfId="15877"/>
    <cellStyle name="Normal 21 4 2 2" xfId="42885"/>
    <cellStyle name="Normal 21 4 3" xfId="29381"/>
    <cellStyle name="Normal 21 40" xfId="4451"/>
    <cellStyle name="Normal 21 40 2" xfId="19189"/>
    <cellStyle name="Normal 21 40 2 2" xfId="46197"/>
    <cellStyle name="Normal 21 40 3" xfId="32693"/>
    <cellStyle name="Normal 21 41" xfId="4557"/>
    <cellStyle name="Normal 21 41 2" xfId="19281"/>
    <cellStyle name="Normal 21 41 2 2" xfId="46289"/>
    <cellStyle name="Normal 21 41 3" xfId="32785"/>
    <cellStyle name="Normal 21 42" xfId="4663"/>
    <cellStyle name="Normal 21 42 2" xfId="19373"/>
    <cellStyle name="Normal 21 42 2 2" xfId="46381"/>
    <cellStyle name="Normal 21 42 3" xfId="32877"/>
    <cellStyle name="Normal 21 43" xfId="4769"/>
    <cellStyle name="Normal 21 43 2" xfId="19465"/>
    <cellStyle name="Normal 21 43 2 2" xfId="46473"/>
    <cellStyle name="Normal 21 43 3" xfId="32969"/>
    <cellStyle name="Normal 21 44" xfId="4875"/>
    <cellStyle name="Normal 21 44 2" xfId="19557"/>
    <cellStyle name="Normal 21 44 2 2" xfId="46565"/>
    <cellStyle name="Normal 21 44 3" xfId="33061"/>
    <cellStyle name="Normal 21 45" xfId="4981"/>
    <cellStyle name="Normal 21 45 2" xfId="19649"/>
    <cellStyle name="Normal 21 45 2 2" xfId="46657"/>
    <cellStyle name="Normal 21 45 3" xfId="33153"/>
    <cellStyle name="Normal 21 46" xfId="5087"/>
    <cellStyle name="Normal 21 46 2" xfId="19741"/>
    <cellStyle name="Normal 21 46 2 2" xfId="46749"/>
    <cellStyle name="Normal 21 46 3" xfId="33245"/>
    <cellStyle name="Normal 21 47" xfId="5193"/>
    <cellStyle name="Normal 21 47 2" xfId="19833"/>
    <cellStyle name="Normal 21 47 2 2" xfId="46841"/>
    <cellStyle name="Normal 21 47 3" xfId="33337"/>
    <cellStyle name="Normal 21 48" xfId="5299"/>
    <cellStyle name="Normal 21 48 2" xfId="19925"/>
    <cellStyle name="Normal 21 48 2 2" xfId="46933"/>
    <cellStyle name="Normal 21 48 3" xfId="33429"/>
    <cellStyle name="Normal 21 49" xfId="5405"/>
    <cellStyle name="Normal 21 49 2" xfId="20017"/>
    <cellStyle name="Normal 21 49 2 2" xfId="47025"/>
    <cellStyle name="Normal 21 49 3" xfId="33521"/>
    <cellStyle name="Normal 21 5" xfId="741"/>
    <cellStyle name="Normal 21 5 2" xfId="15969"/>
    <cellStyle name="Normal 21 5 2 2" xfId="42977"/>
    <cellStyle name="Normal 21 5 3" xfId="29473"/>
    <cellStyle name="Normal 21 50" xfId="5511"/>
    <cellStyle name="Normal 21 50 2" xfId="20109"/>
    <cellStyle name="Normal 21 50 2 2" xfId="47117"/>
    <cellStyle name="Normal 21 50 3" xfId="33613"/>
    <cellStyle name="Normal 21 51" xfId="5617"/>
    <cellStyle name="Normal 21 51 2" xfId="20201"/>
    <cellStyle name="Normal 21 51 2 2" xfId="47209"/>
    <cellStyle name="Normal 21 51 3" xfId="33705"/>
    <cellStyle name="Normal 21 52" xfId="5723"/>
    <cellStyle name="Normal 21 52 2" xfId="20293"/>
    <cellStyle name="Normal 21 52 2 2" xfId="47301"/>
    <cellStyle name="Normal 21 52 3" xfId="33797"/>
    <cellStyle name="Normal 21 53" xfId="5829"/>
    <cellStyle name="Normal 21 53 2" xfId="20385"/>
    <cellStyle name="Normal 21 53 2 2" xfId="47393"/>
    <cellStyle name="Normal 21 53 3" xfId="33889"/>
    <cellStyle name="Normal 21 54" xfId="5935"/>
    <cellStyle name="Normal 21 54 2" xfId="20477"/>
    <cellStyle name="Normal 21 54 2 2" xfId="47485"/>
    <cellStyle name="Normal 21 54 3" xfId="33981"/>
    <cellStyle name="Normal 21 55" xfId="6041"/>
    <cellStyle name="Normal 21 55 2" xfId="20569"/>
    <cellStyle name="Normal 21 55 2 2" xfId="47577"/>
    <cellStyle name="Normal 21 55 3" xfId="34073"/>
    <cellStyle name="Normal 21 56" xfId="6147"/>
    <cellStyle name="Normal 21 56 2" xfId="20661"/>
    <cellStyle name="Normal 21 56 2 2" xfId="47669"/>
    <cellStyle name="Normal 21 56 3" xfId="34165"/>
    <cellStyle name="Normal 21 57" xfId="6253"/>
    <cellStyle name="Normal 21 57 2" xfId="20753"/>
    <cellStyle name="Normal 21 57 2 2" xfId="47761"/>
    <cellStyle name="Normal 21 57 3" xfId="34257"/>
    <cellStyle name="Normal 21 58" xfId="6359"/>
    <cellStyle name="Normal 21 58 2" xfId="20845"/>
    <cellStyle name="Normal 21 58 2 2" xfId="47853"/>
    <cellStyle name="Normal 21 58 3" xfId="34349"/>
    <cellStyle name="Normal 21 59" xfId="6465"/>
    <cellStyle name="Normal 21 59 2" xfId="20937"/>
    <cellStyle name="Normal 21 59 2 2" xfId="47945"/>
    <cellStyle name="Normal 21 59 3" xfId="34441"/>
    <cellStyle name="Normal 21 6" xfId="847"/>
    <cellStyle name="Normal 21 6 2" xfId="16061"/>
    <cellStyle name="Normal 21 6 2 2" xfId="43069"/>
    <cellStyle name="Normal 21 6 3" xfId="29565"/>
    <cellStyle name="Normal 21 60" xfId="6571"/>
    <cellStyle name="Normal 21 60 2" xfId="21029"/>
    <cellStyle name="Normal 21 60 2 2" xfId="48037"/>
    <cellStyle name="Normal 21 60 3" xfId="34533"/>
    <cellStyle name="Normal 21 61" xfId="6676"/>
    <cellStyle name="Normal 21 61 2" xfId="21120"/>
    <cellStyle name="Normal 21 61 2 2" xfId="48128"/>
    <cellStyle name="Normal 21 61 3" xfId="34624"/>
    <cellStyle name="Normal 21 62" xfId="6781"/>
    <cellStyle name="Normal 21 62 2" xfId="21211"/>
    <cellStyle name="Normal 21 62 2 2" xfId="48219"/>
    <cellStyle name="Normal 21 62 3" xfId="34715"/>
    <cellStyle name="Normal 21 63" xfId="6886"/>
    <cellStyle name="Normal 21 63 2" xfId="21302"/>
    <cellStyle name="Normal 21 63 2 2" xfId="48310"/>
    <cellStyle name="Normal 21 63 3" xfId="34806"/>
    <cellStyle name="Normal 21 64" xfId="6991"/>
    <cellStyle name="Normal 21 64 2" xfId="21393"/>
    <cellStyle name="Normal 21 64 2 2" xfId="48401"/>
    <cellStyle name="Normal 21 64 3" xfId="34897"/>
    <cellStyle name="Normal 21 65" xfId="7095"/>
    <cellStyle name="Normal 21 65 2" xfId="21483"/>
    <cellStyle name="Normal 21 65 2 2" xfId="48491"/>
    <cellStyle name="Normal 21 65 3" xfId="34987"/>
    <cellStyle name="Normal 21 66" xfId="7199"/>
    <cellStyle name="Normal 21 66 2" xfId="21573"/>
    <cellStyle name="Normal 21 66 2 2" xfId="48581"/>
    <cellStyle name="Normal 21 66 3" xfId="35077"/>
    <cellStyle name="Normal 21 67" xfId="7302"/>
    <cellStyle name="Normal 21 67 2" xfId="21662"/>
    <cellStyle name="Normal 21 67 2 2" xfId="48670"/>
    <cellStyle name="Normal 21 67 3" xfId="35166"/>
    <cellStyle name="Normal 21 68" xfId="7402"/>
    <cellStyle name="Normal 21 68 2" xfId="21749"/>
    <cellStyle name="Normal 21 68 2 2" xfId="48757"/>
    <cellStyle name="Normal 21 68 3" xfId="35253"/>
    <cellStyle name="Normal 21 69" xfId="7500"/>
    <cellStyle name="Normal 21 69 2" xfId="21834"/>
    <cellStyle name="Normal 21 69 2 2" xfId="48842"/>
    <cellStyle name="Normal 21 69 3" xfId="35338"/>
    <cellStyle name="Normal 21 7" xfId="953"/>
    <cellStyle name="Normal 21 7 2" xfId="16153"/>
    <cellStyle name="Normal 21 7 2 2" xfId="43161"/>
    <cellStyle name="Normal 21 7 3" xfId="29657"/>
    <cellStyle name="Normal 21 70" xfId="7589"/>
    <cellStyle name="Normal 21 70 2" xfId="21912"/>
    <cellStyle name="Normal 21 70 2 2" xfId="48920"/>
    <cellStyle name="Normal 21 70 3" xfId="35416"/>
    <cellStyle name="Normal 21 71" xfId="7665"/>
    <cellStyle name="Normal 21 71 2" xfId="21981"/>
    <cellStyle name="Normal 21 71 2 2" xfId="48989"/>
    <cellStyle name="Normal 21 71 3" xfId="35485"/>
    <cellStyle name="Normal 21 72" xfId="7844"/>
    <cellStyle name="Normal 21 72 2" xfId="22134"/>
    <cellStyle name="Normal 21 72 2 2" xfId="49142"/>
    <cellStyle name="Normal 21 72 3" xfId="35638"/>
    <cellStyle name="Normal 21 73" xfId="7986"/>
    <cellStyle name="Normal 21 73 2" xfId="22262"/>
    <cellStyle name="Normal 21 73 2 2" xfId="49270"/>
    <cellStyle name="Normal 21 73 3" xfId="35766"/>
    <cellStyle name="Normal 21 74" xfId="8128"/>
    <cellStyle name="Normal 21 74 2" xfId="22390"/>
    <cellStyle name="Normal 21 74 2 2" xfId="49398"/>
    <cellStyle name="Normal 21 74 3" xfId="35894"/>
    <cellStyle name="Normal 21 75" xfId="8270"/>
    <cellStyle name="Normal 21 75 2" xfId="22518"/>
    <cellStyle name="Normal 21 75 2 2" xfId="49526"/>
    <cellStyle name="Normal 21 75 3" xfId="36022"/>
    <cellStyle name="Normal 21 76" xfId="8412"/>
    <cellStyle name="Normal 21 76 2" xfId="22646"/>
    <cellStyle name="Normal 21 76 2 2" xfId="49654"/>
    <cellStyle name="Normal 21 76 3" xfId="36150"/>
    <cellStyle name="Normal 21 77" xfId="8554"/>
    <cellStyle name="Normal 21 77 2" xfId="22774"/>
    <cellStyle name="Normal 21 77 2 2" xfId="49782"/>
    <cellStyle name="Normal 21 77 3" xfId="36278"/>
    <cellStyle name="Normal 21 78" xfId="8696"/>
    <cellStyle name="Normal 21 78 2" xfId="22902"/>
    <cellStyle name="Normal 21 78 2 2" xfId="49910"/>
    <cellStyle name="Normal 21 78 3" xfId="36406"/>
    <cellStyle name="Normal 21 79" xfId="8838"/>
    <cellStyle name="Normal 21 79 2" xfId="23030"/>
    <cellStyle name="Normal 21 79 2 2" xfId="50038"/>
    <cellStyle name="Normal 21 79 3" xfId="36534"/>
    <cellStyle name="Normal 21 8" xfId="1059"/>
    <cellStyle name="Normal 21 8 2" xfId="16245"/>
    <cellStyle name="Normal 21 8 2 2" xfId="43253"/>
    <cellStyle name="Normal 21 8 3" xfId="29749"/>
    <cellStyle name="Normal 21 80" xfId="8980"/>
    <cellStyle name="Normal 21 80 2" xfId="23158"/>
    <cellStyle name="Normal 21 80 2 2" xfId="50166"/>
    <cellStyle name="Normal 21 80 3" xfId="36662"/>
    <cellStyle name="Normal 21 81" xfId="9122"/>
    <cellStyle name="Normal 21 81 2" xfId="23286"/>
    <cellStyle name="Normal 21 81 2 2" xfId="50294"/>
    <cellStyle name="Normal 21 81 3" xfId="36790"/>
    <cellStyle name="Normal 21 82" xfId="9264"/>
    <cellStyle name="Normal 21 82 2" xfId="23414"/>
    <cellStyle name="Normal 21 82 2 2" xfId="50422"/>
    <cellStyle name="Normal 21 82 3" xfId="36918"/>
    <cellStyle name="Normal 21 83" xfId="9406"/>
    <cellStyle name="Normal 21 83 2" xfId="23542"/>
    <cellStyle name="Normal 21 83 2 2" xfId="50550"/>
    <cellStyle name="Normal 21 83 3" xfId="37046"/>
    <cellStyle name="Normal 21 84" xfId="9548"/>
    <cellStyle name="Normal 21 84 2" xfId="23670"/>
    <cellStyle name="Normal 21 84 2 2" xfId="50678"/>
    <cellStyle name="Normal 21 84 3" xfId="37174"/>
    <cellStyle name="Normal 21 85" xfId="9690"/>
    <cellStyle name="Normal 21 85 2" xfId="23798"/>
    <cellStyle name="Normal 21 85 2 2" xfId="50806"/>
    <cellStyle name="Normal 21 85 3" xfId="37302"/>
    <cellStyle name="Normal 21 86" xfId="9832"/>
    <cellStyle name="Normal 21 86 2" xfId="23926"/>
    <cellStyle name="Normal 21 86 2 2" xfId="50934"/>
    <cellStyle name="Normal 21 86 3" xfId="37430"/>
    <cellStyle name="Normal 21 87" xfId="9974"/>
    <cellStyle name="Normal 21 87 2" xfId="24054"/>
    <cellStyle name="Normal 21 87 2 2" xfId="51062"/>
    <cellStyle name="Normal 21 87 3" xfId="37558"/>
    <cellStyle name="Normal 21 88" xfId="10116"/>
    <cellStyle name="Normal 21 88 2" xfId="24182"/>
    <cellStyle name="Normal 21 88 2 2" xfId="51190"/>
    <cellStyle name="Normal 21 88 3" xfId="37686"/>
    <cellStyle name="Normal 21 89" xfId="10258"/>
    <cellStyle name="Normal 21 89 2" xfId="24310"/>
    <cellStyle name="Normal 21 89 2 2" xfId="51318"/>
    <cellStyle name="Normal 21 89 3" xfId="37814"/>
    <cellStyle name="Normal 21 9" xfId="1165"/>
    <cellStyle name="Normal 21 9 2" xfId="16337"/>
    <cellStyle name="Normal 21 9 2 2" xfId="43345"/>
    <cellStyle name="Normal 21 9 3" xfId="29841"/>
    <cellStyle name="Normal 21 90" xfId="10400"/>
    <cellStyle name="Normal 21 90 2" xfId="24438"/>
    <cellStyle name="Normal 21 90 2 2" xfId="51446"/>
    <cellStyle name="Normal 21 90 3" xfId="37942"/>
    <cellStyle name="Normal 21 91" xfId="10542"/>
    <cellStyle name="Normal 21 91 2" xfId="24566"/>
    <cellStyle name="Normal 21 91 2 2" xfId="51574"/>
    <cellStyle name="Normal 21 91 3" xfId="38070"/>
    <cellStyle name="Normal 21 92" xfId="10684"/>
    <cellStyle name="Normal 21 92 2" xfId="24694"/>
    <cellStyle name="Normal 21 92 2 2" xfId="51702"/>
    <cellStyle name="Normal 21 92 3" xfId="38198"/>
    <cellStyle name="Normal 21 93" xfId="10826"/>
    <cellStyle name="Normal 21 93 2" xfId="24822"/>
    <cellStyle name="Normal 21 93 2 2" xfId="51830"/>
    <cellStyle name="Normal 21 93 3" xfId="38326"/>
    <cellStyle name="Normal 21 94" xfId="10968"/>
    <cellStyle name="Normal 21 94 2" xfId="24950"/>
    <cellStyle name="Normal 21 94 2 2" xfId="51958"/>
    <cellStyle name="Normal 21 94 3" xfId="38454"/>
    <cellStyle name="Normal 21 95" xfId="11110"/>
    <cellStyle name="Normal 21 95 2" xfId="25078"/>
    <cellStyle name="Normal 21 95 2 2" xfId="52086"/>
    <cellStyle name="Normal 21 95 3" xfId="38582"/>
    <cellStyle name="Normal 21 96" xfId="11252"/>
    <cellStyle name="Normal 21 96 2" xfId="25206"/>
    <cellStyle name="Normal 21 96 2 2" xfId="52214"/>
    <cellStyle name="Normal 21 96 3" xfId="38710"/>
    <cellStyle name="Normal 21 97" xfId="11394"/>
    <cellStyle name="Normal 21 97 2" xfId="25334"/>
    <cellStyle name="Normal 21 97 2 2" xfId="52342"/>
    <cellStyle name="Normal 21 97 3" xfId="38838"/>
    <cellStyle name="Normal 21 98" xfId="11536"/>
    <cellStyle name="Normal 21 98 2" xfId="25462"/>
    <cellStyle name="Normal 21 98 2 2" xfId="52470"/>
    <cellStyle name="Normal 21 98 3" xfId="38966"/>
    <cellStyle name="Normal 21 99" xfId="11678"/>
    <cellStyle name="Normal 21 99 2" xfId="25590"/>
    <cellStyle name="Normal 21 99 2 2" xfId="52598"/>
    <cellStyle name="Normal 21 99 3" xfId="39094"/>
    <cellStyle name="Normal 210" xfId="56125"/>
    <cellStyle name="Normal 211" xfId="56128"/>
    <cellStyle name="Normal 212" xfId="56131"/>
    <cellStyle name="Normal 213" xfId="56134"/>
    <cellStyle name="Normal 214" xfId="56137"/>
    <cellStyle name="Normal 215" xfId="56140"/>
    <cellStyle name="Normal 216" xfId="56143"/>
    <cellStyle name="Normal 217" xfId="56146"/>
    <cellStyle name="Normal 218" xfId="56149"/>
    <cellStyle name="Normal 219" xfId="56152"/>
    <cellStyle name="Normal 22" xfId="167"/>
    <cellStyle name="Normal 22 10" xfId="1272"/>
    <cellStyle name="Normal 22 10 2" xfId="16430"/>
    <cellStyle name="Normal 22 10 2 2" xfId="43438"/>
    <cellStyle name="Normal 22 10 3" xfId="29934"/>
    <cellStyle name="Normal 22 100" xfId="11821"/>
    <cellStyle name="Normal 22 100 2" xfId="25719"/>
    <cellStyle name="Normal 22 100 2 2" xfId="52727"/>
    <cellStyle name="Normal 22 100 3" xfId="39223"/>
    <cellStyle name="Normal 22 101" xfId="11963"/>
    <cellStyle name="Normal 22 101 2" xfId="25847"/>
    <cellStyle name="Normal 22 101 2 2" xfId="52855"/>
    <cellStyle name="Normal 22 101 3" xfId="39351"/>
    <cellStyle name="Normal 22 102" xfId="12105"/>
    <cellStyle name="Normal 22 102 2" xfId="25975"/>
    <cellStyle name="Normal 22 102 2 2" xfId="52983"/>
    <cellStyle name="Normal 22 102 3" xfId="39479"/>
    <cellStyle name="Normal 22 103" xfId="12247"/>
    <cellStyle name="Normal 22 103 2" xfId="26103"/>
    <cellStyle name="Normal 22 103 2 2" xfId="53111"/>
    <cellStyle name="Normal 22 103 3" xfId="39607"/>
    <cellStyle name="Normal 22 104" xfId="12389"/>
    <cellStyle name="Normal 22 104 2" xfId="26231"/>
    <cellStyle name="Normal 22 104 2 2" xfId="53239"/>
    <cellStyle name="Normal 22 104 3" xfId="39735"/>
    <cellStyle name="Normal 22 105" xfId="12531"/>
    <cellStyle name="Normal 22 105 2" xfId="26359"/>
    <cellStyle name="Normal 22 105 2 2" xfId="53367"/>
    <cellStyle name="Normal 22 105 3" xfId="39863"/>
    <cellStyle name="Normal 22 106" xfId="12673"/>
    <cellStyle name="Normal 22 106 2" xfId="26487"/>
    <cellStyle name="Normal 22 106 2 2" xfId="53495"/>
    <cellStyle name="Normal 22 106 3" xfId="39991"/>
    <cellStyle name="Normal 22 107" xfId="12815"/>
    <cellStyle name="Normal 22 107 2" xfId="26615"/>
    <cellStyle name="Normal 22 107 2 2" xfId="53623"/>
    <cellStyle name="Normal 22 107 3" xfId="40119"/>
    <cellStyle name="Normal 22 108" xfId="12957"/>
    <cellStyle name="Normal 22 108 2" xfId="26743"/>
    <cellStyle name="Normal 22 108 2 2" xfId="53751"/>
    <cellStyle name="Normal 22 108 3" xfId="40247"/>
    <cellStyle name="Normal 22 109" xfId="13099"/>
    <cellStyle name="Normal 22 109 2" xfId="26871"/>
    <cellStyle name="Normal 22 109 2 2" xfId="53879"/>
    <cellStyle name="Normal 22 109 3" xfId="40375"/>
    <cellStyle name="Normal 22 11" xfId="1378"/>
    <cellStyle name="Normal 22 11 2" xfId="16522"/>
    <cellStyle name="Normal 22 11 2 2" xfId="43530"/>
    <cellStyle name="Normal 22 11 3" xfId="30026"/>
    <cellStyle name="Normal 22 110" xfId="13241"/>
    <cellStyle name="Normal 22 110 2" xfId="26999"/>
    <cellStyle name="Normal 22 110 2 2" xfId="54007"/>
    <cellStyle name="Normal 22 110 3" xfId="40503"/>
    <cellStyle name="Normal 22 111" xfId="13383"/>
    <cellStyle name="Normal 22 111 2" xfId="27127"/>
    <cellStyle name="Normal 22 111 2 2" xfId="54135"/>
    <cellStyle name="Normal 22 111 3" xfId="40631"/>
    <cellStyle name="Normal 22 112" xfId="13525"/>
    <cellStyle name="Normal 22 112 2" xfId="27255"/>
    <cellStyle name="Normal 22 112 2 2" xfId="54263"/>
    <cellStyle name="Normal 22 112 3" xfId="40759"/>
    <cellStyle name="Normal 22 113" xfId="13667"/>
    <cellStyle name="Normal 22 113 2" xfId="27383"/>
    <cellStyle name="Normal 22 113 2 2" xfId="54391"/>
    <cellStyle name="Normal 22 113 3" xfId="40887"/>
    <cellStyle name="Normal 22 114" xfId="13809"/>
    <cellStyle name="Normal 22 114 2" xfId="27511"/>
    <cellStyle name="Normal 22 114 2 2" xfId="54519"/>
    <cellStyle name="Normal 22 114 3" xfId="41015"/>
    <cellStyle name="Normal 22 115" xfId="13950"/>
    <cellStyle name="Normal 22 115 2" xfId="27638"/>
    <cellStyle name="Normal 22 115 2 2" xfId="54646"/>
    <cellStyle name="Normal 22 115 3" xfId="41142"/>
    <cellStyle name="Normal 22 116" xfId="14091"/>
    <cellStyle name="Normal 22 116 2" xfId="27765"/>
    <cellStyle name="Normal 22 116 2 2" xfId="54773"/>
    <cellStyle name="Normal 22 116 3" xfId="41269"/>
    <cellStyle name="Normal 22 117" xfId="14232"/>
    <cellStyle name="Normal 22 117 2" xfId="27892"/>
    <cellStyle name="Normal 22 117 2 2" xfId="54900"/>
    <cellStyle name="Normal 22 117 3" xfId="41396"/>
    <cellStyle name="Normal 22 118" xfId="14373"/>
    <cellStyle name="Normal 22 118 2" xfId="28019"/>
    <cellStyle name="Normal 22 118 2 2" xfId="55027"/>
    <cellStyle name="Normal 22 118 3" xfId="41523"/>
    <cellStyle name="Normal 22 119" xfId="14513"/>
    <cellStyle name="Normal 22 119 2" xfId="28145"/>
    <cellStyle name="Normal 22 119 2 2" xfId="55153"/>
    <cellStyle name="Normal 22 119 3" xfId="41649"/>
    <cellStyle name="Normal 22 12" xfId="1484"/>
    <cellStyle name="Normal 22 12 2" xfId="16614"/>
    <cellStyle name="Normal 22 12 2 2" xfId="43622"/>
    <cellStyle name="Normal 22 12 3" xfId="30118"/>
    <cellStyle name="Normal 22 120" xfId="14653"/>
    <cellStyle name="Normal 22 120 2" xfId="28271"/>
    <cellStyle name="Normal 22 120 2 2" xfId="55279"/>
    <cellStyle name="Normal 22 120 3" xfId="41775"/>
    <cellStyle name="Normal 22 121" xfId="14792"/>
    <cellStyle name="Normal 22 121 2" xfId="28396"/>
    <cellStyle name="Normal 22 121 2 2" xfId="55404"/>
    <cellStyle name="Normal 22 121 3" xfId="41900"/>
    <cellStyle name="Normal 22 122" xfId="14927"/>
    <cellStyle name="Normal 22 122 2" xfId="28518"/>
    <cellStyle name="Normal 22 122 2 2" xfId="55526"/>
    <cellStyle name="Normal 22 122 3" xfId="42022"/>
    <cellStyle name="Normal 22 123" xfId="15061"/>
    <cellStyle name="Normal 22 123 2" xfId="28639"/>
    <cellStyle name="Normal 22 123 2 2" xfId="55647"/>
    <cellStyle name="Normal 22 123 3" xfId="42143"/>
    <cellStyle name="Normal 22 124" xfId="15188"/>
    <cellStyle name="Normal 22 124 2" xfId="28755"/>
    <cellStyle name="Normal 22 124 2 2" xfId="55763"/>
    <cellStyle name="Normal 22 124 3" xfId="42259"/>
    <cellStyle name="Normal 22 125" xfId="15308"/>
    <cellStyle name="Normal 22 125 2" xfId="28868"/>
    <cellStyle name="Normal 22 125 2 2" xfId="55876"/>
    <cellStyle name="Normal 22 125 3" xfId="42372"/>
    <cellStyle name="Normal 22 126" xfId="15523"/>
    <cellStyle name="Normal 22 126 2" xfId="42531"/>
    <cellStyle name="Normal 22 127" xfId="29027"/>
    <cellStyle name="Normal 22 13" xfId="1590"/>
    <cellStyle name="Normal 22 13 2" xfId="16706"/>
    <cellStyle name="Normal 22 13 2 2" xfId="43714"/>
    <cellStyle name="Normal 22 13 3" xfId="30210"/>
    <cellStyle name="Normal 22 14" xfId="1696"/>
    <cellStyle name="Normal 22 14 2" xfId="16798"/>
    <cellStyle name="Normal 22 14 2 2" xfId="43806"/>
    <cellStyle name="Normal 22 14 3" xfId="30302"/>
    <cellStyle name="Normal 22 15" xfId="1802"/>
    <cellStyle name="Normal 22 15 2" xfId="16890"/>
    <cellStyle name="Normal 22 15 2 2" xfId="43898"/>
    <cellStyle name="Normal 22 15 3" xfId="30394"/>
    <cellStyle name="Normal 22 16" xfId="1908"/>
    <cellStyle name="Normal 22 16 2" xfId="16982"/>
    <cellStyle name="Normal 22 16 2 2" xfId="43990"/>
    <cellStyle name="Normal 22 16 3" xfId="30486"/>
    <cellStyle name="Normal 22 17" xfId="2014"/>
    <cellStyle name="Normal 22 17 2" xfId="17074"/>
    <cellStyle name="Normal 22 17 2 2" xfId="44082"/>
    <cellStyle name="Normal 22 17 3" xfId="30578"/>
    <cellStyle name="Normal 22 18" xfId="2120"/>
    <cellStyle name="Normal 22 18 2" xfId="17166"/>
    <cellStyle name="Normal 22 18 2 2" xfId="44174"/>
    <cellStyle name="Normal 22 18 3" xfId="30670"/>
    <cellStyle name="Normal 22 19" xfId="2226"/>
    <cellStyle name="Normal 22 19 2" xfId="17258"/>
    <cellStyle name="Normal 22 19 2 2" xfId="44266"/>
    <cellStyle name="Normal 22 19 3" xfId="30762"/>
    <cellStyle name="Normal 22 2" xfId="344"/>
    <cellStyle name="Normal 22 2 2" xfId="15646"/>
    <cellStyle name="Normal 22 2 2 2" xfId="42654"/>
    <cellStyle name="Normal 22 2 3" xfId="29150"/>
    <cellStyle name="Normal 22 20" xfId="2332"/>
    <cellStyle name="Normal 22 20 2" xfId="17350"/>
    <cellStyle name="Normal 22 20 2 2" xfId="44358"/>
    <cellStyle name="Normal 22 20 3" xfId="30854"/>
    <cellStyle name="Normal 22 21" xfId="2438"/>
    <cellStyle name="Normal 22 21 2" xfId="17442"/>
    <cellStyle name="Normal 22 21 2 2" xfId="44450"/>
    <cellStyle name="Normal 22 21 3" xfId="30946"/>
    <cellStyle name="Normal 22 22" xfId="2544"/>
    <cellStyle name="Normal 22 22 2" xfId="17534"/>
    <cellStyle name="Normal 22 22 2 2" xfId="44542"/>
    <cellStyle name="Normal 22 22 3" xfId="31038"/>
    <cellStyle name="Normal 22 23" xfId="2650"/>
    <cellStyle name="Normal 22 23 2" xfId="17626"/>
    <cellStyle name="Normal 22 23 2 2" xfId="44634"/>
    <cellStyle name="Normal 22 23 3" xfId="31130"/>
    <cellStyle name="Normal 22 24" xfId="2756"/>
    <cellStyle name="Normal 22 24 2" xfId="17718"/>
    <cellStyle name="Normal 22 24 2 2" xfId="44726"/>
    <cellStyle name="Normal 22 24 3" xfId="31222"/>
    <cellStyle name="Normal 22 25" xfId="2862"/>
    <cellStyle name="Normal 22 25 2" xfId="17810"/>
    <cellStyle name="Normal 22 25 2 2" xfId="44818"/>
    <cellStyle name="Normal 22 25 3" xfId="31314"/>
    <cellStyle name="Normal 22 26" xfId="2968"/>
    <cellStyle name="Normal 22 26 2" xfId="17902"/>
    <cellStyle name="Normal 22 26 2 2" xfId="44910"/>
    <cellStyle name="Normal 22 26 3" xfId="31406"/>
    <cellStyle name="Normal 22 27" xfId="3074"/>
    <cellStyle name="Normal 22 27 2" xfId="17994"/>
    <cellStyle name="Normal 22 27 2 2" xfId="45002"/>
    <cellStyle name="Normal 22 27 3" xfId="31498"/>
    <cellStyle name="Normal 22 28" xfId="3180"/>
    <cellStyle name="Normal 22 28 2" xfId="18086"/>
    <cellStyle name="Normal 22 28 2 2" xfId="45094"/>
    <cellStyle name="Normal 22 28 3" xfId="31590"/>
    <cellStyle name="Normal 22 29" xfId="3286"/>
    <cellStyle name="Normal 22 29 2" xfId="18178"/>
    <cellStyle name="Normal 22 29 2 2" xfId="45186"/>
    <cellStyle name="Normal 22 29 3" xfId="31682"/>
    <cellStyle name="Normal 22 3" xfId="531"/>
    <cellStyle name="Normal 22 3 2" xfId="15787"/>
    <cellStyle name="Normal 22 3 2 2" xfId="42795"/>
    <cellStyle name="Normal 22 3 3" xfId="29291"/>
    <cellStyle name="Normal 22 30" xfId="3392"/>
    <cellStyle name="Normal 22 30 2" xfId="18270"/>
    <cellStyle name="Normal 22 30 2 2" xfId="45278"/>
    <cellStyle name="Normal 22 30 3" xfId="31774"/>
    <cellStyle name="Normal 22 31" xfId="3498"/>
    <cellStyle name="Normal 22 31 2" xfId="18362"/>
    <cellStyle name="Normal 22 31 2 2" xfId="45370"/>
    <cellStyle name="Normal 22 31 3" xfId="31866"/>
    <cellStyle name="Normal 22 32" xfId="3604"/>
    <cellStyle name="Normal 22 32 2" xfId="18454"/>
    <cellStyle name="Normal 22 32 2 2" xfId="45462"/>
    <cellStyle name="Normal 22 32 3" xfId="31958"/>
    <cellStyle name="Normal 22 33" xfId="3710"/>
    <cellStyle name="Normal 22 33 2" xfId="18546"/>
    <cellStyle name="Normal 22 33 2 2" xfId="45554"/>
    <cellStyle name="Normal 22 33 3" xfId="32050"/>
    <cellStyle name="Normal 22 34" xfId="3816"/>
    <cellStyle name="Normal 22 34 2" xfId="18638"/>
    <cellStyle name="Normal 22 34 2 2" xfId="45646"/>
    <cellStyle name="Normal 22 34 3" xfId="32142"/>
    <cellStyle name="Normal 22 35" xfId="3922"/>
    <cellStyle name="Normal 22 35 2" xfId="18730"/>
    <cellStyle name="Normal 22 35 2 2" xfId="45738"/>
    <cellStyle name="Normal 22 35 3" xfId="32234"/>
    <cellStyle name="Normal 22 36" xfId="4028"/>
    <cellStyle name="Normal 22 36 2" xfId="18822"/>
    <cellStyle name="Normal 22 36 2 2" xfId="45830"/>
    <cellStyle name="Normal 22 36 3" xfId="32326"/>
    <cellStyle name="Normal 22 37" xfId="4134"/>
    <cellStyle name="Normal 22 37 2" xfId="18914"/>
    <cellStyle name="Normal 22 37 2 2" xfId="45922"/>
    <cellStyle name="Normal 22 37 3" xfId="32418"/>
    <cellStyle name="Normal 22 38" xfId="4240"/>
    <cellStyle name="Normal 22 38 2" xfId="19006"/>
    <cellStyle name="Normal 22 38 2 2" xfId="46014"/>
    <cellStyle name="Normal 22 38 3" xfId="32510"/>
    <cellStyle name="Normal 22 39" xfId="4346"/>
    <cellStyle name="Normal 22 39 2" xfId="19098"/>
    <cellStyle name="Normal 22 39 2 2" xfId="46106"/>
    <cellStyle name="Normal 22 39 3" xfId="32602"/>
    <cellStyle name="Normal 22 4" xfId="636"/>
    <cellStyle name="Normal 22 4 2" xfId="15878"/>
    <cellStyle name="Normal 22 4 2 2" xfId="42886"/>
    <cellStyle name="Normal 22 4 3" xfId="29382"/>
    <cellStyle name="Normal 22 40" xfId="4452"/>
    <cellStyle name="Normal 22 40 2" xfId="19190"/>
    <cellStyle name="Normal 22 40 2 2" xfId="46198"/>
    <cellStyle name="Normal 22 40 3" xfId="32694"/>
    <cellStyle name="Normal 22 41" xfId="4558"/>
    <cellStyle name="Normal 22 41 2" xfId="19282"/>
    <cellStyle name="Normal 22 41 2 2" xfId="46290"/>
    <cellStyle name="Normal 22 41 3" xfId="32786"/>
    <cellStyle name="Normal 22 42" xfId="4664"/>
    <cellStyle name="Normal 22 42 2" xfId="19374"/>
    <cellStyle name="Normal 22 42 2 2" xfId="46382"/>
    <cellStyle name="Normal 22 42 3" xfId="32878"/>
    <cellStyle name="Normal 22 43" xfId="4770"/>
    <cellStyle name="Normal 22 43 2" xfId="19466"/>
    <cellStyle name="Normal 22 43 2 2" xfId="46474"/>
    <cellStyle name="Normal 22 43 3" xfId="32970"/>
    <cellStyle name="Normal 22 44" xfId="4876"/>
    <cellStyle name="Normal 22 44 2" xfId="19558"/>
    <cellStyle name="Normal 22 44 2 2" xfId="46566"/>
    <cellStyle name="Normal 22 44 3" xfId="33062"/>
    <cellStyle name="Normal 22 45" xfId="4982"/>
    <cellStyle name="Normal 22 45 2" xfId="19650"/>
    <cellStyle name="Normal 22 45 2 2" xfId="46658"/>
    <cellStyle name="Normal 22 45 3" xfId="33154"/>
    <cellStyle name="Normal 22 46" xfId="5088"/>
    <cellStyle name="Normal 22 46 2" xfId="19742"/>
    <cellStyle name="Normal 22 46 2 2" xfId="46750"/>
    <cellStyle name="Normal 22 46 3" xfId="33246"/>
    <cellStyle name="Normal 22 47" xfId="5194"/>
    <cellStyle name="Normal 22 47 2" xfId="19834"/>
    <cellStyle name="Normal 22 47 2 2" xfId="46842"/>
    <cellStyle name="Normal 22 47 3" xfId="33338"/>
    <cellStyle name="Normal 22 48" xfId="5300"/>
    <cellStyle name="Normal 22 48 2" xfId="19926"/>
    <cellStyle name="Normal 22 48 2 2" xfId="46934"/>
    <cellStyle name="Normal 22 48 3" xfId="33430"/>
    <cellStyle name="Normal 22 49" xfId="5406"/>
    <cellStyle name="Normal 22 49 2" xfId="20018"/>
    <cellStyle name="Normal 22 49 2 2" xfId="47026"/>
    <cellStyle name="Normal 22 49 3" xfId="33522"/>
    <cellStyle name="Normal 22 5" xfId="742"/>
    <cellStyle name="Normal 22 5 2" xfId="15970"/>
    <cellStyle name="Normal 22 5 2 2" xfId="42978"/>
    <cellStyle name="Normal 22 5 3" xfId="29474"/>
    <cellStyle name="Normal 22 50" xfId="5512"/>
    <cellStyle name="Normal 22 50 2" xfId="20110"/>
    <cellStyle name="Normal 22 50 2 2" xfId="47118"/>
    <cellStyle name="Normal 22 50 3" xfId="33614"/>
    <cellStyle name="Normal 22 51" xfId="5618"/>
    <cellStyle name="Normal 22 51 2" xfId="20202"/>
    <cellStyle name="Normal 22 51 2 2" xfId="47210"/>
    <cellStyle name="Normal 22 51 3" xfId="33706"/>
    <cellStyle name="Normal 22 52" xfId="5724"/>
    <cellStyle name="Normal 22 52 2" xfId="20294"/>
    <cellStyle name="Normal 22 52 2 2" xfId="47302"/>
    <cellStyle name="Normal 22 52 3" xfId="33798"/>
    <cellStyle name="Normal 22 53" xfId="5830"/>
    <cellStyle name="Normal 22 53 2" xfId="20386"/>
    <cellStyle name="Normal 22 53 2 2" xfId="47394"/>
    <cellStyle name="Normal 22 53 3" xfId="33890"/>
    <cellStyle name="Normal 22 54" xfId="5936"/>
    <cellStyle name="Normal 22 54 2" xfId="20478"/>
    <cellStyle name="Normal 22 54 2 2" xfId="47486"/>
    <cellStyle name="Normal 22 54 3" xfId="33982"/>
    <cellStyle name="Normal 22 55" xfId="6042"/>
    <cellStyle name="Normal 22 55 2" xfId="20570"/>
    <cellStyle name="Normal 22 55 2 2" xfId="47578"/>
    <cellStyle name="Normal 22 55 3" xfId="34074"/>
    <cellStyle name="Normal 22 56" xfId="6148"/>
    <cellStyle name="Normal 22 56 2" xfId="20662"/>
    <cellStyle name="Normal 22 56 2 2" xfId="47670"/>
    <cellStyle name="Normal 22 56 3" xfId="34166"/>
    <cellStyle name="Normal 22 57" xfId="6254"/>
    <cellStyle name="Normal 22 57 2" xfId="20754"/>
    <cellStyle name="Normal 22 57 2 2" xfId="47762"/>
    <cellStyle name="Normal 22 57 3" xfId="34258"/>
    <cellStyle name="Normal 22 58" xfId="6360"/>
    <cellStyle name="Normal 22 58 2" xfId="20846"/>
    <cellStyle name="Normal 22 58 2 2" xfId="47854"/>
    <cellStyle name="Normal 22 58 3" xfId="34350"/>
    <cellStyle name="Normal 22 59" xfId="6466"/>
    <cellStyle name="Normal 22 59 2" xfId="20938"/>
    <cellStyle name="Normal 22 59 2 2" xfId="47946"/>
    <cellStyle name="Normal 22 59 3" xfId="34442"/>
    <cellStyle name="Normal 22 6" xfId="848"/>
    <cellStyle name="Normal 22 6 2" xfId="16062"/>
    <cellStyle name="Normal 22 6 2 2" xfId="43070"/>
    <cellStyle name="Normal 22 6 3" xfId="29566"/>
    <cellStyle name="Normal 22 60" xfId="6572"/>
    <cellStyle name="Normal 22 60 2" xfId="21030"/>
    <cellStyle name="Normal 22 60 2 2" xfId="48038"/>
    <cellStyle name="Normal 22 60 3" xfId="34534"/>
    <cellStyle name="Normal 22 61" xfId="6677"/>
    <cellStyle name="Normal 22 61 2" xfId="21121"/>
    <cellStyle name="Normal 22 61 2 2" xfId="48129"/>
    <cellStyle name="Normal 22 61 3" xfId="34625"/>
    <cellStyle name="Normal 22 62" xfId="6782"/>
    <cellStyle name="Normal 22 62 2" xfId="21212"/>
    <cellStyle name="Normal 22 62 2 2" xfId="48220"/>
    <cellStyle name="Normal 22 62 3" xfId="34716"/>
    <cellStyle name="Normal 22 63" xfId="6887"/>
    <cellStyle name="Normal 22 63 2" xfId="21303"/>
    <cellStyle name="Normal 22 63 2 2" xfId="48311"/>
    <cellStyle name="Normal 22 63 3" xfId="34807"/>
    <cellStyle name="Normal 22 64" xfId="6992"/>
    <cellStyle name="Normal 22 64 2" xfId="21394"/>
    <cellStyle name="Normal 22 64 2 2" xfId="48402"/>
    <cellStyle name="Normal 22 64 3" xfId="34898"/>
    <cellStyle name="Normal 22 65" xfId="7096"/>
    <cellStyle name="Normal 22 65 2" xfId="21484"/>
    <cellStyle name="Normal 22 65 2 2" xfId="48492"/>
    <cellStyle name="Normal 22 65 3" xfId="34988"/>
    <cellStyle name="Normal 22 66" xfId="7200"/>
    <cellStyle name="Normal 22 66 2" xfId="21574"/>
    <cellStyle name="Normal 22 66 2 2" xfId="48582"/>
    <cellStyle name="Normal 22 66 3" xfId="35078"/>
    <cellStyle name="Normal 22 67" xfId="7303"/>
    <cellStyle name="Normal 22 67 2" xfId="21663"/>
    <cellStyle name="Normal 22 67 2 2" xfId="48671"/>
    <cellStyle name="Normal 22 67 3" xfId="35167"/>
    <cellStyle name="Normal 22 68" xfId="7403"/>
    <cellStyle name="Normal 22 68 2" xfId="21750"/>
    <cellStyle name="Normal 22 68 2 2" xfId="48758"/>
    <cellStyle name="Normal 22 68 3" xfId="35254"/>
    <cellStyle name="Normal 22 69" xfId="7501"/>
    <cellStyle name="Normal 22 69 2" xfId="21835"/>
    <cellStyle name="Normal 22 69 2 2" xfId="48843"/>
    <cellStyle name="Normal 22 69 3" xfId="35339"/>
    <cellStyle name="Normal 22 7" xfId="954"/>
    <cellStyle name="Normal 22 7 2" xfId="16154"/>
    <cellStyle name="Normal 22 7 2 2" xfId="43162"/>
    <cellStyle name="Normal 22 7 3" xfId="29658"/>
    <cellStyle name="Normal 22 70" xfId="7590"/>
    <cellStyle name="Normal 22 70 2" xfId="21913"/>
    <cellStyle name="Normal 22 70 2 2" xfId="48921"/>
    <cellStyle name="Normal 22 70 3" xfId="35417"/>
    <cellStyle name="Normal 22 71" xfId="7666"/>
    <cellStyle name="Normal 22 71 2" xfId="21982"/>
    <cellStyle name="Normal 22 71 2 2" xfId="48990"/>
    <cellStyle name="Normal 22 71 3" xfId="35486"/>
    <cellStyle name="Normal 22 72" xfId="7845"/>
    <cellStyle name="Normal 22 72 2" xfId="22135"/>
    <cellStyle name="Normal 22 72 2 2" xfId="49143"/>
    <cellStyle name="Normal 22 72 3" xfId="35639"/>
    <cellStyle name="Normal 22 73" xfId="7987"/>
    <cellStyle name="Normal 22 73 2" xfId="22263"/>
    <cellStyle name="Normal 22 73 2 2" xfId="49271"/>
    <cellStyle name="Normal 22 73 3" xfId="35767"/>
    <cellStyle name="Normal 22 74" xfId="8129"/>
    <cellStyle name="Normal 22 74 2" xfId="22391"/>
    <cellStyle name="Normal 22 74 2 2" xfId="49399"/>
    <cellStyle name="Normal 22 74 3" xfId="35895"/>
    <cellStyle name="Normal 22 75" xfId="8271"/>
    <cellStyle name="Normal 22 75 2" xfId="22519"/>
    <cellStyle name="Normal 22 75 2 2" xfId="49527"/>
    <cellStyle name="Normal 22 75 3" xfId="36023"/>
    <cellStyle name="Normal 22 76" xfId="8413"/>
    <cellStyle name="Normal 22 76 2" xfId="22647"/>
    <cellStyle name="Normal 22 76 2 2" xfId="49655"/>
    <cellStyle name="Normal 22 76 3" xfId="36151"/>
    <cellStyle name="Normal 22 77" xfId="8555"/>
    <cellStyle name="Normal 22 77 2" xfId="22775"/>
    <cellStyle name="Normal 22 77 2 2" xfId="49783"/>
    <cellStyle name="Normal 22 77 3" xfId="36279"/>
    <cellStyle name="Normal 22 78" xfId="8697"/>
    <cellStyle name="Normal 22 78 2" xfId="22903"/>
    <cellStyle name="Normal 22 78 2 2" xfId="49911"/>
    <cellStyle name="Normal 22 78 3" xfId="36407"/>
    <cellStyle name="Normal 22 79" xfId="8839"/>
    <cellStyle name="Normal 22 79 2" xfId="23031"/>
    <cellStyle name="Normal 22 79 2 2" xfId="50039"/>
    <cellStyle name="Normal 22 79 3" xfId="36535"/>
    <cellStyle name="Normal 22 8" xfId="1060"/>
    <cellStyle name="Normal 22 8 2" xfId="16246"/>
    <cellStyle name="Normal 22 8 2 2" xfId="43254"/>
    <cellStyle name="Normal 22 8 3" xfId="29750"/>
    <cellStyle name="Normal 22 80" xfId="8981"/>
    <cellStyle name="Normal 22 80 2" xfId="23159"/>
    <cellStyle name="Normal 22 80 2 2" xfId="50167"/>
    <cellStyle name="Normal 22 80 3" xfId="36663"/>
    <cellStyle name="Normal 22 81" xfId="9123"/>
    <cellStyle name="Normal 22 81 2" xfId="23287"/>
    <cellStyle name="Normal 22 81 2 2" xfId="50295"/>
    <cellStyle name="Normal 22 81 3" xfId="36791"/>
    <cellStyle name="Normal 22 82" xfId="9265"/>
    <cellStyle name="Normal 22 82 2" xfId="23415"/>
    <cellStyle name="Normal 22 82 2 2" xfId="50423"/>
    <cellStyle name="Normal 22 82 3" xfId="36919"/>
    <cellStyle name="Normal 22 83" xfId="9407"/>
    <cellStyle name="Normal 22 83 2" xfId="23543"/>
    <cellStyle name="Normal 22 83 2 2" xfId="50551"/>
    <cellStyle name="Normal 22 83 3" xfId="37047"/>
    <cellStyle name="Normal 22 84" xfId="9549"/>
    <cellStyle name="Normal 22 84 2" xfId="23671"/>
    <cellStyle name="Normal 22 84 2 2" xfId="50679"/>
    <cellStyle name="Normal 22 84 3" xfId="37175"/>
    <cellStyle name="Normal 22 85" xfId="9691"/>
    <cellStyle name="Normal 22 85 2" xfId="23799"/>
    <cellStyle name="Normal 22 85 2 2" xfId="50807"/>
    <cellStyle name="Normal 22 85 3" xfId="37303"/>
    <cellStyle name="Normal 22 86" xfId="9833"/>
    <cellStyle name="Normal 22 86 2" xfId="23927"/>
    <cellStyle name="Normal 22 86 2 2" xfId="50935"/>
    <cellStyle name="Normal 22 86 3" xfId="37431"/>
    <cellStyle name="Normal 22 87" xfId="9975"/>
    <cellStyle name="Normal 22 87 2" xfId="24055"/>
    <cellStyle name="Normal 22 87 2 2" xfId="51063"/>
    <cellStyle name="Normal 22 87 3" xfId="37559"/>
    <cellStyle name="Normal 22 88" xfId="10117"/>
    <cellStyle name="Normal 22 88 2" xfId="24183"/>
    <cellStyle name="Normal 22 88 2 2" xfId="51191"/>
    <cellStyle name="Normal 22 88 3" xfId="37687"/>
    <cellStyle name="Normal 22 89" xfId="10259"/>
    <cellStyle name="Normal 22 89 2" xfId="24311"/>
    <cellStyle name="Normal 22 89 2 2" xfId="51319"/>
    <cellStyle name="Normal 22 89 3" xfId="37815"/>
    <cellStyle name="Normal 22 9" xfId="1166"/>
    <cellStyle name="Normal 22 9 2" xfId="16338"/>
    <cellStyle name="Normal 22 9 2 2" xfId="43346"/>
    <cellStyle name="Normal 22 9 3" xfId="29842"/>
    <cellStyle name="Normal 22 90" xfId="10401"/>
    <cellStyle name="Normal 22 90 2" xfId="24439"/>
    <cellStyle name="Normal 22 90 2 2" xfId="51447"/>
    <cellStyle name="Normal 22 90 3" xfId="37943"/>
    <cellStyle name="Normal 22 91" xfId="10543"/>
    <cellStyle name="Normal 22 91 2" xfId="24567"/>
    <cellStyle name="Normal 22 91 2 2" xfId="51575"/>
    <cellStyle name="Normal 22 91 3" xfId="38071"/>
    <cellStyle name="Normal 22 92" xfId="10685"/>
    <cellStyle name="Normal 22 92 2" xfId="24695"/>
    <cellStyle name="Normal 22 92 2 2" xfId="51703"/>
    <cellStyle name="Normal 22 92 3" xfId="38199"/>
    <cellStyle name="Normal 22 93" xfId="10827"/>
    <cellStyle name="Normal 22 93 2" xfId="24823"/>
    <cellStyle name="Normal 22 93 2 2" xfId="51831"/>
    <cellStyle name="Normal 22 93 3" xfId="38327"/>
    <cellStyle name="Normal 22 94" xfId="10969"/>
    <cellStyle name="Normal 22 94 2" xfId="24951"/>
    <cellStyle name="Normal 22 94 2 2" xfId="51959"/>
    <cellStyle name="Normal 22 94 3" xfId="38455"/>
    <cellStyle name="Normal 22 95" xfId="11111"/>
    <cellStyle name="Normal 22 95 2" xfId="25079"/>
    <cellStyle name="Normal 22 95 2 2" xfId="52087"/>
    <cellStyle name="Normal 22 95 3" xfId="38583"/>
    <cellStyle name="Normal 22 96" xfId="11253"/>
    <cellStyle name="Normal 22 96 2" xfId="25207"/>
    <cellStyle name="Normal 22 96 2 2" xfId="52215"/>
    <cellStyle name="Normal 22 96 3" xfId="38711"/>
    <cellStyle name="Normal 22 97" xfId="11395"/>
    <cellStyle name="Normal 22 97 2" xfId="25335"/>
    <cellStyle name="Normal 22 97 2 2" xfId="52343"/>
    <cellStyle name="Normal 22 97 3" xfId="38839"/>
    <cellStyle name="Normal 22 98" xfId="11537"/>
    <cellStyle name="Normal 22 98 2" xfId="25463"/>
    <cellStyle name="Normal 22 98 2 2" xfId="52471"/>
    <cellStyle name="Normal 22 98 3" xfId="38967"/>
    <cellStyle name="Normal 22 99" xfId="11679"/>
    <cellStyle name="Normal 22 99 2" xfId="25591"/>
    <cellStyle name="Normal 22 99 2 2" xfId="52599"/>
    <cellStyle name="Normal 22 99 3" xfId="39095"/>
    <cellStyle name="Normal 220" xfId="56155"/>
    <cellStyle name="Normal 221" xfId="56158"/>
    <cellStyle name="Normal 222" xfId="56161"/>
    <cellStyle name="Normal 223" xfId="56166"/>
    <cellStyle name="Normal 224" xfId="56167"/>
    <cellStyle name="Normal 225" xfId="56172"/>
    <cellStyle name="Normal 226" xfId="56173"/>
    <cellStyle name="Normal 227" xfId="56178"/>
    <cellStyle name="Normal 228" xfId="56179"/>
    <cellStyle name="Normal 229" xfId="56182"/>
    <cellStyle name="Normal 23" xfId="168"/>
    <cellStyle name="Normal 23 10" xfId="1273"/>
    <cellStyle name="Normal 23 10 2" xfId="16431"/>
    <cellStyle name="Normal 23 10 2 2" xfId="43439"/>
    <cellStyle name="Normal 23 10 3" xfId="29935"/>
    <cellStyle name="Normal 23 100" xfId="11822"/>
    <cellStyle name="Normal 23 100 2" xfId="25720"/>
    <cellStyle name="Normal 23 100 2 2" xfId="52728"/>
    <cellStyle name="Normal 23 100 3" xfId="39224"/>
    <cellStyle name="Normal 23 101" xfId="11964"/>
    <cellStyle name="Normal 23 101 2" xfId="25848"/>
    <cellStyle name="Normal 23 101 2 2" xfId="52856"/>
    <cellStyle name="Normal 23 101 3" xfId="39352"/>
    <cellStyle name="Normal 23 102" xfId="12106"/>
    <cellStyle name="Normal 23 102 2" xfId="25976"/>
    <cellStyle name="Normal 23 102 2 2" xfId="52984"/>
    <cellStyle name="Normal 23 102 3" xfId="39480"/>
    <cellStyle name="Normal 23 103" xfId="12248"/>
    <cellStyle name="Normal 23 103 2" xfId="26104"/>
    <cellStyle name="Normal 23 103 2 2" xfId="53112"/>
    <cellStyle name="Normal 23 103 3" xfId="39608"/>
    <cellStyle name="Normal 23 104" xfId="12390"/>
    <cellStyle name="Normal 23 104 2" xfId="26232"/>
    <cellStyle name="Normal 23 104 2 2" xfId="53240"/>
    <cellStyle name="Normal 23 104 3" xfId="39736"/>
    <cellStyle name="Normal 23 105" xfId="12532"/>
    <cellStyle name="Normal 23 105 2" xfId="26360"/>
    <cellStyle name="Normal 23 105 2 2" xfId="53368"/>
    <cellStyle name="Normal 23 105 3" xfId="39864"/>
    <cellStyle name="Normal 23 106" xfId="12674"/>
    <cellStyle name="Normal 23 106 2" xfId="26488"/>
    <cellStyle name="Normal 23 106 2 2" xfId="53496"/>
    <cellStyle name="Normal 23 106 3" xfId="39992"/>
    <cellStyle name="Normal 23 107" xfId="12816"/>
    <cellStyle name="Normal 23 107 2" xfId="26616"/>
    <cellStyle name="Normal 23 107 2 2" xfId="53624"/>
    <cellStyle name="Normal 23 107 3" xfId="40120"/>
    <cellStyle name="Normal 23 108" xfId="12958"/>
    <cellStyle name="Normal 23 108 2" xfId="26744"/>
    <cellStyle name="Normal 23 108 2 2" xfId="53752"/>
    <cellStyle name="Normal 23 108 3" xfId="40248"/>
    <cellStyle name="Normal 23 109" xfId="13100"/>
    <cellStyle name="Normal 23 109 2" xfId="26872"/>
    <cellStyle name="Normal 23 109 2 2" xfId="53880"/>
    <cellStyle name="Normal 23 109 3" xfId="40376"/>
    <cellStyle name="Normal 23 11" xfId="1379"/>
    <cellStyle name="Normal 23 11 2" xfId="16523"/>
    <cellStyle name="Normal 23 11 2 2" xfId="43531"/>
    <cellStyle name="Normal 23 11 3" xfId="30027"/>
    <cellStyle name="Normal 23 110" xfId="13242"/>
    <cellStyle name="Normal 23 110 2" xfId="27000"/>
    <cellStyle name="Normal 23 110 2 2" xfId="54008"/>
    <cellStyle name="Normal 23 110 3" xfId="40504"/>
    <cellStyle name="Normal 23 111" xfId="13384"/>
    <cellStyle name="Normal 23 111 2" xfId="27128"/>
    <cellStyle name="Normal 23 111 2 2" xfId="54136"/>
    <cellStyle name="Normal 23 111 3" xfId="40632"/>
    <cellStyle name="Normal 23 112" xfId="13526"/>
    <cellStyle name="Normal 23 112 2" xfId="27256"/>
    <cellStyle name="Normal 23 112 2 2" xfId="54264"/>
    <cellStyle name="Normal 23 112 3" xfId="40760"/>
    <cellStyle name="Normal 23 113" xfId="13668"/>
    <cellStyle name="Normal 23 113 2" xfId="27384"/>
    <cellStyle name="Normal 23 113 2 2" xfId="54392"/>
    <cellStyle name="Normal 23 113 3" xfId="40888"/>
    <cellStyle name="Normal 23 114" xfId="13810"/>
    <cellStyle name="Normal 23 114 2" xfId="27512"/>
    <cellStyle name="Normal 23 114 2 2" xfId="54520"/>
    <cellStyle name="Normal 23 114 3" xfId="41016"/>
    <cellStyle name="Normal 23 115" xfId="13951"/>
    <cellStyle name="Normal 23 115 2" xfId="27639"/>
    <cellStyle name="Normal 23 115 2 2" xfId="54647"/>
    <cellStyle name="Normal 23 115 3" xfId="41143"/>
    <cellStyle name="Normal 23 116" xfId="14092"/>
    <cellStyle name="Normal 23 116 2" xfId="27766"/>
    <cellStyle name="Normal 23 116 2 2" xfId="54774"/>
    <cellStyle name="Normal 23 116 3" xfId="41270"/>
    <cellStyle name="Normal 23 117" xfId="14233"/>
    <cellStyle name="Normal 23 117 2" xfId="27893"/>
    <cellStyle name="Normal 23 117 2 2" xfId="54901"/>
    <cellStyle name="Normal 23 117 3" xfId="41397"/>
    <cellStyle name="Normal 23 118" xfId="14374"/>
    <cellStyle name="Normal 23 118 2" xfId="28020"/>
    <cellStyle name="Normal 23 118 2 2" xfId="55028"/>
    <cellStyle name="Normal 23 118 3" xfId="41524"/>
    <cellStyle name="Normal 23 119" xfId="14514"/>
    <cellStyle name="Normal 23 119 2" xfId="28146"/>
    <cellStyle name="Normal 23 119 2 2" xfId="55154"/>
    <cellStyle name="Normal 23 119 3" xfId="41650"/>
    <cellStyle name="Normal 23 12" xfId="1485"/>
    <cellStyle name="Normal 23 12 2" xfId="16615"/>
    <cellStyle name="Normal 23 12 2 2" xfId="43623"/>
    <cellStyle name="Normal 23 12 3" xfId="30119"/>
    <cellStyle name="Normal 23 120" xfId="14654"/>
    <cellStyle name="Normal 23 120 2" xfId="28272"/>
    <cellStyle name="Normal 23 120 2 2" xfId="55280"/>
    <cellStyle name="Normal 23 120 3" xfId="41776"/>
    <cellStyle name="Normal 23 121" xfId="14793"/>
    <cellStyle name="Normal 23 121 2" xfId="28397"/>
    <cellStyle name="Normal 23 121 2 2" xfId="55405"/>
    <cellStyle name="Normal 23 121 3" xfId="41901"/>
    <cellStyle name="Normal 23 122" xfId="14928"/>
    <cellStyle name="Normal 23 122 2" xfId="28519"/>
    <cellStyle name="Normal 23 122 2 2" xfId="55527"/>
    <cellStyle name="Normal 23 122 3" xfId="42023"/>
    <cellStyle name="Normal 23 123" xfId="15062"/>
    <cellStyle name="Normal 23 123 2" xfId="28640"/>
    <cellStyle name="Normal 23 123 2 2" xfId="55648"/>
    <cellStyle name="Normal 23 123 3" xfId="42144"/>
    <cellStyle name="Normal 23 124" xfId="15189"/>
    <cellStyle name="Normal 23 124 2" xfId="28756"/>
    <cellStyle name="Normal 23 124 2 2" xfId="55764"/>
    <cellStyle name="Normal 23 124 3" xfId="42260"/>
    <cellStyle name="Normal 23 125" xfId="15309"/>
    <cellStyle name="Normal 23 125 2" xfId="28869"/>
    <cellStyle name="Normal 23 125 2 2" xfId="55877"/>
    <cellStyle name="Normal 23 125 3" xfId="42373"/>
    <cellStyle name="Normal 23 126" xfId="15524"/>
    <cellStyle name="Normal 23 126 2" xfId="42532"/>
    <cellStyle name="Normal 23 127" xfId="29028"/>
    <cellStyle name="Normal 23 13" xfId="1591"/>
    <cellStyle name="Normal 23 13 2" xfId="16707"/>
    <cellStyle name="Normal 23 13 2 2" xfId="43715"/>
    <cellStyle name="Normal 23 13 3" xfId="30211"/>
    <cellStyle name="Normal 23 14" xfId="1697"/>
    <cellStyle name="Normal 23 14 2" xfId="16799"/>
    <cellStyle name="Normal 23 14 2 2" xfId="43807"/>
    <cellStyle name="Normal 23 14 3" xfId="30303"/>
    <cellStyle name="Normal 23 15" xfId="1803"/>
    <cellStyle name="Normal 23 15 2" xfId="16891"/>
    <cellStyle name="Normal 23 15 2 2" xfId="43899"/>
    <cellStyle name="Normal 23 15 3" xfId="30395"/>
    <cellStyle name="Normal 23 16" xfId="1909"/>
    <cellStyle name="Normal 23 16 2" xfId="16983"/>
    <cellStyle name="Normal 23 16 2 2" xfId="43991"/>
    <cellStyle name="Normal 23 16 3" xfId="30487"/>
    <cellStyle name="Normal 23 17" xfId="2015"/>
    <cellStyle name="Normal 23 17 2" xfId="17075"/>
    <cellStyle name="Normal 23 17 2 2" xfId="44083"/>
    <cellStyle name="Normal 23 17 3" xfId="30579"/>
    <cellStyle name="Normal 23 18" xfId="2121"/>
    <cellStyle name="Normal 23 18 2" xfId="17167"/>
    <cellStyle name="Normal 23 18 2 2" xfId="44175"/>
    <cellStyle name="Normal 23 18 3" xfId="30671"/>
    <cellStyle name="Normal 23 19" xfId="2227"/>
    <cellStyle name="Normal 23 19 2" xfId="17259"/>
    <cellStyle name="Normal 23 19 2 2" xfId="44267"/>
    <cellStyle name="Normal 23 19 3" xfId="30763"/>
    <cellStyle name="Normal 23 2" xfId="345"/>
    <cellStyle name="Normal 23 2 2" xfId="15647"/>
    <cellStyle name="Normal 23 2 2 2" xfId="42655"/>
    <cellStyle name="Normal 23 2 3" xfId="29151"/>
    <cellStyle name="Normal 23 20" xfId="2333"/>
    <cellStyle name="Normal 23 20 2" xfId="17351"/>
    <cellStyle name="Normal 23 20 2 2" xfId="44359"/>
    <cellStyle name="Normal 23 20 3" xfId="30855"/>
    <cellStyle name="Normal 23 21" xfId="2439"/>
    <cellStyle name="Normal 23 21 2" xfId="17443"/>
    <cellStyle name="Normal 23 21 2 2" xfId="44451"/>
    <cellStyle name="Normal 23 21 3" xfId="30947"/>
    <cellStyle name="Normal 23 22" xfId="2545"/>
    <cellStyle name="Normal 23 22 2" xfId="17535"/>
    <cellStyle name="Normal 23 22 2 2" xfId="44543"/>
    <cellStyle name="Normal 23 22 3" xfId="31039"/>
    <cellStyle name="Normal 23 23" xfId="2651"/>
    <cellStyle name="Normal 23 23 2" xfId="17627"/>
    <cellStyle name="Normal 23 23 2 2" xfId="44635"/>
    <cellStyle name="Normal 23 23 3" xfId="31131"/>
    <cellStyle name="Normal 23 24" xfId="2757"/>
    <cellStyle name="Normal 23 24 2" xfId="17719"/>
    <cellStyle name="Normal 23 24 2 2" xfId="44727"/>
    <cellStyle name="Normal 23 24 3" xfId="31223"/>
    <cellStyle name="Normal 23 25" xfId="2863"/>
    <cellStyle name="Normal 23 25 2" xfId="17811"/>
    <cellStyle name="Normal 23 25 2 2" xfId="44819"/>
    <cellStyle name="Normal 23 25 3" xfId="31315"/>
    <cellStyle name="Normal 23 26" xfId="2969"/>
    <cellStyle name="Normal 23 26 2" xfId="17903"/>
    <cellStyle name="Normal 23 26 2 2" xfId="44911"/>
    <cellStyle name="Normal 23 26 3" xfId="31407"/>
    <cellStyle name="Normal 23 27" xfId="3075"/>
    <cellStyle name="Normal 23 27 2" xfId="17995"/>
    <cellStyle name="Normal 23 27 2 2" xfId="45003"/>
    <cellStyle name="Normal 23 27 3" xfId="31499"/>
    <cellStyle name="Normal 23 28" xfId="3181"/>
    <cellStyle name="Normal 23 28 2" xfId="18087"/>
    <cellStyle name="Normal 23 28 2 2" xfId="45095"/>
    <cellStyle name="Normal 23 28 3" xfId="31591"/>
    <cellStyle name="Normal 23 29" xfId="3287"/>
    <cellStyle name="Normal 23 29 2" xfId="18179"/>
    <cellStyle name="Normal 23 29 2 2" xfId="45187"/>
    <cellStyle name="Normal 23 29 3" xfId="31683"/>
    <cellStyle name="Normal 23 3" xfId="532"/>
    <cellStyle name="Normal 23 3 2" xfId="15788"/>
    <cellStyle name="Normal 23 3 2 2" xfId="42796"/>
    <cellStyle name="Normal 23 3 3" xfId="29292"/>
    <cellStyle name="Normal 23 30" xfId="3393"/>
    <cellStyle name="Normal 23 30 2" xfId="18271"/>
    <cellStyle name="Normal 23 30 2 2" xfId="45279"/>
    <cellStyle name="Normal 23 30 3" xfId="31775"/>
    <cellStyle name="Normal 23 31" xfId="3499"/>
    <cellStyle name="Normal 23 31 2" xfId="18363"/>
    <cellStyle name="Normal 23 31 2 2" xfId="45371"/>
    <cellStyle name="Normal 23 31 3" xfId="31867"/>
    <cellStyle name="Normal 23 32" xfId="3605"/>
    <cellStyle name="Normal 23 32 2" xfId="18455"/>
    <cellStyle name="Normal 23 32 2 2" xfId="45463"/>
    <cellStyle name="Normal 23 32 3" xfId="31959"/>
    <cellStyle name="Normal 23 33" xfId="3711"/>
    <cellStyle name="Normal 23 33 2" xfId="18547"/>
    <cellStyle name="Normal 23 33 2 2" xfId="45555"/>
    <cellStyle name="Normal 23 33 3" xfId="32051"/>
    <cellStyle name="Normal 23 34" xfId="3817"/>
    <cellStyle name="Normal 23 34 2" xfId="18639"/>
    <cellStyle name="Normal 23 34 2 2" xfId="45647"/>
    <cellStyle name="Normal 23 34 3" xfId="32143"/>
    <cellStyle name="Normal 23 35" xfId="3923"/>
    <cellStyle name="Normal 23 35 2" xfId="18731"/>
    <cellStyle name="Normal 23 35 2 2" xfId="45739"/>
    <cellStyle name="Normal 23 35 3" xfId="32235"/>
    <cellStyle name="Normal 23 36" xfId="4029"/>
    <cellStyle name="Normal 23 36 2" xfId="18823"/>
    <cellStyle name="Normal 23 36 2 2" xfId="45831"/>
    <cellStyle name="Normal 23 36 3" xfId="32327"/>
    <cellStyle name="Normal 23 37" xfId="4135"/>
    <cellStyle name="Normal 23 37 2" xfId="18915"/>
    <cellStyle name="Normal 23 37 2 2" xfId="45923"/>
    <cellStyle name="Normal 23 37 3" xfId="32419"/>
    <cellStyle name="Normal 23 38" xfId="4241"/>
    <cellStyle name="Normal 23 38 2" xfId="19007"/>
    <cellStyle name="Normal 23 38 2 2" xfId="46015"/>
    <cellStyle name="Normal 23 38 3" xfId="32511"/>
    <cellStyle name="Normal 23 39" xfId="4347"/>
    <cellStyle name="Normal 23 39 2" xfId="19099"/>
    <cellStyle name="Normal 23 39 2 2" xfId="46107"/>
    <cellStyle name="Normal 23 39 3" xfId="32603"/>
    <cellStyle name="Normal 23 4" xfId="637"/>
    <cellStyle name="Normal 23 4 2" xfId="15879"/>
    <cellStyle name="Normal 23 4 2 2" xfId="42887"/>
    <cellStyle name="Normal 23 4 3" xfId="29383"/>
    <cellStyle name="Normal 23 40" xfId="4453"/>
    <cellStyle name="Normal 23 40 2" xfId="19191"/>
    <cellStyle name="Normal 23 40 2 2" xfId="46199"/>
    <cellStyle name="Normal 23 40 3" xfId="32695"/>
    <cellStyle name="Normal 23 41" xfId="4559"/>
    <cellStyle name="Normal 23 41 2" xfId="19283"/>
    <cellStyle name="Normal 23 41 2 2" xfId="46291"/>
    <cellStyle name="Normal 23 41 3" xfId="32787"/>
    <cellStyle name="Normal 23 42" xfId="4665"/>
    <cellStyle name="Normal 23 42 2" xfId="19375"/>
    <cellStyle name="Normal 23 42 2 2" xfId="46383"/>
    <cellStyle name="Normal 23 42 3" xfId="32879"/>
    <cellStyle name="Normal 23 43" xfId="4771"/>
    <cellStyle name="Normal 23 43 2" xfId="19467"/>
    <cellStyle name="Normal 23 43 2 2" xfId="46475"/>
    <cellStyle name="Normal 23 43 3" xfId="32971"/>
    <cellStyle name="Normal 23 44" xfId="4877"/>
    <cellStyle name="Normal 23 44 2" xfId="19559"/>
    <cellStyle name="Normal 23 44 2 2" xfId="46567"/>
    <cellStyle name="Normal 23 44 3" xfId="33063"/>
    <cellStyle name="Normal 23 45" xfId="4983"/>
    <cellStyle name="Normal 23 45 2" xfId="19651"/>
    <cellStyle name="Normal 23 45 2 2" xfId="46659"/>
    <cellStyle name="Normal 23 45 3" xfId="33155"/>
    <cellStyle name="Normal 23 46" xfId="5089"/>
    <cellStyle name="Normal 23 46 2" xfId="19743"/>
    <cellStyle name="Normal 23 46 2 2" xfId="46751"/>
    <cellStyle name="Normal 23 46 3" xfId="33247"/>
    <cellStyle name="Normal 23 47" xfId="5195"/>
    <cellStyle name="Normal 23 47 2" xfId="19835"/>
    <cellStyle name="Normal 23 47 2 2" xfId="46843"/>
    <cellStyle name="Normal 23 47 3" xfId="33339"/>
    <cellStyle name="Normal 23 48" xfId="5301"/>
    <cellStyle name="Normal 23 48 2" xfId="19927"/>
    <cellStyle name="Normal 23 48 2 2" xfId="46935"/>
    <cellStyle name="Normal 23 48 3" xfId="33431"/>
    <cellStyle name="Normal 23 49" xfId="5407"/>
    <cellStyle name="Normal 23 49 2" xfId="20019"/>
    <cellStyle name="Normal 23 49 2 2" xfId="47027"/>
    <cellStyle name="Normal 23 49 3" xfId="33523"/>
    <cellStyle name="Normal 23 5" xfId="743"/>
    <cellStyle name="Normal 23 5 2" xfId="15971"/>
    <cellStyle name="Normal 23 5 2 2" xfId="42979"/>
    <cellStyle name="Normal 23 5 3" xfId="29475"/>
    <cellStyle name="Normal 23 50" xfId="5513"/>
    <cellStyle name="Normal 23 50 2" xfId="20111"/>
    <cellStyle name="Normal 23 50 2 2" xfId="47119"/>
    <cellStyle name="Normal 23 50 3" xfId="33615"/>
    <cellStyle name="Normal 23 51" xfId="5619"/>
    <cellStyle name="Normal 23 51 2" xfId="20203"/>
    <cellStyle name="Normal 23 51 2 2" xfId="47211"/>
    <cellStyle name="Normal 23 51 3" xfId="33707"/>
    <cellStyle name="Normal 23 52" xfId="5725"/>
    <cellStyle name="Normal 23 52 2" xfId="20295"/>
    <cellStyle name="Normal 23 52 2 2" xfId="47303"/>
    <cellStyle name="Normal 23 52 3" xfId="33799"/>
    <cellStyle name="Normal 23 53" xfId="5831"/>
    <cellStyle name="Normal 23 53 2" xfId="20387"/>
    <cellStyle name="Normal 23 53 2 2" xfId="47395"/>
    <cellStyle name="Normal 23 53 3" xfId="33891"/>
    <cellStyle name="Normal 23 54" xfId="5937"/>
    <cellStyle name="Normal 23 54 2" xfId="20479"/>
    <cellStyle name="Normal 23 54 2 2" xfId="47487"/>
    <cellStyle name="Normal 23 54 3" xfId="33983"/>
    <cellStyle name="Normal 23 55" xfId="6043"/>
    <cellStyle name="Normal 23 55 2" xfId="20571"/>
    <cellStyle name="Normal 23 55 2 2" xfId="47579"/>
    <cellStyle name="Normal 23 55 3" xfId="34075"/>
    <cellStyle name="Normal 23 56" xfId="6149"/>
    <cellStyle name="Normal 23 56 2" xfId="20663"/>
    <cellStyle name="Normal 23 56 2 2" xfId="47671"/>
    <cellStyle name="Normal 23 56 3" xfId="34167"/>
    <cellStyle name="Normal 23 57" xfId="6255"/>
    <cellStyle name="Normal 23 57 2" xfId="20755"/>
    <cellStyle name="Normal 23 57 2 2" xfId="47763"/>
    <cellStyle name="Normal 23 57 3" xfId="34259"/>
    <cellStyle name="Normal 23 58" xfId="6361"/>
    <cellStyle name="Normal 23 58 2" xfId="20847"/>
    <cellStyle name="Normal 23 58 2 2" xfId="47855"/>
    <cellStyle name="Normal 23 58 3" xfId="34351"/>
    <cellStyle name="Normal 23 59" xfId="6467"/>
    <cellStyle name="Normal 23 59 2" xfId="20939"/>
    <cellStyle name="Normal 23 59 2 2" xfId="47947"/>
    <cellStyle name="Normal 23 59 3" xfId="34443"/>
    <cellStyle name="Normal 23 6" xfId="849"/>
    <cellStyle name="Normal 23 6 2" xfId="16063"/>
    <cellStyle name="Normal 23 6 2 2" xfId="43071"/>
    <cellStyle name="Normal 23 6 3" xfId="29567"/>
    <cellStyle name="Normal 23 60" xfId="6573"/>
    <cellStyle name="Normal 23 60 2" xfId="21031"/>
    <cellStyle name="Normal 23 60 2 2" xfId="48039"/>
    <cellStyle name="Normal 23 60 3" xfId="34535"/>
    <cellStyle name="Normal 23 61" xfId="6678"/>
    <cellStyle name="Normal 23 61 2" xfId="21122"/>
    <cellStyle name="Normal 23 61 2 2" xfId="48130"/>
    <cellStyle name="Normal 23 61 3" xfId="34626"/>
    <cellStyle name="Normal 23 62" xfId="6783"/>
    <cellStyle name="Normal 23 62 2" xfId="21213"/>
    <cellStyle name="Normal 23 62 2 2" xfId="48221"/>
    <cellStyle name="Normal 23 62 3" xfId="34717"/>
    <cellStyle name="Normal 23 63" xfId="6888"/>
    <cellStyle name="Normal 23 63 2" xfId="21304"/>
    <cellStyle name="Normal 23 63 2 2" xfId="48312"/>
    <cellStyle name="Normal 23 63 3" xfId="34808"/>
    <cellStyle name="Normal 23 64" xfId="6993"/>
    <cellStyle name="Normal 23 64 2" xfId="21395"/>
    <cellStyle name="Normal 23 64 2 2" xfId="48403"/>
    <cellStyle name="Normal 23 64 3" xfId="34899"/>
    <cellStyle name="Normal 23 65" xfId="7097"/>
    <cellStyle name="Normal 23 65 2" xfId="21485"/>
    <cellStyle name="Normal 23 65 2 2" xfId="48493"/>
    <cellStyle name="Normal 23 65 3" xfId="34989"/>
    <cellStyle name="Normal 23 66" xfId="7201"/>
    <cellStyle name="Normal 23 66 2" xfId="21575"/>
    <cellStyle name="Normal 23 66 2 2" xfId="48583"/>
    <cellStyle name="Normal 23 66 3" xfId="35079"/>
    <cellStyle name="Normal 23 67" xfId="7304"/>
    <cellStyle name="Normal 23 67 2" xfId="21664"/>
    <cellStyle name="Normal 23 67 2 2" xfId="48672"/>
    <cellStyle name="Normal 23 67 3" xfId="35168"/>
    <cellStyle name="Normal 23 68" xfId="7404"/>
    <cellStyle name="Normal 23 68 2" xfId="21751"/>
    <cellStyle name="Normal 23 68 2 2" xfId="48759"/>
    <cellStyle name="Normal 23 68 3" xfId="35255"/>
    <cellStyle name="Normal 23 69" xfId="7502"/>
    <cellStyle name="Normal 23 69 2" xfId="21836"/>
    <cellStyle name="Normal 23 69 2 2" xfId="48844"/>
    <cellStyle name="Normal 23 69 3" xfId="35340"/>
    <cellStyle name="Normal 23 7" xfId="955"/>
    <cellStyle name="Normal 23 7 2" xfId="16155"/>
    <cellStyle name="Normal 23 7 2 2" xfId="43163"/>
    <cellStyle name="Normal 23 7 3" xfId="29659"/>
    <cellStyle name="Normal 23 70" xfId="7591"/>
    <cellStyle name="Normal 23 70 2" xfId="21914"/>
    <cellStyle name="Normal 23 70 2 2" xfId="48922"/>
    <cellStyle name="Normal 23 70 3" xfId="35418"/>
    <cellStyle name="Normal 23 71" xfId="7667"/>
    <cellStyle name="Normal 23 71 2" xfId="21983"/>
    <cellStyle name="Normal 23 71 2 2" xfId="48991"/>
    <cellStyle name="Normal 23 71 3" xfId="35487"/>
    <cellStyle name="Normal 23 72" xfId="7846"/>
    <cellStyle name="Normal 23 72 2" xfId="22136"/>
    <cellStyle name="Normal 23 72 2 2" xfId="49144"/>
    <cellStyle name="Normal 23 72 3" xfId="35640"/>
    <cellStyle name="Normal 23 73" xfId="7988"/>
    <cellStyle name="Normal 23 73 2" xfId="22264"/>
    <cellStyle name="Normal 23 73 2 2" xfId="49272"/>
    <cellStyle name="Normal 23 73 3" xfId="35768"/>
    <cellStyle name="Normal 23 74" xfId="8130"/>
    <cellStyle name="Normal 23 74 2" xfId="22392"/>
    <cellStyle name="Normal 23 74 2 2" xfId="49400"/>
    <cellStyle name="Normal 23 74 3" xfId="35896"/>
    <cellStyle name="Normal 23 75" xfId="8272"/>
    <cellStyle name="Normal 23 75 2" xfId="22520"/>
    <cellStyle name="Normal 23 75 2 2" xfId="49528"/>
    <cellStyle name="Normal 23 75 3" xfId="36024"/>
    <cellStyle name="Normal 23 76" xfId="8414"/>
    <cellStyle name="Normal 23 76 2" xfId="22648"/>
    <cellStyle name="Normal 23 76 2 2" xfId="49656"/>
    <cellStyle name="Normal 23 76 3" xfId="36152"/>
    <cellStyle name="Normal 23 77" xfId="8556"/>
    <cellStyle name="Normal 23 77 2" xfId="22776"/>
    <cellStyle name="Normal 23 77 2 2" xfId="49784"/>
    <cellStyle name="Normal 23 77 3" xfId="36280"/>
    <cellStyle name="Normal 23 78" xfId="8698"/>
    <cellStyle name="Normal 23 78 2" xfId="22904"/>
    <cellStyle name="Normal 23 78 2 2" xfId="49912"/>
    <cellStyle name="Normal 23 78 3" xfId="36408"/>
    <cellStyle name="Normal 23 79" xfId="8840"/>
    <cellStyle name="Normal 23 79 2" xfId="23032"/>
    <cellStyle name="Normal 23 79 2 2" xfId="50040"/>
    <cellStyle name="Normal 23 79 3" xfId="36536"/>
    <cellStyle name="Normal 23 8" xfId="1061"/>
    <cellStyle name="Normal 23 8 2" xfId="16247"/>
    <cellStyle name="Normal 23 8 2 2" xfId="43255"/>
    <cellStyle name="Normal 23 8 3" xfId="29751"/>
    <cellStyle name="Normal 23 80" xfId="8982"/>
    <cellStyle name="Normal 23 80 2" xfId="23160"/>
    <cellStyle name="Normal 23 80 2 2" xfId="50168"/>
    <cellStyle name="Normal 23 80 3" xfId="36664"/>
    <cellStyle name="Normal 23 81" xfId="9124"/>
    <cellStyle name="Normal 23 81 2" xfId="23288"/>
    <cellStyle name="Normal 23 81 2 2" xfId="50296"/>
    <cellStyle name="Normal 23 81 3" xfId="36792"/>
    <cellStyle name="Normal 23 82" xfId="9266"/>
    <cellStyle name="Normal 23 82 2" xfId="23416"/>
    <cellStyle name="Normal 23 82 2 2" xfId="50424"/>
    <cellStyle name="Normal 23 82 3" xfId="36920"/>
    <cellStyle name="Normal 23 83" xfId="9408"/>
    <cellStyle name="Normal 23 83 2" xfId="23544"/>
    <cellStyle name="Normal 23 83 2 2" xfId="50552"/>
    <cellStyle name="Normal 23 83 3" xfId="37048"/>
    <cellStyle name="Normal 23 84" xfId="9550"/>
    <cellStyle name="Normal 23 84 2" xfId="23672"/>
    <cellStyle name="Normal 23 84 2 2" xfId="50680"/>
    <cellStyle name="Normal 23 84 3" xfId="37176"/>
    <cellStyle name="Normal 23 85" xfId="9692"/>
    <cellStyle name="Normal 23 85 2" xfId="23800"/>
    <cellStyle name="Normal 23 85 2 2" xfId="50808"/>
    <cellStyle name="Normal 23 85 3" xfId="37304"/>
    <cellStyle name="Normal 23 86" xfId="9834"/>
    <cellStyle name="Normal 23 86 2" xfId="23928"/>
    <cellStyle name="Normal 23 86 2 2" xfId="50936"/>
    <cellStyle name="Normal 23 86 3" xfId="37432"/>
    <cellStyle name="Normal 23 87" xfId="9976"/>
    <cellStyle name="Normal 23 87 2" xfId="24056"/>
    <cellStyle name="Normal 23 87 2 2" xfId="51064"/>
    <cellStyle name="Normal 23 87 3" xfId="37560"/>
    <cellStyle name="Normal 23 88" xfId="10118"/>
    <cellStyle name="Normal 23 88 2" xfId="24184"/>
    <cellStyle name="Normal 23 88 2 2" xfId="51192"/>
    <cellStyle name="Normal 23 88 3" xfId="37688"/>
    <cellStyle name="Normal 23 89" xfId="10260"/>
    <cellStyle name="Normal 23 89 2" xfId="24312"/>
    <cellStyle name="Normal 23 89 2 2" xfId="51320"/>
    <cellStyle name="Normal 23 89 3" xfId="37816"/>
    <cellStyle name="Normal 23 9" xfId="1167"/>
    <cellStyle name="Normal 23 9 2" xfId="16339"/>
    <cellStyle name="Normal 23 9 2 2" xfId="43347"/>
    <cellStyle name="Normal 23 9 3" xfId="29843"/>
    <cellStyle name="Normal 23 90" xfId="10402"/>
    <cellStyle name="Normal 23 90 2" xfId="24440"/>
    <cellStyle name="Normal 23 90 2 2" xfId="51448"/>
    <cellStyle name="Normal 23 90 3" xfId="37944"/>
    <cellStyle name="Normal 23 91" xfId="10544"/>
    <cellStyle name="Normal 23 91 2" xfId="24568"/>
    <cellStyle name="Normal 23 91 2 2" xfId="51576"/>
    <cellStyle name="Normal 23 91 3" xfId="38072"/>
    <cellStyle name="Normal 23 92" xfId="10686"/>
    <cellStyle name="Normal 23 92 2" xfId="24696"/>
    <cellStyle name="Normal 23 92 2 2" xfId="51704"/>
    <cellStyle name="Normal 23 92 3" xfId="38200"/>
    <cellStyle name="Normal 23 93" xfId="10828"/>
    <cellStyle name="Normal 23 93 2" xfId="24824"/>
    <cellStyle name="Normal 23 93 2 2" xfId="51832"/>
    <cellStyle name="Normal 23 93 3" xfId="38328"/>
    <cellStyle name="Normal 23 94" xfId="10970"/>
    <cellStyle name="Normal 23 94 2" xfId="24952"/>
    <cellStyle name="Normal 23 94 2 2" xfId="51960"/>
    <cellStyle name="Normal 23 94 3" xfId="38456"/>
    <cellStyle name="Normal 23 95" xfId="11112"/>
    <cellStyle name="Normal 23 95 2" xfId="25080"/>
    <cellStyle name="Normal 23 95 2 2" xfId="52088"/>
    <cellStyle name="Normal 23 95 3" xfId="38584"/>
    <cellStyle name="Normal 23 96" xfId="11254"/>
    <cellStyle name="Normal 23 96 2" xfId="25208"/>
    <cellStyle name="Normal 23 96 2 2" xfId="52216"/>
    <cellStyle name="Normal 23 96 3" xfId="38712"/>
    <cellStyle name="Normal 23 97" xfId="11396"/>
    <cellStyle name="Normal 23 97 2" xfId="25336"/>
    <cellStyle name="Normal 23 97 2 2" xfId="52344"/>
    <cellStyle name="Normal 23 97 3" xfId="38840"/>
    <cellStyle name="Normal 23 98" xfId="11538"/>
    <cellStyle name="Normal 23 98 2" xfId="25464"/>
    <cellStyle name="Normal 23 98 2 2" xfId="52472"/>
    <cellStyle name="Normal 23 98 3" xfId="38968"/>
    <cellStyle name="Normal 23 99" xfId="11680"/>
    <cellStyle name="Normal 23 99 2" xfId="25592"/>
    <cellStyle name="Normal 23 99 2 2" xfId="52600"/>
    <cellStyle name="Normal 23 99 3" xfId="39096"/>
    <cellStyle name="Normal 230" xfId="56185"/>
    <cellStyle name="Normal 231" xfId="56188"/>
    <cellStyle name="Normal 232" xfId="56191"/>
    <cellStyle name="Normal 233" xfId="56194"/>
    <cellStyle name="Normal 234" xfId="56197"/>
    <cellStyle name="Normal 235" xfId="56201"/>
    <cellStyle name="Normal 236" xfId="56203"/>
    <cellStyle name="Normal 237" xfId="56205"/>
    <cellStyle name="Normal 238" xfId="56207"/>
    <cellStyle name="Normal 239" xfId="56208"/>
    <cellStyle name="Normal 24" xfId="169"/>
    <cellStyle name="Normal 24 10" xfId="1274"/>
    <cellStyle name="Normal 24 10 2" xfId="16432"/>
    <cellStyle name="Normal 24 10 2 2" xfId="43440"/>
    <cellStyle name="Normal 24 10 3" xfId="29936"/>
    <cellStyle name="Normal 24 100" xfId="11823"/>
    <cellStyle name="Normal 24 100 2" xfId="25721"/>
    <cellStyle name="Normal 24 100 2 2" xfId="52729"/>
    <cellStyle name="Normal 24 100 3" xfId="39225"/>
    <cellStyle name="Normal 24 101" xfId="11965"/>
    <cellStyle name="Normal 24 101 2" xfId="25849"/>
    <cellStyle name="Normal 24 101 2 2" xfId="52857"/>
    <cellStyle name="Normal 24 101 3" xfId="39353"/>
    <cellStyle name="Normal 24 102" xfId="12107"/>
    <cellStyle name="Normal 24 102 2" xfId="25977"/>
    <cellStyle name="Normal 24 102 2 2" xfId="52985"/>
    <cellStyle name="Normal 24 102 3" xfId="39481"/>
    <cellStyle name="Normal 24 103" xfId="12249"/>
    <cellStyle name="Normal 24 103 2" xfId="26105"/>
    <cellStyle name="Normal 24 103 2 2" xfId="53113"/>
    <cellStyle name="Normal 24 103 3" xfId="39609"/>
    <cellStyle name="Normal 24 104" xfId="12391"/>
    <cellStyle name="Normal 24 104 2" xfId="26233"/>
    <cellStyle name="Normal 24 104 2 2" xfId="53241"/>
    <cellStyle name="Normal 24 104 3" xfId="39737"/>
    <cellStyle name="Normal 24 105" xfId="12533"/>
    <cellStyle name="Normal 24 105 2" xfId="26361"/>
    <cellStyle name="Normal 24 105 2 2" xfId="53369"/>
    <cellStyle name="Normal 24 105 3" xfId="39865"/>
    <cellStyle name="Normal 24 106" xfId="12675"/>
    <cellStyle name="Normal 24 106 2" xfId="26489"/>
    <cellStyle name="Normal 24 106 2 2" xfId="53497"/>
    <cellStyle name="Normal 24 106 3" xfId="39993"/>
    <cellStyle name="Normal 24 107" xfId="12817"/>
    <cellStyle name="Normal 24 107 2" xfId="26617"/>
    <cellStyle name="Normal 24 107 2 2" xfId="53625"/>
    <cellStyle name="Normal 24 107 3" xfId="40121"/>
    <cellStyle name="Normal 24 108" xfId="12959"/>
    <cellStyle name="Normal 24 108 2" xfId="26745"/>
    <cellStyle name="Normal 24 108 2 2" xfId="53753"/>
    <cellStyle name="Normal 24 108 3" xfId="40249"/>
    <cellStyle name="Normal 24 109" xfId="13101"/>
    <cellStyle name="Normal 24 109 2" xfId="26873"/>
    <cellStyle name="Normal 24 109 2 2" xfId="53881"/>
    <cellStyle name="Normal 24 109 3" xfId="40377"/>
    <cellStyle name="Normal 24 11" xfId="1380"/>
    <cellStyle name="Normal 24 11 2" xfId="16524"/>
    <cellStyle name="Normal 24 11 2 2" xfId="43532"/>
    <cellStyle name="Normal 24 11 3" xfId="30028"/>
    <cellStyle name="Normal 24 110" xfId="13243"/>
    <cellStyle name="Normal 24 110 2" xfId="27001"/>
    <cellStyle name="Normal 24 110 2 2" xfId="54009"/>
    <cellStyle name="Normal 24 110 3" xfId="40505"/>
    <cellStyle name="Normal 24 111" xfId="13385"/>
    <cellStyle name="Normal 24 111 2" xfId="27129"/>
    <cellStyle name="Normal 24 111 2 2" xfId="54137"/>
    <cellStyle name="Normal 24 111 3" xfId="40633"/>
    <cellStyle name="Normal 24 112" xfId="13527"/>
    <cellStyle name="Normal 24 112 2" xfId="27257"/>
    <cellStyle name="Normal 24 112 2 2" xfId="54265"/>
    <cellStyle name="Normal 24 112 3" xfId="40761"/>
    <cellStyle name="Normal 24 113" xfId="13669"/>
    <cellStyle name="Normal 24 113 2" xfId="27385"/>
    <cellStyle name="Normal 24 113 2 2" xfId="54393"/>
    <cellStyle name="Normal 24 113 3" xfId="40889"/>
    <cellStyle name="Normal 24 114" xfId="13811"/>
    <cellStyle name="Normal 24 114 2" xfId="27513"/>
    <cellStyle name="Normal 24 114 2 2" xfId="54521"/>
    <cellStyle name="Normal 24 114 3" xfId="41017"/>
    <cellStyle name="Normal 24 115" xfId="13952"/>
    <cellStyle name="Normal 24 115 2" xfId="27640"/>
    <cellStyle name="Normal 24 115 2 2" xfId="54648"/>
    <cellStyle name="Normal 24 115 3" xfId="41144"/>
    <cellStyle name="Normal 24 116" xfId="14093"/>
    <cellStyle name="Normal 24 116 2" xfId="27767"/>
    <cellStyle name="Normal 24 116 2 2" xfId="54775"/>
    <cellStyle name="Normal 24 116 3" xfId="41271"/>
    <cellStyle name="Normal 24 117" xfId="14234"/>
    <cellStyle name="Normal 24 117 2" xfId="27894"/>
    <cellStyle name="Normal 24 117 2 2" xfId="54902"/>
    <cellStyle name="Normal 24 117 3" xfId="41398"/>
    <cellStyle name="Normal 24 118" xfId="14375"/>
    <cellStyle name="Normal 24 118 2" xfId="28021"/>
    <cellStyle name="Normal 24 118 2 2" xfId="55029"/>
    <cellStyle name="Normal 24 118 3" xfId="41525"/>
    <cellStyle name="Normal 24 119" xfId="14515"/>
    <cellStyle name="Normal 24 119 2" xfId="28147"/>
    <cellStyle name="Normal 24 119 2 2" xfId="55155"/>
    <cellStyle name="Normal 24 119 3" xfId="41651"/>
    <cellStyle name="Normal 24 12" xfId="1486"/>
    <cellStyle name="Normal 24 12 2" xfId="16616"/>
    <cellStyle name="Normal 24 12 2 2" xfId="43624"/>
    <cellStyle name="Normal 24 12 3" xfId="30120"/>
    <cellStyle name="Normal 24 120" xfId="14655"/>
    <cellStyle name="Normal 24 120 2" xfId="28273"/>
    <cellStyle name="Normal 24 120 2 2" xfId="55281"/>
    <cellStyle name="Normal 24 120 3" xfId="41777"/>
    <cellStyle name="Normal 24 121" xfId="14794"/>
    <cellStyle name="Normal 24 121 2" xfId="28398"/>
    <cellStyle name="Normal 24 121 2 2" xfId="55406"/>
    <cellStyle name="Normal 24 121 3" xfId="41902"/>
    <cellStyle name="Normal 24 122" xfId="14929"/>
    <cellStyle name="Normal 24 122 2" xfId="28520"/>
    <cellStyle name="Normal 24 122 2 2" xfId="55528"/>
    <cellStyle name="Normal 24 122 3" xfId="42024"/>
    <cellStyle name="Normal 24 123" xfId="15063"/>
    <cellStyle name="Normal 24 123 2" xfId="28641"/>
    <cellStyle name="Normal 24 123 2 2" xfId="55649"/>
    <cellStyle name="Normal 24 123 3" xfId="42145"/>
    <cellStyle name="Normal 24 124" xfId="15190"/>
    <cellStyle name="Normal 24 124 2" xfId="28757"/>
    <cellStyle name="Normal 24 124 2 2" xfId="55765"/>
    <cellStyle name="Normal 24 124 3" xfId="42261"/>
    <cellStyle name="Normal 24 125" xfId="15310"/>
    <cellStyle name="Normal 24 125 2" xfId="28870"/>
    <cellStyle name="Normal 24 125 2 2" xfId="55878"/>
    <cellStyle name="Normal 24 125 3" xfId="42374"/>
    <cellStyle name="Normal 24 126" xfId="15525"/>
    <cellStyle name="Normal 24 126 2" xfId="42533"/>
    <cellStyle name="Normal 24 127" xfId="29029"/>
    <cellStyle name="Normal 24 13" xfId="1592"/>
    <cellStyle name="Normal 24 13 2" xfId="16708"/>
    <cellStyle name="Normal 24 13 2 2" xfId="43716"/>
    <cellStyle name="Normal 24 13 3" xfId="30212"/>
    <cellStyle name="Normal 24 14" xfId="1698"/>
    <cellStyle name="Normal 24 14 2" xfId="16800"/>
    <cellStyle name="Normal 24 14 2 2" xfId="43808"/>
    <cellStyle name="Normal 24 14 3" xfId="30304"/>
    <cellStyle name="Normal 24 15" xfId="1804"/>
    <cellStyle name="Normal 24 15 2" xfId="16892"/>
    <cellStyle name="Normal 24 15 2 2" xfId="43900"/>
    <cellStyle name="Normal 24 15 3" xfId="30396"/>
    <cellStyle name="Normal 24 16" xfId="1910"/>
    <cellStyle name="Normal 24 16 2" xfId="16984"/>
    <cellStyle name="Normal 24 16 2 2" xfId="43992"/>
    <cellStyle name="Normal 24 16 3" xfId="30488"/>
    <cellStyle name="Normal 24 17" xfId="2016"/>
    <cellStyle name="Normal 24 17 2" xfId="17076"/>
    <cellStyle name="Normal 24 17 2 2" xfId="44084"/>
    <cellStyle name="Normal 24 17 3" xfId="30580"/>
    <cellStyle name="Normal 24 18" xfId="2122"/>
    <cellStyle name="Normal 24 18 2" xfId="17168"/>
    <cellStyle name="Normal 24 18 2 2" xfId="44176"/>
    <cellStyle name="Normal 24 18 3" xfId="30672"/>
    <cellStyle name="Normal 24 19" xfId="2228"/>
    <cellStyle name="Normal 24 19 2" xfId="17260"/>
    <cellStyle name="Normal 24 19 2 2" xfId="44268"/>
    <cellStyle name="Normal 24 19 3" xfId="30764"/>
    <cellStyle name="Normal 24 2" xfId="346"/>
    <cellStyle name="Normal 24 2 2" xfId="15648"/>
    <cellStyle name="Normal 24 2 2 2" xfId="42656"/>
    <cellStyle name="Normal 24 2 3" xfId="29152"/>
    <cellStyle name="Normal 24 20" xfId="2334"/>
    <cellStyle name="Normal 24 20 2" xfId="17352"/>
    <cellStyle name="Normal 24 20 2 2" xfId="44360"/>
    <cellStyle name="Normal 24 20 3" xfId="30856"/>
    <cellStyle name="Normal 24 21" xfId="2440"/>
    <cellStyle name="Normal 24 21 2" xfId="17444"/>
    <cellStyle name="Normal 24 21 2 2" xfId="44452"/>
    <cellStyle name="Normal 24 21 3" xfId="30948"/>
    <cellStyle name="Normal 24 22" xfId="2546"/>
    <cellStyle name="Normal 24 22 2" xfId="17536"/>
    <cellStyle name="Normal 24 22 2 2" xfId="44544"/>
    <cellStyle name="Normal 24 22 3" xfId="31040"/>
    <cellStyle name="Normal 24 23" xfId="2652"/>
    <cellStyle name="Normal 24 23 2" xfId="17628"/>
    <cellStyle name="Normal 24 23 2 2" xfId="44636"/>
    <cellStyle name="Normal 24 23 3" xfId="31132"/>
    <cellStyle name="Normal 24 24" xfId="2758"/>
    <cellStyle name="Normal 24 24 2" xfId="17720"/>
    <cellStyle name="Normal 24 24 2 2" xfId="44728"/>
    <cellStyle name="Normal 24 24 3" xfId="31224"/>
    <cellStyle name="Normal 24 25" xfId="2864"/>
    <cellStyle name="Normal 24 25 2" xfId="17812"/>
    <cellStyle name="Normal 24 25 2 2" xfId="44820"/>
    <cellStyle name="Normal 24 25 3" xfId="31316"/>
    <cellStyle name="Normal 24 26" xfId="2970"/>
    <cellStyle name="Normal 24 26 2" xfId="17904"/>
    <cellStyle name="Normal 24 26 2 2" xfId="44912"/>
    <cellStyle name="Normal 24 26 3" xfId="31408"/>
    <cellStyle name="Normal 24 27" xfId="3076"/>
    <cellStyle name="Normal 24 27 2" xfId="17996"/>
    <cellStyle name="Normal 24 27 2 2" xfId="45004"/>
    <cellStyle name="Normal 24 27 3" xfId="31500"/>
    <cellStyle name="Normal 24 28" xfId="3182"/>
    <cellStyle name="Normal 24 28 2" xfId="18088"/>
    <cellStyle name="Normal 24 28 2 2" xfId="45096"/>
    <cellStyle name="Normal 24 28 3" xfId="31592"/>
    <cellStyle name="Normal 24 29" xfId="3288"/>
    <cellStyle name="Normal 24 29 2" xfId="18180"/>
    <cellStyle name="Normal 24 29 2 2" xfId="45188"/>
    <cellStyle name="Normal 24 29 3" xfId="31684"/>
    <cellStyle name="Normal 24 3" xfId="533"/>
    <cellStyle name="Normal 24 3 2" xfId="15789"/>
    <cellStyle name="Normal 24 3 2 2" xfId="42797"/>
    <cellStyle name="Normal 24 3 3" xfId="29293"/>
    <cellStyle name="Normal 24 30" xfId="3394"/>
    <cellStyle name="Normal 24 30 2" xfId="18272"/>
    <cellStyle name="Normal 24 30 2 2" xfId="45280"/>
    <cellStyle name="Normal 24 30 3" xfId="31776"/>
    <cellStyle name="Normal 24 31" xfId="3500"/>
    <cellStyle name="Normal 24 31 2" xfId="18364"/>
    <cellStyle name="Normal 24 31 2 2" xfId="45372"/>
    <cellStyle name="Normal 24 31 3" xfId="31868"/>
    <cellStyle name="Normal 24 32" xfId="3606"/>
    <cellStyle name="Normal 24 32 2" xfId="18456"/>
    <cellStyle name="Normal 24 32 2 2" xfId="45464"/>
    <cellStyle name="Normal 24 32 3" xfId="31960"/>
    <cellStyle name="Normal 24 33" xfId="3712"/>
    <cellStyle name="Normal 24 33 2" xfId="18548"/>
    <cellStyle name="Normal 24 33 2 2" xfId="45556"/>
    <cellStyle name="Normal 24 33 3" xfId="32052"/>
    <cellStyle name="Normal 24 34" xfId="3818"/>
    <cellStyle name="Normal 24 34 2" xfId="18640"/>
    <cellStyle name="Normal 24 34 2 2" xfId="45648"/>
    <cellStyle name="Normal 24 34 3" xfId="32144"/>
    <cellStyle name="Normal 24 35" xfId="3924"/>
    <cellStyle name="Normal 24 35 2" xfId="18732"/>
    <cellStyle name="Normal 24 35 2 2" xfId="45740"/>
    <cellStyle name="Normal 24 35 3" xfId="32236"/>
    <cellStyle name="Normal 24 36" xfId="4030"/>
    <cellStyle name="Normal 24 36 2" xfId="18824"/>
    <cellStyle name="Normal 24 36 2 2" xfId="45832"/>
    <cellStyle name="Normal 24 36 3" xfId="32328"/>
    <cellStyle name="Normal 24 37" xfId="4136"/>
    <cellStyle name="Normal 24 37 2" xfId="18916"/>
    <cellStyle name="Normal 24 37 2 2" xfId="45924"/>
    <cellStyle name="Normal 24 37 3" xfId="32420"/>
    <cellStyle name="Normal 24 38" xfId="4242"/>
    <cellStyle name="Normal 24 38 2" xfId="19008"/>
    <cellStyle name="Normal 24 38 2 2" xfId="46016"/>
    <cellStyle name="Normal 24 38 3" xfId="32512"/>
    <cellStyle name="Normal 24 39" xfId="4348"/>
    <cellStyle name="Normal 24 39 2" xfId="19100"/>
    <cellStyle name="Normal 24 39 2 2" xfId="46108"/>
    <cellStyle name="Normal 24 39 3" xfId="32604"/>
    <cellStyle name="Normal 24 4" xfId="638"/>
    <cellStyle name="Normal 24 4 2" xfId="15880"/>
    <cellStyle name="Normal 24 4 2 2" xfId="42888"/>
    <cellStyle name="Normal 24 4 3" xfId="29384"/>
    <cellStyle name="Normal 24 40" xfId="4454"/>
    <cellStyle name="Normal 24 40 2" xfId="19192"/>
    <cellStyle name="Normal 24 40 2 2" xfId="46200"/>
    <cellStyle name="Normal 24 40 3" xfId="32696"/>
    <cellStyle name="Normal 24 41" xfId="4560"/>
    <cellStyle name="Normal 24 41 2" xfId="19284"/>
    <cellStyle name="Normal 24 41 2 2" xfId="46292"/>
    <cellStyle name="Normal 24 41 3" xfId="32788"/>
    <cellStyle name="Normal 24 42" xfId="4666"/>
    <cellStyle name="Normal 24 42 2" xfId="19376"/>
    <cellStyle name="Normal 24 42 2 2" xfId="46384"/>
    <cellStyle name="Normal 24 42 3" xfId="32880"/>
    <cellStyle name="Normal 24 43" xfId="4772"/>
    <cellStyle name="Normal 24 43 2" xfId="19468"/>
    <cellStyle name="Normal 24 43 2 2" xfId="46476"/>
    <cellStyle name="Normal 24 43 3" xfId="32972"/>
    <cellStyle name="Normal 24 44" xfId="4878"/>
    <cellStyle name="Normal 24 44 2" xfId="19560"/>
    <cellStyle name="Normal 24 44 2 2" xfId="46568"/>
    <cellStyle name="Normal 24 44 3" xfId="33064"/>
    <cellStyle name="Normal 24 45" xfId="4984"/>
    <cellStyle name="Normal 24 45 2" xfId="19652"/>
    <cellStyle name="Normal 24 45 2 2" xfId="46660"/>
    <cellStyle name="Normal 24 45 3" xfId="33156"/>
    <cellStyle name="Normal 24 46" xfId="5090"/>
    <cellStyle name="Normal 24 46 2" xfId="19744"/>
    <cellStyle name="Normal 24 46 2 2" xfId="46752"/>
    <cellStyle name="Normal 24 46 3" xfId="33248"/>
    <cellStyle name="Normal 24 47" xfId="5196"/>
    <cellStyle name="Normal 24 47 2" xfId="19836"/>
    <cellStyle name="Normal 24 47 2 2" xfId="46844"/>
    <cellStyle name="Normal 24 47 3" xfId="33340"/>
    <cellStyle name="Normal 24 48" xfId="5302"/>
    <cellStyle name="Normal 24 48 2" xfId="19928"/>
    <cellStyle name="Normal 24 48 2 2" xfId="46936"/>
    <cellStyle name="Normal 24 48 3" xfId="33432"/>
    <cellStyle name="Normal 24 49" xfId="5408"/>
    <cellStyle name="Normal 24 49 2" xfId="20020"/>
    <cellStyle name="Normal 24 49 2 2" xfId="47028"/>
    <cellStyle name="Normal 24 49 3" xfId="33524"/>
    <cellStyle name="Normal 24 5" xfId="744"/>
    <cellStyle name="Normal 24 5 2" xfId="15972"/>
    <cellStyle name="Normal 24 5 2 2" xfId="42980"/>
    <cellStyle name="Normal 24 5 3" xfId="29476"/>
    <cellStyle name="Normal 24 50" xfId="5514"/>
    <cellStyle name="Normal 24 50 2" xfId="20112"/>
    <cellStyle name="Normal 24 50 2 2" xfId="47120"/>
    <cellStyle name="Normal 24 50 3" xfId="33616"/>
    <cellStyle name="Normal 24 51" xfId="5620"/>
    <cellStyle name="Normal 24 51 2" xfId="20204"/>
    <cellStyle name="Normal 24 51 2 2" xfId="47212"/>
    <cellStyle name="Normal 24 51 3" xfId="33708"/>
    <cellStyle name="Normal 24 52" xfId="5726"/>
    <cellStyle name="Normal 24 52 2" xfId="20296"/>
    <cellStyle name="Normal 24 52 2 2" xfId="47304"/>
    <cellStyle name="Normal 24 52 3" xfId="33800"/>
    <cellStyle name="Normal 24 53" xfId="5832"/>
    <cellStyle name="Normal 24 53 2" xfId="20388"/>
    <cellStyle name="Normal 24 53 2 2" xfId="47396"/>
    <cellStyle name="Normal 24 53 3" xfId="33892"/>
    <cellStyle name="Normal 24 54" xfId="5938"/>
    <cellStyle name="Normal 24 54 2" xfId="20480"/>
    <cellStyle name="Normal 24 54 2 2" xfId="47488"/>
    <cellStyle name="Normal 24 54 3" xfId="33984"/>
    <cellStyle name="Normal 24 55" xfId="6044"/>
    <cellStyle name="Normal 24 55 2" xfId="20572"/>
    <cellStyle name="Normal 24 55 2 2" xfId="47580"/>
    <cellStyle name="Normal 24 55 3" xfId="34076"/>
    <cellStyle name="Normal 24 56" xfId="6150"/>
    <cellStyle name="Normal 24 56 2" xfId="20664"/>
    <cellStyle name="Normal 24 56 2 2" xfId="47672"/>
    <cellStyle name="Normal 24 56 3" xfId="34168"/>
    <cellStyle name="Normal 24 57" xfId="6256"/>
    <cellStyle name="Normal 24 57 2" xfId="20756"/>
    <cellStyle name="Normal 24 57 2 2" xfId="47764"/>
    <cellStyle name="Normal 24 57 3" xfId="34260"/>
    <cellStyle name="Normal 24 58" xfId="6362"/>
    <cellStyle name="Normal 24 58 2" xfId="20848"/>
    <cellStyle name="Normal 24 58 2 2" xfId="47856"/>
    <cellStyle name="Normal 24 58 3" xfId="34352"/>
    <cellStyle name="Normal 24 59" xfId="6468"/>
    <cellStyle name="Normal 24 59 2" xfId="20940"/>
    <cellStyle name="Normal 24 59 2 2" xfId="47948"/>
    <cellStyle name="Normal 24 59 3" xfId="34444"/>
    <cellStyle name="Normal 24 6" xfId="850"/>
    <cellStyle name="Normal 24 6 2" xfId="16064"/>
    <cellStyle name="Normal 24 6 2 2" xfId="43072"/>
    <cellStyle name="Normal 24 6 3" xfId="29568"/>
    <cellStyle name="Normal 24 60" xfId="6574"/>
    <cellStyle name="Normal 24 60 2" xfId="21032"/>
    <cellStyle name="Normal 24 60 2 2" xfId="48040"/>
    <cellStyle name="Normal 24 60 3" xfId="34536"/>
    <cellStyle name="Normal 24 61" xfId="6679"/>
    <cellStyle name="Normal 24 61 2" xfId="21123"/>
    <cellStyle name="Normal 24 61 2 2" xfId="48131"/>
    <cellStyle name="Normal 24 61 3" xfId="34627"/>
    <cellStyle name="Normal 24 62" xfId="6784"/>
    <cellStyle name="Normal 24 62 2" xfId="21214"/>
    <cellStyle name="Normal 24 62 2 2" xfId="48222"/>
    <cellStyle name="Normal 24 62 3" xfId="34718"/>
    <cellStyle name="Normal 24 63" xfId="6889"/>
    <cellStyle name="Normal 24 63 2" xfId="21305"/>
    <cellStyle name="Normal 24 63 2 2" xfId="48313"/>
    <cellStyle name="Normal 24 63 3" xfId="34809"/>
    <cellStyle name="Normal 24 64" xfId="6994"/>
    <cellStyle name="Normal 24 64 2" xfId="21396"/>
    <cellStyle name="Normal 24 64 2 2" xfId="48404"/>
    <cellStyle name="Normal 24 64 3" xfId="34900"/>
    <cellStyle name="Normal 24 65" xfId="7098"/>
    <cellStyle name="Normal 24 65 2" xfId="21486"/>
    <cellStyle name="Normal 24 65 2 2" xfId="48494"/>
    <cellStyle name="Normal 24 65 3" xfId="34990"/>
    <cellStyle name="Normal 24 66" xfId="7202"/>
    <cellStyle name="Normal 24 66 2" xfId="21576"/>
    <cellStyle name="Normal 24 66 2 2" xfId="48584"/>
    <cellStyle name="Normal 24 66 3" xfId="35080"/>
    <cellStyle name="Normal 24 67" xfId="7305"/>
    <cellStyle name="Normal 24 67 2" xfId="21665"/>
    <cellStyle name="Normal 24 67 2 2" xfId="48673"/>
    <cellStyle name="Normal 24 67 3" xfId="35169"/>
    <cellStyle name="Normal 24 68" xfId="7405"/>
    <cellStyle name="Normal 24 68 2" xfId="21752"/>
    <cellStyle name="Normal 24 68 2 2" xfId="48760"/>
    <cellStyle name="Normal 24 68 3" xfId="35256"/>
    <cellStyle name="Normal 24 69" xfId="7503"/>
    <cellStyle name="Normal 24 69 2" xfId="21837"/>
    <cellStyle name="Normal 24 69 2 2" xfId="48845"/>
    <cellStyle name="Normal 24 69 3" xfId="35341"/>
    <cellStyle name="Normal 24 7" xfId="956"/>
    <cellStyle name="Normal 24 7 2" xfId="16156"/>
    <cellStyle name="Normal 24 7 2 2" xfId="43164"/>
    <cellStyle name="Normal 24 7 3" xfId="29660"/>
    <cellStyle name="Normal 24 70" xfId="7592"/>
    <cellStyle name="Normal 24 70 2" xfId="21915"/>
    <cellStyle name="Normal 24 70 2 2" xfId="48923"/>
    <cellStyle name="Normal 24 70 3" xfId="35419"/>
    <cellStyle name="Normal 24 71" xfId="7668"/>
    <cellStyle name="Normal 24 71 2" xfId="21984"/>
    <cellStyle name="Normal 24 71 2 2" xfId="48992"/>
    <cellStyle name="Normal 24 71 3" xfId="35488"/>
    <cellStyle name="Normal 24 72" xfId="7847"/>
    <cellStyle name="Normal 24 72 2" xfId="22137"/>
    <cellStyle name="Normal 24 72 2 2" xfId="49145"/>
    <cellStyle name="Normal 24 72 3" xfId="35641"/>
    <cellStyle name="Normal 24 73" xfId="7989"/>
    <cellStyle name="Normal 24 73 2" xfId="22265"/>
    <cellStyle name="Normal 24 73 2 2" xfId="49273"/>
    <cellStyle name="Normal 24 73 3" xfId="35769"/>
    <cellStyle name="Normal 24 74" xfId="8131"/>
    <cellStyle name="Normal 24 74 2" xfId="22393"/>
    <cellStyle name="Normal 24 74 2 2" xfId="49401"/>
    <cellStyle name="Normal 24 74 3" xfId="35897"/>
    <cellStyle name="Normal 24 75" xfId="8273"/>
    <cellStyle name="Normal 24 75 2" xfId="22521"/>
    <cellStyle name="Normal 24 75 2 2" xfId="49529"/>
    <cellStyle name="Normal 24 75 3" xfId="36025"/>
    <cellStyle name="Normal 24 76" xfId="8415"/>
    <cellStyle name="Normal 24 76 2" xfId="22649"/>
    <cellStyle name="Normal 24 76 2 2" xfId="49657"/>
    <cellStyle name="Normal 24 76 3" xfId="36153"/>
    <cellStyle name="Normal 24 77" xfId="8557"/>
    <cellStyle name="Normal 24 77 2" xfId="22777"/>
    <cellStyle name="Normal 24 77 2 2" xfId="49785"/>
    <cellStyle name="Normal 24 77 3" xfId="36281"/>
    <cellStyle name="Normal 24 78" xfId="8699"/>
    <cellStyle name="Normal 24 78 2" xfId="22905"/>
    <cellStyle name="Normal 24 78 2 2" xfId="49913"/>
    <cellStyle name="Normal 24 78 3" xfId="36409"/>
    <cellStyle name="Normal 24 79" xfId="8841"/>
    <cellStyle name="Normal 24 79 2" xfId="23033"/>
    <cellStyle name="Normal 24 79 2 2" xfId="50041"/>
    <cellStyle name="Normal 24 79 3" xfId="36537"/>
    <cellStyle name="Normal 24 8" xfId="1062"/>
    <cellStyle name="Normal 24 8 2" xfId="16248"/>
    <cellStyle name="Normal 24 8 2 2" xfId="43256"/>
    <cellStyle name="Normal 24 8 3" xfId="29752"/>
    <cellStyle name="Normal 24 80" xfId="8983"/>
    <cellStyle name="Normal 24 80 2" xfId="23161"/>
    <cellStyle name="Normal 24 80 2 2" xfId="50169"/>
    <cellStyle name="Normal 24 80 3" xfId="36665"/>
    <cellStyle name="Normal 24 81" xfId="9125"/>
    <cellStyle name="Normal 24 81 2" xfId="23289"/>
    <cellStyle name="Normal 24 81 2 2" xfId="50297"/>
    <cellStyle name="Normal 24 81 3" xfId="36793"/>
    <cellStyle name="Normal 24 82" xfId="9267"/>
    <cellStyle name="Normal 24 82 2" xfId="23417"/>
    <cellStyle name="Normal 24 82 2 2" xfId="50425"/>
    <cellStyle name="Normal 24 82 3" xfId="36921"/>
    <cellStyle name="Normal 24 83" xfId="9409"/>
    <cellStyle name="Normal 24 83 2" xfId="23545"/>
    <cellStyle name="Normal 24 83 2 2" xfId="50553"/>
    <cellStyle name="Normal 24 83 3" xfId="37049"/>
    <cellStyle name="Normal 24 84" xfId="9551"/>
    <cellStyle name="Normal 24 84 2" xfId="23673"/>
    <cellStyle name="Normal 24 84 2 2" xfId="50681"/>
    <cellStyle name="Normal 24 84 3" xfId="37177"/>
    <cellStyle name="Normal 24 85" xfId="9693"/>
    <cellStyle name="Normal 24 85 2" xfId="23801"/>
    <cellStyle name="Normal 24 85 2 2" xfId="50809"/>
    <cellStyle name="Normal 24 85 3" xfId="37305"/>
    <cellStyle name="Normal 24 86" xfId="9835"/>
    <cellStyle name="Normal 24 86 2" xfId="23929"/>
    <cellStyle name="Normal 24 86 2 2" xfId="50937"/>
    <cellStyle name="Normal 24 86 3" xfId="37433"/>
    <cellStyle name="Normal 24 87" xfId="9977"/>
    <cellStyle name="Normal 24 87 2" xfId="24057"/>
    <cellStyle name="Normal 24 87 2 2" xfId="51065"/>
    <cellStyle name="Normal 24 87 3" xfId="37561"/>
    <cellStyle name="Normal 24 88" xfId="10119"/>
    <cellStyle name="Normal 24 88 2" xfId="24185"/>
    <cellStyle name="Normal 24 88 2 2" xfId="51193"/>
    <cellStyle name="Normal 24 88 3" xfId="37689"/>
    <cellStyle name="Normal 24 89" xfId="10261"/>
    <cellStyle name="Normal 24 89 2" xfId="24313"/>
    <cellStyle name="Normal 24 89 2 2" xfId="51321"/>
    <cellStyle name="Normal 24 89 3" xfId="37817"/>
    <cellStyle name="Normal 24 9" xfId="1168"/>
    <cellStyle name="Normal 24 9 2" xfId="16340"/>
    <cellStyle name="Normal 24 9 2 2" xfId="43348"/>
    <cellStyle name="Normal 24 9 3" xfId="29844"/>
    <cellStyle name="Normal 24 90" xfId="10403"/>
    <cellStyle name="Normal 24 90 2" xfId="24441"/>
    <cellStyle name="Normal 24 90 2 2" xfId="51449"/>
    <cellStyle name="Normal 24 90 3" xfId="37945"/>
    <cellStyle name="Normal 24 91" xfId="10545"/>
    <cellStyle name="Normal 24 91 2" xfId="24569"/>
    <cellStyle name="Normal 24 91 2 2" xfId="51577"/>
    <cellStyle name="Normal 24 91 3" xfId="38073"/>
    <cellStyle name="Normal 24 92" xfId="10687"/>
    <cellStyle name="Normal 24 92 2" xfId="24697"/>
    <cellStyle name="Normal 24 92 2 2" xfId="51705"/>
    <cellStyle name="Normal 24 92 3" xfId="38201"/>
    <cellStyle name="Normal 24 93" xfId="10829"/>
    <cellStyle name="Normal 24 93 2" xfId="24825"/>
    <cellStyle name="Normal 24 93 2 2" xfId="51833"/>
    <cellStyle name="Normal 24 93 3" xfId="38329"/>
    <cellStyle name="Normal 24 94" xfId="10971"/>
    <cellStyle name="Normal 24 94 2" xfId="24953"/>
    <cellStyle name="Normal 24 94 2 2" xfId="51961"/>
    <cellStyle name="Normal 24 94 3" xfId="38457"/>
    <cellStyle name="Normal 24 95" xfId="11113"/>
    <cellStyle name="Normal 24 95 2" xfId="25081"/>
    <cellStyle name="Normal 24 95 2 2" xfId="52089"/>
    <cellStyle name="Normal 24 95 3" xfId="38585"/>
    <cellStyle name="Normal 24 96" xfId="11255"/>
    <cellStyle name="Normal 24 96 2" xfId="25209"/>
    <cellStyle name="Normal 24 96 2 2" xfId="52217"/>
    <cellStyle name="Normal 24 96 3" xfId="38713"/>
    <cellStyle name="Normal 24 97" xfId="11397"/>
    <cellStyle name="Normal 24 97 2" xfId="25337"/>
    <cellStyle name="Normal 24 97 2 2" xfId="52345"/>
    <cellStyle name="Normal 24 97 3" xfId="38841"/>
    <cellStyle name="Normal 24 98" xfId="11539"/>
    <cellStyle name="Normal 24 98 2" xfId="25465"/>
    <cellStyle name="Normal 24 98 2 2" xfId="52473"/>
    <cellStyle name="Normal 24 98 3" xfId="38969"/>
    <cellStyle name="Normal 24 99" xfId="11681"/>
    <cellStyle name="Normal 24 99 2" xfId="25593"/>
    <cellStyle name="Normal 24 99 2 2" xfId="52601"/>
    <cellStyle name="Normal 24 99 3" xfId="39097"/>
    <cellStyle name="Normal 240" xfId="56209"/>
    <cellStyle name="Normal 241" xfId="56214"/>
    <cellStyle name="Normal 242" xfId="56215"/>
    <cellStyle name="Normal 243" xfId="56220"/>
    <cellStyle name="Normal 244" xfId="56221"/>
    <cellStyle name="Normal 245" xfId="56224"/>
    <cellStyle name="Normal 246" xfId="56229"/>
    <cellStyle name="Normal 247" xfId="56230"/>
    <cellStyle name="Normal 248" xfId="56235"/>
    <cellStyle name="Normal 249" xfId="56236"/>
    <cellStyle name="Normal 25" xfId="170"/>
    <cellStyle name="Normal 25 10" xfId="1275"/>
    <cellStyle name="Normal 25 10 2" xfId="16433"/>
    <cellStyle name="Normal 25 10 2 2" xfId="43441"/>
    <cellStyle name="Normal 25 10 3" xfId="29937"/>
    <cellStyle name="Normal 25 100" xfId="11824"/>
    <cellStyle name="Normal 25 100 2" xfId="25722"/>
    <cellStyle name="Normal 25 100 2 2" xfId="52730"/>
    <cellStyle name="Normal 25 100 3" xfId="39226"/>
    <cellStyle name="Normal 25 101" xfId="11966"/>
    <cellStyle name="Normal 25 101 2" xfId="25850"/>
    <cellStyle name="Normal 25 101 2 2" xfId="52858"/>
    <cellStyle name="Normal 25 101 3" xfId="39354"/>
    <cellStyle name="Normal 25 102" xfId="12108"/>
    <cellStyle name="Normal 25 102 2" xfId="25978"/>
    <cellStyle name="Normal 25 102 2 2" xfId="52986"/>
    <cellStyle name="Normal 25 102 3" xfId="39482"/>
    <cellStyle name="Normal 25 103" xfId="12250"/>
    <cellStyle name="Normal 25 103 2" xfId="26106"/>
    <cellStyle name="Normal 25 103 2 2" xfId="53114"/>
    <cellStyle name="Normal 25 103 3" xfId="39610"/>
    <cellStyle name="Normal 25 104" xfId="12392"/>
    <cellStyle name="Normal 25 104 2" xfId="26234"/>
    <cellStyle name="Normal 25 104 2 2" xfId="53242"/>
    <cellStyle name="Normal 25 104 3" xfId="39738"/>
    <cellStyle name="Normal 25 105" xfId="12534"/>
    <cellStyle name="Normal 25 105 2" xfId="26362"/>
    <cellStyle name="Normal 25 105 2 2" xfId="53370"/>
    <cellStyle name="Normal 25 105 3" xfId="39866"/>
    <cellStyle name="Normal 25 106" xfId="12676"/>
    <cellStyle name="Normal 25 106 2" xfId="26490"/>
    <cellStyle name="Normal 25 106 2 2" xfId="53498"/>
    <cellStyle name="Normal 25 106 3" xfId="39994"/>
    <cellStyle name="Normal 25 107" xfId="12818"/>
    <cellStyle name="Normal 25 107 2" xfId="26618"/>
    <cellStyle name="Normal 25 107 2 2" xfId="53626"/>
    <cellStyle name="Normal 25 107 3" xfId="40122"/>
    <cellStyle name="Normal 25 108" xfId="12960"/>
    <cellStyle name="Normal 25 108 2" xfId="26746"/>
    <cellStyle name="Normal 25 108 2 2" xfId="53754"/>
    <cellStyle name="Normal 25 108 3" xfId="40250"/>
    <cellStyle name="Normal 25 109" xfId="13102"/>
    <cellStyle name="Normal 25 109 2" xfId="26874"/>
    <cellStyle name="Normal 25 109 2 2" xfId="53882"/>
    <cellStyle name="Normal 25 109 3" xfId="40378"/>
    <cellStyle name="Normal 25 11" xfId="1381"/>
    <cellStyle name="Normal 25 11 2" xfId="16525"/>
    <cellStyle name="Normal 25 11 2 2" xfId="43533"/>
    <cellStyle name="Normal 25 11 3" xfId="30029"/>
    <cellStyle name="Normal 25 110" xfId="13244"/>
    <cellStyle name="Normal 25 110 2" xfId="27002"/>
    <cellStyle name="Normal 25 110 2 2" xfId="54010"/>
    <cellStyle name="Normal 25 110 3" xfId="40506"/>
    <cellStyle name="Normal 25 111" xfId="13386"/>
    <cellStyle name="Normal 25 111 2" xfId="27130"/>
    <cellStyle name="Normal 25 111 2 2" xfId="54138"/>
    <cellStyle name="Normal 25 111 3" xfId="40634"/>
    <cellStyle name="Normal 25 112" xfId="13528"/>
    <cellStyle name="Normal 25 112 2" xfId="27258"/>
    <cellStyle name="Normal 25 112 2 2" xfId="54266"/>
    <cellStyle name="Normal 25 112 3" xfId="40762"/>
    <cellStyle name="Normal 25 113" xfId="13670"/>
    <cellStyle name="Normal 25 113 2" xfId="27386"/>
    <cellStyle name="Normal 25 113 2 2" xfId="54394"/>
    <cellStyle name="Normal 25 113 3" xfId="40890"/>
    <cellStyle name="Normal 25 114" xfId="13812"/>
    <cellStyle name="Normal 25 114 2" xfId="27514"/>
    <cellStyle name="Normal 25 114 2 2" xfId="54522"/>
    <cellStyle name="Normal 25 114 3" xfId="41018"/>
    <cellStyle name="Normal 25 115" xfId="13953"/>
    <cellStyle name="Normal 25 115 2" xfId="27641"/>
    <cellStyle name="Normal 25 115 2 2" xfId="54649"/>
    <cellStyle name="Normal 25 115 3" xfId="41145"/>
    <cellStyle name="Normal 25 116" xfId="14094"/>
    <cellStyle name="Normal 25 116 2" xfId="27768"/>
    <cellStyle name="Normal 25 116 2 2" xfId="54776"/>
    <cellStyle name="Normal 25 116 3" xfId="41272"/>
    <cellStyle name="Normal 25 117" xfId="14235"/>
    <cellStyle name="Normal 25 117 2" xfId="27895"/>
    <cellStyle name="Normal 25 117 2 2" xfId="54903"/>
    <cellStyle name="Normal 25 117 3" xfId="41399"/>
    <cellStyle name="Normal 25 118" xfId="14376"/>
    <cellStyle name="Normal 25 118 2" xfId="28022"/>
    <cellStyle name="Normal 25 118 2 2" xfId="55030"/>
    <cellStyle name="Normal 25 118 3" xfId="41526"/>
    <cellStyle name="Normal 25 119" xfId="14516"/>
    <cellStyle name="Normal 25 119 2" xfId="28148"/>
    <cellStyle name="Normal 25 119 2 2" xfId="55156"/>
    <cellStyle name="Normal 25 119 3" xfId="41652"/>
    <cellStyle name="Normal 25 12" xfId="1487"/>
    <cellStyle name="Normal 25 12 2" xfId="16617"/>
    <cellStyle name="Normal 25 12 2 2" xfId="43625"/>
    <cellStyle name="Normal 25 12 3" xfId="30121"/>
    <cellStyle name="Normal 25 120" xfId="14656"/>
    <cellStyle name="Normal 25 120 2" xfId="28274"/>
    <cellStyle name="Normal 25 120 2 2" xfId="55282"/>
    <cellStyle name="Normal 25 120 3" xfId="41778"/>
    <cellStyle name="Normal 25 121" xfId="14795"/>
    <cellStyle name="Normal 25 121 2" xfId="28399"/>
    <cellStyle name="Normal 25 121 2 2" xfId="55407"/>
    <cellStyle name="Normal 25 121 3" xfId="41903"/>
    <cellStyle name="Normal 25 122" xfId="14930"/>
    <cellStyle name="Normal 25 122 2" xfId="28521"/>
    <cellStyle name="Normal 25 122 2 2" xfId="55529"/>
    <cellStyle name="Normal 25 122 3" xfId="42025"/>
    <cellStyle name="Normal 25 123" xfId="15064"/>
    <cellStyle name="Normal 25 123 2" xfId="28642"/>
    <cellStyle name="Normal 25 123 2 2" xfId="55650"/>
    <cellStyle name="Normal 25 123 3" xfId="42146"/>
    <cellStyle name="Normal 25 124" xfId="15191"/>
    <cellStyle name="Normal 25 124 2" xfId="28758"/>
    <cellStyle name="Normal 25 124 2 2" xfId="55766"/>
    <cellStyle name="Normal 25 124 3" xfId="42262"/>
    <cellStyle name="Normal 25 125" xfId="15311"/>
    <cellStyle name="Normal 25 125 2" xfId="28871"/>
    <cellStyle name="Normal 25 125 2 2" xfId="55879"/>
    <cellStyle name="Normal 25 125 3" xfId="42375"/>
    <cellStyle name="Normal 25 126" xfId="15526"/>
    <cellStyle name="Normal 25 126 2" xfId="42534"/>
    <cellStyle name="Normal 25 127" xfId="29030"/>
    <cellStyle name="Normal 25 13" xfId="1593"/>
    <cellStyle name="Normal 25 13 2" xfId="16709"/>
    <cellStyle name="Normal 25 13 2 2" xfId="43717"/>
    <cellStyle name="Normal 25 13 3" xfId="30213"/>
    <cellStyle name="Normal 25 14" xfId="1699"/>
    <cellStyle name="Normal 25 14 2" xfId="16801"/>
    <cellStyle name="Normal 25 14 2 2" xfId="43809"/>
    <cellStyle name="Normal 25 14 3" xfId="30305"/>
    <cellStyle name="Normal 25 15" xfId="1805"/>
    <cellStyle name="Normal 25 15 2" xfId="16893"/>
    <cellStyle name="Normal 25 15 2 2" xfId="43901"/>
    <cellStyle name="Normal 25 15 3" xfId="30397"/>
    <cellStyle name="Normal 25 16" xfId="1911"/>
    <cellStyle name="Normal 25 16 2" xfId="16985"/>
    <cellStyle name="Normal 25 16 2 2" xfId="43993"/>
    <cellStyle name="Normal 25 16 3" xfId="30489"/>
    <cellStyle name="Normal 25 17" xfId="2017"/>
    <cellStyle name="Normal 25 17 2" xfId="17077"/>
    <cellStyle name="Normal 25 17 2 2" xfId="44085"/>
    <cellStyle name="Normal 25 17 3" xfId="30581"/>
    <cellStyle name="Normal 25 18" xfId="2123"/>
    <cellStyle name="Normal 25 18 2" xfId="17169"/>
    <cellStyle name="Normal 25 18 2 2" xfId="44177"/>
    <cellStyle name="Normal 25 18 3" xfId="30673"/>
    <cellStyle name="Normal 25 19" xfId="2229"/>
    <cellStyle name="Normal 25 19 2" xfId="17261"/>
    <cellStyle name="Normal 25 19 2 2" xfId="44269"/>
    <cellStyle name="Normal 25 19 3" xfId="30765"/>
    <cellStyle name="Normal 25 2" xfId="347"/>
    <cellStyle name="Normal 25 2 2" xfId="15649"/>
    <cellStyle name="Normal 25 2 2 2" xfId="42657"/>
    <cellStyle name="Normal 25 2 3" xfId="29153"/>
    <cellStyle name="Normal 25 20" xfId="2335"/>
    <cellStyle name="Normal 25 20 2" xfId="17353"/>
    <cellStyle name="Normal 25 20 2 2" xfId="44361"/>
    <cellStyle name="Normal 25 20 3" xfId="30857"/>
    <cellStyle name="Normal 25 21" xfId="2441"/>
    <cellStyle name="Normal 25 21 2" xfId="17445"/>
    <cellStyle name="Normal 25 21 2 2" xfId="44453"/>
    <cellStyle name="Normal 25 21 3" xfId="30949"/>
    <cellStyle name="Normal 25 22" xfId="2547"/>
    <cellStyle name="Normal 25 22 2" xfId="17537"/>
    <cellStyle name="Normal 25 22 2 2" xfId="44545"/>
    <cellStyle name="Normal 25 22 3" xfId="31041"/>
    <cellStyle name="Normal 25 23" xfId="2653"/>
    <cellStyle name="Normal 25 23 2" xfId="17629"/>
    <cellStyle name="Normal 25 23 2 2" xfId="44637"/>
    <cellStyle name="Normal 25 23 3" xfId="31133"/>
    <cellStyle name="Normal 25 24" xfId="2759"/>
    <cellStyle name="Normal 25 24 2" xfId="17721"/>
    <cellStyle name="Normal 25 24 2 2" xfId="44729"/>
    <cellStyle name="Normal 25 24 3" xfId="31225"/>
    <cellStyle name="Normal 25 25" xfId="2865"/>
    <cellStyle name="Normal 25 25 2" xfId="17813"/>
    <cellStyle name="Normal 25 25 2 2" xfId="44821"/>
    <cellStyle name="Normal 25 25 3" xfId="31317"/>
    <cellStyle name="Normal 25 26" xfId="2971"/>
    <cellStyle name="Normal 25 26 2" xfId="17905"/>
    <cellStyle name="Normal 25 26 2 2" xfId="44913"/>
    <cellStyle name="Normal 25 26 3" xfId="31409"/>
    <cellStyle name="Normal 25 27" xfId="3077"/>
    <cellStyle name="Normal 25 27 2" xfId="17997"/>
    <cellStyle name="Normal 25 27 2 2" xfId="45005"/>
    <cellStyle name="Normal 25 27 3" xfId="31501"/>
    <cellStyle name="Normal 25 28" xfId="3183"/>
    <cellStyle name="Normal 25 28 2" xfId="18089"/>
    <cellStyle name="Normal 25 28 2 2" xfId="45097"/>
    <cellStyle name="Normal 25 28 3" xfId="31593"/>
    <cellStyle name="Normal 25 29" xfId="3289"/>
    <cellStyle name="Normal 25 29 2" xfId="18181"/>
    <cellStyle name="Normal 25 29 2 2" xfId="45189"/>
    <cellStyle name="Normal 25 29 3" xfId="31685"/>
    <cellStyle name="Normal 25 3" xfId="534"/>
    <cellStyle name="Normal 25 3 2" xfId="15790"/>
    <cellStyle name="Normal 25 3 2 2" xfId="42798"/>
    <cellStyle name="Normal 25 3 3" xfId="29294"/>
    <cellStyle name="Normal 25 30" xfId="3395"/>
    <cellStyle name="Normal 25 30 2" xfId="18273"/>
    <cellStyle name="Normal 25 30 2 2" xfId="45281"/>
    <cellStyle name="Normal 25 30 3" xfId="31777"/>
    <cellStyle name="Normal 25 31" xfId="3501"/>
    <cellStyle name="Normal 25 31 2" xfId="18365"/>
    <cellStyle name="Normal 25 31 2 2" xfId="45373"/>
    <cellStyle name="Normal 25 31 3" xfId="31869"/>
    <cellStyle name="Normal 25 32" xfId="3607"/>
    <cellStyle name="Normal 25 32 2" xfId="18457"/>
    <cellStyle name="Normal 25 32 2 2" xfId="45465"/>
    <cellStyle name="Normal 25 32 3" xfId="31961"/>
    <cellStyle name="Normal 25 33" xfId="3713"/>
    <cellStyle name="Normal 25 33 2" xfId="18549"/>
    <cellStyle name="Normal 25 33 2 2" xfId="45557"/>
    <cellStyle name="Normal 25 33 3" xfId="32053"/>
    <cellStyle name="Normal 25 34" xfId="3819"/>
    <cellStyle name="Normal 25 34 2" xfId="18641"/>
    <cellStyle name="Normal 25 34 2 2" xfId="45649"/>
    <cellStyle name="Normal 25 34 3" xfId="32145"/>
    <cellStyle name="Normal 25 35" xfId="3925"/>
    <cellStyle name="Normal 25 35 2" xfId="18733"/>
    <cellStyle name="Normal 25 35 2 2" xfId="45741"/>
    <cellStyle name="Normal 25 35 3" xfId="32237"/>
    <cellStyle name="Normal 25 36" xfId="4031"/>
    <cellStyle name="Normal 25 36 2" xfId="18825"/>
    <cellStyle name="Normal 25 36 2 2" xfId="45833"/>
    <cellStyle name="Normal 25 36 3" xfId="32329"/>
    <cellStyle name="Normal 25 37" xfId="4137"/>
    <cellStyle name="Normal 25 37 2" xfId="18917"/>
    <cellStyle name="Normal 25 37 2 2" xfId="45925"/>
    <cellStyle name="Normal 25 37 3" xfId="32421"/>
    <cellStyle name="Normal 25 38" xfId="4243"/>
    <cellStyle name="Normal 25 38 2" xfId="19009"/>
    <cellStyle name="Normal 25 38 2 2" xfId="46017"/>
    <cellStyle name="Normal 25 38 3" xfId="32513"/>
    <cellStyle name="Normal 25 39" xfId="4349"/>
    <cellStyle name="Normal 25 39 2" xfId="19101"/>
    <cellStyle name="Normal 25 39 2 2" xfId="46109"/>
    <cellStyle name="Normal 25 39 3" xfId="32605"/>
    <cellStyle name="Normal 25 4" xfId="639"/>
    <cellStyle name="Normal 25 4 2" xfId="15881"/>
    <cellStyle name="Normal 25 4 2 2" xfId="42889"/>
    <cellStyle name="Normal 25 4 3" xfId="29385"/>
    <cellStyle name="Normal 25 40" xfId="4455"/>
    <cellStyle name="Normal 25 40 2" xfId="19193"/>
    <cellStyle name="Normal 25 40 2 2" xfId="46201"/>
    <cellStyle name="Normal 25 40 3" xfId="32697"/>
    <cellStyle name="Normal 25 41" xfId="4561"/>
    <cellStyle name="Normal 25 41 2" xfId="19285"/>
    <cellStyle name="Normal 25 41 2 2" xfId="46293"/>
    <cellStyle name="Normal 25 41 3" xfId="32789"/>
    <cellStyle name="Normal 25 42" xfId="4667"/>
    <cellStyle name="Normal 25 42 2" xfId="19377"/>
    <cellStyle name="Normal 25 42 2 2" xfId="46385"/>
    <cellStyle name="Normal 25 42 3" xfId="32881"/>
    <cellStyle name="Normal 25 43" xfId="4773"/>
    <cellStyle name="Normal 25 43 2" xfId="19469"/>
    <cellStyle name="Normal 25 43 2 2" xfId="46477"/>
    <cellStyle name="Normal 25 43 3" xfId="32973"/>
    <cellStyle name="Normal 25 44" xfId="4879"/>
    <cellStyle name="Normal 25 44 2" xfId="19561"/>
    <cellStyle name="Normal 25 44 2 2" xfId="46569"/>
    <cellStyle name="Normal 25 44 3" xfId="33065"/>
    <cellStyle name="Normal 25 45" xfId="4985"/>
    <cellStyle name="Normal 25 45 2" xfId="19653"/>
    <cellStyle name="Normal 25 45 2 2" xfId="46661"/>
    <cellStyle name="Normal 25 45 3" xfId="33157"/>
    <cellStyle name="Normal 25 46" xfId="5091"/>
    <cellStyle name="Normal 25 46 2" xfId="19745"/>
    <cellStyle name="Normal 25 46 2 2" xfId="46753"/>
    <cellStyle name="Normal 25 46 3" xfId="33249"/>
    <cellStyle name="Normal 25 47" xfId="5197"/>
    <cellStyle name="Normal 25 47 2" xfId="19837"/>
    <cellStyle name="Normal 25 47 2 2" xfId="46845"/>
    <cellStyle name="Normal 25 47 3" xfId="33341"/>
    <cellStyle name="Normal 25 48" xfId="5303"/>
    <cellStyle name="Normal 25 48 2" xfId="19929"/>
    <cellStyle name="Normal 25 48 2 2" xfId="46937"/>
    <cellStyle name="Normal 25 48 3" xfId="33433"/>
    <cellStyle name="Normal 25 49" xfId="5409"/>
    <cellStyle name="Normal 25 49 2" xfId="20021"/>
    <cellStyle name="Normal 25 49 2 2" xfId="47029"/>
    <cellStyle name="Normal 25 49 3" xfId="33525"/>
    <cellStyle name="Normal 25 5" xfId="745"/>
    <cellStyle name="Normal 25 5 2" xfId="15973"/>
    <cellStyle name="Normal 25 5 2 2" xfId="42981"/>
    <cellStyle name="Normal 25 5 3" xfId="29477"/>
    <cellStyle name="Normal 25 50" xfId="5515"/>
    <cellStyle name="Normal 25 50 2" xfId="20113"/>
    <cellStyle name="Normal 25 50 2 2" xfId="47121"/>
    <cellStyle name="Normal 25 50 3" xfId="33617"/>
    <cellStyle name="Normal 25 51" xfId="5621"/>
    <cellStyle name="Normal 25 51 2" xfId="20205"/>
    <cellStyle name="Normal 25 51 2 2" xfId="47213"/>
    <cellStyle name="Normal 25 51 3" xfId="33709"/>
    <cellStyle name="Normal 25 52" xfId="5727"/>
    <cellStyle name="Normal 25 52 2" xfId="20297"/>
    <cellStyle name="Normal 25 52 2 2" xfId="47305"/>
    <cellStyle name="Normal 25 52 3" xfId="33801"/>
    <cellStyle name="Normal 25 53" xfId="5833"/>
    <cellStyle name="Normal 25 53 2" xfId="20389"/>
    <cellStyle name="Normal 25 53 2 2" xfId="47397"/>
    <cellStyle name="Normal 25 53 3" xfId="33893"/>
    <cellStyle name="Normal 25 54" xfId="5939"/>
    <cellStyle name="Normal 25 54 2" xfId="20481"/>
    <cellStyle name="Normal 25 54 2 2" xfId="47489"/>
    <cellStyle name="Normal 25 54 3" xfId="33985"/>
    <cellStyle name="Normal 25 55" xfId="6045"/>
    <cellStyle name="Normal 25 55 2" xfId="20573"/>
    <cellStyle name="Normal 25 55 2 2" xfId="47581"/>
    <cellStyle name="Normal 25 55 3" xfId="34077"/>
    <cellStyle name="Normal 25 56" xfId="6151"/>
    <cellStyle name="Normal 25 56 2" xfId="20665"/>
    <cellStyle name="Normal 25 56 2 2" xfId="47673"/>
    <cellStyle name="Normal 25 56 3" xfId="34169"/>
    <cellStyle name="Normal 25 57" xfId="6257"/>
    <cellStyle name="Normal 25 57 2" xfId="20757"/>
    <cellStyle name="Normal 25 57 2 2" xfId="47765"/>
    <cellStyle name="Normal 25 57 3" xfId="34261"/>
    <cellStyle name="Normal 25 58" xfId="6363"/>
    <cellStyle name="Normal 25 58 2" xfId="20849"/>
    <cellStyle name="Normal 25 58 2 2" xfId="47857"/>
    <cellStyle name="Normal 25 58 3" xfId="34353"/>
    <cellStyle name="Normal 25 59" xfId="6469"/>
    <cellStyle name="Normal 25 59 2" xfId="20941"/>
    <cellStyle name="Normal 25 59 2 2" xfId="47949"/>
    <cellStyle name="Normal 25 59 3" xfId="34445"/>
    <cellStyle name="Normal 25 6" xfId="851"/>
    <cellStyle name="Normal 25 6 2" xfId="16065"/>
    <cellStyle name="Normal 25 6 2 2" xfId="43073"/>
    <cellStyle name="Normal 25 6 3" xfId="29569"/>
    <cellStyle name="Normal 25 60" xfId="6575"/>
    <cellStyle name="Normal 25 60 2" xfId="21033"/>
    <cellStyle name="Normal 25 60 2 2" xfId="48041"/>
    <cellStyle name="Normal 25 60 3" xfId="34537"/>
    <cellStyle name="Normal 25 61" xfId="6680"/>
    <cellStyle name="Normal 25 61 2" xfId="21124"/>
    <cellStyle name="Normal 25 61 2 2" xfId="48132"/>
    <cellStyle name="Normal 25 61 3" xfId="34628"/>
    <cellStyle name="Normal 25 62" xfId="6785"/>
    <cellStyle name="Normal 25 62 2" xfId="21215"/>
    <cellStyle name="Normal 25 62 2 2" xfId="48223"/>
    <cellStyle name="Normal 25 62 3" xfId="34719"/>
    <cellStyle name="Normal 25 63" xfId="6890"/>
    <cellStyle name="Normal 25 63 2" xfId="21306"/>
    <cellStyle name="Normal 25 63 2 2" xfId="48314"/>
    <cellStyle name="Normal 25 63 3" xfId="34810"/>
    <cellStyle name="Normal 25 64" xfId="6995"/>
    <cellStyle name="Normal 25 64 2" xfId="21397"/>
    <cellStyle name="Normal 25 64 2 2" xfId="48405"/>
    <cellStyle name="Normal 25 64 3" xfId="34901"/>
    <cellStyle name="Normal 25 65" xfId="7099"/>
    <cellStyle name="Normal 25 65 2" xfId="21487"/>
    <cellStyle name="Normal 25 65 2 2" xfId="48495"/>
    <cellStyle name="Normal 25 65 3" xfId="34991"/>
    <cellStyle name="Normal 25 66" xfId="7203"/>
    <cellStyle name="Normal 25 66 2" xfId="21577"/>
    <cellStyle name="Normal 25 66 2 2" xfId="48585"/>
    <cellStyle name="Normal 25 66 3" xfId="35081"/>
    <cellStyle name="Normal 25 67" xfId="7306"/>
    <cellStyle name="Normal 25 67 2" xfId="21666"/>
    <cellStyle name="Normal 25 67 2 2" xfId="48674"/>
    <cellStyle name="Normal 25 67 3" xfId="35170"/>
    <cellStyle name="Normal 25 68" xfId="7406"/>
    <cellStyle name="Normal 25 68 2" xfId="21753"/>
    <cellStyle name="Normal 25 68 2 2" xfId="48761"/>
    <cellStyle name="Normal 25 68 3" xfId="35257"/>
    <cellStyle name="Normal 25 69" xfId="7504"/>
    <cellStyle name="Normal 25 69 2" xfId="21838"/>
    <cellStyle name="Normal 25 69 2 2" xfId="48846"/>
    <cellStyle name="Normal 25 69 3" xfId="35342"/>
    <cellStyle name="Normal 25 7" xfId="957"/>
    <cellStyle name="Normal 25 7 2" xfId="16157"/>
    <cellStyle name="Normal 25 7 2 2" xfId="43165"/>
    <cellStyle name="Normal 25 7 3" xfId="29661"/>
    <cellStyle name="Normal 25 70" xfId="7593"/>
    <cellStyle name="Normal 25 70 2" xfId="21916"/>
    <cellStyle name="Normal 25 70 2 2" xfId="48924"/>
    <cellStyle name="Normal 25 70 3" xfId="35420"/>
    <cellStyle name="Normal 25 71" xfId="7669"/>
    <cellStyle name="Normal 25 71 2" xfId="21985"/>
    <cellStyle name="Normal 25 71 2 2" xfId="48993"/>
    <cellStyle name="Normal 25 71 3" xfId="35489"/>
    <cellStyle name="Normal 25 72" xfId="7848"/>
    <cellStyle name="Normal 25 72 2" xfId="22138"/>
    <cellStyle name="Normal 25 72 2 2" xfId="49146"/>
    <cellStyle name="Normal 25 72 3" xfId="35642"/>
    <cellStyle name="Normal 25 73" xfId="7990"/>
    <cellStyle name="Normal 25 73 2" xfId="22266"/>
    <cellStyle name="Normal 25 73 2 2" xfId="49274"/>
    <cellStyle name="Normal 25 73 3" xfId="35770"/>
    <cellStyle name="Normal 25 74" xfId="8132"/>
    <cellStyle name="Normal 25 74 2" xfId="22394"/>
    <cellStyle name="Normal 25 74 2 2" xfId="49402"/>
    <cellStyle name="Normal 25 74 3" xfId="35898"/>
    <cellStyle name="Normal 25 75" xfId="8274"/>
    <cellStyle name="Normal 25 75 2" xfId="22522"/>
    <cellStyle name="Normal 25 75 2 2" xfId="49530"/>
    <cellStyle name="Normal 25 75 3" xfId="36026"/>
    <cellStyle name="Normal 25 76" xfId="8416"/>
    <cellStyle name="Normal 25 76 2" xfId="22650"/>
    <cellStyle name="Normal 25 76 2 2" xfId="49658"/>
    <cellStyle name="Normal 25 76 3" xfId="36154"/>
    <cellStyle name="Normal 25 77" xfId="8558"/>
    <cellStyle name="Normal 25 77 2" xfId="22778"/>
    <cellStyle name="Normal 25 77 2 2" xfId="49786"/>
    <cellStyle name="Normal 25 77 3" xfId="36282"/>
    <cellStyle name="Normal 25 78" xfId="8700"/>
    <cellStyle name="Normal 25 78 2" xfId="22906"/>
    <cellStyle name="Normal 25 78 2 2" xfId="49914"/>
    <cellStyle name="Normal 25 78 3" xfId="36410"/>
    <cellStyle name="Normal 25 79" xfId="8842"/>
    <cellStyle name="Normal 25 79 2" xfId="23034"/>
    <cellStyle name="Normal 25 79 2 2" xfId="50042"/>
    <cellStyle name="Normal 25 79 3" xfId="36538"/>
    <cellStyle name="Normal 25 8" xfId="1063"/>
    <cellStyle name="Normal 25 8 2" xfId="16249"/>
    <cellStyle name="Normal 25 8 2 2" xfId="43257"/>
    <cellStyle name="Normal 25 8 3" xfId="29753"/>
    <cellStyle name="Normal 25 80" xfId="8984"/>
    <cellStyle name="Normal 25 80 2" xfId="23162"/>
    <cellStyle name="Normal 25 80 2 2" xfId="50170"/>
    <cellStyle name="Normal 25 80 3" xfId="36666"/>
    <cellStyle name="Normal 25 81" xfId="9126"/>
    <cellStyle name="Normal 25 81 2" xfId="23290"/>
    <cellStyle name="Normal 25 81 2 2" xfId="50298"/>
    <cellStyle name="Normal 25 81 3" xfId="36794"/>
    <cellStyle name="Normal 25 82" xfId="9268"/>
    <cellStyle name="Normal 25 82 2" xfId="23418"/>
    <cellStyle name="Normal 25 82 2 2" xfId="50426"/>
    <cellStyle name="Normal 25 82 3" xfId="36922"/>
    <cellStyle name="Normal 25 83" xfId="9410"/>
    <cellStyle name="Normal 25 83 2" xfId="23546"/>
    <cellStyle name="Normal 25 83 2 2" xfId="50554"/>
    <cellStyle name="Normal 25 83 3" xfId="37050"/>
    <cellStyle name="Normal 25 84" xfId="9552"/>
    <cellStyle name="Normal 25 84 2" xfId="23674"/>
    <cellStyle name="Normal 25 84 2 2" xfId="50682"/>
    <cellStyle name="Normal 25 84 3" xfId="37178"/>
    <cellStyle name="Normal 25 85" xfId="9694"/>
    <cellStyle name="Normal 25 85 2" xfId="23802"/>
    <cellStyle name="Normal 25 85 2 2" xfId="50810"/>
    <cellStyle name="Normal 25 85 3" xfId="37306"/>
    <cellStyle name="Normal 25 86" xfId="9836"/>
    <cellStyle name="Normal 25 86 2" xfId="23930"/>
    <cellStyle name="Normal 25 86 2 2" xfId="50938"/>
    <cellStyle name="Normal 25 86 3" xfId="37434"/>
    <cellStyle name="Normal 25 87" xfId="9978"/>
    <cellStyle name="Normal 25 87 2" xfId="24058"/>
    <cellStyle name="Normal 25 87 2 2" xfId="51066"/>
    <cellStyle name="Normal 25 87 3" xfId="37562"/>
    <cellStyle name="Normal 25 88" xfId="10120"/>
    <cellStyle name="Normal 25 88 2" xfId="24186"/>
    <cellStyle name="Normal 25 88 2 2" xfId="51194"/>
    <cellStyle name="Normal 25 88 3" xfId="37690"/>
    <cellStyle name="Normal 25 89" xfId="10262"/>
    <cellStyle name="Normal 25 89 2" xfId="24314"/>
    <cellStyle name="Normal 25 89 2 2" xfId="51322"/>
    <cellStyle name="Normal 25 89 3" xfId="37818"/>
    <cellStyle name="Normal 25 9" xfId="1169"/>
    <cellStyle name="Normal 25 9 2" xfId="16341"/>
    <cellStyle name="Normal 25 9 2 2" xfId="43349"/>
    <cellStyle name="Normal 25 9 3" xfId="29845"/>
    <cellStyle name="Normal 25 90" xfId="10404"/>
    <cellStyle name="Normal 25 90 2" xfId="24442"/>
    <cellStyle name="Normal 25 90 2 2" xfId="51450"/>
    <cellStyle name="Normal 25 90 3" xfId="37946"/>
    <cellStyle name="Normal 25 91" xfId="10546"/>
    <cellStyle name="Normal 25 91 2" xfId="24570"/>
    <cellStyle name="Normal 25 91 2 2" xfId="51578"/>
    <cellStyle name="Normal 25 91 3" xfId="38074"/>
    <cellStyle name="Normal 25 92" xfId="10688"/>
    <cellStyle name="Normal 25 92 2" xfId="24698"/>
    <cellStyle name="Normal 25 92 2 2" xfId="51706"/>
    <cellStyle name="Normal 25 92 3" xfId="38202"/>
    <cellStyle name="Normal 25 93" xfId="10830"/>
    <cellStyle name="Normal 25 93 2" xfId="24826"/>
    <cellStyle name="Normal 25 93 2 2" xfId="51834"/>
    <cellStyle name="Normal 25 93 3" xfId="38330"/>
    <cellStyle name="Normal 25 94" xfId="10972"/>
    <cellStyle name="Normal 25 94 2" xfId="24954"/>
    <cellStyle name="Normal 25 94 2 2" xfId="51962"/>
    <cellStyle name="Normal 25 94 3" xfId="38458"/>
    <cellStyle name="Normal 25 95" xfId="11114"/>
    <cellStyle name="Normal 25 95 2" xfId="25082"/>
    <cellStyle name="Normal 25 95 2 2" xfId="52090"/>
    <cellStyle name="Normal 25 95 3" xfId="38586"/>
    <cellStyle name="Normal 25 96" xfId="11256"/>
    <cellStyle name="Normal 25 96 2" xfId="25210"/>
    <cellStyle name="Normal 25 96 2 2" xfId="52218"/>
    <cellStyle name="Normal 25 96 3" xfId="38714"/>
    <cellStyle name="Normal 25 97" xfId="11398"/>
    <cellStyle name="Normal 25 97 2" xfId="25338"/>
    <cellStyle name="Normal 25 97 2 2" xfId="52346"/>
    <cellStyle name="Normal 25 97 3" xfId="38842"/>
    <cellStyle name="Normal 25 98" xfId="11540"/>
    <cellStyle name="Normal 25 98 2" xfId="25466"/>
    <cellStyle name="Normal 25 98 2 2" xfId="52474"/>
    <cellStyle name="Normal 25 98 3" xfId="38970"/>
    <cellStyle name="Normal 25 99" xfId="11682"/>
    <cellStyle name="Normal 25 99 2" xfId="25594"/>
    <cellStyle name="Normal 25 99 2 2" xfId="52602"/>
    <cellStyle name="Normal 25 99 3" xfId="39098"/>
    <cellStyle name="Normal 250" xfId="56239"/>
    <cellStyle name="Normal 251" xfId="56242"/>
    <cellStyle name="Normal 252" xfId="56245"/>
    <cellStyle name="Normal 253" xfId="56248"/>
    <cellStyle name="Normal 254" xfId="56251"/>
    <cellStyle name="Normal 255" xfId="56254"/>
    <cellStyle name="Normal 256" xfId="56257"/>
    <cellStyle name="Normal 257" xfId="56260"/>
    <cellStyle name="Normal 258" xfId="56263"/>
    <cellStyle name="Normal 259" xfId="56266"/>
    <cellStyle name="Normal 26" xfId="171"/>
    <cellStyle name="Normal 26 10" xfId="1276"/>
    <cellStyle name="Normal 26 10 2" xfId="16434"/>
    <cellStyle name="Normal 26 10 2 2" xfId="43442"/>
    <cellStyle name="Normal 26 10 3" xfId="29938"/>
    <cellStyle name="Normal 26 100" xfId="11825"/>
    <cellStyle name="Normal 26 100 2" xfId="25723"/>
    <cellStyle name="Normal 26 100 2 2" xfId="52731"/>
    <cellStyle name="Normal 26 100 3" xfId="39227"/>
    <cellStyle name="Normal 26 101" xfId="11967"/>
    <cellStyle name="Normal 26 101 2" xfId="25851"/>
    <cellStyle name="Normal 26 101 2 2" xfId="52859"/>
    <cellStyle name="Normal 26 101 3" xfId="39355"/>
    <cellStyle name="Normal 26 102" xfId="12109"/>
    <cellStyle name="Normal 26 102 2" xfId="25979"/>
    <cellStyle name="Normal 26 102 2 2" xfId="52987"/>
    <cellStyle name="Normal 26 102 3" xfId="39483"/>
    <cellStyle name="Normal 26 103" xfId="12251"/>
    <cellStyle name="Normal 26 103 2" xfId="26107"/>
    <cellStyle name="Normal 26 103 2 2" xfId="53115"/>
    <cellStyle name="Normal 26 103 3" xfId="39611"/>
    <cellStyle name="Normal 26 104" xfId="12393"/>
    <cellStyle name="Normal 26 104 2" xfId="26235"/>
    <cellStyle name="Normal 26 104 2 2" xfId="53243"/>
    <cellStyle name="Normal 26 104 3" xfId="39739"/>
    <cellStyle name="Normal 26 105" xfId="12535"/>
    <cellStyle name="Normal 26 105 2" xfId="26363"/>
    <cellStyle name="Normal 26 105 2 2" xfId="53371"/>
    <cellStyle name="Normal 26 105 3" xfId="39867"/>
    <cellStyle name="Normal 26 106" xfId="12677"/>
    <cellStyle name="Normal 26 106 2" xfId="26491"/>
    <cellStyle name="Normal 26 106 2 2" xfId="53499"/>
    <cellStyle name="Normal 26 106 3" xfId="39995"/>
    <cellStyle name="Normal 26 107" xfId="12819"/>
    <cellStyle name="Normal 26 107 2" xfId="26619"/>
    <cellStyle name="Normal 26 107 2 2" xfId="53627"/>
    <cellStyle name="Normal 26 107 3" xfId="40123"/>
    <cellStyle name="Normal 26 108" xfId="12961"/>
    <cellStyle name="Normal 26 108 2" xfId="26747"/>
    <cellStyle name="Normal 26 108 2 2" xfId="53755"/>
    <cellStyle name="Normal 26 108 3" xfId="40251"/>
    <cellStyle name="Normal 26 109" xfId="13103"/>
    <cellStyle name="Normal 26 109 2" xfId="26875"/>
    <cellStyle name="Normal 26 109 2 2" xfId="53883"/>
    <cellStyle name="Normal 26 109 3" xfId="40379"/>
    <cellStyle name="Normal 26 11" xfId="1382"/>
    <cellStyle name="Normal 26 11 2" xfId="16526"/>
    <cellStyle name="Normal 26 11 2 2" xfId="43534"/>
    <cellStyle name="Normal 26 11 3" xfId="30030"/>
    <cellStyle name="Normal 26 110" xfId="13245"/>
    <cellStyle name="Normal 26 110 2" xfId="27003"/>
    <cellStyle name="Normal 26 110 2 2" xfId="54011"/>
    <cellStyle name="Normal 26 110 3" xfId="40507"/>
    <cellStyle name="Normal 26 111" xfId="13387"/>
    <cellStyle name="Normal 26 111 2" xfId="27131"/>
    <cellStyle name="Normal 26 111 2 2" xfId="54139"/>
    <cellStyle name="Normal 26 111 3" xfId="40635"/>
    <cellStyle name="Normal 26 112" xfId="13529"/>
    <cellStyle name="Normal 26 112 2" xfId="27259"/>
    <cellStyle name="Normal 26 112 2 2" xfId="54267"/>
    <cellStyle name="Normal 26 112 3" xfId="40763"/>
    <cellStyle name="Normal 26 113" xfId="13671"/>
    <cellStyle name="Normal 26 113 2" xfId="27387"/>
    <cellStyle name="Normal 26 113 2 2" xfId="54395"/>
    <cellStyle name="Normal 26 113 3" xfId="40891"/>
    <cellStyle name="Normal 26 114" xfId="13813"/>
    <cellStyle name="Normal 26 114 2" xfId="27515"/>
    <cellStyle name="Normal 26 114 2 2" xfId="54523"/>
    <cellStyle name="Normal 26 114 3" xfId="41019"/>
    <cellStyle name="Normal 26 115" xfId="13954"/>
    <cellStyle name="Normal 26 115 2" xfId="27642"/>
    <cellStyle name="Normal 26 115 2 2" xfId="54650"/>
    <cellStyle name="Normal 26 115 3" xfId="41146"/>
    <cellStyle name="Normal 26 116" xfId="14095"/>
    <cellStyle name="Normal 26 116 2" xfId="27769"/>
    <cellStyle name="Normal 26 116 2 2" xfId="54777"/>
    <cellStyle name="Normal 26 116 3" xfId="41273"/>
    <cellStyle name="Normal 26 117" xfId="14236"/>
    <cellStyle name="Normal 26 117 2" xfId="27896"/>
    <cellStyle name="Normal 26 117 2 2" xfId="54904"/>
    <cellStyle name="Normal 26 117 3" xfId="41400"/>
    <cellStyle name="Normal 26 118" xfId="14377"/>
    <cellStyle name="Normal 26 118 2" xfId="28023"/>
    <cellStyle name="Normal 26 118 2 2" xfId="55031"/>
    <cellStyle name="Normal 26 118 3" xfId="41527"/>
    <cellStyle name="Normal 26 119" xfId="14517"/>
    <cellStyle name="Normal 26 119 2" xfId="28149"/>
    <cellStyle name="Normal 26 119 2 2" xfId="55157"/>
    <cellStyle name="Normal 26 119 3" xfId="41653"/>
    <cellStyle name="Normal 26 12" xfId="1488"/>
    <cellStyle name="Normal 26 12 2" xfId="16618"/>
    <cellStyle name="Normal 26 12 2 2" xfId="43626"/>
    <cellStyle name="Normal 26 12 3" xfId="30122"/>
    <cellStyle name="Normal 26 120" xfId="14657"/>
    <cellStyle name="Normal 26 120 2" xfId="28275"/>
    <cellStyle name="Normal 26 120 2 2" xfId="55283"/>
    <cellStyle name="Normal 26 120 3" xfId="41779"/>
    <cellStyle name="Normal 26 121" xfId="14796"/>
    <cellStyle name="Normal 26 121 2" xfId="28400"/>
    <cellStyle name="Normal 26 121 2 2" xfId="55408"/>
    <cellStyle name="Normal 26 121 3" xfId="41904"/>
    <cellStyle name="Normal 26 122" xfId="14931"/>
    <cellStyle name="Normal 26 122 2" xfId="28522"/>
    <cellStyle name="Normal 26 122 2 2" xfId="55530"/>
    <cellStyle name="Normal 26 122 3" xfId="42026"/>
    <cellStyle name="Normal 26 123" xfId="15065"/>
    <cellStyle name="Normal 26 123 2" xfId="28643"/>
    <cellStyle name="Normal 26 123 2 2" xfId="55651"/>
    <cellStyle name="Normal 26 123 3" xfId="42147"/>
    <cellStyle name="Normal 26 124" xfId="15192"/>
    <cellStyle name="Normal 26 124 2" xfId="28759"/>
    <cellStyle name="Normal 26 124 2 2" xfId="55767"/>
    <cellStyle name="Normal 26 124 3" xfId="42263"/>
    <cellStyle name="Normal 26 125" xfId="15312"/>
    <cellStyle name="Normal 26 125 2" xfId="28872"/>
    <cellStyle name="Normal 26 125 2 2" xfId="55880"/>
    <cellStyle name="Normal 26 125 3" xfId="42376"/>
    <cellStyle name="Normal 26 126" xfId="15527"/>
    <cellStyle name="Normal 26 126 2" xfId="42535"/>
    <cellStyle name="Normal 26 127" xfId="29031"/>
    <cellStyle name="Normal 26 13" xfId="1594"/>
    <cellStyle name="Normal 26 13 2" xfId="16710"/>
    <cellStyle name="Normal 26 13 2 2" xfId="43718"/>
    <cellStyle name="Normal 26 13 3" xfId="30214"/>
    <cellStyle name="Normal 26 14" xfId="1700"/>
    <cellStyle name="Normal 26 14 2" xfId="16802"/>
    <cellStyle name="Normal 26 14 2 2" xfId="43810"/>
    <cellStyle name="Normal 26 14 3" xfId="30306"/>
    <cellStyle name="Normal 26 15" xfId="1806"/>
    <cellStyle name="Normal 26 15 2" xfId="16894"/>
    <cellStyle name="Normal 26 15 2 2" xfId="43902"/>
    <cellStyle name="Normal 26 15 3" xfId="30398"/>
    <cellStyle name="Normal 26 16" xfId="1912"/>
    <cellStyle name="Normal 26 16 2" xfId="16986"/>
    <cellStyle name="Normal 26 16 2 2" xfId="43994"/>
    <cellStyle name="Normal 26 16 3" xfId="30490"/>
    <cellStyle name="Normal 26 17" xfId="2018"/>
    <cellStyle name="Normal 26 17 2" xfId="17078"/>
    <cellStyle name="Normal 26 17 2 2" xfId="44086"/>
    <cellStyle name="Normal 26 17 3" xfId="30582"/>
    <cellStyle name="Normal 26 18" xfId="2124"/>
    <cellStyle name="Normal 26 18 2" xfId="17170"/>
    <cellStyle name="Normal 26 18 2 2" xfId="44178"/>
    <cellStyle name="Normal 26 18 3" xfId="30674"/>
    <cellStyle name="Normal 26 19" xfId="2230"/>
    <cellStyle name="Normal 26 19 2" xfId="17262"/>
    <cellStyle name="Normal 26 19 2 2" xfId="44270"/>
    <cellStyle name="Normal 26 19 3" xfId="30766"/>
    <cellStyle name="Normal 26 2" xfId="348"/>
    <cellStyle name="Normal 26 2 2" xfId="15650"/>
    <cellStyle name="Normal 26 2 2 2" xfId="42658"/>
    <cellStyle name="Normal 26 2 3" xfId="29154"/>
    <cellStyle name="Normal 26 20" xfId="2336"/>
    <cellStyle name="Normal 26 20 2" xfId="17354"/>
    <cellStyle name="Normal 26 20 2 2" xfId="44362"/>
    <cellStyle name="Normal 26 20 3" xfId="30858"/>
    <cellStyle name="Normal 26 21" xfId="2442"/>
    <cellStyle name="Normal 26 21 2" xfId="17446"/>
    <cellStyle name="Normal 26 21 2 2" xfId="44454"/>
    <cellStyle name="Normal 26 21 3" xfId="30950"/>
    <cellStyle name="Normal 26 22" xfId="2548"/>
    <cellStyle name="Normal 26 22 2" xfId="17538"/>
    <cellStyle name="Normal 26 22 2 2" xfId="44546"/>
    <cellStyle name="Normal 26 22 3" xfId="31042"/>
    <cellStyle name="Normal 26 23" xfId="2654"/>
    <cellStyle name="Normal 26 23 2" xfId="17630"/>
    <cellStyle name="Normal 26 23 2 2" xfId="44638"/>
    <cellStyle name="Normal 26 23 3" xfId="31134"/>
    <cellStyle name="Normal 26 24" xfId="2760"/>
    <cellStyle name="Normal 26 24 2" xfId="17722"/>
    <cellStyle name="Normal 26 24 2 2" xfId="44730"/>
    <cellStyle name="Normal 26 24 3" xfId="31226"/>
    <cellStyle name="Normal 26 25" xfId="2866"/>
    <cellStyle name="Normal 26 25 2" xfId="17814"/>
    <cellStyle name="Normal 26 25 2 2" xfId="44822"/>
    <cellStyle name="Normal 26 25 3" xfId="31318"/>
    <cellStyle name="Normal 26 26" xfId="2972"/>
    <cellStyle name="Normal 26 26 2" xfId="17906"/>
    <cellStyle name="Normal 26 26 2 2" xfId="44914"/>
    <cellStyle name="Normal 26 26 3" xfId="31410"/>
    <cellStyle name="Normal 26 27" xfId="3078"/>
    <cellStyle name="Normal 26 27 2" xfId="17998"/>
    <cellStyle name="Normal 26 27 2 2" xfId="45006"/>
    <cellStyle name="Normal 26 27 3" xfId="31502"/>
    <cellStyle name="Normal 26 28" xfId="3184"/>
    <cellStyle name="Normal 26 28 2" xfId="18090"/>
    <cellStyle name="Normal 26 28 2 2" xfId="45098"/>
    <cellStyle name="Normal 26 28 3" xfId="31594"/>
    <cellStyle name="Normal 26 29" xfId="3290"/>
    <cellStyle name="Normal 26 29 2" xfId="18182"/>
    <cellStyle name="Normal 26 29 2 2" xfId="45190"/>
    <cellStyle name="Normal 26 29 3" xfId="31686"/>
    <cellStyle name="Normal 26 3" xfId="535"/>
    <cellStyle name="Normal 26 3 2" xfId="15791"/>
    <cellStyle name="Normal 26 3 2 2" xfId="42799"/>
    <cellStyle name="Normal 26 3 3" xfId="29295"/>
    <cellStyle name="Normal 26 30" xfId="3396"/>
    <cellStyle name="Normal 26 30 2" xfId="18274"/>
    <cellStyle name="Normal 26 30 2 2" xfId="45282"/>
    <cellStyle name="Normal 26 30 3" xfId="31778"/>
    <cellStyle name="Normal 26 31" xfId="3502"/>
    <cellStyle name="Normal 26 31 2" xfId="18366"/>
    <cellStyle name="Normal 26 31 2 2" xfId="45374"/>
    <cellStyle name="Normal 26 31 3" xfId="31870"/>
    <cellStyle name="Normal 26 32" xfId="3608"/>
    <cellStyle name="Normal 26 32 2" xfId="18458"/>
    <cellStyle name="Normal 26 32 2 2" xfId="45466"/>
    <cellStyle name="Normal 26 32 3" xfId="31962"/>
    <cellStyle name="Normal 26 33" xfId="3714"/>
    <cellStyle name="Normal 26 33 2" xfId="18550"/>
    <cellStyle name="Normal 26 33 2 2" xfId="45558"/>
    <cellStyle name="Normal 26 33 3" xfId="32054"/>
    <cellStyle name="Normal 26 34" xfId="3820"/>
    <cellStyle name="Normal 26 34 2" xfId="18642"/>
    <cellStyle name="Normal 26 34 2 2" xfId="45650"/>
    <cellStyle name="Normal 26 34 3" xfId="32146"/>
    <cellStyle name="Normal 26 35" xfId="3926"/>
    <cellStyle name="Normal 26 35 2" xfId="18734"/>
    <cellStyle name="Normal 26 35 2 2" xfId="45742"/>
    <cellStyle name="Normal 26 35 3" xfId="32238"/>
    <cellStyle name="Normal 26 36" xfId="4032"/>
    <cellStyle name="Normal 26 36 2" xfId="18826"/>
    <cellStyle name="Normal 26 36 2 2" xfId="45834"/>
    <cellStyle name="Normal 26 36 3" xfId="32330"/>
    <cellStyle name="Normal 26 37" xfId="4138"/>
    <cellStyle name="Normal 26 37 2" xfId="18918"/>
    <cellStyle name="Normal 26 37 2 2" xfId="45926"/>
    <cellStyle name="Normal 26 37 3" xfId="32422"/>
    <cellStyle name="Normal 26 38" xfId="4244"/>
    <cellStyle name="Normal 26 38 2" xfId="19010"/>
    <cellStyle name="Normal 26 38 2 2" xfId="46018"/>
    <cellStyle name="Normal 26 38 3" xfId="32514"/>
    <cellStyle name="Normal 26 39" xfId="4350"/>
    <cellStyle name="Normal 26 39 2" xfId="19102"/>
    <cellStyle name="Normal 26 39 2 2" xfId="46110"/>
    <cellStyle name="Normal 26 39 3" xfId="32606"/>
    <cellStyle name="Normal 26 4" xfId="640"/>
    <cellStyle name="Normal 26 4 2" xfId="15882"/>
    <cellStyle name="Normal 26 4 2 2" xfId="42890"/>
    <cellStyle name="Normal 26 4 3" xfId="29386"/>
    <cellStyle name="Normal 26 40" xfId="4456"/>
    <cellStyle name="Normal 26 40 2" xfId="19194"/>
    <cellStyle name="Normal 26 40 2 2" xfId="46202"/>
    <cellStyle name="Normal 26 40 3" xfId="32698"/>
    <cellStyle name="Normal 26 41" xfId="4562"/>
    <cellStyle name="Normal 26 41 2" xfId="19286"/>
    <cellStyle name="Normal 26 41 2 2" xfId="46294"/>
    <cellStyle name="Normal 26 41 3" xfId="32790"/>
    <cellStyle name="Normal 26 42" xfId="4668"/>
    <cellStyle name="Normal 26 42 2" xfId="19378"/>
    <cellStyle name="Normal 26 42 2 2" xfId="46386"/>
    <cellStyle name="Normal 26 42 3" xfId="32882"/>
    <cellStyle name="Normal 26 43" xfId="4774"/>
    <cellStyle name="Normal 26 43 2" xfId="19470"/>
    <cellStyle name="Normal 26 43 2 2" xfId="46478"/>
    <cellStyle name="Normal 26 43 3" xfId="32974"/>
    <cellStyle name="Normal 26 44" xfId="4880"/>
    <cellStyle name="Normal 26 44 2" xfId="19562"/>
    <cellStyle name="Normal 26 44 2 2" xfId="46570"/>
    <cellStyle name="Normal 26 44 3" xfId="33066"/>
    <cellStyle name="Normal 26 45" xfId="4986"/>
    <cellStyle name="Normal 26 45 2" xfId="19654"/>
    <cellStyle name="Normal 26 45 2 2" xfId="46662"/>
    <cellStyle name="Normal 26 45 3" xfId="33158"/>
    <cellStyle name="Normal 26 46" xfId="5092"/>
    <cellStyle name="Normal 26 46 2" xfId="19746"/>
    <cellStyle name="Normal 26 46 2 2" xfId="46754"/>
    <cellStyle name="Normal 26 46 3" xfId="33250"/>
    <cellStyle name="Normal 26 47" xfId="5198"/>
    <cellStyle name="Normal 26 47 2" xfId="19838"/>
    <cellStyle name="Normal 26 47 2 2" xfId="46846"/>
    <cellStyle name="Normal 26 47 3" xfId="33342"/>
    <cellStyle name="Normal 26 48" xfId="5304"/>
    <cellStyle name="Normal 26 48 2" xfId="19930"/>
    <cellStyle name="Normal 26 48 2 2" xfId="46938"/>
    <cellStyle name="Normal 26 48 3" xfId="33434"/>
    <cellStyle name="Normal 26 49" xfId="5410"/>
    <cellStyle name="Normal 26 49 2" xfId="20022"/>
    <cellStyle name="Normal 26 49 2 2" xfId="47030"/>
    <cellStyle name="Normal 26 49 3" xfId="33526"/>
    <cellStyle name="Normal 26 5" xfId="746"/>
    <cellStyle name="Normal 26 5 2" xfId="15974"/>
    <cellStyle name="Normal 26 5 2 2" xfId="42982"/>
    <cellStyle name="Normal 26 5 3" xfId="29478"/>
    <cellStyle name="Normal 26 50" xfId="5516"/>
    <cellStyle name="Normal 26 50 2" xfId="20114"/>
    <cellStyle name="Normal 26 50 2 2" xfId="47122"/>
    <cellStyle name="Normal 26 50 3" xfId="33618"/>
    <cellStyle name="Normal 26 51" xfId="5622"/>
    <cellStyle name="Normal 26 51 2" xfId="20206"/>
    <cellStyle name="Normal 26 51 2 2" xfId="47214"/>
    <cellStyle name="Normal 26 51 3" xfId="33710"/>
    <cellStyle name="Normal 26 52" xfId="5728"/>
    <cellStyle name="Normal 26 52 2" xfId="20298"/>
    <cellStyle name="Normal 26 52 2 2" xfId="47306"/>
    <cellStyle name="Normal 26 52 3" xfId="33802"/>
    <cellStyle name="Normal 26 53" xfId="5834"/>
    <cellStyle name="Normal 26 53 2" xfId="20390"/>
    <cellStyle name="Normal 26 53 2 2" xfId="47398"/>
    <cellStyle name="Normal 26 53 3" xfId="33894"/>
    <cellStyle name="Normal 26 54" xfId="5940"/>
    <cellStyle name="Normal 26 54 2" xfId="20482"/>
    <cellStyle name="Normal 26 54 2 2" xfId="47490"/>
    <cellStyle name="Normal 26 54 3" xfId="33986"/>
    <cellStyle name="Normal 26 55" xfId="6046"/>
    <cellStyle name="Normal 26 55 2" xfId="20574"/>
    <cellStyle name="Normal 26 55 2 2" xfId="47582"/>
    <cellStyle name="Normal 26 55 3" xfId="34078"/>
    <cellStyle name="Normal 26 56" xfId="6152"/>
    <cellStyle name="Normal 26 56 2" xfId="20666"/>
    <cellStyle name="Normal 26 56 2 2" xfId="47674"/>
    <cellStyle name="Normal 26 56 3" xfId="34170"/>
    <cellStyle name="Normal 26 57" xfId="6258"/>
    <cellStyle name="Normal 26 57 2" xfId="20758"/>
    <cellStyle name="Normal 26 57 2 2" xfId="47766"/>
    <cellStyle name="Normal 26 57 3" xfId="34262"/>
    <cellStyle name="Normal 26 58" xfId="6364"/>
    <cellStyle name="Normal 26 58 2" xfId="20850"/>
    <cellStyle name="Normal 26 58 2 2" xfId="47858"/>
    <cellStyle name="Normal 26 58 3" xfId="34354"/>
    <cellStyle name="Normal 26 59" xfId="6470"/>
    <cellStyle name="Normal 26 59 2" xfId="20942"/>
    <cellStyle name="Normal 26 59 2 2" xfId="47950"/>
    <cellStyle name="Normal 26 59 3" xfId="34446"/>
    <cellStyle name="Normal 26 6" xfId="852"/>
    <cellStyle name="Normal 26 6 2" xfId="16066"/>
    <cellStyle name="Normal 26 6 2 2" xfId="43074"/>
    <cellStyle name="Normal 26 6 3" xfId="29570"/>
    <cellStyle name="Normal 26 60" xfId="6576"/>
    <cellStyle name="Normal 26 60 2" xfId="21034"/>
    <cellStyle name="Normal 26 60 2 2" xfId="48042"/>
    <cellStyle name="Normal 26 60 3" xfId="34538"/>
    <cellStyle name="Normal 26 61" xfId="6681"/>
    <cellStyle name="Normal 26 61 2" xfId="21125"/>
    <cellStyle name="Normal 26 61 2 2" xfId="48133"/>
    <cellStyle name="Normal 26 61 3" xfId="34629"/>
    <cellStyle name="Normal 26 62" xfId="6786"/>
    <cellStyle name="Normal 26 62 2" xfId="21216"/>
    <cellStyle name="Normal 26 62 2 2" xfId="48224"/>
    <cellStyle name="Normal 26 62 3" xfId="34720"/>
    <cellStyle name="Normal 26 63" xfId="6891"/>
    <cellStyle name="Normal 26 63 2" xfId="21307"/>
    <cellStyle name="Normal 26 63 2 2" xfId="48315"/>
    <cellStyle name="Normal 26 63 3" xfId="34811"/>
    <cellStyle name="Normal 26 64" xfId="6996"/>
    <cellStyle name="Normal 26 64 2" xfId="21398"/>
    <cellStyle name="Normal 26 64 2 2" xfId="48406"/>
    <cellStyle name="Normal 26 64 3" xfId="34902"/>
    <cellStyle name="Normal 26 65" xfId="7100"/>
    <cellStyle name="Normal 26 65 2" xfId="21488"/>
    <cellStyle name="Normal 26 65 2 2" xfId="48496"/>
    <cellStyle name="Normal 26 65 3" xfId="34992"/>
    <cellStyle name="Normal 26 66" xfId="7204"/>
    <cellStyle name="Normal 26 66 2" xfId="21578"/>
    <cellStyle name="Normal 26 66 2 2" xfId="48586"/>
    <cellStyle name="Normal 26 66 3" xfId="35082"/>
    <cellStyle name="Normal 26 67" xfId="7307"/>
    <cellStyle name="Normal 26 67 2" xfId="21667"/>
    <cellStyle name="Normal 26 67 2 2" xfId="48675"/>
    <cellStyle name="Normal 26 67 3" xfId="35171"/>
    <cellStyle name="Normal 26 68" xfId="7407"/>
    <cellStyle name="Normal 26 68 2" xfId="21754"/>
    <cellStyle name="Normal 26 68 2 2" xfId="48762"/>
    <cellStyle name="Normal 26 68 3" xfId="35258"/>
    <cellStyle name="Normal 26 69" xfId="7505"/>
    <cellStyle name="Normal 26 69 2" xfId="21839"/>
    <cellStyle name="Normal 26 69 2 2" xfId="48847"/>
    <cellStyle name="Normal 26 69 3" xfId="35343"/>
    <cellStyle name="Normal 26 7" xfId="958"/>
    <cellStyle name="Normal 26 7 2" xfId="16158"/>
    <cellStyle name="Normal 26 7 2 2" xfId="43166"/>
    <cellStyle name="Normal 26 7 3" xfId="29662"/>
    <cellStyle name="Normal 26 70" xfId="7594"/>
    <cellStyle name="Normal 26 70 2" xfId="21917"/>
    <cellStyle name="Normal 26 70 2 2" xfId="48925"/>
    <cellStyle name="Normal 26 70 3" xfId="35421"/>
    <cellStyle name="Normal 26 71" xfId="7670"/>
    <cellStyle name="Normal 26 71 2" xfId="21986"/>
    <cellStyle name="Normal 26 71 2 2" xfId="48994"/>
    <cellStyle name="Normal 26 71 3" xfId="35490"/>
    <cellStyle name="Normal 26 72" xfId="7849"/>
    <cellStyle name="Normal 26 72 2" xfId="22139"/>
    <cellStyle name="Normal 26 72 2 2" xfId="49147"/>
    <cellStyle name="Normal 26 72 3" xfId="35643"/>
    <cellStyle name="Normal 26 73" xfId="7991"/>
    <cellStyle name="Normal 26 73 2" xfId="22267"/>
    <cellStyle name="Normal 26 73 2 2" xfId="49275"/>
    <cellStyle name="Normal 26 73 3" xfId="35771"/>
    <cellStyle name="Normal 26 74" xfId="8133"/>
    <cellStyle name="Normal 26 74 2" xfId="22395"/>
    <cellStyle name="Normal 26 74 2 2" xfId="49403"/>
    <cellStyle name="Normal 26 74 3" xfId="35899"/>
    <cellStyle name="Normal 26 75" xfId="8275"/>
    <cellStyle name="Normal 26 75 2" xfId="22523"/>
    <cellStyle name="Normal 26 75 2 2" xfId="49531"/>
    <cellStyle name="Normal 26 75 3" xfId="36027"/>
    <cellStyle name="Normal 26 76" xfId="8417"/>
    <cellStyle name="Normal 26 76 2" xfId="22651"/>
    <cellStyle name="Normal 26 76 2 2" xfId="49659"/>
    <cellStyle name="Normal 26 76 3" xfId="36155"/>
    <cellStyle name="Normal 26 77" xfId="8559"/>
    <cellStyle name="Normal 26 77 2" xfId="22779"/>
    <cellStyle name="Normal 26 77 2 2" xfId="49787"/>
    <cellStyle name="Normal 26 77 3" xfId="36283"/>
    <cellStyle name="Normal 26 78" xfId="8701"/>
    <cellStyle name="Normal 26 78 2" xfId="22907"/>
    <cellStyle name="Normal 26 78 2 2" xfId="49915"/>
    <cellStyle name="Normal 26 78 3" xfId="36411"/>
    <cellStyle name="Normal 26 79" xfId="8843"/>
    <cellStyle name="Normal 26 79 2" xfId="23035"/>
    <cellStyle name="Normal 26 79 2 2" xfId="50043"/>
    <cellStyle name="Normal 26 79 3" xfId="36539"/>
    <cellStyle name="Normal 26 8" xfId="1064"/>
    <cellStyle name="Normal 26 8 2" xfId="16250"/>
    <cellStyle name="Normal 26 8 2 2" xfId="43258"/>
    <cellStyle name="Normal 26 8 3" xfId="29754"/>
    <cellStyle name="Normal 26 80" xfId="8985"/>
    <cellStyle name="Normal 26 80 2" xfId="23163"/>
    <cellStyle name="Normal 26 80 2 2" xfId="50171"/>
    <cellStyle name="Normal 26 80 3" xfId="36667"/>
    <cellStyle name="Normal 26 81" xfId="9127"/>
    <cellStyle name="Normal 26 81 2" xfId="23291"/>
    <cellStyle name="Normal 26 81 2 2" xfId="50299"/>
    <cellStyle name="Normal 26 81 3" xfId="36795"/>
    <cellStyle name="Normal 26 82" xfId="9269"/>
    <cellStyle name="Normal 26 82 2" xfId="23419"/>
    <cellStyle name="Normal 26 82 2 2" xfId="50427"/>
    <cellStyle name="Normal 26 82 3" xfId="36923"/>
    <cellStyle name="Normal 26 83" xfId="9411"/>
    <cellStyle name="Normal 26 83 2" xfId="23547"/>
    <cellStyle name="Normal 26 83 2 2" xfId="50555"/>
    <cellStyle name="Normal 26 83 3" xfId="37051"/>
    <cellStyle name="Normal 26 84" xfId="9553"/>
    <cellStyle name="Normal 26 84 2" xfId="23675"/>
    <cellStyle name="Normal 26 84 2 2" xfId="50683"/>
    <cellStyle name="Normal 26 84 3" xfId="37179"/>
    <cellStyle name="Normal 26 85" xfId="9695"/>
    <cellStyle name="Normal 26 85 2" xfId="23803"/>
    <cellStyle name="Normal 26 85 2 2" xfId="50811"/>
    <cellStyle name="Normal 26 85 3" xfId="37307"/>
    <cellStyle name="Normal 26 86" xfId="9837"/>
    <cellStyle name="Normal 26 86 2" xfId="23931"/>
    <cellStyle name="Normal 26 86 2 2" xfId="50939"/>
    <cellStyle name="Normal 26 86 3" xfId="37435"/>
    <cellStyle name="Normal 26 87" xfId="9979"/>
    <cellStyle name="Normal 26 87 2" xfId="24059"/>
    <cellStyle name="Normal 26 87 2 2" xfId="51067"/>
    <cellStyle name="Normal 26 87 3" xfId="37563"/>
    <cellStyle name="Normal 26 88" xfId="10121"/>
    <cellStyle name="Normal 26 88 2" xfId="24187"/>
    <cellStyle name="Normal 26 88 2 2" xfId="51195"/>
    <cellStyle name="Normal 26 88 3" xfId="37691"/>
    <cellStyle name="Normal 26 89" xfId="10263"/>
    <cellStyle name="Normal 26 89 2" xfId="24315"/>
    <cellStyle name="Normal 26 89 2 2" xfId="51323"/>
    <cellStyle name="Normal 26 89 3" xfId="37819"/>
    <cellStyle name="Normal 26 9" xfId="1170"/>
    <cellStyle name="Normal 26 9 2" xfId="16342"/>
    <cellStyle name="Normal 26 9 2 2" xfId="43350"/>
    <cellStyle name="Normal 26 9 3" xfId="29846"/>
    <cellStyle name="Normal 26 90" xfId="10405"/>
    <cellStyle name="Normal 26 90 2" xfId="24443"/>
    <cellStyle name="Normal 26 90 2 2" xfId="51451"/>
    <cellStyle name="Normal 26 90 3" xfId="37947"/>
    <cellStyle name="Normal 26 91" xfId="10547"/>
    <cellStyle name="Normal 26 91 2" xfId="24571"/>
    <cellStyle name="Normal 26 91 2 2" xfId="51579"/>
    <cellStyle name="Normal 26 91 3" xfId="38075"/>
    <cellStyle name="Normal 26 92" xfId="10689"/>
    <cellStyle name="Normal 26 92 2" xfId="24699"/>
    <cellStyle name="Normal 26 92 2 2" xfId="51707"/>
    <cellStyle name="Normal 26 92 3" xfId="38203"/>
    <cellStyle name="Normal 26 93" xfId="10831"/>
    <cellStyle name="Normal 26 93 2" xfId="24827"/>
    <cellStyle name="Normal 26 93 2 2" xfId="51835"/>
    <cellStyle name="Normal 26 93 3" xfId="38331"/>
    <cellStyle name="Normal 26 94" xfId="10973"/>
    <cellStyle name="Normal 26 94 2" xfId="24955"/>
    <cellStyle name="Normal 26 94 2 2" xfId="51963"/>
    <cellStyle name="Normal 26 94 3" xfId="38459"/>
    <cellStyle name="Normal 26 95" xfId="11115"/>
    <cellStyle name="Normal 26 95 2" xfId="25083"/>
    <cellStyle name="Normal 26 95 2 2" xfId="52091"/>
    <cellStyle name="Normal 26 95 3" xfId="38587"/>
    <cellStyle name="Normal 26 96" xfId="11257"/>
    <cellStyle name="Normal 26 96 2" xfId="25211"/>
    <cellStyle name="Normal 26 96 2 2" xfId="52219"/>
    <cellStyle name="Normal 26 96 3" xfId="38715"/>
    <cellStyle name="Normal 26 97" xfId="11399"/>
    <cellStyle name="Normal 26 97 2" xfId="25339"/>
    <cellStyle name="Normal 26 97 2 2" xfId="52347"/>
    <cellStyle name="Normal 26 97 3" xfId="38843"/>
    <cellStyle name="Normal 26 98" xfId="11541"/>
    <cellStyle name="Normal 26 98 2" xfId="25467"/>
    <cellStyle name="Normal 26 98 2 2" xfId="52475"/>
    <cellStyle name="Normal 26 98 3" xfId="38971"/>
    <cellStyle name="Normal 26 99" xfId="11683"/>
    <cellStyle name="Normal 26 99 2" xfId="25595"/>
    <cellStyle name="Normal 26 99 2 2" xfId="52603"/>
    <cellStyle name="Normal 26 99 3" xfId="39099"/>
    <cellStyle name="Normal 260" xfId="56269"/>
    <cellStyle name="Normal 261" xfId="56272"/>
    <cellStyle name="Normal 262" xfId="56275"/>
    <cellStyle name="Normal 263" xfId="56278"/>
    <cellStyle name="Normal 264" xfId="56281"/>
    <cellStyle name="Normal 265" xfId="56284"/>
    <cellStyle name="Normal 266" xfId="56287"/>
    <cellStyle name="Normal 267" xfId="56292"/>
    <cellStyle name="Normal 268" xfId="56293"/>
    <cellStyle name="Normal 269" xfId="56296"/>
    <cellStyle name="Normal 27" xfId="172"/>
    <cellStyle name="Normal 27 10" xfId="1277"/>
    <cellStyle name="Normal 27 10 2" xfId="16435"/>
    <cellStyle name="Normal 27 10 2 2" xfId="43443"/>
    <cellStyle name="Normal 27 10 3" xfId="29939"/>
    <cellStyle name="Normal 27 100" xfId="11826"/>
    <cellStyle name="Normal 27 100 2" xfId="25724"/>
    <cellStyle name="Normal 27 100 2 2" xfId="52732"/>
    <cellStyle name="Normal 27 100 3" xfId="39228"/>
    <cellStyle name="Normal 27 101" xfId="11968"/>
    <cellStyle name="Normal 27 101 2" xfId="25852"/>
    <cellStyle name="Normal 27 101 2 2" xfId="52860"/>
    <cellStyle name="Normal 27 101 3" xfId="39356"/>
    <cellStyle name="Normal 27 102" xfId="12110"/>
    <cellStyle name="Normal 27 102 2" xfId="25980"/>
    <cellStyle name="Normal 27 102 2 2" xfId="52988"/>
    <cellStyle name="Normal 27 102 3" xfId="39484"/>
    <cellStyle name="Normal 27 103" xfId="12252"/>
    <cellStyle name="Normal 27 103 2" xfId="26108"/>
    <cellStyle name="Normal 27 103 2 2" xfId="53116"/>
    <cellStyle name="Normal 27 103 3" xfId="39612"/>
    <cellStyle name="Normal 27 104" xfId="12394"/>
    <cellStyle name="Normal 27 104 2" xfId="26236"/>
    <cellStyle name="Normal 27 104 2 2" xfId="53244"/>
    <cellStyle name="Normal 27 104 3" xfId="39740"/>
    <cellStyle name="Normal 27 105" xfId="12536"/>
    <cellStyle name="Normal 27 105 2" xfId="26364"/>
    <cellStyle name="Normal 27 105 2 2" xfId="53372"/>
    <cellStyle name="Normal 27 105 3" xfId="39868"/>
    <cellStyle name="Normal 27 106" xfId="12678"/>
    <cellStyle name="Normal 27 106 2" xfId="26492"/>
    <cellStyle name="Normal 27 106 2 2" xfId="53500"/>
    <cellStyle name="Normal 27 106 3" xfId="39996"/>
    <cellStyle name="Normal 27 107" xfId="12820"/>
    <cellStyle name="Normal 27 107 2" xfId="26620"/>
    <cellStyle name="Normal 27 107 2 2" xfId="53628"/>
    <cellStyle name="Normal 27 107 3" xfId="40124"/>
    <cellStyle name="Normal 27 108" xfId="12962"/>
    <cellStyle name="Normal 27 108 2" xfId="26748"/>
    <cellStyle name="Normal 27 108 2 2" xfId="53756"/>
    <cellStyle name="Normal 27 108 3" xfId="40252"/>
    <cellStyle name="Normal 27 109" xfId="13104"/>
    <cellStyle name="Normal 27 109 2" xfId="26876"/>
    <cellStyle name="Normal 27 109 2 2" xfId="53884"/>
    <cellStyle name="Normal 27 109 3" xfId="40380"/>
    <cellStyle name="Normal 27 11" xfId="1383"/>
    <cellStyle name="Normal 27 11 2" xfId="16527"/>
    <cellStyle name="Normal 27 11 2 2" xfId="43535"/>
    <cellStyle name="Normal 27 11 3" xfId="30031"/>
    <cellStyle name="Normal 27 110" xfId="13246"/>
    <cellStyle name="Normal 27 110 2" xfId="27004"/>
    <cellStyle name="Normal 27 110 2 2" xfId="54012"/>
    <cellStyle name="Normal 27 110 3" xfId="40508"/>
    <cellStyle name="Normal 27 111" xfId="13388"/>
    <cellStyle name="Normal 27 111 2" xfId="27132"/>
    <cellStyle name="Normal 27 111 2 2" xfId="54140"/>
    <cellStyle name="Normal 27 111 3" xfId="40636"/>
    <cellStyle name="Normal 27 112" xfId="13530"/>
    <cellStyle name="Normal 27 112 2" xfId="27260"/>
    <cellStyle name="Normal 27 112 2 2" xfId="54268"/>
    <cellStyle name="Normal 27 112 3" xfId="40764"/>
    <cellStyle name="Normal 27 113" xfId="13672"/>
    <cellStyle name="Normal 27 113 2" xfId="27388"/>
    <cellStyle name="Normal 27 113 2 2" xfId="54396"/>
    <cellStyle name="Normal 27 113 3" xfId="40892"/>
    <cellStyle name="Normal 27 114" xfId="13814"/>
    <cellStyle name="Normal 27 114 2" xfId="27516"/>
    <cellStyle name="Normal 27 114 2 2" xfId="54524"/>
    <cellStyle name="Normal 27 114 3" xfId="41020"/>
    <cellStyle name="Normal 27 115" xfId="13955"/>
    <cellStyle name="Normal 27 115 2" xfId="27643"/>
    <cellStyle name="Normal 27 115 2 2" xfId="54651"/>
    <cellStyle name="Normal 27 115 3" xfId="41147"/>
    <cellStyle name="Normal 27 116" xfId="14096"/>
    <cellStyle name="Normal 27 116 2" xfId="27770"/>
    <cellStyle name="Normal 27 116 2 2" xfId="54778"/>
    <cellStyle name="Normal 27 116 3" xfId="41274"/>
    <cellStyle name="Normal 27 117" xfId="14237"/>
    <cellStyle name="Normal 27 117 2" xfId="27897"/>
    <cellStyle name="Normal 27 117 2 2" xfId="54905"/>
    <cellStyle name="Normal 27 117 3" xfId="41401"/>
    <cellStyle name="Normal 27 118" xfId="14378"/>
    <cellStyle name="Normal 27 118 2" xfId="28024"/>
    <cellStyle name="Normal 27 118 2 2" xfId="55032"/>
    <cellStyle name="Normal 27 118 3" xfId="41528"/>
    <cellStyle name="Normal 27 119" xfId="14518"/>
    <cellStyle name="Normal 27 119 2" xfId="28150"/>
    <cellStyle name="Normal 27 119 2 2" xfId="55158"/>
    <cellStyle name="Normal 27 119 3" xfId="41654"/>
    <cellStyle name="Normal 27 12" xfId="1489"/>
    <cellStyle name="Normal 27 12 2" xfId="16619"/>
    <cellStyle name="Normal 27 12 2 2" xfId="43627"/>
    <cellStyle name="Normal 27 12 3" xfId="30123"/>
    <cellStyle name="Normal 27 120" xfId="14658"/>
    <cellStyle name="Normal 27 120 2" xfId="28276"/>
    <cellStyle name="Normal 27 120 2 2" xfId="55284"/>
    <cellStyle name="Normal 27 120 3" xfId="41780"/>
    <cellStyle name="Normal 27 121" xfId="14797"/>
    <cellStyle name="Normal 27 121 2" xfId="28401"/>
    <cellStyle name="Normal 27 121 2 2" xfId="55409"/>
    <cellStyle name="Normal 27 121 3" xfId="41905"/>
    <cellStyle name="Normal 27 122" xfId="14932"/>
    <cellStyle name="Normal 27 122 2" xfId="28523"/>
    <cellStyle name="Normal 27 122 2 2" xfId="55531"/>
    <cellStyle name="Normal 27 122 3" xfId="42027"/>
    <cellStyle name="Normal 27 123" xfId="15066"/>
    <cellStyle name="Normal 27 123 2" xfId="28644"/>
    <cellStyle name="Normal 27 123 2 2" xfId="55652"/>
    <cellStyle name="Normal 27 123 3" xfId="42148"/>
    <cellStyle name="Normal 27 124" xfId="15193"/>
    <cellStyle name="Normal 27 124 2" xfId="28760"/>
    <cellStyle name="Normal 27 124 2 2" xfId="55768"/>
    <cellStyle name="Normal 27 124 3" xfId="42264"/>
    <cellStyle name="Normal 27 125" xfId="15313"/>
    <cellStyle name="Normal 27 125 2" xfId="28873"/>
    <cellStyle name="Normal 27 125 2 2" xfId="55881"/>
    <cellStyle name="Normal 27 125 3" xfId="42377"/>
    <cellStyle name="Normal 27 126" xfId="15528"/>
    <cellStyle name="Normal 27 126 2" xfId="42536"/>
    <cellStyle name="Normal 27 127" xfId="29032"/>
    <cellStyle name="Normal 27 13" xfId="1595"/>
    <cellStyle name="Normal 27 13 2" xfId="16711"/>
    <cellStyle name="Normal 27 13 2 2" xfId="43719"/>
    <cellStyle name="Normal 27 13 3" xfId="30215"/>
    <cellStyle name="Normal 27 14" xfId="1701"/>
    <cellStyle name="Normal 27 14 2" xfId="16803"/>
    <cellStyle name="Normal 27 14 2 2" xfId="43811"/>
    <cellStyle name="Normal 27 14 3" xfId="30307"/>
    <cellStyle name="Normal 27 15" xfId="1807"/>
    <cellStyle name="Normal 27 15 2" xfId="16895"/>
    <cellStyle name="Normal 27 15 2 2" xfId="43903"/>
    <cellStyle name="Normal 27 15 3" xfId="30399"/>
    <cellStyle name="Normal 27 16" xfId="1913"/>
    <cellStyle name="Normal 27 16 2" xfId="16987"/>
    <cellStyle name="Normal 27 16 2 2" xfId="43995"/>
    <cellStyle name="Normal 27 16 3" xfId="30491"/>
    <cellStyle name="Normal 27 17" xfId="2019"/>
    <cellStyle name="Normal 27 17 2" xfId="17079"/>
    <cellStyle name="Normal 27 17 2 2" xfId="44087"/>
    <cellStyle name="Normal 27 17 3" xfId="30583"/>
    <cellStyle name="Normal 27 18" xfId="2125"/>
    <cellStyle name="Normal 27 18 2" xfId="17171"/>
    <cellStyle name="Normal 27 18 2 2" xfId="44179"/>
    <cellStyle name="Normal 27 18 3" xfId="30675"/>
    <cellStyle name="Normal 27 19" xfId="2231"/>
    <cellStyle name="Normal 27 19 2" xfId="17263"/>
    <cellStyle name="Normal 27 19 2 2" xfId="44271"/>
    <cellStyle name="Normal 27 19 3" xfId="30767"/>
    <cellStyle name="Normal 27 2" xfId="349"/>
    <cellStyle name="Normal 27 2 2" xfId="15651"/>
    <cellStyle name="Normal 27 2 2 2" xfId="42659"/>
    <cellStyle name="Normal 27 2 3" xfId="29155"/>
    <cellStyle name="Normal 27 20" xfId="2337"/>
    <cellStyle name="Normal 27 20 2" xfId="17355"/>
    <cellStyle name="Normal 27 20 2 2" xfId="44363"/>
    <cellStyle name="Normal 27 20 3" xfId="30859"/>
    <cellStyle name="Normal 27 21" xfId="2443"/>
    <cellStyle name="Normal 27 21 2" xfId="17447"/>
    <cellStyle name="Normal 27 21 2 2" xfId="44455"/>
    <cellStyle name="Normal 27 21 3" xfId="30951"/>
    <cellStyle name="Normal 27 22" xfId="2549"/>
    <cellStyle name="Normal 27 22 2" xfId="17539"/>
    <cellStyle name="Normal 27 22 2 2" xfId="44547"/>
    <cellStyle name="Normal 27 22 3" xfId="31043"/>
    <cellStyle name="Normal 27 23" xfId="2655"/>
    <cellStyle name="Normal 27 23 2" xfId="17631"/>
    <cellStyle name="Normal 27 23 2 2" xfId="44639"/>
    <cellStyle name="Normal 27 23 3" xfId="31135"/>
    <cellStyle name="Normal 27 24" xfId="2761"/>
    <cellStyle name="Normal 27 24 2" xfId="17723"/>
    <cellStyle name="Normal 27 24 2 2" xfId="44731"/>
    <cellStyle name="Normal 27 24 3" xfId="31227"/>
    <cellStyle name="Normal 27 25" xfId="2867"/>
    <cellStyle name="Normal 27 25 2" xfId="17815"/>
    <cellStyle name="Normal 27 25 2 2" xfId="44823"/>
    <cellStyle name="Normal 27 25 3" xfId="31319"/>
    <cellStyle name="Normal 27 26" xfId="2973"/>
    <cellStyle name="Normal 27 26 2" xfId="17907"/>
    <cellStyle name="Normal 27 26 2 2" xfId="44915"/>
    <cellStyle name="Normal 27 26 3" xfId="31411"/>
    <cellStyle name="Normal 27 27" xfId="3079"/>
    <cellStyle name="Normal 27 27 2" xfId="17999"/>
    <cellStyle name="Normal 27 27 2 2" xfId="45007"/>
    <cellStyle name="Normal 27 27 3" xfId="31503"/>
    <cellStyle name="Normal 27 28" xfId="3185"/>
    <cellStyle name="Normal 27 28 2" xfId="18091"/>
    <cellStyle name="Normal 27 28 2 2" xfId="45099"/>
    <cellStyle name="Normal 27 28 3" xfId="31595"/>
    <cellStyle name="Normal 27 29" xfId="3291"/>
    <cellStyle name="Normal 27 29 2" xfId="18183"/>
    <cellStyle name="Normal 27 29 2 2" xfId="45191"/>
    <cellStyle name="Normal 27 29 3" xfId="31687"/>
    <cellStyle name="Normal 27 3" xfId="536"/>
    <cellStyle name="Normal 27 3 2" xfId="15792"/>
    <cellStyle name="Normal 27 3 2 2" xfId="42800"/>
    <cellStyle name="Normal 27 3 3" xfId="29296"/>
    <cellStyle name="Normal 27 30" xfId="3397"/>
    <cellStyle name="Normal 27 30 2" xfId="18275"/>
    <cellStyle name="Normal 27 30 2 2" xfId="45283"/>
    <cellStyle name="Normal 27 30 3" xfId="31779"/>
    <cellStyle name="Normal 27 31" xfId="3503"/>
    <cellStyle name="Normal 27 31 2" xfId="18367"/>
    <cellStyle name="Normal 27 31 2 2" xfId="45375"/>
    <cellStyle name="Normal 27 31 3" xfId="31871"/>
    <cellStyle name="Normal 27 32" xfId="3609"/>
    <cellStyle name="Normal 27 32 2" xfId="18459"/>
    <cellStyle name="Normal 27 32 2 2" xfId="45467"/>
    <cellStyle name="Normal 27 32 3" xfId="31963"/>
    <cellStyle name="Normal 27 33" xfId="3715"/>
    <cellStyle name="Normal 27 33 2" xfId="18551"/>
    <cellStyle name="Normal 27 33 2 2" xfId="45559"/>
    <cellStyle name="Normal 27 33 3" xfId="32055"/>
    <cellStyle name="Normal 27 34" xfId="3821"/>
    <cellStyle name="Normal 27 34 2" xfId="18643"/>
    <cellStyle name="Normal 27 34 2 2" xfId="45651"/>
    <cellStyle name="Normal 27 34 3" xfId="32147"/>
    <cellStyle name="Normal 27 35" xfId="3927"/>
    <cellStyle name="Normal 27 35 2" xfId="18735"/>
    <cellStyle name="Normal 27 35 2 2" xfId="45743"/>
    <cellStyle name="Normal 27 35 3" xfId="32239"/>
    <cellStyle name="Normal 27 36" xfId="4033"/>
    <cellStyle name="Normal 27 36 2" xfId="18827"/>
    <cellStyle name="Normal 27 36 2 2" xfId="45835"/>
    <cellStyle name="Normal 27 36 3" xfId="32331"/>
    <cellStyle name="Normal 27 37" xfId="4139"/>
    <cellStyle name="Normal 27 37 2" xfId="18919"/>
    <cellStyle name="Normal 27 37 2 2" xfId="45927"/>
    <cellStyle name="Normal 27 37 3" xfId="32423"/>
    <cellStyle name="Normal 27 38" xfId="4245"/>
    <cellStyle name="Normal 27 38 2" xfId="19011"/>
    <cellStyle name="Normal 27 38 2 2" xfId="46019"/>
    <cellStyle name="Normal 27 38 3" xfId="32515"/>
    <cellStyle name="Normal 27 39" xfId="4351"/>
    <cellStyle name="Normal 27 39 2" xfId="19103"/>
    <cellStyle name="Normal 27 39 2 2" xfId="46111"/>
    <cellStyle name="Normal 27 39 3" xfId="32607"/>
    <cellStyle name="Normal 27 4" xfId="641"/>
    <cellStyle name="Normal 27 4 2" xfId="15883"/>
    <cellStyle name="Normal 27 4 2 2" xfId="42891"/>
    <cellStyle name="Normal 27 4 3" xfId="29387"/>
    <cellStyle name="Normal 27 40" xfId="4457"/>
    <cellStyle name="Normal 27 40 2" xfId="19195"/>
    <cellStyle name="Normal 27 40 2 2" xfId="46203"/>
    <cellStyle name="Normal 27 40 3" xfId="32699"/>
    <cellStyle name="Normal 27 41" xfId="4563"/>
    <cellStyle name="Normal 27 41 2" xfId="19287"/>
    <cellStyle name="Normal 27 41 2 2" xfId="46295"/>
    <cellStyle name="Normal 27 41 3" xfId="32791"/>
    <cellStyle name="Normal 27 42" xfId="4669"/>
    <cellStyle name="Normal 27 42 2" xfId="19379"/>
    <cellStyle name="Normal 27 42 2 2" xfId="46387"/>
    <cellStyle name="Normal 27 42 3" xfId="32883"/>
    <cellStyle name="Normal 27 43" xfId="4775"/>
    <cellStyle name="Normal 27 43 2" xfId="19471"/>
    <cellStyle name="Normal 27 43 2 2" xfId="46479"/>
    <cellStyle name="Normal 27 43 3" xfId="32975"/>
    <cellStyle name="Normal 27 44" xfId="4881"/>
    <cellStyle name="Normal 27 44 2" xfId="19563"/>
    <cellStyle name="Normal 27 44 2 2" xfId="46571"/>
    <cellStyle name="Normal 27 44 3" xfId="33067"/>
    <cellStyle name="Normal 27 45" xfId="4987"/>
    <cellStyle name="Normal 27 45 2" xfId="19655"/>
    <cellStyle name="Normal 27 45 2 2" xfId="46663"/>
    <cellStyle name="Normal 27 45 3" xfId="33159"/>
    <cellStyle name="Normal 27 46" xfId="5093"/>
    <cellStyle name="Normal 27 46 2" xfId="19747"/>
    <cellStyle name="Normal 27 46 2 2" xfId="46755"/>
    <cellStyle name="Normal 27 46 3" xfId="33251"/>
    <cellStyle name="Normal 27 47" xfId="5199"/>
    <cellStyle name="Normal 27 47 2" xfId="19839"/>
    <cellStyle name="Normal 27 47 2 2" xfId="46847"/>
    <cellStyle name="Normal 27 47 3" xfId="33343"/>
    <cellStyle name="Normal 27 48" xfId="5305"/>
    <cellStyle name="Normal 27 48 2" xfId="19931"/>
    <cellStyle name="Normal 27 48 2 2" xfId="46939"/>
    <cellStyle name="Normal 27 48 3" xfId="33435"/>
    <cellStyle name="Normal 27 49" xfId="5411"/>
    <cellStyle name="Normal 27 49 2" xfId="20023"/>
    <cellStyle name="Normal 27 49 2 2" xfId="47031"/>
    <cellStyle name="Normal 27 49 3" xfId="33527"/>
    <cellStyle name="Normal 27 5" xfId="747"/>
    <cellStyle name="Normal 27 5 2" xfId="15975"/>
    <cellStyle name="Normal 27 5 2 2" xfId="42983"/>
    <cellStyle name="Normal 27 5 3" xfId="29479"/>
    <cellStyle name="Normal 27 50" xfId="5517"/>
    <cellStyle name="Normal 27 50 2" xfId="20115"/>
    <cellStyle name="Normal 27 50 2 2" xfId="47123"/>
    <cellStyle name="Normal 27 50 3" xfId="33619"/>
    <cellStyle name="Normal 27 51" xfId="5623"/>
    <cellStyle name="Normal 27 51 2" xfId="20207"/>
    <cellStyle name="Normal 27 51 2 2" xfId="47215"/>
    <cellStyle name="Normal 27 51 3" xfId="33711"/>
    <cellStyle name="Normal 27 52" xfId="5729"/>
    <cellStyle name="Normal 27 52 2" xfId="20299"/>
    <cellStyle name="Normal 27 52 2 2" xfId="47307"/>
    <cellStyle name="Normal 27 52 3" xfId="33803"/>
    <cellStyle name="Normal 27 53" xfId="5835"/>
    <cellStyle name="Normal 27 53 2" xfId="20391"/>
    <cellStyle name="Normal 27 53 2 2" xfId="47399"/>
    <cellStyle name="Normal 27 53 3" xfId="33895"/>
    <cellStyle name="Normal 27 54" xfId="5941"/>
    <cellStyle name="Normal 27 54 2" xfId="20483"/>
    <cellStyle name="Normal 27 54 2 2" xfId="47491"/>
    <cellStyle name="Normal 27 54 3" xfId="33987"/>
    <cellStyle name="Normal 27 55" xfId="6047"/>
    <cellStyle name="Normal 27 55 2" xfId="20575"/>
    <cellStyle name="Normal 27 55 2 2" xfId="47583"/>
    <cellStyle name="Normal 27 55 3" xfId="34079"/>
    <cellStyle name="Normal 27 56" xfId="6153"/>
    <cellStyle name="Normal 27 56 2" xfId="20667"/>
    <cellStyle name="Normal 27 56 2 2" xfId="47675"/>
    <cellStyle name="Normal 27 56 3" xfId="34171"/>
    <cellStyle name="Normal 27 57" xfId="6259"/>
    <cellStyle name="Normal 27 57 2" xfId="20759"/>
    <cellStyle name="Normal 27 57 2 2" xfId="47767"/>
    <cellStyle name="Normal 27 57 3" xfId="34263"/>
    <cellStyle name="Normal 27 58" xfId="6365"/>
    <cellStyle name="Normal 27 58 2" xfId="20851"/>
    <cellStyle name="Normal 27 58 2 2" xfId="47859"/>
    <cellStyle name="Normal 27 58 3" xfId="34355"/>
    <cellStyle name="Normal 27 59" xfId="6471"/>
    <cellStyle name="Normal 27 59 2" xfId="20943"/>
    <cellStyle name="Normal 27 59 2 2" xfId="47951"/>
    <cellStyle name="Normal 27 59 3" xfId="34447"/>
    <cellStyle name="Normal 27 6" xfId="853"/>
    <cellStyle name="Normal 27 6 2" xfId="16067"/>
    <cellStyle name="Normal 27 6 2 2" xfId="43075"/>
    <cellStyle name="Normal 27 6 3" xfId="29571"/>
    <cellStyle name="Normal 27 60" xfId="6577"/>
    <cellStyle name="Normal 27 60 2" xfId="21035"/>
    <cellStyle name="Normal 27 60 2 2" xfId="48043"/>
    <cellStyle name="Normal 27 60 3" xfId="34539"/>
    <cellStyle name="Normal 27 61" xfId="6682"/>
    <cellStyle name="Normal 27 61 2" xfId="21126"/>
    <cellStyle name="Normal 27 61 2 2" xfId="48134"/>
    <cellStyle name="Normal 27 61 3" xfId="34630"/>
    <cellStyle name="Normal 27 62" xfId="6787"/>
    <cellStyle name="Normal 27 62 2" xfId="21217"/>
    <cellStyle name="Normal 27 62 2 2" xfId="48225"/>
    <cellStyle name="Normal 27 62 3" xfId="34721"/>
    <cellStyle name="Normal 27 63" xfId="6892"/>
    <cellStyle name="Normal 27 63 2" xfId="21308"/>
    <cellStyle name="Normal 27 63 2 2" xfId="48316"/>
    <cellStyle name="Normal 27 63 3" xfId="34812"/>
    <cellStyle name="Normal 27 64" xfId="6997"/>
    <cellStyle name="Normal 27 64 2" xfId="21399"/>
    <cellStyle name="Normal 27 64 2 2" xfId="48407"/>
    <cellStyle name="Normal 27 64 3" xfId="34903"/>
    <cellStyle name="Normal 27 65" xfId="7101"/>
    <cellStyle name="Normal 27 65 2" xfId="21489"/>
    <cellStyle name="Normal 27 65 2 2" xfId="48497"/>
    <cellStyle name="Normal 27 65 3" xfId="34993"/>
    <cellStyle name="Normal 27 66" xfId="7205"/>
    <cellStyle name="Normal 27 66 2" xfId="21579"/>
    <cellStyle name="Normal 27 66 2 2" xfId="48587"/>
    <cellStyle name="Normal 27 66 3" xfId="35083"/>
    <cellStyle name="Normal 27 67" xfId="7308"/>
    <cellStyle name="Normal 27 67 2" xfId="21668"/>
    <cellStyle name="Normal 27 67 2 2" xfId="48676"/>
    <cellStyle name="Normal 27 67 3" xfId="35172"/>
    <cellStyle name="Normal 27 68" xfId="7408"/>
    <cellStyle name="Normal 27 68 2" xfId="21755"/>
    <cellStyle name="Normal 27 68 2 2" xfId="48763"/>
    <cellStyle name="Normal 27 68 3" xfId="35259"/>
    <cellStyle name="Normal 27 69" xfId="7506"/>
    <cellStyle name="Normal 27 69 2" xfId="21840"/>
    <cellStyle name="Normal 27 69 2 2" xfId="48848"/>
    <cellStyle name="Normal 27 69 3" xfId="35344"/>
    <cellStyle name="Normal 27 7" xfId="959"/>
    <cellStyle name="Normal 27 7 2" xfId="16159"/>
    <cellStyle name="Normal 27 7 2 2" xfId="43167"/>
    <cellStyle name="Normal 27 7 3" xfId="29663"/>
    <cellStyle name="Normal 27 70" xfId="7595"/>
    <cellStyle name="Normal 27 70 2" xfId="21918"/>
    <cellStyle name="Normal 27 70 2 2" xfId="48926"/>
    <cellStyle name="Normal 27 70 3" xfId="35422"/>
    <cellStyle name="Normal 27 71" xfId="7671"/>
    <cellStyle name="Normal 27 71 2" xfId="21987"/>
    <cellStyle name="Normal 27 71 2 2" xfId="48995"/>
    <cellStyle name="Normal 27 71 3" xfId="35491"/>
    <cellStyle name="Normal 27 72" xfId="7850"/>
    <cellStyle name="Normal 27 72 2" xfId="22140"/>
    <cellStyle name="Normal 27 72 2 2" xfId="49148"/>
    <cellStyle name="Normal 27 72 3" xfId="35644"/>
    <cellStyle name="Normal 27 73" xfId="7992"/>
    <cellStyle name="Normal 27 73 2" xfId="22268"/>
    <cellStyle name="Normal 27 73 2 2" xfId="49276"/>
    <cellStyle name="Normal 27 73 3" xfId="35772"/>
    <cellStyle name="Normal 27 74" xfId="8134"/>
    <cellStyle name="Normal 27 74 2" xfId="22396"/>
    <cellStyle name="Normal 27 74 2 2" xfId="49404"/>
    <cellStyle name="Normal 27 74 3" xfId="35900"/>
    <cellStyle name="Normal 27 75" xfId="8276"/>
    <cellStyle name="Normal 27 75 2" xfId="22524"/>
    <cellStyle name="Normal 27 75 2 2" xfId="49532"/>
    <cellStyle name="Normal 27 75 3" xfId="36028"/>
    <cellStyle name="Normal 27 76" xfId="8418"/>
    <cellStyle name="Normal 27 76 2" xfId="22652"/>
    <cellStyle name="Normal 27 76 2 2" xfId="49660"/>
    <cellStyle name="Normal 27 76 3" xfId="36156"/>
    <cellStyle name="Normal 27 77" xfId="8560"/>
    <cellStyle name="Normal 27 77 2" xfId="22780"/>
    <cellStyle name="Normal 27 77 2 2" xfId="49788"/>
    <cellStyle name="Normal 27 77 3" xfId="36284"/>
    <cellStyle name="Normal 27 78" xfId="8702"/>
    <cellStyle name="Normal 27 78 2" xfId="22908"/>
    <cellStyle name="Normal 27 78 2 2" xfId="49916"/>
    <cellStyle name="Normal 27 78 3" xfId="36412"/>
    <cellStyle name="Normal 27 79" xfId="8844"/>
    <cellStyle name="Normal 27 79 2" xfId="23036"/>
    <cellStyle name="Normal 27 79 2 2" xfId="50044"/>
    <cellStyle name="Normal 27 79 3" xfId="36540"/>
    <cellStyle name="Normal 27 8" xfId="1065"/>
    <cellStyle name="Normal 27 8 2" xfId="16251"/>
    <cellStyle name="Normal 27 8 2 2" xfId="43259"/>
    <cellStyle name="Normal 27 8 3" xfId="29755"/>
    <cellStyle name="Normal 27 80" xfId="8986"/>
    <cellStyle name="Normal 27 80 2" xfId="23164"/>
    <cellStyle name="Normal 27 80 2 2" xfId="50172"/>
    <cellStyle name="Normal 27 80 3" xfId="36668"/>
    <cellStyle name="Normal 27 81" xfId="9128"/>
    <cellStyle name="Normal 27 81 2" xfId="23292"/>
    <cellStyle name="Normal 27 81 2 2" xfId="50300"/>
    <cellStyle name="Normal 27 81 3" xfId="36796"/>
    <cellStyle name="Normal 27 82" xfId="9270"/>
    <cellStyle name="Normal 27 82 2" xfId="23420"/>
    <cellStyle name="Normal 27 82 2 2" xfId="50428"/>
    <cellStyle name="Normal 27 82 3" xfId="36924"/>
    <cellStyle name="Normal 27 83" xfId="9412"/>
    <cellStyle name="Normal 27 83 2" xfId="23548"/>
    <cellStyle name="Normal 27 83 2 2" xfId="50556"/>
    <cellStyle name="Normal 27 83 3" xfId="37052"/>
    <cellStyle name="Normal 27 84" xfId="9554"/>
    <cellStyle name="Normal 27 84 2" xfId="23676"/>
    <cellStyle name="Normal 27 84 2 2" xfId="50684"/>
    <cellStyle name="Normal 27 84 3" xfId="37180"/>
    <cellStyle name="Normal 27 85" xfId="9696"/>
    <cellStyle name="Normal 27 85 2" xfId="23804"/>
    <cellStyle name="Normal 27 85 2 2" xfId="50812"/>
    <cellStyle name="Normal 27 85 3" xfId="37308"/>
    <cellStyle name="Normal 27 86" xfId="9838"/>
    <cellStyle name="Normal 27 86 2" xfId="23932"/>
    <cellStyle name="Normal 27 86 2 2" xfId="50940"/>
    <cellStyle name="Normal 27 86 3" xfId="37436"/>
    <cellStyle name="Normal 27 87" xfId="9980"/>
    <cellStyle name="Normal 27 87 2" xfId="24060"/>
    <cellStyle name="Normal 27 87 2 2" xfId="51068"/>
    <cellStyle name="Normal 27 87 3" xfId="37564"/>
    <cellStyle name="Normal 27 88" xfId="10122"/>
    <cellStyle name="Normal 27 88 2" xfId="24188"/>
    <cellStyle name="Normal 27 88 2 2" xfId="51196"/>
    <cellStyle name="Normal 27 88 3" xfId="37692"/>
    <cellStyle name="Normal 27 89" xfId="10264"/>
    <cellStyle name="Normal 27 89 2" xfId="24316"/>
    <cellStyle name="Normal 27 89 2 2" xfId="51324"/>
    <cellStyle name="Normal 27 89 3" xfId="37820"/>
    <cellStyle name="Normal 27 9" xfId="1171"/>
    <cellStyle name="Normal 27 9 2" xfId="16343"/>
    <cellStyle name="Normal 27 9 2 2" xfId="43351"/>
    <cellStyle name="Normal 27 9 3" xfId="29847"/>
    <cellStyle name="Normal 27 90" xfId="10406"/>
    <cellStyle name="Normal 27 90 2" xfId="24444"/>
    <cellStyle name="Normal 27 90 2 2" xfId="51452"/>
    <cellStyle name="Normal 27 90 3" xfId="37948"/>
    <cellStyle name="Normal 27 91" xfId="10548"/>
    <cellStyle name="Normal 27 91 2" xfId="24572"/>
    <cellStyle name="Normal 27 91 2 2" xfId="51580"/>
    <cellStyle name="Normal 27 91 3" xfId="38076"/>
    <cellStyle name="Normal 27 92" xfId="10690"/>
    <cellStyle name="Normal 27 92 2" xfId="24700"/>
    <cellStyle name="Normal 27 92 2 2" xfId="51708"/>
    <cellStyle name="Normal 27 92 3" xfId="38204"/>
    <cellStyle name="Normal 27 93" xfId="10832"/>
    <cellStyle name="Normal 27 93 2" xfId="24828"/>
    <cellStyle name="Normal 27 93 2 2" xfId="51836"/>
    <cellStyle name="Normal 27 93 3" xfId="38332"/>
    <cellStyle name="Normal 27 94" xfId="10974"/>
    <cellStyle name="Normal 27 94 2" xfId="24956"/>
    <cellStyle name="Normal 27 94 2 2" xfId="51964"/>
    <cellStyle name="Normal 27 94 3" xfId="38460"/>
    <cellStyle name="Normal 27 95" xfId="11116"/>
    <cellStyle name="Normal 27 95 2" xfId="25084"/>
    <cellStyle name="Normal 27 95 2 2" xfId="52092"/>
    <cellStyle name="Normal 27 95 3" xfId="38588"/>
    <cellStyle name="Normal 27 96" xfId="11258"/>
    <cellStyle name="Normal 27 96 2" xfId="25212"/>
    <cellStyle name="Normal 27 96 2 2" xfId="52220"/>
    <cellStyle name="Normal 27 96 3" xfId="38716"/>
    <cellStyle name="Normal 27 97" xfId="11400"/>
    <cellStyle name="Normal 27 97 2" xfId="25340"/>
    <cellStyle name="Normal 27 97 2 2" xfId="52348"/>
    <cellStyle name="Normal 27 97 3" xfId="38844"/>
    <cellStyle name="Normal 27 98" xfId="11542"/>
    <cellStyle name="Normal 27 98 2" xfId="25468"/>
    <cellStyle name="Normal 27 98 2 2" xfId="52476"/>
    <cellStyle name="Normal 27 98 3" xfId="38972"/>
    <cellStyle name="Normal 27 99" xfId="11684"/>
    <cellStyle name="Normal 27 99 2" xfId="25596"/>
    <cellStyle name="Normal 27 99 2 2" xfId="52604"/>
    <cellStyle name="Normal 27 99 3" xfId="39100"/>
    <cellStyle name="Normal 270" xfId="56299"/>
    <cellStyle name="Normal 271" xfId="56302"/>
    <cellStyle name="Normal 272" xfId="56307"/>
    <cellStyle name="Normal 273" xfId="56308"/>
    <cellStyle name="Normal 274" xfId="56311"/>
    <cellStyle name="Normal 275" xfId="56314"/>
    <cellStyle name="Normal 276" xfId="56319"/>
    <cellStyle name="Normal 277" xfId="56320"/>
    <cellStyle name="Normal 278" xfId="56323"/>
    <cellStyle name="Normal 279" xfId="56326"/>
    <cellStyle name="Normal 28" xfId="173"/>
    <cellStyle name="Normal 28 10" xfId="1278"/>
    <cellStyle name="Normal 28 10 2" xfId="16436"/>
    <cellStyle name="Normal 28 10 2 2" xfId="43444"/>
    <cellStyle name="Normal 28 10 3" xfId="29940"/>
    <cellStyle name="Normal 28 100" xfId="11827"/>
    <cellStyle name="Normal 28 100 2" xfId="25725"/>
    <cellStyle name="Normal 28 100 2 2" xfId="52733"/>
    <cellStyle name="Normal 28 100 3" xfId="39229"/>
    <cellStyle name="Normal 28 101" xfId="11969"/>
    <cellStyle name="Normal 28 101 2" xfId="25853"/>
    <cellStyle name="Normal 28 101 2 2" xfId="52861"/>
    <cellStyle name="Normal 28 101 3" xfId="39357"/>
    <cellStyle name="Normal 28 102" xfId="12111"/>
    <cellStyle name="Normal 28 102 2" xfId="25981"/>
    <cellStyle name="Normal 28 102 2 2" xfId="52989"/>
    <cellStyle name="Normal 28 102 3" xfId="39485"/>
    <cellStyle name="Normal 28 103" xfId="12253"/>
    <cellStyle name="Normal 28 103 2" xfId="26109"/>
    <cellStyle name="Normal 28 103 2 2" xfId="53117"/>
    <cellStyle name="Normal 28 103 3" xfId="39613"/>
    <cellStyle name="Normal 28 104" xfId="12395"/>
    <cellStyle name="Normal 28 104 2" xfId="26237"/>
    <cellStyle name="Normal 28 104 2 2" xfId="53245"/>
    <cellStyle name="Normal 28 104 3" xfId="39741"/>
    <cellStyle name="Normal 28 105" xfId="12537"/>
    <cellStyle name="Normal 28 105 2" xfId="26365"/>
    <cellStyle name="Normal 28 105 2 2" xfId="53373"/>
    <cellStyle name="Normal 28 105 3" xfId="39869"/>
    <cellStyle name="Normal 28 106" xfId="12679"/>
    <cellStyle name="Normal 28 106 2" xfId="26493"/>
    <cellStyle name="Normal 28 106 2 2" xfId="53501"/>
    <cellStyle name="Normal 28 106 3" xfId="39997"/>
    <cellStyle name="Normal 28 107" xfId="12821"/>
    <cellStyle name="Normal 28 107 2" xfId="26621"/>
    <cellStyle name="Normal 28 107 2 2" xfId="53629"/>
    <cellStyle name="Normal 28 107 3" xfId="40125"/>
    <cellStyle name="Normal 28 108" xfId="12963"/>
    <cellStyle name="Normal 28 108 2" xfId="26749"/>
    <cellStyle name="Normal 28 108 2 2" xfId="53757"/>
    <cellStyle name="Normal 28 108 3" xfId="40253"/>
    <cellStyle name="Normal 28 109" xfId="13105"/>
    <cellStyle name="Normal 28 109 2" xfId="26877"/>
    <cellStyle name="Normal 28 109 2 2" xfId="53885"/>
    <cellStyle name="Normal 28 109 3" xfId="40381"/>
    <cellStyle name="Normal 28 11" xfId="1384"/>
    <cellStyle name="Normal 28 11 2" xfId="16528"/>
    <cellStyle name="Normal 28 11 2 2" xfId="43536"/>
    <cellStyle name="Normal 28 11 3" xfId="30032"/>
    <cellStyle name="Normal 28 110" xfId="13247"/>
    <cellStyle name="Normal 28 110 2" xfId="27005"/>
    <cellStyle name="Normal 28 110 2 2" xfId="54013"/>
    <cellStyle name="Normal 28 110 3" xfId="40509"/>
    <cellStyle name="Normal 28 111" xfId="13389"/>
    <cellStyle name="Normal 28 111 2" xfId="27133"/>
    <cellStyle name="Normal 28 111 2 2" xfId="54141"/>
    <cellStyle name="Normal 28 111 3" xfId="40637"/>
    <cellStyle name="Normal 28 112" xfId="13531"/>
    <cellStyle name="Normal 28 112 2" xfId="27261"/>
    <cellStyle name="Normal 28 112 2 2" xfId="54269"/>
    <cellStyle name="Normal 28 112 3" xfId="40765"/>
    <cellStyle name="Normal 28 113" xfId="13673"/>
    <cellStyle name="Normal 28 113 2" xfId="27389"/>
    <cellStyle name="Normal 28 113 2 2" xfId="54397"/>
    <cellStyle name="Normal 28 113 3" xfId="40893"/>
    <cellStyle name="Normal 28 114" xfId="13815"/>
    <cellStyle name="Normal 28 114 2" xfId="27517"/>
    <cellStyle name="Normal 28 114 2 2" xfId="54525"/>
    <cellStyle name="Normal 28 114 3" xfId="41021"/>
    <cellStyle name="Normal 28 115" xfId="13956"/>
    <cellStyle name="Normal 28 115 2" xfId="27644"/>
    <cellStyle name="Normal 28 115 2 2" xfId="54652"/>
    <cellStyle name="Normal 28 115 3" xfId="41148"/>
    <cellStyle name="Normal 28 116" xfId="14097"/>
    <cellStyle name="Normal 28 116 2" xfId="27771"/>
    <cellStyle name="Normal 28 116 2 2" xfId="54779"/>
    <cellStyle name="Normal 28 116 3" xfId="41275"/>
    <cellStyle name="Normal 28 117" xfId="14238"/>
    <cellStyle name="Normal 28 117 2" xfId="27898"/>
    <cellStyle name="Normal 28 117 2 2" xfId="54906"/>
    <cellStyle name="Normal 28 117 3" xfId="41402"/>
    <cellStyle name="Normal 28 118" xfId="14379"/>
    <cellStyle name="Normal 28 118 2" xfId="28025"/>
    <cellStyle name="Normal 28 118 2 2" xfId="55033"/>
    <cellStyle name="Normal 28 118 3" xfId="41529"/>
    <cellStyle name="Normal 28 119" xfId="14519"/>
    <cellStyle name="Normal 28 119 2" xfId="28151"/>
    <cellStyle name="Normal 28 119 2 2" xfId="55159"/>
    <cellStyle name="Normal 28 119 3" xfId="41655"/>
    <cellStyle name="Normal 28 12" xfId="1490"/>
    <cellStyle name="Normal 28 12 2" xfId="16620"/>
    <cellStyle name="Normal 28 12 2 2" xfId="43628"/>
    <cellStyle name="Normal 28 12 3" xfId="30124"/>
    <cellStyle name="Normal 28 120" xfId="14659"/>
    <cellStyle name="Normal 28 120 2" xfId="28277"/>
    <cellStyle name="Normal 28 120 2 2" xfId="55285"/>
    <cellStyle name="Normal 28 120 3" xfId="41781"/>
    <cellStyle name="Normal 28 121" xfId="14798"/>
    <cellStyle name="Normal 28 121 2" xfId="28402"/>
    <cellStyle name="Normal 28 121 2 2" xfId="55410"/>
    <cellStyle name="Normal 28 121 3" xfId="41906"/>
    <cellStyle name="Normal 28 122" xfId="14933"/>
    <cellStyle name="Normal 28 122 2" xfId="28524"/>
    <cellStyle name="Normal 28 122 2 2" xfId="55532"/>
    <cellStyle name="Normal 28 122 3" xfId="42028"/>
    <cellStyle name="Normal 28 123" xfId="15067"/>
    <cellStyle name="Normal 28 123 2" xfId="28645"/>
    <cellStyle name="Normal 28 123 2 2" xfId="55653"/>
    <cellStyle name="Normal 28 123 3" xfId="42149"/>
    <cellStyle name="Normal 28 124" xfId="15194"/>
    <cellStyle name="Normal 28 124 2" xfId="28761"/>
    <cellStyle name="Normal 28 124 2 2" xfId="55769"/>
    <cellStyle name="Normal 28 124 3" xfId="42265"/>
    <cellStyle name="Normal 28 125" xfId="15314"/>
    <cellStyle name="Normal 28 125 2" xfId="28874"/>
    <cellStyle name="Normal 28 125 2 2" xfId="55882"/>
    <cellStyle name="Normal 28 125 3" xfId="42378"/>
    <cellStyle name="Normal 28 126" xfId="15529"/>
    <cellStyle name="Normal 28 126 2" xfId="42537"/>
    <cellStyle name="Normal 28 127" xfId="29033"/>
    <cellStyle name="Normal 28 13" xfId="1596"/>
    <cellStyle name="Normal 28 13 2" xfId="16712"/>
    <cellStyle name="Normal 28 13 2 2" xfId="43720"/>
    <cellStyle name="Normal 28 13 3" xfId="30216"/>
    <cellStyle name="Normal 28 14" xfId="1702"/>
    <cellStyle name="Normal 28 14 2" xfId="16804"/>
    <cellStyle name="Normal 28 14 2 2" xfId="43812"/>
    <cellStyle name="Normal 28 14 3" xfId="30308"/>
    <cellStyle name="Normal 28 15" xfId="1808"/>
    <cellStyle name="Normal 28 15 2" xfId="16896"/>
    <cellStyle name="Normal 28 15 2 2" xfId="43904"/>
    <cellStyle name="Normal 28 15 3" xfId="30400"/>
    <cellStyle name="Normal 28 16" xfId="1914"/>
    <cellStyle name="Normal 28 16 2" xfId="16988"/>
    <cellStyle name="Normal 28 16 2 2" xfId="43996"/>
    <cellStyle name="Normal 28 16 3" xfId="30492"/>
    <cellStyle name="Normal 28 17" xfId="2020"/>
    <cellStyle name="Normal 28 17 2" xfId="17080"/>
    <cellStyle name="Normal 28 17 2 2" xfId="44088"/>
    <cellStyle name="Normal 28 17 3" xfId="30584"/>
    <cellStyle name="Normal 28 18" xfId="2126"/>
    <cellStyle name="Normal 28 18 2" xfId="17172"/>
    <cellStyle name="Normal 28 18 2 2" xfId="44180"/>
    <cellStyle name="Normal 28 18 3" xfId="30676"/>
    <cellStyle name="Normal 28 19" xfId="2232"/>
    <cellStyle name="Normal 28 19 2" xfId="17264"/>
    <cellStyle name="Normal 28 19 2 2" xfId="44272"/>
    <cellStyle name="Normal 28 19 3" xfId="30768"/>
    <cellStyle name="Normal 28 2" xfId="350"/>
    <cellStyle name="Normal 28 2 2" xfId="15652"/>
    <cellStyle name="Normal 28 2 2 2" xfId="42660"/>
    <cellStyle name="Normal 28 2 3" xfId="29156"/>
    <cellStyle name="Normal 28 20" xfId="2338"/>
    <cellStyle name="Normal 28 20 2" xfId="17356"/>
    <cellStyle name="Normal 28 20 2 2" xfId="44364"/>
    <cellStyle name="Normal 28 20 3" xfId="30860"/>
    <cellStyle name="Normal 28 21" xfId="2444"/>
    <cellStyle name="Normal 28 21 2" xfId="17448"/>
    <cellStyle name="Normal 28 21 2 2" xfId="44456"/>
    <cellStyle name="Normal 28 21 3" xfId="30952"/>
    <cellStyle name="Normal 28 22" xfId="2550"/>
    <cellStyle name="Normal 28 22 2" xfId="17540"/>
    <cellStyle name="Normal 28 22 2 2" xfId="44548"/>
    <cellStyle name="Normal 28 22 3" xfId="31044"/>
    <cellStyle name="Normal 28 23" xfId="2656"/>
    <cellStyle name="Normal 28 23 2" xfId="17632"/>
    <cellStyle name="Normal 28 23 2 2" xfId="44640"/>
    <cellStyle name="Normal 28 23 3" xfId="31136"/>
    <cellStyle name="Normal 28 24" xfId="2762"/>
    <cellStyle name="Normal 28 24 2" xfId="17724"/>
    <cellStyle name="Normal 28 24 2 2" xfId="44732"/>
    <cellStyle name="Normal 28 24 3" xfId="31228"/>
    <cellStyle name="Normal 28 25" xfId="2868"/>
    <cellStyle name="Normal 28 25 2" xfId="17816"/>
    <cellStyle name="Normal 28 25 2 2" xfId="44824"/>
    <cellStyle name="Normal 28 25 3" xfId="31320"/>
    <cellStyle name="Normal 28 26" xfId="2974"/>
    <cellStyle name="Normal 28 26 2" xfId="17908"/>
    <cellStyle name="Normal 28 26 2 2" xfId="44916"/>
    <cellStyle name="Normal 28 26 3" xfId="31412"/>
    <cellStyle name="Normal 28 27" xfId="3080"/>
    <cellStyle name="Normal 28 27 2" xfId="18000"/>
    <cellStyle name="Normal 28 27 2 2" xfId="45008"/>
    <cellStyle name="Normal 28 27 3" xfId="31504"/>
    <cellStyle name="Normal 28 28" xfId="3186"/>
    <cellStyle name="Normal 28 28 2" xfId="18092"/>
    <cellStyle name="Normal 28 28 2 2" xfId="45100"/>
    <cellStyle name="Normal 28 28 3" xfId="31596"/>
    <cellStyle name="Normal 28 29" xfId="3292"/>
    <cellStyle name="Normal 28 29 2" xfId="18184"/>
    <cellStyle name="Normal 28 29 2 2" xfId="45192"/>
    <cellStyle name="Normal 28 29 3" xfId="31688"/>
    <cellStyle name="Normal 28 3" xfId="537"/>
    <cellStyle name="Normal 28 3 2" xfId="15793"/>
    <cellStyle name="Normal 28 3 2 2" xfId="42801"/>
    <cellStyle name="Normal 28 3 3" xfId="29297"/>
    <cellStyle name="Normal 28 30" xfId="3398"/>
    <cellStyle name="Normal 28 30 2" xfId="18276"/>
    <cellStyle name="Normal 28 30 2 2" xfId="45284"/>
    <cellStyle name="Normal 28 30 3" xfId="31780"/>
    <cellStyle name="Normal 28 31" xfId="3504"/>
    <cellStyle name="Normal 28 31 2" xfId="18368"/>
    <cellStyle name="Normal 28 31 2 2" xfId="45376"/>
    <cellStyle name="Normal 28 31 3" xfId="31872"/>
    <cellStyle name="Normal 28 32" xfId="3610"/>
    <cellStyle name="Normal 28 32 2" xfId="18460"/>
    <cellStyle name="Normal 28 32 2 2" xfId="45468"/>
    <cellStyle name="Normal 28 32 3" xfId="31964"/>
    <cellStyle name="Normal 28 33" xfId="3716"/>
    <cellStyle name="Normal 28 33 2" xfId="18552"/>
    <cellStyle name="Normal 28 33 2 2" xfId="45560"/>
    <cellStyle name="Normal 28 33 3" xfId="32056"/>
    <cellStyle name="Normal 28 34" xfId="3822"/>
    <cellStyle name="Normal 28 34 2" xfId="18644"/>
    <cellStyle name="Normal 28 34 2 2" xfId="45652"/>
    <cellStyle name="Normal 28 34 3" xfId="32148"/>
    <cellStyle name="Normal 28 35" xfId="3928"/>
    <cellStyle name="Normal 28 35 2" xfId="18736"/>
    <cellStyle name="Normal 28 35 2 2" xfId="45744"/>
    <cellStyle name="Normal 28 35 3" xfId="32240"/>
    <cellStyle name="Normal 28 36" xfId="4034"/>
    <cellStyle name="Normal 28 36 2" xfId="18828"/>
    <cellStyle name="Normal 28 36 2 2" xfId="45836"/>
    <cellStyle name="Normal 28 36 3" xfId="32332"/>
    <cellStyle name="Normal 28 37" xfId="4140"/>
    <cellStyle name="Normal 28 37 2" xfId="18920"/>
    <cellStyle name="Normal 28 37 2 2" xfId="45928"/>
    <cellStyle name="Normal 28 37 3" xfId="32424"/>
    <cellStyle name="Normal 28 38" xfId="4246"/>
    <cellStyle name="Normal 28 38 2" xfId="19012"/>
    <cellStyle name="Normal 28 38 2 2" xfId="46020"/>
    <cellStyle name="Normal 28 38 3" xfId="32516"/>
    <cellStyle name="Normal 28 39" xfId="4352"/>
    <cellStyle name="Normal 28 39 2" xfId="19104"/>
    <cellStyle name="Normal 28 39 2 2" xfId="46112"/>
    <cellStyle name="Normal 28 39 3" xfId="32608"/>
    <cellStyle name="Normal 28 4" xfId="642"/>
    <cellStyle name="Normal 28 4 2" xfId="15884"/>
    <cellStyle name="Normal 28 4 2 2" xfId="42892"/>
    <cellStyle name="Normal 28 4 3" xfId="29388"/>
    <cellStyle name="Normal 28 40" xfId="4458"/>
    <cellStyle name="Normal 28 40 2" xfId="19196"/>
    <cellStyle name="Normal 28 40 2 2" xfId="46204"/>
    <cellStyle name="Normal 28 40 3" xfId="32700"/>
    <cellStyle name="Normal 28 41" xfId="4564"/>
    <cellStyle name="Normal 28 41 2" xfId="19288"/>
    <cellStyle name="Normal 28 41 2 2" xfId="46296"/>
    <cellStyle name="Normal 28 41 3" xfId="32792"/>
    <cellStyle name="Normal 28 42" xfId="4670"/>
    <cellStyle name="Normal 28 42 2" xfId="19380"/>
    <cellStyle name="Normal 28 42 2 2" xfId="46388"/>
    <cellStyle name="Normal 28 42 3" xfId="32884"/>
    <cellStyle name="Normal 28 43" xfId="4776"/>
    <cellStyle name="Normal 28 43 2" xfId="19472"/>
    <cellStyle name="Normal 28 43 2 2" xfId="46480"/>
    <cellStyle name="Normal 28 43 3" xfId="32976"/>
    <cellStyle name="Normal 28 44" xfId="4882"/>
    <cellStyle name="Normal 28 44 2" xfId="19564"/>
    <cellStyle name="Normal 28 44 2 2" xfId="46572"/>
    <cellStyle name="Normal 28 44 3" xfId="33068"/>
    <cellStyle name="Normal 28 45" xfId="4988"/>
    <cellStyle name="Normal 28 45 2" xfId="19656"/>
    <cellStyle name="Normal 28 45 2 2" xfId="46664"/>
    <cellStyle name="Normal 28 45 3" xfId="33160"/>
    <cellStyle name="Normal 28 46" xfId="5094"/>
    <cellStyle name="Normal 28 46 2" xfId="19748"/>
    <cellStyle name="Normal 28 46 2 2" xfId="46756"/>
    <cellStyle name="Normal 28 46 3" xfId="33252"/>
    <cellStyle name="Normal 28 47" xfId="5200"/>
    <cellStyle name="Normal 28 47 2" xfId="19840"/>
    <cellStyle name="Normal 28 47 2 2" xfId="46848"/>
    <cellStyle name="Normal 28 47 3" xfId="33344"/>
    <cellStyle name="Normal 28 48" xfId="5306"/>
    <cellStyle name="Normal 28 48 2" xfId="19932"/>
    <cellStyle name="Normal 28 48 2 2" xfId="46940"/>
    <cellStyle name="Normal 28 48 3" xfId="33436"/>
    <cellStyle name="Normal 28 49" xfId="5412"/>
    <cellStyle name="Normal 28 49 2" xfId="20024"/>
    <cellStyle name="Normal 28 49 2 2" xfId="47032"/>
    <cellStyle name="Normal 28 49 3" xfId="33528"/>
    <cellStyle name="Normal 28 5" xfId="748"/>
    <cellStyle name="Normal 28 5 2" xfId="15976"/>
    <cellStyle name="Normal 28 5 2 2" xfId="42984"/>
    <cellStyle name="Normal 28 5 3" xfId="29480"/>
    <cellStyle name="Normal 28 50" xfId="5518"/>
    <cellStyle name="Normal 28 50 2" xfId="20116"/>
    <cellStyle name="Normal 28 50 2 2" xfId="47124"/>
    <cellStyle name="Normal 28 50 3" xfId="33620"/>
    <cellStyle name="Normal 28 51" xfId="5624"/>
    <cellStyle name="Normal 28 51 2" xfId="20208"/>
    <cellStyle name="Normal 28 51 2 2" xfId="47216"/>
    <cellStyle name="Normal 28 51 3" xfId="33712"/>
    <cellStyle name="Normal 28 52" xfId="5730"/>
    <cellStyle name="Normal 28 52 2" xfId="20300"/>
    <cellStyle name="Normal 28 52 2 2" xfId="47308"/>
    <cellStyle name="Normal 28 52 3" xfId="33804"/>
    <cellStyle name="Normal 28 53" xfId="5836"/>
    <cellStyle name="Normal 28 53 2" xfId="20392"/>
    <cellStyle name="Normal 28 53 2 2" xfId="47400"/>
    <cellStyle name="Normal 28 53 3" xfId="33896"/>
    <cellStyle name="Normal 28 54" xfId="5942"/>
    <cellStyle name="Normal 28 54 2" xfId="20484"/>
    <cellStyle name="Normal 28 54 2 2" xfId="47492"/>
    <cellStyle name="Normal 28 54 3" xfId="33988"/>
    <cellStyle name="Normal 28 55" xfId="6048"/>
    <cellStyle name="Normal 28 55 2" xfId="20576"/>
    <cellStyle name="Normal 28 55 2 2" xfId="47584"/>
    <cellStyle name="Normal 28 55 3" xfId="34080"/>
    <cellStyle name="Normal 28 56" xfId="6154"/>
    <cellStyle name="Normal 28 56 2" xfId="20668"/>
    <cellStyle name="Normal 28 56 2 2" xfId="47676"/>
    <cellStyle name="Normal 28 56 3" xfId="34172"/>
    <cellStyle name="Normal 28 57" xfId="6260"/>
    <cellStyle name="Normal 28 57 2" xfId="20760"/>
    <cellStyle name="Normal 28 57 2 2" xfId="47768"/>
    <cellStyle name="Normal 28 57 3" xfId="34264"/>
    <cellStyle name="Normal 28 58" xfId="6366"/>
    <cellStyle name="Normal 28 58 2" xfId="20852"/>
    <cellStyle name="Normal 28 58 2 2" xfId="47860"/>
    <cellStyle name="Normal 28 58 3" xfId="34356"/>
    <cellStyle name="Normal 28 59" xfId="6472"/>
    <cellStyle name="Normal 28 59 2" xfId="20944"/>
    <cellStyle name="Normal 28 59 2 2" xfId="47952"/>
    <cellStyle name="Normal 28 59 3" xfId="34448"/>
    <cellStyle name="Normal 28 6" xfId="854"/>
    <cellStyle name="Normal 28 6 2" xfId="16068"/>
    <cellStyle name="Normal 28 6 2 2" xfId="43076"/>
    <cellStyle name="Normal 28 6 3" xfId="29572"/>
    <cellStyle name="Normal 28 60" xfId="6578"/>
    <cellStyle name="Normal 28 60 2" xfId="21036"/>
    <cellStyle name="Normal 28 60 2 2" xfId="48044"/>
    <cellStyle name="Normal 28 60 3" xfId="34540"/>
    <cellStyle name="Normal 28 61" xfId="6683"/>
    <cellStyle name="Normal 28 61 2" xfId="21127"/>
    <cellStyle name="Normal 28 61 2 2" xfId="48135"/>
    <cellStyle name="Normal 28 61 3" xfId="34631"/>
    <cellStyle name="Normal 28 62" xfId="6788"/>
    <cellStyle name="Normal 28 62 2" xfId="21218"/>
    <cellStyle name="Normal 28 62 2 2" xfId="48226"/>
    <cellStyle name="Normal 28 62 3" xfId="34722"/>
    <cellStyle name="Normal 28 63" xfId="6893"/>
    <cellStyle name="Normal 28 63 2" xfId="21309"/>
    <cellStyle name="Normal 28 63 2 2" xfId="48317"/>
    <cellStyle name="Normal 28 63 3" xfId="34813"/>
    <cellStyle name="Normal 28 64" xfId="6998"/>
    <cellStyle name="Normal 28 64 2" xfId="21400"/>
    <cellStyle name="Normal 28 64 2 2" xfId="48408"/>
    <cellStyle name="Normal 28 64 3" xfId="34904"/>
    <cellStyle name="Normal 28 65" xfId="7102"/>
    <cellStyle name="Normal 28 65 2" xfId="21490"/>
    <cellStyle name="Normal 28 65 2 2" xfId="48498"/>
    <cellStyle name="Normal 28 65 3" xfId="34994"/>
    <cellStyle name="Normal 28 66" xfId="7206"/>
    <cellStyle name="Normal 28 66 2" xfId="21580"/>
    <cellStyle name="Normal 28 66 2 2" xfId="48588"/>
    <cellStyle name="Normal 28 66 3" xfId="35084"/>
    <cellStyle name="Normal 28 67" xfId="7309"/>
    <cellStyle name="Normal 28 67 2" xfId="21669"/>
    <cellStyle name="Normal 28 67 2 2" xfId="48677"/>
    <cellStyle name="Normal 28 67 3" xfId="35173"/>
    <cellStyle name="Normal 28 68" xfId="7409"/>
    <cellStyle name="Normal 28 68 2" xfId="21756"/>
    <cellStyle name="Normal 28 68 2 2" xfId="48764"/>
    <cellStyle name="Normal 28 68 3" xfId="35260"/>
    <cellStyle name="Normal 28 69" xfId="7507"/>
    <cellStyle name="Normal 28 69 2" xfId="21841"/>
    <cellStyle name="Normal 28 69 2 2" xfId="48849"/>
    <cellStyle name="Normal 28 69 3" xfId="35345"/>
    <cellStyle name="Normal 28 7" xfId="960"/>
    <cellStyle name="Normal 28 7 2" xfId="16160"/>
    <cellStyle name="Normal 28 7 2 2" xfId="43168"/>
    <cellStyle name="Normal 28 7 3" xfId="29664"/>
    <cellStyle name="Normal 28 70" xfId="7596"/>
    <cellStyle name="Normal 28 70 2" xfId="21919"/>
    <cellStyle name="Normal 28 70 2 2" xfId="48927"/>
    <cellStyle name="Normal 28 70 3" xfId="35423"/>
    <cellStyle name="Normal 28 71" xfId="7672"/>
    <cellStyle name="Normal 28 71 2" xfId="21988"/>
    <cellStyle name="Normal 28 71 2 2" xfId="48996"/>
    <cellStyle name="Normal 28 71 3" xfId="35492"/>
    <cellStyle name="Normal 28 72" xfId="7851"/>
    <cellStyle name="Normal 28 72 2" xfId="22141"/>
    <cellStyle name="Normal 28 72 2 2" xfId="49149"/>
    <cellStyle name="Normal 28 72 3" xfId="35645"/>
    <cellStyle name="Normal 28 73" xfId="7993"/>
    <cellStyle name="Normal 28 73 2" xfId="22269"/>
    <cellStyle name="Normal 28 73 2 2" xfId="49277"/>
    <cellStyle name="Normal 28 73 3" xfId="35773"/>
    <cellStyle name="Normal 28 74" xfId="8135"/>
    <cellStyle name="Normal 28 74 2" xfId="22397"/>
    <cellStyle name="Normal 28 74 2 2" xfId="49405"/>
    <cellStyle name="Normal 28 74 3" xfId="35901"/>
    <cellStyle name="Normal 28 75" xfId="8277"/>
    <cellStyle name="Normal 28 75 2" xfId="22525"/>
    <cellStyle name="Normal 28 75 2 2" xfId="49533"/>
    <cellStyle name="Normal 28 75 3" xfId="36029"/>
    <cellStyle name="Normal 28 76" xfId="8419"/>
    <cellStyle name="Normal 28 76 2" xfId="22653"/>
    <cellStyle name="Normal 28 76 2 2" xfId="49661"/>
    <cellStyle name="Normal 28 76 3" xfId="36157"/>
    <cellStyle name="Normal 28 77" xfId="8561"/>
    <cellStyle name="Normal 28 77 2" xfId="22781"/>
    <cellStyle name="Normal 28 77 2 2" xfId="49789"/>
    <cellStyle name="Normal 28 77 3" xfId="36285"/>
    <cellStyle name="Normal 28 78" xfId="8703"/>
    <cellStyle name="Normal 28 78 2" xfId="22909"/>
    <cellStyle name="Normal 28 78 2 2" xfId="49917"/>
    <cellStyle name="Normal 28 78 3" xfId="36413"/>
    <cellStyle name="Normal 28 79" xfId="8845"/>
    <cellStyle name="Normal 28 79 2" xfId="23037"/>
    <cellStyle name="Normal 28 79 2 2" xfId="50045"/>
    <cellStyle name="Normal 28 79 3" xfId="36541"/>
    <cellStyle name="Normal 28 8" xfId="1066"/>
    <cellStyle name="Normal 28 8 2" xfId="16252"/>
    <cellStyle name="Normal 28 8 2 2" xfId="43260"/>
    <cellStyle name="Normal 28 8 3" xfId="29756"/>
    <cellStyle name="Normal 28 80" xfId="8987"/>
    <cellStyle name="Normal 28 80 2" xfId="23165"/>
    <cellStyle name="Normal 28 80 2 2" xfId="50173"/>
    <cellStyle name="Normal 28 80 3" xfId="36669"/>
    <cellStyle name="Normal 28 81" xfId="9129"/>
    <cellStyle name="Normal 28 81 2" xfId="23293"/>
    <cellStyle name="Normal 28 81 2 2" xfId="50301"/>
    <cellStyle name="Normal 28 81 3" xfId="36797"/>
    <cellStyle name="Normal 28 82" xfId="9271"/>
    <cellStyle name="Normal 28 82 2" xfId="23421"/>
    <cellStyle name="Normal 28 82 2 2" xfId="50429"/>
    <cellStyle name="Normal 28 82 3" xfId="36925"/>
    <cellStyle name="Normal 28 83" xfId="9413"/>
    <cellStyle name="Normal 28 83 2" xfId="23549"/>
    <cellStyle name="Normal 28 83 2 2" xfId="50557"/>
    <cellStyle name="Normal 28 83 3" xfId="37053"/>
    <cellStyle name="Normal 28 84" xfId="9555"/>
    <cellStyle name="Normal 28 84 2" xfId="23677"/>
    <cellStyle name="Normal 28 84 2 2" xfId="50685"/>
    <cellStyle name="Normal 28 84 3" xfId="37181"/>
    <cellStyle name="Normal 28 85" xfId="9697"/>
    <cellStyle name="Normal 28 85 2" xfId="23805"/>
    <cellStyle name="Normal 28 85 2 2" xfId="50813"/>
    <cellStyle name="Normal 28 85 3" xfId="37309"/>
    <cellStyle name="Normal 28 86" xfId="9839"/>
    <cellStyle name="Normal 28 86 2" xfId="23933"/>
    <cellStyle name="Normal 28 86 2 2" xfId="50941"/>
    <cellStyle name="Normal 28 86 3" xfId="37437"/>
    <cellStyle name="Normal 28 87" xfId="9981"/>
    <cellStyle name="Normal 28 87 2" xfId="24061"/>
    <cellStyle name="Normal 28 87 2 2" xfId="51069"/>
    <cellStyle name="Normal 28 87 3" xfId="37565"/>
    <cellStyle name="Normal 28 88" xfId="10123"/>
    <cellStyle name="Normal 28 88 2" xfId="24189"/>
    <cellStyle name="Normal 28 88 2 2" xfId="51197"/>
    <cellStyle name="Normal 28 88 3" xfId="37693"/>
    <cellStyle name="Normal 28 89" xfId="10265"/>
    <cellStyle name="Normal 28 89 2" xfId="24317"/>
    <cellStyle name="Normal 28 89 2 2" xfId="51325"/>
    <cellStyle name="Normal 28 89 3" xfId="37821"/>
    <cellStyle name="Normal 28 9" xfId="1172"/>
    <cellStyle name="Normal 28 9 2" xfId="16344"/>
    <cellStyle name="Normal 28 9 2 2" xfId="43352"/>
    <cellStyle name="Normal 28 9 3" xfId="29848"/>
    <cellStyle name="Normal 28 90" xfId="10407"/>
    <cellStyle name="Normal 28 90 2" xfId="24445"/>
    <cellStyle name="Normal 28 90 2 2" xfId="51453"/>
    <cellStyle name="Normal 28 90 3" xfId="37949"/>
    <cellStyle name="Normal 28 91" xfId="10549"/>
    <cellStyle name="Normal 28 91 2" xfId="24573"/>
    <cellStyle name="Normal 28 91 2 2" xfId="51581"/>
    <cellStyle name="Normal 28 91 3" xfId="38077"/>
    <cellStyle name="Normal 28 92" xfId="10691"/>
    <cellStyle name="Normal 28 92 2" xfId="24701"/>
    <cellStyle name="Normal 28 92 2 2" xfId="51709"/>
    <cellStyle name="Normal 28 92 3" xfId="38205"/>
    <cellStyle name="Normal 28 93" xfId="10833"/>
    <cellStyle name="Normal 28 93 2" xfId="24829"/>
    <cellStyle name="Normal 28 93 2 2" xfId="51837"/>
    <cellStyle name="Normal 28 93 3" xfId="38333"/>
    <cellStyle name="Normal 28 94" xfId="10975"/>
    <cellStyle name="Normal 28 94 2" xfId="24957"/>
    <cellStyle name="Normal 28 94 2 2" xfId="51965"/>
    <cellStyle name="Normal 28 94 3" xfId="38461"/>
    <cellStyle name="Normal 28 95" xfId="11117"/>
    <cellStyle name="Normal 28 95 2" xfId="25085"/>
    <cellStyle name="Normal 28 95 2 2" xfId="52093"/>
    <cellStyle name="Normal 28 95 3" xfId="38589"/>
    <cellStyle name="Normal 28 96" xfId="11259"/>
    <cellStyle name="Normal 28 96 2" xfId="25213"/>
    <cellStyle name="Normal 28 96 2 2" xfId="52221"/>
    <cellStyle name="Normal 28 96 3" xfId="38717"/>
    <cellStyle name="Normal 28 97" xfId="11401"/>
    <cellStyle name="Normal 28 97 2" xfId="25341"/>
    <cellStyle name="Normal 28 97 2 2" xfId="52349"/>
    <cellStyle name="Normal 28 97 3" xfId="38845"/>
    <cellStyle name="Normal 28 98" xfId="11543"/>
    <cellStyle name="Normal 28 98 2" xfId="25469"/>
    <cellStyle name="Normal 28 98 2 2" xfId="52477"/>
    <cellStyle name="Normal 28 98 3" xfId="38973"/>
    <cellStyle name="Normal 28 99" xfId="11685"/>
    <cellStyle name="Normal 28 99 2" xfId="25597"/>
    <cellStyle name="Normal 28 99 2 2" xfId="52605"/>
    <cellStyle name="Normal 28 99 3" xfId="39101"/>
    <cellStyle name="Normal 280" xfId="56329"/>
    <cellStyle name="Normal 281" xfId="56334"/>
    <cellStyle name="Normal 282" xfId="56335"/>
    <cellStyle name="Normal 283" xfId="56338"/>
    <cellStyle name="Normal 284" xfId="56341"/>
    <cellStyle name="Normal 285" xfId="56344"/>
    <cellStyle name="Normal 286" xfId="56347"/>
    <cellStyle name="Normal 287" xfId="56350"/>
    <cellStyle name="Normal 288" xfId="56353"/>
    <cellStyle name="Normal 289" xfId="56356"/>
    <cellStyle name="Normal 29" xfId="174"/>
    <cellStyle name="Normal 29 10" xfId="1279"/>
    <cellStyle name="Normal 29 10 2" xfId="16437"/>
    <cellStyle name="Normal 29 10 2 2" xfId="43445"/>
    <cellStyle name="Normal 29 10 3" xfId="29941"/>
    <cellStyle name="Normal 29 100" xfId="11828"/>
    <cellStyle name="Normal 29 100 2" xfId="25726"/>
    <cellStyle name="Normal 29 100 2 2" xfId="52734"/>
    <cellStyle name="Normal 29 100 3" xfId="39230"/>
    <cellStyle name="Normal 29 101" xfId="11970"/>
    <cellStyle name="Normal 29 101 2" xfId="25854"/>
    <cellStyle name="Normal 29 101 2 2" xfId="52862"/>
    <cellStyle name="Normal 29 101 3" xfId="39358"/>
    <cellStyle name="Normal 29 102" xfId="12112"/>
    <cellStyle name="Normal 29 102 2" xfId="25982"/>
    <cellStyle name="Normal 29 102 2 2" xfId="52990"/>
    <cellStyle name="Normal 29 102 3" xfId="39486"/>
    <cellStyle name="Normal 29 103" xfId="12254"/>
    <cellStyle name="Normal 29 103 2" xfId="26110"/>
    <cellStyle name="Normal 29 103 2 2" xfId="53118"/>
    <cellStyle name="Normal 29 103 3" xfId="39614"/>
    <cellStyle name="Normal 29 104" xfId="12396"/>
    <cellStyle name="Normal 29 104 2" xfId="26238"/>
    <cellStyle name="Normal 29 104 2 2" xfId="53246"/>
    <cellStyle name="Normal 29 104 3" xfId="39742"/>
    <cellStyle name="Normal 29 105" xfId="12538"/>
    <cellStyle name="Normal 29 105 2" xfId="26366"/>
    <cellStyle name="Normal 29 105 2 2" xfId="53374"/>
    <cellStyle name="Normal 29 105 3" xfId="39870"/>
    <cellStyle name="Normal 29 106" xfId="12680"/>
    <cellStyle name="Normal 29 106 2" xfId="26494"/>
    <cellStyle name="Normal 29 106 2 2" xfId="53502"/>
    <cellStyle name="Normal 29 106 3" xfId="39998"/>
    <cellStyle name="Normal 29 107" xfId="12822"/>
    <cellStyle name="Normal 29 107 2" xfId="26622"/>
    <cellStyle name="Normal 29 107 2 2" xfId="53630"/>
    <cellStyle name="Normal 29 107 3" xfId="40126"/>
    <cellStyle name="Normal 29 108" xfId="12964"/>
    <cellStyle name="Normal 29 108 2" xfId="26750"/>
    <cellStyle name="Normal 29 108 2 2" xfId="53758"/>
    <cellStyle name="Normal 29 108 3" xfId="40254"/>
    <cellStyle name="Normal 29 109" xfId="13106"/>
    <cellStyle name="Normal 29 109 2" xfId="26878"/>
    <cellStyle name="Normal 29 109 2 2" xfId="53886"/>
    <cellStyle name="Normal 29 109 3" xfId="40382"/>
    <cellStyle name="Normal 29 11" xfId="1385"/>
    <cellStyle name="Normal 29 11 2" xfId="16529"/>
    <cellStyle name="Normal 29 11 2 2" xfId="43537"/>
    <cellStyle name="Normal 29 11 3" xfId="30033"/>
    <cellStyle name="Normal 29 110" xfId="13248"/>
    <cellStyle name="Normal 29 110 2" xfId="27006"/>
    <cellStyle name="Normal 29 110 2 2" xfId="54014"/>
    <cellStyle name="Normal 29 110 3" xfId="40510"/>
    <cellStyle name="Normal 29 111" xfId="13390"/>
    <cellStyle name="Normal 29 111 2" xfId="27134"/>
    <cellStyle name="Normal 29 111 2 2" xfId="54142"/>
    <cellStyle name="Normal 29 111 3" xfId="40638"/>
    <cellStyle name="Normal 29 112" xfId="13532"/>
    <cellStyle name="Normal 29 112 2" xfId="27262"/>
    <cellStyle name="Normal 29 112 2 2" xfId="54270"/>
    <cellStyle name="Normal 29 112 3" xfId="40766"/>
    <cellStyle name="Normal 29 113" xfId="13674"/>
    <cellStyle name="Normal 29 113 2" xfId="27390"/>
    <cellStyle name="Normal 29 113 2 2" xfId="54398"/>
    <cellStyle name="Normal 29 113 3" xfId="40894"/>
    <cellStyle name="Normal 29 114" xfId="13816"/>
    <cellStyle name="Normal 29 114 2" xfId="27518"/>
    <cellStyle name="Normal 29 114 2 2" xfId="54526"/>
    <cellStyle name="Normal 29 114 3" xfId="41022"/>
    <cellStyle name="Normal 29 115" xfId="13957"/>
    <cellStyle name="Normal 29 115 2" xfId="27645"/>
    <cellStyle name="Normal 29 115 2 2" xfId="54653"/>
    <cellStyle name="Normal 29 115 3" xfId="41149"/>
    <cellStyle name="Normal 29 116" xfId="14098"/>
    <cellStyle name="Normal 29 116 2" xfId="27772"/>
    <cellStyle name="Normal 29 116 2 2" xfId="54780"/>
    <cellStyle name="Normal 29 116 3" xfId="41276"/>
    <cellStyle name="Normal 29 117" xfId="14239"/>
    <cellStyle name="Normal 29 117 2" xfId="27899"/>
    <cellStyle name="Normal 29 117 2 2" xfId="54907"/>
    <cellStyle name="Normal 29 117 3" xfId="41403"/>
    <cellStyle name="Normal 29 118" xfId="14380"/>
    <cellStyle name="Normal 29 118 2" xfId="28026"/>
    <cellStyle name="Normal 29 118 2 2" xfId="55034"/>
    <cellStyle name="Normal 29 118 3" xfId="41530"/>
    <cellStyle name="Normal 29 119" xfId="14520"/>
    <cellStyle name="Normal 29 119 2" xfId="28152"/>
    <cellStyle name="Normal 29 119 2 2" xfId="55160"/>
    <cellStyle name="Normal 29 119 3" xfId="41656"/>
    <cellStyle name="Normal 29 12" xfId="1491"/>
    <cellStyle name="Normal 29 12 2" xfId="16621"/>
    <cellStyle name="Normal 29 12 2 2" xfId="43629"/>
    <cellStyle name="Normal 29 12 3" xfId="30125"/>
    <cellStyle name="Normal 29 120" xfId="14660"/>
    <cellStyle name="Normal 29 120 2" xfId="28278"/>
    <cellStyle name="Normal 29 120 2 2" xfId="55286"/>
    <cellStyle name="Normal 29 120 3" xfId="41782"/>
    <cellStyle name="Normal 29 121" xfId="14799"/>
    <cellStyle name="Normal 29 121 2" xfId="28403"/>
    <cellStyle name="Normal 29 121 2 2" xfId="55411"/>
    <cellStyle name="Normal 29 121 3" xfId="41907"/>
    <cellStyle name="Normal 29 122" xfId="14934"/>
    <cellStyle name="Normal 29 122 2" xfId="28525"/>
    <cellStyle name="Normal 29 122 2 2" xfId="55533"/>
    <cellStyle name="Normal 29 122 3" xfId="42029"/>
    <cellStyle name="Normal 29 123" xfId="15068"/>
    <cellStyle name="Normal 29 123 2" xfId="28646"/>
    <cellStyle name="Normal 29 123 2 2" xfId="55654"/>
    <cellStyle name="Normal 29 123 3" xfId="42150"/>
    <cellStyle name="Normal 29 124" xfId="15195"/>
    <cellStyle name="Normal 29 124 2" xfId="28762"/>
    <cellStyle name="Normal 29 124 2 2" xfId="55770"/>
    <cellStyle name="Normal 29 124 3" xfId="42266"/>
    <cellStyle name="Normal 29 125" xfId="15315"/>
    <cellStyle name="Normal 29 125 2" xfId="28875"/>
    <cellStyle name="Normal 29 125 2 2" xfId="55883"/>
    <cellStyle name="Normal 29 125 3" xfId="42379"/>
    <cellStyle name="Normal 29 126" xfId="15530"/>
    <cellStyle name="Normal 29 126 2" xfId="42538"/>
    <cellStyle name="Normal 29 127" xfId="29034"/>
    <cellStyle name="Normal 29 13" xfId="1597"/>
    <cellStyle name="Normal 29 13 2" xfId="16713"/>
    <cellStyle name="Normal 29 13 2 2" xfId="43721"/>
    <cellStyle name="Normal 29 13 3" xfId="30217"/>
    <cellStyle name="Normal 29 14" xfId="1703"/>
    <cellStyle name="Normal 29 14 2" xfId="16805"/>
    <cellStyle name="Normal 29 14 2 2" xfId="43813"/>
    <cellStyle name="Normal 29 14 3" xfId="30309"/>
    <cellStyle name="Normal 29 15" xfId="1809"/>
    <cellStyle name="Normal 29 15 2" xfId="16897"/>
    <cellStyle name="Normal 29 15 2 2" xfId="43905"/>
    <cellStyle name="Normal 29 15 3" xfId="30401"/>
    <cellStyle name="Normal 29 16" xfId="1915"/>
    <cellStyle name="Normal 29 16 2" xfId="16989"/>
    <cellStyle name="Normal 29 16 2 2" xfId="43997"/>
    <cellStyle name="Normal 29 16 3" xfId="30493"/>
    <cellStyle name="Normal 29 17" xfId="2021"/>
    <cellStyle name="Normal 29 17 2" xfId="17081"/>
    <cellStyle name="Normal 29 17 2 2" xfId="44089"/>
    <cellStyle name="Normal 29 17 3" xfId="30585"/>
    <cellStyle name="Normal 29 18" xfId="2127"/>
    <cellStyle name="Normal 29 18 2" xfId="17173"/>
    <cellStyle name="Normal 29 18 2 2" xfId="44181"/>
    <cellStyle name="Normal 29 18 3" xfId="30677"/>
    <cellStyle name="Normal 29 19" xfId="2233"/>
    <cellStyle name="Normal 29 19 2" xfId="17265"/>
    <cellStyle name="Normal 29 19 2 2" xfId="44273"/>
    <cellStyle name="Normal 29 19 3" xfId="30769"/>
    <cellStyle name="Normal 29 2" xfId="351"/>
    <cellStyle name="Normal 29 2 2" xfId="15653"/>
    <cellStyle name="Normal 29 2 2 2" xfId="42661"/>
    <cellStyle name="Normal 29 2 3" xfId="29157"/>
    <cellStyle name="Normal 29 20" xfId="2339"/>
    <cellStyle name="Normal 29 20 2" xfId="17357"/>
    <cellStyle name="Normal 29 20 2 2" xfId="44365"/>
    <cellStyle name="Normal 29 20 3" xfId="30861"/>
    <cellStyle name="Normal 29 21" xfId="2445"/>
    <cellStyle name="Normal 29 21 2" xfId="17449"/>
    <cellStyle name="Normal 29 21 2 2" xfId="44457"/>
    <cellStyle name="Normal 29 21 3" xfId="30953"/>
    <cellStyle name="Normal 29 22" xfId="2551"/>
    <cellStyle name="Normal 29 22 2" xfId="17541"/>
    <cellStyle name="Normal 29 22 2 2" xfId="44549"/>
    <cellStyle name="Normal 29 22 3" xfId="31045"/>
    <cellStyle name="Normal 29 23" xfId="2657"/>
    <cellStyle name="Normal 29 23 2" xfId="17633"/>
    <cellStyle name="Normal 29 23 2 2" xfId="44641"/>
    <cellStyle name="Normal 29 23 3" xfId="31137"/>
    <cellStyle name="Normal 29 24" xfId="2763"/>
    <cellStyle name="Normal 29 24 2" xfId="17725"/>
    <cellStyle name="Normal 29 24 2 2" xfId="44733"/>
    <cellStyle name="Normal 29 24 3" xfId="31229"/>
    <cellStyle name="Normal 29 25" xfId="2869"/>
    <cellStyle name="Normal 29 25 2" xfId="17817"/>
    <cellStyle name="Normal 29 25 2 2" xfId="44825"/>
    <cellStyle name="Normal 29 25 3" xfId="31321"/>
    <cellStyle name="Normal 29 26" xfId="2975"/>
    <cellStyle name="Normal 29 26 2" xfId="17909"/>
    <cellStyle name="Normal 29 26 2 2" xfId="44917"/>
    <cellStyle name="Normal 29 26 3" xfId="31413"/>
    <cellStyle name="Normal 29 27" xfId="3081"/>
    <cellStyle name="Normal 29 27 2" xfId="18001"/>
    <cellStyle name="Normal 29 27 2 2" xfId="45009"/>
    <cellStyle name="Normal 29 27 3" xfId="31505"/>
    <cellStyle name="Normal 29 28" xfId="3187"/>
    <cellStyle name="Normal 29 28 2" xfId="18093"/>
    <cellStyle name="Normal 29 28 2 2" xfId="45101"/>
    <cellStyle name="Normal 29 28 3" xfId="31597"/>
    <cellStyle name="Normal 29 29" xfId="3293"/>
    <cellStyle name="Normal 29 29 2" xfId="18185"/>
    <cellStyle name="Normal 29 29 2 2" xfId="45193"/>
    <cellStyle name="Normal 29 29 3" xfId="31689"/>
    <cellStyle name="Normal 29 3" xfId="538"/>
    <cellStyle name="Normal 29 3 2" xfId="15794"/>
    <cellStyle name="Normal 29 3 2 2" xfId="42802"/>
    <cellStyle name="Normal 29 3 3" xfId="29298"/>
    <cellStyle name="Normal 29 30" xfId="3399"/>
    <cellStyle name="Normal 29 30 2" xfId="18277"/>
    <cellStyle name="Normal 29 30 2 2" xfId="45285"/>
    <cellStyle name="Normal 29 30 3" xfId="31781"/>
    <cellStyle name="Normal 29 31" xfId="3505"/>
    <cellStyle name="Normal 29 31 2" xfId="18369"/>
    <cellStyle name="Normal 29 31 2 2" xfId="45377"/>
    <cellStyle name="Normal 29 31 3" xfId="31873"/>
    <cellStyle name="Normal 29 32" xfId="3611"/>
    <cellStyle name="Normal 29 32 2" xfId="18461"/>
    <cellStyle name="Normal 29 32 2 2" xfId="45469"/>
    <cellStyle name="Normal 29 32 3" xfId="31965"/>
    <cellStyle name="Normal 29 33" xfId="3717"/>
    <cellStyle name="Normal 29 33 2" xfId="18553"/>
    <cellStyle name="Normal 29 33 2 2" xfId="45561"/>
    <cellStyle name="Normal 29 33 3" xfId="32057"/>
    <cellStyle name="Normal 29 34" xfId="3823"/>
    <cellStyle name="Normal 29 34 2" xfId="18645"/>
    <cellStyle name="Normal 29 34 2 2" xfId="45653"/>
    <cellStyle name="Normal 29 34 3" xfId="32149"/>
    <cellStyle name="Normal 29 35" xfId="3929"/>
    <cellStyle name="Normal 29 35 2" xfId="18737"/>
    <cellStyle name="Normal 29 35 2 2" xfId="45745"/>
    <cellStyle name="Normal 29 35 3" xfId="32241"/>
    <cellStyle name="Normal 29 36" xfId="4035"/>
    <cellStyle name="Normal 29 36 2" xfId="18829"/>
    <cellStyle name="Normal 29 36 2 2" xfId="45837"/>
    <cellStyle name="Normal 29 36 3" xfId="32333"/>
    <cellStyle name="Normal 29 37" xfId="4141"/>
    <cellStyle name="Normal 29 37 2" xfId="18921"/>
    <cellStyle name="Normal 29 37 2 2" xfId="45929"/>
    <cellStyle name="Normal 29 37 3" xfId="32425"/>
    <cellStyle name="Normal 29 38" xfId="4247"/>
    <cellStyle name="Normal 29 38 2" xfId="19013"/>
    <cellStyle name="Normal 29 38 2 2" xfId="46021"/>
    <cellStyle name="Normal 29 38 3" xfId="32517"/>
    <cellStyle name="Normal 29 39" xfId="4353"/>
    <cellStyle name="Normal 29 39 2" xfId="19105"/>
    <cellStyle name="Normal 29 39 2 2" xfId="46113"/>
    <cellStyle name="Normal 29 39 3" xfId="32609"/>
    <cellStyle name="Normal 29 4" xfId="643"/>
    <cellStyle name="Normal 29 4 2" xfId="15885"/>
    <cellStyle name="Normal 29 4 2 2" xfId="42893"/>
    <cellStyle name="Normal 29 4 3" xfId="29389"/>
    <cellStyle name="Normal 29 40" xfId="4459"/>
    <cellStyle name="Normal 29 40 2" xfId="19197"/>
    <cellStyle name="Normal 29 40 2 2" xfId="46205"/>
    <cellStyle name="Normal 29 40 3" xfId="32701"/>
    <cellStyle name="Normal 29 41" xfId="4565"/>
    <cellStyle name="Normal 29 41 2" xfId="19289"/>
    <cellStyle name="Normal 29 41 2 2" xfId="46297"/>
    <cellStyle name="Normal 29 41 3" xfId="32793"/>
    <cellStyle name="Normal 29 42" xfId="4671"/>
    <cellStyle name="Normal 29 42 2" xfId="19381"/>
    <cellStyle name="Normal 29 42 2 2" xfId="46389"/>
    <cellStyle name="Normal 29 42 3" xfId="32885"/>
    <cellStyle name="Normal 29 43" xfId="4777"/>
    <cellStyle name="Normal 29 43 2" xfId="19473"/>
    <cellStyle name="Normal 29 43 2 2" xfId="46481"/>
    <cellStyle name="Normal 29 43 3" xfId="32977"/>
    <cellStyle name="Normal 29 44" xfId="4883"/>
    <cellStyle name="Normal 29 44 2" xfId="19565"/>
    <cellStyle name="Normal 29 44 2 2" xfId="46573"/>
    <cellStyle name="Normal 29 44 3" xfId="33069"/>
    <cellStyle name="Normal 29 45" xfId="4989"/>
    <cellStyle name="Normal 29 45 2" xfId="19657"/>
    <cellStyle name="Normal 29 45 2 2" xfId="46665"/>
    <cellStyle name="Normal 29 45 3" xfId="33161"/>
    <cellStyle name="Normal 29 46" xfId="5095"/>
    <cellStyle name="Normal 29 46 2" xfId="19749"/>
    <cellStyle name="Normal 29 46 2 2" xfId="46757"/>
    <cellStyle name="Normal 29 46 3" xfId="33253"/>
    <cellStyle name="Normal 29 47" xfId="5201"/>
    <cellStyle name="Normal 29 47 2" xfId="19841"/>
    <cellStyle name="Normal 29 47 2 2" xfId="46849"/>
    <cellStyle name="Normal 29 47 3" xfId="33345"/>
    <cellStyle name="Normal 29 48" xfId="5307"/>
    <cellStyle name="Normal 29 48 2" xfId="19933"/>
    <cellStyle name="Normal 29 48 2 2" xfId="46941"/>
    <cellStyle name="Normal 29 48 3" xfId="33437"/>
    <cellStyle name="Normal 29 49" xfId="5413"/>
    <cellStyle name="Normal 29 49 2" xfId="20025"/>
    <cellStyle name="Normal 29 49 2 2" xfId="47033"/>
    <cellStyle name="Normal 29 49 3" xfId="33529"/>
    <cellStyle name="Normal 29 5" xfId="749"/>
    <cellStyle name="Normal 29 5 2" xfId="15977"/>
    <cellStyle name="Normal 29 5 2 2" xfId="42985"/>
    <cellStyle name="Normal 29 5 3" xfId="29481"/>
    <cellStyle name="Normal 29 50" xfId="5519"/>
    <cellStyle name="Normal 29 50 2" xfId="20117"/>
    <cellStyle name="Normal 29 50 2 2" xfId="47125"/>
    <cellStyle name="Normal 29 50 3" xfId="33621"/>
    <cellStyle name="Normal 29 51" xfId="5625"/>
    <cellStyle name="Normal 29 51 2" xfId="20209"/>
    <cellStyle name="Normal 29 51 2 2" xfId="47217"/>
    <cellStyle name="Normal 29 51 3" xfId="33713"/>
    <cellStyle name="Normal 29 52" xfId="5731"/>
    <cellStyle name="Normal 29 52 2" xfId="20301"/>
    <cellStyle name="Normal 29 52 2 2" xfId="47309"/>
    <cellStyle name="Normal 29 52 3" xfId="33805"/>
    <cellStyle name="Normal 29 53" xfId="5837"/>
    <cellStyle name="Normal 29 53 2" xfId="20393"/>
    <cellStyle name="Normal 29 53 2 2" xfId="47401"/>
    <cellStyle name="Normal 29 53 3" xfId="33897"/>
    <cellStyle name="Normal 29 54" xfId="5943"/>
    <cellStyle name="Normal 29 54 2" xfId="20485"/>
    <cellStyle name="Normal 29 54 2 2" xfId="47493"/>
    <cellStyle name="Normal 29 54 3" xfId="33989"/>
    <cellStyle name="Normal 29 55" xfId="6049"/>
    <cellStyle name="Normal 29 55 2" xfId="20577"/>
    <cellStyle name="Normal 29 55 2 2" xfId="47585"/>
    <cellStyle name="Normal 29 55 3" xfId="34081"/>
    <cellStyle name="Normal 29 56" xfId="6155"/>
    <cellStyle name="Normal 29 56 2" xfId="20669"/>
    <cellStyle name="Normal 29 56 2 2" xfId="47677"/>
    <cellStyle name="Normal 29 56 3" xfId="34173"/>
    <cellStyle name="Normal 29 57" xfId="6261"/>
    <cellStyle name="Normal 29 57 2" xfId="20761"/>
    <cellStyle name="Normal 29 57 2 2" xfId="47769"/>
    <cellStyle name="Normal 29 57 3" xfId="34265"/>
    <cellStyle name="Normal 29 58" xfId="6367"/>
    <cellStyle name="Normal 29 58 2" xfId="20853"/>
    <cellStyle name="Normal 29 58 2 2" xfId="47861"/>
    <cellStyle name="Normal 29 58 3" xfId="34357"/>
    <cellStyle name="Normal 29 59" xfId="6473"/>
    <cellStyle name="Normal 29 59 2" xfId="20945"/>
    <cellStyle name="Normal 29 59 2 2" xfId="47953"/>
    <cellStyle name="Normal 29 59 3" xfId="34449"/>
    <cellStyle name="Normal 29 6" xfId="855"/>
    <cellStyle name="Normal 29 6 2" xfId="16069"/>
    <cellStyle name="Normal 29 6 2 2" xfId="43077"/>
    <cellStyle name="Normal 29 6 3" xfId="29573"/>
    <cellStyle name="Normal 29 60" xfId="6579"/>
    <cellStyle name="Normal 29 60 2" xfId="21037"/>
    <cellStyle name="Normal 29 60 2 2" xfId="48045"/>
    <cellStyle name="Normal 29 60 3" xfId="34541"/>
    <cellStyle name="Normal 29 61" xfId="6684"/>
    <cellStyle name="Normal 29 61 2" xfId="21128"/>
    <cellStyle name="Normal 29 61 2 2" xfId="48136"/>
    <cellStyle name="Normal 29 61 3" xfId="34632"/>
    <cellStyle name="Normal 29 62" xfId="6789"/>
    <cellStyle name="Normal 29 62 2" xfId="21219"/>
    <cellStyle name="Normal 29 62 2 2" xfId="48227"/>
    <cellStyle name="Normal 29 62 3" xfId="34723"/>
    <cellStyle name="Normal 29 63" xfId="6894"/>
    <cellStyle name="Normal 29 63 2" xfId="21310"/>
    <cellStyle name="Normal 29 63 2 2" xfId="48318"/>
    <cellStyle name="Normal 29 63 3" xfId="34814"/>
    <cellStyle name="Normal 29 64" xfId="6999"/>
    <cellStyle name="Normal 29 64 2" xfId="21401"/>
    <cellStyle name="Normal 29 64 2 2" xfId="48409"/>
    <cellStyle name="Normal 29 64 3" xfId="34905"/>
    <cellStyle name="Normal 29 65" xfId="7103"/>
    <cellStyle name="Normal 29 65 2" xfId="21491"/>
    <cellStyle name="Normal 29 65 2 2" xfId="48499"/>
    <cellStyle name="Normal 29 65 3" xfId="34995"/>
    <cellStyle name="Normal 29 66" xfId="7207"/>
    <cellStyle name="Normal 29 66 2" xfId="21581"/>
    <cellStyle name="Normal 29 66 2 2" xfId="48589"/>
    <cellStyle name="Normal 29 66 3" xfId="35085"/>
    <cellStyle name="Normal 29 67" xfId="7310"/>
    <cellStyle name="Normal 29 67 2" xfId="21670"/>
    <cellStyle name="Normal 29 67 2 2" xfId="48678"/>
    <cellStyle name="Normal 29 67 3" xfId="35174"/>
    <cellStyle name="Normal 29 68" xfId="7410"/>
    <cellStyle name="Normal 29 68 2" xfId="21757"/>
    <cellStyle name="Normal 29 68 2 2" xfId="48765"/>
    <cellStyle name="Normal 29 68 3" xfId="35261"/>
    <cellStyle name="Normal 29 69" xfId="7508"/>
    <cellStyle name="Normal 29 69 2" xfId="21842"/>
    <cellStyle name="Normal 29 69 2 2" xfId="48850"/>
    <cellStyle name="Normal 29 69 3" xfId="35346"/>
    <cellStyle name="Normal 29 7" xfId="961"/>
    <cellStyle name="Normal 29 7 2" xfId="16161"/>
    <cellStyle name="Normal 29 7 2 2" xfId="43169"/>
    <cellStyle name="Normal 29 7 3" xfId="29665"/>
    <cellStyle name="Normal 29 70" xfId="7597"/>
    <cellStyle name="Normal 29 70 2" xfId="21920"/>
    <cellStyle name="Normal 29 70 2 2" xfId="48928"/>
    <cellStyle name="Normal 29 70 3" xfId="35424"/>
    <cellStyle name="Normal 29 71" xfId="7673"/>
    <cellStyle name="Normal 29 71 2" xfId="21989"/>
    <cellStyle name="Normal 29 71 2 2" xfId="48997"/>
    <cellStyle name="Normal 29 71 3" xfId="35493"/>
    <cellStyle name="Normal 29 72" xfId="7852"/>
    <cellStyle name="Normal 29 72 2" xfId="22142"/>
    <cellStyle name="Normal 29 72 2 2" xfId="49150"/>
    <cellStyle name="Normal 29 72 3" xfId="35646"/>
    <cellStyle name="Normal 29 73" xfId="7994"/>
    <cellStyle name="Normal 29 73 2" xfId="22270"/>
    <cellStyle name="Normal 29 73 2 2" xfId="49278"/>
    <cellStyle name="Normal 29 73 3" xfId="35774"/>
    <cellStyle name="Normal 29 74" xfId="8136"/>
    <cellStyle name="Normal 29 74 2" xfId="22398"/>
    <cellStyle name="Normal 29 74 2 2" xfId="49406"/>
    <cellStyle name="Normal 29 74 3" xfId="35902"/>
    <cellStyle name="Normal 29 75" xfId="8278"/>
    <cellStyle name="Normal 29 75 2" xfId="22526"/>
    <cellStyle name="Normal 29 75 2 2" xfId="49534"/>
    <cellStyle name="Normal 29 75 3" xfId="36030"/>
    <cellStyle name="Normal 29 76" xfId="8420"/>
    <cellStyle name="Normal 29 76 2" xfId="22654"/>
    <cellStyle name="Normal 29 76 2 2" xfId="49662"/>
    <cellStyle name="Normal 29 76 3" xfId="36158"/>
    <cellStyle name="Normal 29 77" xfId="8562"/>
    <cellStyle name="Normal 29 77 2" xfId="22782"/>
    <cellStyle name="Normal 29 77 2 2" xfId="49790"/>
    <cellStyle name="Normal 29 77 3" xfId="36286"/>
    <cellStyle name="Normal 29 78" xfId="8704"/>
    <cellStyle name="Normal 29 78 2" xfId="22910"/>
    <cellStyle name="Normal 29 78 2 2" xfId="49918"/>
    <cellStyle name="Normal 29 78 3" xfId="36414"/>
    <cellStyle name="Normal 29 79" xfId="8846"/>
    <cellStyle name="Normal 29 79 2" xfId="23038"/>
    <cellStyle name="Normal 29 79 2 2" xfId="50046"/>
    <cellStyle name="Normal 29 79 3" xfId="36542"/>
    <cellStyle name="Normal 29 8" xfId="1067"/>
    <cellStyle name="Normal 29 8 2" xfId="16253"/>
    <cellStyle name="Normal 29 8 2 2" xfId="43261"/>
    <cellStyle name="Normal 29 8 3" xfId="29757"/>
    <cellStyle name="Normal 29 80" xfId="8988"/>
    <cellStyle name="Normal 29 80 2" xfId="23166"/>
    <cellStyle name="Normal 29 80 2 2" xfId="50174"/>
    <cellStyle name="Normal 29 80 3" xfId="36670"/>
    <cellStyle name="Normal 29 81" xfId="9130"/>
    <cellStyle name="Normal 29 81 2" xfId="23294"/>
    <cellStyle name="Normal 29 81 2 2" xfId="50302"/>
    <cellStyle name="Normal 29 81 3" xfId="36798"/>
    <cellStyle name="Normal 29 82" xfId="9272"/>
    <cellStyle name="Normal 29 82 2" xfId="23422"/>
    <cellStyle name="Normal 29 82 2 2" xfId="50430"/>
    <cellStyle name="Normal 29 82 3" xfId="36926"/>
    <cellStyle name="Normal 29 83" xfId="9414"/>
    <cellStyle name="Normal 29 83 2" xfId="23550"/>
    <cellStyle name="Normal 29 83 2 2" xfId="50558"/>
    <cellStyle name="Normal 29 83 3" xfId="37054"/>
    <cellStyle name="Normal 29 84" xfId="9556"/>
    <cellStyle name="Normal 29 84 2" xfId="23678"/>
    <cellStyle name="Normal 29 84 2 2" xfId="50686"/>
    <cellStyle name="Normal 29 84 3" xfId="37182"/>
    <cellStyle name="Normal 29 85" xfId="9698"/>
    <cellStyle name="Normal 29 85 2" xfId="23806"/>
    <cellStyle name="Normal 29 85 2 2" xfId="50814"/>
    <cellStyle name="Normal 29 85 3" xfId="37310"/>
    <cellStyle name="Normal 29 86" xfId="9840"/>
    <cellStyle name="Normal 29 86 2" xfId="23934"/>
    <cellStyle name="Normal 29 86 2 2" xfId="50942"/>
    <cellStyle name="Normal 29 86 3" xfId="37438"/>
    <cellStyle name="Normal 29 87" xfId="9982"/>
    <cellStyle name="Normal 29 87 2" xfId="24062"/>
    <cellStyle name="Normal 29 87 2 2" xfId="51070"/>
    <cellStyle name="Normal 29 87 3" xfId="37566"/>
    <cellStyle name="Normal 29 88" xfId="10124"/>
    <cellStyle name="Normal 29 88 2" xfId="24190"/>
    <cellStyle name="Normal 29 88 2 2" xfId="51198"/>
    <cellStyle name="Normal 29 88 3" xfId="37694"/>
    <cellStyle name="Normal 29 89" xfId="10266"/>
    <cellStyle name="Normal 29 89 2" xfId="24318"/>
    <cellStyle name="Normal 29 89 2 2" xfId="51326"/>
    <cellStyle name="Normal 29 89 3" xfId="37822"/>
    <cellStyle name="Normal 29 9" xfId="1173"/>
    <cellStyle name="Normal 29 9 2" xfId="16345"/>
    <cellStyle name="Normal 29 9 2 2" xfId="43353"/>
    <cellStyle name="Normal 29 9 3" xfId="29849"/>
    <cellStyle name="Normal 29 90" xfId="10408"/>
    <cellStyle name="Normal 29 90 2" xfId="24446"/>
    <cellStyle name="Normal 29 90 2 2" xfId="51454"/>
    <cellStyle name="Normal 29 90 3" xfId="37950"/>
    <cellStyle name="Normal 29 91" xfId="10550"/>
    <cellStyle name="Normal 29 91 2" xfId="24574"/>
    <cellStyle name="Normal 29 91 2 2" xfId="51582"/>
    <cellStyle name="Normal 29 91 3" xfId="38078"/>
    <cellStyle name="Normal 29 92" xfId="10692"/>
    <cellStyle name="Normal 29 92 2" xfId="24702"/>
    <cellStyle name="Normal 29 92 2 2" xfId="51710"/>
    <cellStyle name="Normal 29 92 3" xfId="38206"/>
    <cellStyle name="Normal 29 93" xfId="10834"/>
    <cellStyle name="Normal 29 93 2" xfId="24830"/>
    <cellStyle name="Normal 29 93 2 2" xfId="51838"/>
    <cellStyle name="Normal 29 93 3" xfId="38334"/>
    <cellStyle name="Normal 29 94" xfId="10976"/>
    <cellStyle name="Normal 29 94 2" xfId="24958"/>
    <cellStyle name="Normal 29 94 2 2" xfId="51966"/>
    <cellStyle name="Normal 29 94 3" xfId="38462"/>
    <cellStyle name="Normal 29 95" xfId="11118"/>
    <cellStyle name="Normal 29 95 2" xfId="25086"/>
    <cellStyle name="Normal 29 95 2 2" xfId="52094"/>
    <cellStyle name="Normal 29 95 3" xfId="38590"/>
    <cellStyle name="Normal 29 96" xfId="11260"/>
    <cellStyle name="Normal 29 96 2" xfId="25214"/>
    <cellStyle name="Normal 29 96 2 2" xfId="52222"/>
    <cellStyle name="Normal 29 96 3" xfId="38718"/>
    <cellStyle name="Normal 29 97" xfId="11402"/>
    <cellStyle name="Normal 29 97 2" xfId="25342"/>
    <cellStyle name="Normal 29 97 2 2" xfId="52350"/>
    <cellStyle name="Normal 29 97 3" xfId="38846"/>
    <cellStyle name="Normal 29 98" xfId="11544"/>
    <cellStyle name="Normal 29 98 2" xfId="25470"/>
    <cellStyle name="Normal 29 98 2 2" xfId="52478"/>
    <cellStyle name="Normal 29 98 3" xfId="38974"/>
    <cellStyle name="Normal 29 99" xfId="11686"/>
    <cellStyle name="Normal 29 99 2" xfId="25598"/>
    <cellStyle name="Normal 29 99 2 2" xfId="52606"/>
    <cellStyle name="Normal 29 99 3" xfId="39102"/>
    <cellStyle name="Normal 290" xfId="56359"/>
    <cellStyle name="Normal 291" xfId="56362"/>
    <cellStyle name="Normal 292" xfId="56365"/>
    <cellStyle name="Normal 293" xfId="56368"/>
    <cellStyle name="Normal 294" xfId="56371"/>
    <cellStyle name="Normal 295" xfId="56374"/>
    <cellStyle name="Normal 296" xfId="56377"/>
    <cellStyle name="Normal 297" xfId="56380"/>
    <cellStyle name="Normal 298" xfId="56383"/>
    <cellStyle name="Normal 299" xfId="56386"/>
    <cellStyle name="Normal 3" xfId="110"/>
    <cellStyle name="Normal 30" xfId="175"/>
    <cellStyle name="Normal 30 10" xfId="1280"/>
    <cellStyle name="Normal 30 10 2" xfId="16438"/>
    <cellStyle name="Normal 30 10 2 2" xfId="43446"/>
    <cellStyle name="Normal 30 10 3" xfId="29942"/>
    <cellStyle name="Normal 30 100" xfId="11829"/>
    <cellStyle name="Normal 30 100 2" xfId="25727"/>
    <cellStyle name="Normal 30 100 2 2" xfId="52735"/>
    <cellStyle name="Normal 30 100 3" xfId="39231"/>
    <cellStyle name="Normal 30 101" xfId="11971"/>
    <cellStyle name="Normal 30 101 2" xfId="25855"/>
    <cellStyle name="Normal 30 101 2 2" xfId="52863"/>
    <cellStyle name="Normal 30 101 3" xfId="39359"/>
    <cellStyle name="Normal 30 102" xfId="12113"/>
    <cellStyle name="Normal 30 102 2" xfId="25983"/>
    <cellStyle name="Normal 30 102 2 2" xfId="52991"/>
    <cellStyle name="Normal 30 102 3" xfId="39487"/>
    <cellStyle name="Normal 30 103" xfId="12255"/>
    <cellStyle name="Normal 30 103 2" xfId="26111"/>
    <cellStyle name="Normal 30 103 2 2" xfId="53119"/>
    <cellStyle name="Normal 30 103 3" xfId="39615"/>
    <cellStyle name="Normal 30 104" xfId="12397"/>
    <cellStyle name="Normal 30 104 2" xfId="26239"/>
    <cellStyle name="Normal 30 104 2 2" xfId="53247"/>
    <cellStyle name="Normal 30 104 3" xfId="39743"/>
    <cellStyle name="Normal 30 105" xfId="12539"/>
    <cellStyle name="Normal 30 105 2" xfId="26367"/>
    <cellStyle name="Normal 30 105 2 2" xfId="53375"/>
    <cellStyle name="Normal 30 105 3" xfId="39871"/>
    <cellStyle name="Normal 30 106" xfId="12681"/>
    <cellStyle name="Normal 30 106 2" xfId="26495"/>
    <cellStyle name="Normal 30 106 2 2" xfId="53503"/>
    <cellStyle name="Normal 30 106 3" xfId="39999"/>
    <cellStyle name="Normal 30 107" xfId="12823"/>
    <cellStyle name="Normal 30 107 2" xfId="26623"/>
    <cellStyle name="Normal 30 107 2 2" xfId="53631"/>
    <cellStyle name="Normal 30 107 3" xfId="40127"/>
    <cellStyle name="Normal 30 108" xfId="12965"/>
    <cellStyle name="Normal 30 108 2" xfId="26751"/>
    <cellStyle name="Normal 30 108 2 2" xfId="53759"/>
    <cellStyle name="Normal 30 108 3" xfId="40255"/>
    <cellStyle name="Normal 30 109" xfId="13107"/>
    <cellStyle name="Normal 30 109 2" xfId="26879"/>
    <cellStyle name="Normal 30 109 2 2" xfId="53887"/>
    <cellStyle name="Normal 30 109 3" xfId="40383"/>
    <cellStyle name="Normal 30 11" xfId="1386"/>
    <cellStyle name="Normal 30 11 2" xfId="16530"/>
    <cellStyle name="Normal 30 11 2 2" xfId="43538"/>
    <cellStyle name="Normal 30 11 3" xfId="30034"/>
    <cellStyle name="Normal 30 110" xfId="13249"/>
    <cellStyle name="Normal 30 110 2" xfId="27007"/>
    <cellStyle name="Normal 30 110 2 2" xfId="54015"/>
    <cellStyle name="Normal 30 110 3" xfId="40511"/>
    <cellStyle name="Normal 30 111" xfId="13391"/>
    <cellStyle name="Normal 30 111 2" xfId="27135"/>
    <cellStyle name="Normal 30 111 2 2" xfId="54143"/>
    <cellStyle name="Normal 30 111 3" xfId="40639"/>
    <cellStyle name="Normal 30 112" xfId="13533"/>
    <cellStyle name="Normal 30 112 2" xfId="27263"/>
    <cellStyle name="Normal 30 112 2 2" xfId="54271"/>
    <cellStyle name="Normal 30 112 3" xfId="40767"/>
    <cellStyle name="Normal 30 113" xfId="13675"/>
    <cellStyle name="Normal 30 113 2" xfId="27391"/>
    <cellStyle name="Normal 30 113 2 2" xfId="54399"/>
    <cellStyle name="Normal 30 113 3" xfId="40895"/>
    <cellStyle name="Normal 30 114" xfId="13817"/>
    <cellStyle name="Normal 30 114 2" xfId="27519"/>
    <cellStyle name="Normal 30 114 2 2" xfId="54527"/>
    <cellStyle name="Normal 30 114 3" xfId="41023"/>
    <cellStyle name="Normal 30 115" xfId="13958"/>
    <cellStyle name="Normal 30 115 2" xfId="27646"/>
    <cellStyle name="Normal 30 115 2 2" xfId="54654"/>
    <cellStyle name="Normal 30 115 3" xfId="41150"/>
    <cellStyle name="Normal 30 116" xfId="14099"/>
    <cellStyle name="Normal 30 116 2" xfId="27773"/>
    <cellStyle name="Normal 30 116 2 2" xfId="54781"/>
    <cellStyle name="Normal 30 116 3" xfId="41277"/>
    <cellStyle name="Normal 30 117" xfId="14240"/>
    <cellStyle name="Normal 30 117 2" xfId="27900"/>
    <cellStyle name="Normal 30 117 2 2" xfId="54908"/>
    <cellStyle name="Normal 30 117 3" xfId="41404"/>
    <cellStyle name="Normal 30 118" xfId="14381"/>
    <cellStyle name="Normal 30 118 2" xfId="28027"/>
    <cellStyle name="Normal 30 118 2 2" xfId="55035"/>
    <cellStyle name="Normal 30 118 3" xfId="41531"/>
    <cellStyle name="Normal 30 119" xfId="14521"/>
    <cellStyle name="Normal 30 119 2" xfId="28153"/>
    <cellStyle name="Normal 30 119 2 2" xfId="55161"/>
    <cellStyle name="Normal 30 119 3" xfId="41657"/>
    <cellStyle name="Normal 30 12" xfId="1492"/>
    <cellStyle name="Normal 30 12 2" xfId="16622"/>
    <cellStyle name="Normal 30 12 2 2" xfId="43630"/>
    <cellStyle name="Normal 30 12 3" xfId="30126"/>
    <cellStyle name="Normal 30 120" xfId="14661"/>
    <cellStyle name="Normal 30 120 2" xfId="28279"/>
    <cellStyle name="Normal 30 120 2 2" xfId="55287"/>
    <cellStyle name="Normal 30 120 3" xfId="41783"/>
    <cellStyle name="Normal 30 121" xfId="14800"/>
    <cellStyle name="Normal 30 121 2" xfId="28404"/>
    <cellStyle name="Normal 30 121 2 2" xfId="55412"/>
    <cellStyle name="Normal 30 121 3" xfId="41908"/>
    <cellStyle name="Normal 30 122" xfId="14935"/>
    <cellStyle name="Normal 30 122 2" xfId="28526"/>
    <cellStyle name="Normal 30 122 2 2" xfId="55534"/>
    <cellStyle name="Normal 30 122 3" xfId="42030"/>
    <cellStyle name="Normal 30 123" xfId="15069"/>
    <cellStyle name="Normal 30 123 2" xfId="28647"/>
    <cellStyle name="Normal 30 123 2 2" xfId="55655"/>
    <cellStyle name="Normal 30 123 3" xfId="42151"/>
    <cellStyle name="Normal 30 124" xfId="15196"/>
    <cellStyle name="Normal 30 124 2" xfId="28763"/>
    <cellStyle name="Normal 30 124 2 2" xfId="55771"/>
    <cellStyle name="Normal 30 124 3" xfId="42267"/>
    <cellStyle name="Normal 30 125" xfId="15316"/>
    <cellStyle name="Normal 30 125 2" xfId="28876"/>
    <cellStyle name="Normal 30 125 2 2" xfId="55884"/>
    <cellStyle name="Normal 30 125 3" xfId="42380"/>
    <cellStyle name="Normal 30 126" xfId="15531"/>
    <cellStyle name="Normal 30 126 2" xfId="42539"/>
    <cellStyle name="Normal 30 127" xfId="29035"/>
    <cellStyle name="Normal 30 13" xfId="1598"/>
    <cellStyle name="Normal 30 13 2" xfId="16714"/>
    <cellStyle name="Normal 30 13 2 2" xfId="43722"/>
    <cellStyle name="Normal 30 13 3" xfId="30218"/>
    <cellStyle name="Normal 30 14" xfId="1704"/>
    <cellStyle name="Normal 30 14 2" xfId="16806"/>
    <cellStyle name="Normal 30 14 2 2" xfId="43814"/>
    <cellStyle name="Normal 30 14 3" xfId="30310"/>
    <cellStyle name="Normal 30 15" xfId="1810"/>
    <cellStyle name="Normal 30 15 2" xfId="16898"/>
    <cellStyle name="Normal 30 15 2 2" xfId="43906"/>
    <cellStyle name="Normal 30 15 3" xfId="30402"/>
    <cellStyle name="Normal 30 16" xfId="1916"/>
    <cellStyle name="Normal 30 16 2" xfId="16990"/>
    <cellStyle name="Normal 30 16 2 2" xfId="43998"/>
    <cellStyle name="Normal 30 16 3" xfId="30494"/>
    <cellStyle name="Normal 30 17" xfId="2022"/>
    <cellStyle name="Normal 30 17 2" xfId="17082"/>
    <cellStyle name="Normal 30 17 2 2" xfId="44090"/>
    <cellStyle name="Normal 30 17 3" xfId="30586"/>
    <cellStyle name="Normal 30 18" xfId="2128"/>
    <cellStyle name="Normal 30 18 2" xfId="17174"/>
    <cellStyle name="Normal 30 18 2 2" xfId="44182"/>
    <cellStyle name="Normal 30 18 3" xfId="30678"/>
    <cellStyle name="Normal 30 19" xfId="2234"/>
    <cellStyle name="Normal 30 19 2" xfId="17266"/>
    <cellStyle name="Normal 30 19 2 2" xfId="44274"/>
    <cellStyle name="Normal 30 19 3" xfId="30770"/>
    <cellStyle name="Normal 30 2" xfId="352"/>
    <cellStyle name="Normal 30 2 2" xfId="15654"/>
    <cellStyle name="Normal 30 2 2 2" xfId="42662"/>
    <cellStyle name="Normal 30 2 3" xfId="29158"/>
    <cellStyle name="Normal 30 20" xfId="2340"/>
    <cellStyle name="Normal 30 20 2" xfId="17358"/>
    <cellStyle name="Normal 30 20 2 2" xfId="44366"/>
    <cellStyle name="Normal 30 20 3" xfId="30862"/>
    <cellStyle name="Normal 30 21" xfId="2446"/>
    <cellStyle name="Normal 30 21 2" xfId="17450"/>
    <cellStyle name="Normal 30 21 2 2" xfId="44458"/>
    <cellStyle name="Normal 30 21 3" xfId="30954"/>
    <cellStyle name="Normal 30 22" xfId="2552"/>
    <cellStyle name="Normal 30 22 2" xfId="17542"/>
    <cellStyle name="Normal 30 22 2 2" xfId="44550"/>
    <cellStyle name="Normal 30 22 3" xfId="31046"/>
    <cellStyle name="Normal 30 23" xfId="2658"/>
    <cellStyle name="Normal 30 23 2" xfId="17634"/>
    <cellStyle name="Normal 30 23 2 2" xfId="44642"/>
    <cellStyle name="Normal 30 23 3" xfId="31138"/>
    <cellStyle name="Normal 30 24" xfId="2764"/>
    <cellStyle name="Normal 30 24 2" xfId="17726"/>
    <cellStyle name="Normal 30 24 2 2" xfId="44734"/>
    <cellStyle name="Normal 30 24 3" xfId="31230"/>
    <cellStyle name="Normal 30 25" xfId="2870"/>
    <cellStyle name="Normal 30 25 2" xfId="17818"/>
    <cellStyle name="Normal 30 25 2 2" xfId="44826"/>
    <cellStyle name="Normal 30 25 3" xfId="31322"/>
    <cellStyle name="Normal 30 26" xfId="2976"/>
    <cellStyle name="Normal 30 26 2" xfId="17910"/>
    <cellStyle name="Normal 30 26 2 2" xfId="44918"/>
    <cellStyle name="Normal 30 26 3" xfId="31414"/>
    <cellStyle name="Normal 30 27" xfId="3082"/>
    <cellStyle name="Normal 30 27 2" xfId="18002"/>
    <cellStyle name="Normal 30 27 2 2" xfId="45010"/>
    <cellStyle name="Normal 30 27 3" xfId="31506"/>
    <cellStyle name="Normal 30 28" xfId="3188"/>
    <cellStyle name="Normal 30 28 2" xfId="18094"/>
    <cellStyle name="Normal 30 28 2 2" xfId="45102"/>
    <cellStyle name="Normal 30 28 3" xfId="31598"/>
    <cellStyle name="Normal 30 29" xfId="3294"/>
    <cellStyle name="Normal 30 29 2" xfId="18186"/>
    <cellStyle name="Normal 30 29 2 2" xfId="45194"/>
    <cellStyle name="Normal 30 29 3" xfId="31690"/>
    <cellStyle name="Normal 30 3" xfId="539"/>
    <cellStyle name="Normal 30 3 2" xfId="15795"/>
    <cellStyle name="Normal 30 3 2 2" xfId="42803"/>
    <cellStyle name="Normal 30 3 3" xfId="29299"/>
    <cellStyle name="Normal 30 30" xfId="3400"/>
    <cellStyle name="Normal 30 30 2" xfId="18278"/>
    <cellStyle name="Normal 30 30 2 2" xfId="45286"/>
    <cellStyle name="Normal 30 30 3" xfId="31782"/>
    <cellStyle name="Normal 30 31" xfId="3506"/>
    <cellStyle name="Normal 30 31 2" xfId="18370"/>
    <cellStyle name="Normal 30 31 2 2" xfId="45378"/>
    <cellStyle name="Normal 30 31 3" xfId="31874"/>
    <cellStyle name="Normal 30 32" xfId="3612"/>
    <cellStyle name="Normal 30 32 2" xfId="18462"/>
    <cellStyle name="Normal 30 32 2 2" xfId="45470"/>
    <cellStyle name="Normal 30 32 3" xfId="31966"/>
    <cellStyle name="Normal 30 33" xfId="3718"/>
    <cellStyle name="Normal 30 33 2" xfId="18554"/>
    <cellStyle name="Normal 30 33 2 2" xfId="45562"/>
    <cellStyle name="Normal 30 33 3" xfId="32058"/>
    <cellStyle name="Normal 30 34" xfId="3824"/>
    <cellStyle name="Normal 30 34 2" xfId="18646"/>
    <cellStyle name="Normal 30 34 2 2" xfId="45654"/>
    <cellStyle name="Normal 30 34 3" xfId="32150"/>
    <cellStyle name="Normal 30 35" xfId="3930"/>
    <cellStyle name="Normal 30 35 2" xfId="18738"/>
    <cellStyle name="Normal 30 35 2 2" xfId="45746"/>
    <cellStyle name="Normal 30 35 3" xfId="32242"/>
    <cellStyle name="Normal 30 36" xfId="4036"/>
    <cellStyle name="Normal 30 36 2" xfId="18830"/>
    <cellStyle name="Normal 30 36 2 2" xfId="45838"/>
    <cellStyle name="Normal 30 36 3" xfId="32334"/>
    <cellStyle name="Normal 30 37" xfId="4142"/>
    <cellStyle name="Normal 30 37 2" xfId="18922"/>
    <cellStyle name="Normal 30 37 2 2" xfId="45930"/>
    <cellStyle name="Normal 30 37 3" xfId="32426"/>
    <cellStyle name="Normal 30 38" xfId="4248"/>
    <cellStyle name="Normal 30 38 2" xfId="19014"/>
    <cellStyle name="Normal 30 38 2 2" xfId="46022"/>
    <cellStyle name="Normal 30 38 3" xfId="32518"/>
    <cellStyle name="Normal 30 39" xfId="4354"/>
    <cellStyle name="Normal 30 39 2" xfId="19106"/>
    <cellStyle name="Normal 30 39 2 2" xfId="46114"/>
    <cellStyle name="Normal 30 39 3" xfId="32610"/>
    <cellStyle name="Normal 30 4" xfId="644"/>
    <cellStyle name="Normal 30 4 2" xfId="15886"/>
    <cellStyle name="Normal 30 4 2 2" xfId="42894"/>
    <cellStyle name="Normal 30 4 3" xfId="29390"/>
    <cellStyle name="Normal 30 40" xfId="4460"/>
    <cellStyle name="Normal 30 40 2" xfId="19198"/>
    <cellStyle name="Normal 30 40 2 2" xfId="46206"/>
    <cellStyle name="Normal 30 40 3" xfId="32702"/>
    <cellStyle name="Normal 30 41" xfId="4566"/>
    <cellStyle name="Normal 30 41 2" xfId="19290"/>
    <cellStyle name="Normal 30 41 2 2" xfId="46298"/>
    <cellStyle name="Normal 30 41 3" xfId="32794"/>
    <cellStyle name="Normal 30 42" xfId="4672"/>
    <cellStyle name="Normal 30 42 2" xfId="19382"/>
    <cellStyle name="Normal 30 42 2 2" xfId="46390"/>
    <cellStyle name="Normal 30 42 3" xfId="32886"/>
    <cellStyle name="Normal 30 43" xfId="4778"/>
    <cellStyle name="Normal 30 43 2" xfId="19474"/>
    <cellStyle name="Normal 30 43 2 2" xfId="46482"/>
    <cellStyle name="Normal 30 43 3" xfId="32978"/>
    <cellStyle name="Normal 30 44" xfId="4884"/>
    <cellStyle name="Normal 30 44 2" xfId="19566"/>
    <cellStyle name="Normal 30 44 2 2" xfId="46574"/>
    <cellStyle name="Normal 30 44 3" xfId="33070"/>
    <cellStyle name="Normal 30 45" xfId="4990"/>
    <cellStyle name="Normal 30 45 2" xfId="19658"/>
    <cellStyle name="Normal 30 45 2 2" xfId="46666"/>
    <cellStyle name="Normal 30 45 3" xfId="33162"/>
    <cellStyle name="Normal 30 46" xfId="5096"/>
    <cellStyle name="Normal 30 46 2" xfId="19750"/>
    <cellStyle name="Normal 30 46 2 2" xfId="46758"/>
    <cellStyle name="Normal 30 46 3" xfId="33254"/>
    <cellStyle name="Normal 30 47" xfId="5202"/>
    <cellStyle name="Normal 30 47 2" xfId="19842"/>
    <cellStyle name="Normal 30 47 2 2" xfId="46850"/>
    <cellStyle name="Normal 30 47 3" xfId="33346"/>
    <cellStyle name="Normal 30 48" xfId="5308"/>
    <cellStyle name="Normal 30 48 2" xfId="19934"/>
    <cellStyle name="Normal 30 48 2 2" xfId="46942"/>
    <cellStyle name="Normal 30 48 3" xfId="33438"/>
    <cellStyle name="Normal 30 49" xfId="5414"/>
    <cellStyle name="Normal 30 49 2" xfId="20026"/>
    <cellStyle name="Normal 30 49 2 2" xfId="47034"/>
    <cellStyle name="Normal 30 49 3" xfId="33530"/>
    <cellStyle name="Normal 30 5" xfId="750"/>
    <cellStyle name="Normal 30 5 2" xfId="15978"/>
    <cellStyle name="Normal 30 5 2 2" xfId="42986"/>
    <cellStyle name="Normal 30 5 3" xfId="29482"/>
    <cellStyle name="Normal 30 50" xfId="5520"/>
    <cellStyle name="Normal 30 50 2" xfId="20118"/>
    <cellStyle name="Normal 30 50 2 2" xfId="47126"/>
    <cellStyle name="Normal 30 50 3" xfId="33622"/>
    <cellStyle name="Normal 30 51" xfId="5626"/>
    <cellStyle name="Normal 30 51 2" xfId="20210"/>
    <cellStyle name="Normal 30 51 2 2" xfId="47218"/>
    <cellStyle name="Normal 30 51 3" xfId="33714"/>
    <cellStyle name="Normal 30 52" xfId="5732"/>
    <cellStyle name="Normal 30 52 2" xfId="20302"/>
    <cellStyle name="Normal 30 52 2 2" xfId="47310"/>
    <cellStyle name="Normal 30 52 3" xfId="33806"/>
    <cellStyle name="Normal 30 53" xfId="5838"/>
    <cellStyle name="Normal 30 53 2" xfId="20394"/>
    <cellStyle name="Normal 30 53 2 2" xfId="47402"/>
    <cellStyle name="Normal 30 53 3" xfId="33898"/>
    <cellStyle name="Normal 30 54" xfId="5944"/>
    <cellStyle name="Normal 30 54 2" xfId="20486"/>
    <cellStyle name="Normal 30 54 2 2" xfId="47494"/>
    <cellStyle name="Normal 30 54 3" xfId="33990"/>
    <cellStyle name="Normal 30 55" xfId="6050"/>
    <cellStyle name="Normal 30 55 2" xfId="20578"/>
    <cellStyle name="Normal 30 55 2 2" xfId="47586"/>
    <cellStyle name="Normal 30 55 3" xfId="34082"/>
    <cellStyle name="Normal 30 56" xfId="6156"/>
    <cellStyle name="Normal 30 56 2" xfId="20670"/>
    <cellStyle name="Normal 30 56 2 2" xfId="47678"/>
    <cellStyle name="Normal 30 56 3" xfId="34174"/>
    <cellStyle name="Normal 30 57" xfId="6262"/>
    <cellStyle name="Normal 30 57 2" xfId="20762"/>
    <cellStyle name="Normal 30 57 2 2" xfId="47770"/>
    <cellStyle name="Normal 30 57 3" xfId="34266"/>
    <cellStyle name="Normal 30 58" xfId="6368"/>
    <cellStyle name="Normal 30 58 2" xfId="20854"/>
    <cellStyle name="Normal 30 58 2 2" xfId="47862"/>
    <cellStyle name="Normal 30 58 3" xfId="34358"/>
    <cellStyle name="Normal 30 59" xfId="6474"/>
    <cellStyle name="Normal 30 59 2" xfId="20946"/>
    <cellStyle name="Normal 30 59 2 2" xfId="47954"/>
    <cellStyle name="Normal 30 59 3" xfId="34450"/>
    <cellStyle name="Normal 30 6" xfId="856"/>
    <cellStyle name="Normal 30 6 2" xfId="16070"/>
    <cellStyle name="Normal 30 6 2 2" xfId="43078"/>
    <cellStyle name="Normal 30 6 3" xfId="29574"/>
    <cellStyle name="Normal 30 60" xfId="6580"/>
    <cellStyle name="Normal 30 60 2" xfId="21038"/>
    <cellStyle name="Normal 30 60 2 2" xfId="48046"/>
    <cellStyle name="Normal 30 60 3" xfId="34542"/>
    <cellStyle name="Normal 30 61" xfId="6685"/>
    <cellStyle name="Normal 30 61 2" xfId="21129"/>
    <cellStyle name="Normal 30 61 2 2" xfId="48137"/>
    <cellStyle name="Normal 30 61 3" xfId="34633"/>
    <cellStyle name="Normal 30 62" xfId="6790"/>
    <cellStyle name="Normal 30 62 2" xfId="21220"/>
    <cellStyle name="Normal 30 62 2 2" xfId="48228"/>
    <cellStyle name="Normal 30 62 3" xfId="34724"/>
    <cellStyle name="Normal 30 63" xfId="6895"/>
    <cellStyle name="Normal 30 63 2" xfId="21311"/>
    <cellStyle name="Normal 30 63 2 2" xfId="48319"/>
    <cellStyle name="Normal 30 63 3" xfId="34815"/>
    <cellStyle name="Normal 30 64" xfId="7000"/>
    <cellStyle name="Normal 30 64 2" xfId="21402"/>
    <cellStyle name="Normal 30 64 2 2" xfId="48410"/>
    <cellStyle name="Normal 30 64 3" xfId="34906"/>
    <cellStyle name="Normal 30 65" xfId="7104"/>
    <cellStyle name="Normal 30 65 2" xfId="21492"/>
    <cellStyle name="Normal 30 65 2 2" xfId="48500"/>
    <cellStyle name="Normal 30 65 3" xfId="34996"/>
    <cellStyle name="Normal 30 66" xfId="7208"/>
    <cellStyle name="Normal 30 66 2" xfId="21582"/>
    <cellStyle name="Normal 30 66 2 2" xfId="48590"/>
    <cellStyle name="Normal 30 66 3" xfId="35086"/>
    <cellStyle name="Normal 30 67" xfId="7311"/>
    <cellStyle name="Normal 30 67 2" xfId="21671"/>
    <cellStyle name="Normal 30 67 2 2" xfId="48679"/>
    <cellStyle name="Normal 30 67 3" xfId="35175"/>
    <cellStyle name="Normal 30 68" xfId="7411"/>
    <cellStyle name="Normal 30 68 2" xfId="21758"/>
    <cellStyle name="Normal 30 68 2 2" xfId="48766"/>
    <cellStyle name="Normal 30 68 3" xfId="35262"/>
    <cellStyle name="Normal 30 69" xfId="7509"/>
    <cellStyle name="Normal 30 69 2" xfId="21843"/>
    <cellStyle name="Normal 30 69 2 2" xfId="48851"/>
    <cellStyle name="Normal 30 69 3" xfId="35347"/>
    <cellStyle name="Normal 30 7" xfId="962"/>
    <cellStyle name="Normal 30 7 2" xfId="16162"/>
    <cellStyle name="Normal 30 7 2 2" xfId="43170"/>
    <cellStyle name="Normal 30 7 3" xfId="29666"/>
    <cellStyle name="Normal 30 70" xfId="7598"/>
    <cellStyle name="Normal 30 70 2" xfId="21921"/>
    <cellStyle name="Normal 30 70 2 2" xfId="48929"/>
    <cellStyle name="Normal 30 70 3" xfId="35425"/>
    <cellStyle name="Normal 30 71" xfId="7674"/>
    <cellStyle name="Normal 30 71 2" xfId="21990"/>
    <cellStyle name="Normal 30 71 2 2" xfId="48998"/>
    <cellStyle name="Normal 30 71 3" xfId="35494"/>
    <cellStyle name="Normal 30 72" xfId="7853"/>
    <cellStyle name="Normal 30 72 2" xfId="22143"/>
    <cellStyle name="Normal 30 72 2 2" xfId="49151"/>
    <cellStyle name="Normal 30 72 3" xfId="35647"/>
    <cellStyle name="Normal 30 73" xfId="7995"/>
    <cellStyle name="Normal 30 73 2" xfId="22271"/>
    <cellStyle name="Normal 30 73 2 2" xfId="49279"/>
    <cellStyle name="Normal 30 73 3" xfId="35775"/>
    <cellStyle name="Normal 30 74" xfId="8137"/>
    <cellStyle name="Normal 30 74 2" xfId="22399"/>
    <cellStyle name="Normal 30 74 2 2" xfId="49407"/>
    <cellStyle name="Normal 30 74 3" xfId="35903"/>
    <cellStyle name="Normal 30 75" xfId="8279"/>
    <cellStyle name="Normal 30 75 2" xfId="22527"/>
    <cellStyle name="Normal 30 75 2 2" xfId="49535"/>
    <cellStyle name="Normal 30 75 3" xfId="36031"/>
    <cellStyle name="Normal 30 76" xfId="8421"/>
    <cellStyle name="Normal 30 76 2" xfId="22655"/>
    <cellStyle name="Normal 30 76 2 2" xfId="49663"/>
    <cellStyle name="Normal 30 76 3" xfId="36159"/>
    <cellStyle name="Normal 30 77" xfId="8563"/>
    <cellStyle name="Normal 30 77 2" xfId="22783"/>
    <cellStyle name="Normal 30 77 2 2" xfId="49791"/>
    <cellStyle name="Normal 30 77 3" xfId="36287"/>
    <cellStyle name="Normal 30 78" xfId="8705"/>
    <cellStyle name="Normal 30 78 2" xfId="22911"/>
    <cellStyle name="Normal 30 78 2 2" xfId="49919"/>
    <cellStyle name="Normal 30 78 3" xfId="36415"/>
    <cellStyle name="Normal 30 79" xfId="8847"/>
    <cellStyle name="Normal 30 79 2" xfId="23039"/>
    <cellStyle name="Normal 30 79 2 2" xfId="50047"/>
    <cellStyle name="Normal 30 79 3" xfId="36543"/>
    <cellStyle name="Normal 30 8" xfId="1068"/>
    <cellStyle name="Normal 30 8 2" xfId="16254"/>
    <cellStyle name="Normal 30 8 2 2" xfId="43262"/>
    <cellStyle name="Normal 30 8 3" xfId="29758"/>
    <cellStyle name="Normal 30 80" xfId="8989"/>
    <cellStyle name="Normal 30 80 2" xfId="23167"/>
    <cellStyle name="Normal 30 80 2 2" xfId="50175"/>
    <cellStyle name="Normal 30 80 3" xfId="36671"/>
    <cellStyle name="Normal 30 81" xfId="9131"/>
    <cellStyle name="Normal 30 81 2" xfId="23295"/>
    <cellStyle name="Normal 30 81 2 2" xfId="50303"/>
    <cellStyle name="Normal 30 81 3" xfId="36799"/>
    <cellStyle name="Normal 30 82" xfId="9273"/>
    <cellStyle name="Normal 30 82 2" xfId="23423"/>
    <cellStyle name="Normal 30 82 2 2" xfId="50431"/>
    <cellStyle name="Normal 30 82 3" xfId="36927"/>
    <cellStyle name="Normal 30 83" xfId="9415"/>
    <cellStyle name="Normal 30 83 2" xfId="23551"/>
    <cellStyle name="Normal 30 83 2 2" xfId="50559"/>
    <cellStyle name="Normal 30 83 3" xfId="37055"/>
    <cellStyle name="Normal 30 84" xfId="9557"/>
    <cellStyle name="Normal 30 84 2" xfId="23679"/>
    <cellStyle name="Normal 30 84 2 2" xfId="50687"/>
    <cellStyle name="Normal 30 84 3" xfId="37183"/>
    <cellStyle name="Normal 30 85" xfId="9699"/>
    <cellStyle name="Normal 30 85 2" xfId="23807"/>
    <cellStyle name="Normal 30 85 2 2" xfId="50815"/>
    <cellStyle name="Normal 30 85 3" xfId="37311"/>
    <cellStyle name="Normal 30 86" xfId="9841"/>
    <cellStyle name="Normal 30 86 2" xfId="23935"/>
    <cellStyle name="Normal 30 86 2 2" xfId="50943"/>
    <cellStyle name="Normal 30 86 3" xfId="37439"/>
    <cellStyle name="Normal 30 87" xfId="9983"/>
    <cellStyle name="Normal 30 87 2" xfId="24063"/>
    <cellStyle name="Normal 30 87 2 2" xfId="51071"/>
    <cellStyle name="Normal 30 87 3" xfId="37567"/>
    <cellStyle name="Normal 30 88" xfId="10125"/>
    <cellStyle name="Normal 30 88 2" xfId="24191"/>
    <cellStyle name="Normal 30 88 2 2" xfId="51199"/>
    <cellStyle name="Normal 30 88 3" xfId="37695"/>
    <cellStyle name="Normal 30 89" xfId="10267"/>
    <cellStyle name="Normal 30 89 2" xfId="24319"/>
    <cellStyle name="Normal 30 89 2 2" xfId="51327"/>
    <cellStyle name="Normal 30 89 3" xfId="37823"/>
    <cellStyle name="Normal 30 9" xfId="1174"/>
    <cellStyle name="Normal 30 9 2" xfId="16346"/>
    <cellStyle name="Normal 30 9 2 2" xfId="43354"/>
    <cellStyle name="Normal 30 9 3" xfId="29850"/>
    <cellStyle name="Normal 30 90" xfId="10409"/>
    <cellStyle name="Normal 30 90 2" xfId="24447"/>
    <cellStyle name="Normal 30 90 2 2" xfId="51455"/>
    <cellStyle name="Normal 30 90 3" xfId="37951"/>
    <cellStyle name="Normal 30 91" xfId="10551"/>
    <cellStyle name="Normal 30 91 2" xfId="24575"/>
    <cellStyle name="Normal 30 91 2 2" xfId="51583"/>
    <cellStyle name="Normal 30 91 3" xfId="38079"/>
    <cellStyle name="Normal 30 92" xfId="10693"/>
    <cellStyle name="Normal 30 92 2" xfId="24703"/>
    <cellStyle name="Normal 30 92 2 2" xfId="51711"/>
    <cellStyle name="Normal 30 92 3" xfId="38207"/>
    <cellStyle name="Normal 30 93" xfId="10835"/>
    <cellStyle name="Normal 30 93 2" xfId="24831"/>
    <cellStyle name="Normal 30 93 2 2" xfId="51839"/>
    <cellStyle name="Normal 30 93 3" xfId="38335"/>
    <cellStyle name="Normal 30 94" xfId="10977"/>
    <cellStyle name="Normal 30 94 2" xfId="24959"/>
    <cellStyle name="Normal 30 94 2 2" xfId="51967"/>
    <cellStyle name="Normal 30 94 3" xfId="38463"/>
    <cellStyle name="Normal 30 95" xfId="11119"/>
    <cellStyle name="Normal 30 95 2" xfId="25087"/>
    <cellStyle name="Normal 30 95 2 2" xfId="52095"/>
    <cellStyle name="Normal 30 95 3" xfId="38591"/>
    <cellStyle name="Normal 30 96" xfId="11261"/>
    <cellStyle name="Normal 30 96 2" xfId="25215"/>
    <cellStyle name="Normal 30 96 2 2" xfId="52223"/>
    <cellStyle name="Normal 30 96 3" xfId="38719"/>
    <cellStyle name="Normal 30 97" xfId="11403"/>
    <cellStyle name="Normal 30 97 2" xfId="25343"/>
    <cellStyle name="Normal 30 97 2 2" xfId="52351"/>
    <cellStyle name="Normal 30 97 3" xfId="38847"/>
    <cellStyle name="Normal 30 98" xfId="11545"/>
    <cellStyle name="Normal 30 98 2" xfId="25471"/>
    <cellStyle name="Normal 30 98 2 2" xfId="52479"/>
    <cellStyle name="Normal 30 98 3" xfId="38975"/>
    <cellStyle name="Normal 30 99" xfId="11687"/>
    <cellStyle name="Normal 30 99 2" xfId="25599"/>
    <cellStyle name="Normal 30 99 2 2" xfId="52607"/>
    <cellStyle name="Normal 30 99 3" xfId="39103"/>
    <cellStyle name="Normal 300" xfId="56389"/>
    <cellStyle name="Normal 301" xfId="56392"/>
    <cellStyle name="Normal 302" xfId="56395"/>
    <cellStyle name="Normal 303" xfId="56398"/>
    <cellStyle name="Normal 304" xfId="56401"/>
    <cellStyle name="Normal 305" xfId="56404"/>
    <cellStyle name="Normal 306" xfId="56407"/>
    <cellStyle name="Normal 307" xfId="56410"/>
    <cellStyle name="Normal 308" xfId="56413"/>
    <cellStyle name="Normal 309" xfId="56416"/>
    <cellStyle name="Normal 31" xfId="176"/>
    <cellStyle name="Normal 31 10" xfId="1281"/>
    <cellStyle name="Normal 31 10 2" xfId="16439"/>
    <cellStyle name="Normal 31 10 2 2" xfId="43447"/>
    <cellStyle name="Normal 31 10 3" xfId="29943"/>
    <cellStyle name="Normal 31 100" xfId="11830"/>
    <cellStyle name="Normal 31 100 2" xfId="25728"/>
    <cellStyle name="Normal 31 100 2 2" xfId="52736"/>
    <cellStyle name="Normal 31 100 3" xfId="39232"/>
    <cellStyle name="Normal 31 101" xfId="11972"/>
    <cellStyle name="Normal 31 101 2" xfId="25856"/>
    <cellStyle name="Normal 31 101 2 2" xfId="52864"/>
    <cellStyle name="Normal 31 101 3" xfId="39360"/>
    <cellStyle name="Normal 31 102" xfId="12114"/>
    <cellStyle name="Normal 31 102 2" xfId="25984"/>
    <cellStyle name="Normal 31 102 2 2" xfId="52992"/>
    <cellStyle name="Normal 31 102 3" xfId="39488"/>
    <cellStyle name="Normal 31 103" xfId="12256"/>
    <cellStyle name="Normal 31 103 2" xfId="26112"/>
    <cellStyle name="Normal 31 103 2 2" xfId="53120"/>
    <cellStyle name="Normal 31 103 3" xfId="39616"/>
    <cellStyle name="Normal 31 104" xfId="12398"/>
    <cellStyle name="Normal 31 104 2" xfId="26240"/>
    <cellStyle name="Normal 31 104 2 2" xfId="53248"/>
    <cellStyle name="Normal 31 104 3" xfId="39744"/>
    <cellStyle name="Normal 31 105" xfId="12540"/>
    <cellStyle name="Normal 31 105 2" xfId="26368"/>
    <cellStyle name="Normal 31 105 2 2" xfId="53376"/>
    <cellStyle name="Normal 31 105 3" xfId="39872"/>
    <cellStyle name="Normal 31 106" xfId="12682"/>
    <cellStyle name="Normal 31 106 2" xfId="26496"/>
    <cellStyle name="Normal 31 106 2 2" xfId="53504"/>
    <cellStyle name="Normal 31 106 3" xfId="40000"/>
    <cellStyle name="Normal 31 107" xfId="12824"/>
    <cellStyle name="Normal 31 107 2" xfId="26624"/>
    <cellStyle name="Normal 31 107 2 2" xfId="53632"/>
    <cellStyle name="Normal 31 107 3" xfId="40128"/>
    <cellStyle name="Normal 31 108" xfId="12966"/>
    <cellStyle name="Normal 31 108 2" xfId="26752"/>
    <cellStyle name="Normal 31 108 2 2" xfId="53760"/>
    <cellStyle name="Normal 31 108 3" xfId="40256"/>
    <cellStyle name="Normal 31 109" xfId="13108"/>
    <cellStyle name="Normal 31 109 2" xfId="26880"/>
    <cellStyle name="Normal 31 109 2 2" xfId="53888"/>
    <cellStyle name="Normal 31 109 3" xfId="40384"/>
    <cellStyle name="Normal 31 11" xfId="1387"/>
    <cellStyle name="Normal 31 11 2" xfId="16531"/>
    <cellStyle name="Normal 31 11 2 2" xfId="43539"/>
    <cellStyle name="Normal 31 11 3" xfId="30035"/>
    <cellStyle name="Normal 31 110" xfId="13250"/>
    <cellStyle name="Normal 31 110 2" xfId="27008"/>
    <cellStyle name="Normal 31 110 2 2" xfId="54016"/>
    <cellStyle name="Normal 31 110 3" xfId="40512"/>
    <cellStyle name="Normal 31 111" xfId="13392"/>
    <cellStyle name="Normal 31 111 2" xfId="27136"/>
    <cellStyle name="Normal 31 111 2 2" xfId="54144"/>
    <cellStyle name="Normal 31 111 3" xfId="40640"/>
    <cellStyle name="Normal 31 112" xfId="13534"/>
    <cellStyle name="Normal 31 112 2" xfId="27264"/>
    <cellStyle name="Normal 31 112 2 2" xfId="54272"/>
    <cellStyle name="Normal 31 112 3" xfId="40768"/>
    <cellStyle name="Normal 31 113" xfId="13676"/>
    <cellStyle name="Normal 31 113 2" xfId="27392"/>
    <cellStyle name="Normal 31 113 2 2" xfId="54400"/>
    <cellStyle name="Normal 31 113 3" xfId="40896"/>
    <cellStyle name="Normal 31 114" xfId="13818"/>
    <cellStyle name="Normal 31 114 2" xfId="27520"/>
    <cellStyle name="Normal 31 114 2 2" xfId="54528"/>
    <cellStyle name="Normal 31 114 3" xfId="41024"/>
    <cellStyle name="Normal 31 115" xfId="13959"/>
    <cellStyle name="Normal 31 115 2" xfId="27647"/>
    <cellStyle name="Normal 31 115 2 2" xfId="54655"/>
    <cellStyle name="Normal 31 115 3" xfId="41151"/>
    <cellStyle name="Normal 31 116" xfId="14100"/>
    <cellStyle name="Normal 31 116 2" xfId="27774"/>
    <cellStyle name="Normal 31 116 2 2" xfId="54782"/>
    <cellStyle name="Normal 31 116 3" xfId="41278"/>
    <cellStyle name="Normal 31 117" xfId="14241"/>
    <cellStyle name="Normal 31 117 2" xfId="27901"/>
    <cellStyle name="Normal 31 117 2 2" xfId="54909"/>
    <cellStyle name="Normal 31 117 3" xfId="41405"/>
    <cellStyle name="Normal 31 118" xfId="14382"/>
    <cellStyle name="Normal 31 118 2" xfId="28028"/>
    <cellStyle name="Normal 31 118 2 2" xfId="55036"/>
    <cellStyle name="Normal 31 118 3" xfId="41532"/>
    <cellStyle name="Normal 31 119" xfId="14522"/>
    <cellStyle name="Normal 31 119 2" xfId="28154"/>
    <cellStyle name="Normal 31 119 2 2" xfId="55162"/>
    <cellStyle name="Normal 31 119 3" xfId="41658"/>
    <cellStyle name="Normal 31 12" xfId="1493"/>
    <cellStyle name="Normal 31 12 2" xfId="16623"/>
    <cellStyle name="Normal 31 12 2 2" xfId="43631"/>
    <cellStyle name="Normal 31 12 3" xfId="30127"/>
    <cellStyle name="Normal 31 120" xfId="14662"/>
    <cellStyle name="Normal 31 120 2" xfId="28280"/>
    <cellStyle name="Normal 31 120 2 2" xfId="55288"/>
    <cellStyle name="Normal 31 120 3" xfId="41784"/>
    <cellStyle name="Normal 31 121" xfId="14801"/>
    <cellStyle name="Normal 31 121 2" xfId="28405"/>
    <cellStyle name="Normal 31 121 2 2" xfId="55413"/>
    <cellStyle name="Normal 31 121 3" xfId="41909"/>
    <cellStyle name="Normal 31 122" xfId="14936"/>
    <cellStyle name="Normal 31 122 2" xfId="28527"/>
    <cellStyle name="Normal 31 122 2 2" xfId="55535"/>
    <cellStyle name="Normal 31 122 3" xfId="42031"/>
    <cellStyle name="Normal 31 123" xfId="15070"/>
    <cellStyle name="Normal 31 123 2" xfId="28648"/>
    <cellStyle name="Normal 31 123 2 2" xfId="55656"/>
    <cellStyle name="Normal 31 123 3" xfId="42152"/>
    <cellStyle name="Normal 31 124" xfId="15197"/>
    <cellStyle name="Normal 31 124 2" xfId="28764"/>
    <cellStyle name="Normal 31 124 2 2" xfId="55772"/>
    <cellStyle name="Normal 31 124 3" xfId="42268"/>
    <cellStyle name="Normal 31 125" xfId="15317"/>
    <cellStyle name="Normal 31 125 2" xfId="28877"/>
    <cellStyle name="Normal 31 125 2 2" xfId="55885"/>
    <cellStyle name="Normal 31 125 3" xfId="42381"/>
    <cellStyle name="Normal 31 126" xfId="15532"/>
    <cellStyle name="Normal 31 126 2" xfId="42540"/>
    <cellStyle name="Normal 31 127" xfId="29036"/>
    <cellStyle name="Normal 31 13" xfId="1599"/>
    <cellStyle name="Normal 31 13 2" xfId="16715"/>
    <cellStyle name="Normal 31 13 2 2" xfId="43723"/>
    <cellStyle name="Normal 31 13 3" xfId="30219"/>
    <cellStyle name="Normal 31 14" xfId="1705"/>
    <cellStyle name="Normal 31 14 2" xfId="16807"/>
    <cellStyle name="Normal 31 14 2 2" xfId="43815"/>
    <cellStyle name="Normal 31 14 3" xfId="30311"/>
    <cellStyle name="Normal 31 15" xfId="1811"/>
    <cellStyle name="Normal 31 15 2" xfId="16899"/>
    <cellStyle name="Normal 31 15 2 2" xfId="43907"/>
    <cellStyle name="Normal 31 15 3" xfId="30403"/>
    <cellStyle name="Normal 31 16" xfId="1917"/>
    <cellStyle name="Normal 31 16 2" xfId="16991"/>
    <cellStyle name="Normal 31 16 2 2" xfId="43999"/>
    <cellStyle name="Normal 31 16 3" xfId="30495"/>
    <cellStyle name="Normal 31 17" xfId="2023"/>
    <cellStyle name="Normal 31 17 2" xfId="17083"/>
    <cellStyle name="Normal 31 17 2 2" xfId="44091"/>
    <cellStyle name="Normal 31 17 3" xfId="30587"/>
    <cellStyle name="Normal 31 18" xfId="2129"/>
    <cellStyle name="Normal 31 18 2" xfId="17175"/>
    <cellStyle name="Normal 31 18 2 2" xfId="44183"/>
    <cellStyle name="Normal 31 18 3" xfId="30679"/>
    <cellStyle name="Normal 31 19" xfId="2235"/>
    <cellStyle name="Normal 31 19 2" xfId="17267"/>
    <cellStyle name="Normal 31 19 2 2" xfId="44275"/>
    <cellStyle name="Normal 31 19 3" xfId="30771"/>
    <cellStyle name="Normal 31 2" xfId="353"/>
    <cellStyle name="Normal 31 2 2" xfId="15655"/>
    <cellStyle name="Normal 31 2 2 2" xfId="42663"/>
    <cellStyle name="Normal 31 2 3" xfId="29159"/>
    <cellStyle name="Normal 31 20" xfId="2341"/>
    <cellStyle name="Normal 31 20 2" xfId="17359"/>
    <cellStyle name="Normal 31 20 2 2" xfId="44367"/>
    <cellStyle name="Normal 31 20 3" xfId="30863"/>
    <cellStyle name="Normal 31 21" xfId="2447"/>
    <cellStyle name="Normal 31 21 2" xfId="17451"/>
    <cellStyle name="Normal 31 21 2 2" xfId="44459"/>
    <cellStyle name="Normal 31 21 3" xfId="30955"/>
    <cellStyle name="Normal 31 22" xfId="2553"/>
    <cellStyle name="Normal 31 22 2" xfId="17543"/>
    <cellStyle name="Normal 31 22 2 2" xfId="44551"/>
    <cellStyle name="Normal 31 22 3" xfId="31047"/>
    <cellStyle name="Normal 31 23" xfId="2659"/>
    <cellStyle name="Normal 31 23 2" xfId="17635"/>
    <cellStyle name="Normal 31 23 2 2" xfId="44643"/>
    <cellStyle name="Normal 31 23 3" xfId="31139"/>
    <cellStyle name="Normal 31 24" xfId="2765"/>
    <cellStyle name="Normal 31 24 2" xfId="17727"/>
    <cellStyle name="Normal 31 24 2 2" xfId="44735"/>
    <cellStyle name="Normal 31 24 3" xfId="31231"/>
    <cellStyle name="Normal 31 25" xfId="2871"/>
    <cellStyle name="Normal 31 25 2" xfId="17819"/>
    <cellStyle name="Normal 31 25 2 2" xfId="44827"/>
    <cellStyle name="Normal 31 25 3" xfId="31323"/>
    <cellStyle name="Normal 31 26" xfId="2977"/>
    <cellStyle name="Normal 31 26 2" xfId="17911"/>
    <cellStyle name="Normal 31 26 2 2" xfId="44919"/>
    <cellStyle name="Normal 31 26 3" xfId="31415"/>
    <cellStyle name="Normal 31 27" xfId="3083"/>
    <cellStyle name="Normal 31 27 2" xfId="18003"/>
    <cellStyle name="Normal 31 27 2 2" xfId="45011"/>
    <cellStyle name="Normal 31 27 3" xfId="31507"/>
    <cellStyle name="Normal 31 28" xfId="3189"/>
    <cellStyle name="Normal 31 28 2" xfId="18095"/>
    <cellStyle name="Normal 31 28 2 2" xfId="45103"/>
    <cellStyle name="Normal 31 28 3" xfId="31599"/>
    <cellStyle name="Normal 31 29" xfId="3295"/>
    <cellStyle name="Normal 31 29 2" xfId="18187"/>
    <cellStyle name="Normal 31 29 2 2" xfId="45195"/>
    <cellStyle name="Normal 31 29 3" xfId="31691"/>
    <cellStyle name="Normal 31 3" xfId="540"/>
    <cellStyle name="Normal 31 3 2" xfId="15796"/>
    <cellStyle name="Normal 31 3 2 2" xfId="42804"/>
    <cellStyle name="Normal 31 3 3" xfId="29300"/>
    <cellStyle name="Normal 31 30" xfId="3401"/>
    <cellStyle name="Normal 31 30 2" xfId="18279"/>
    <cellStyle name="Normal 31 30 2 2" xfId="45287"/>
    <cellStyle name="Normal 31 30 3" xfId="31783"/>
    <cellStyle name="Normal 31 31" xfId="3507"/>
    <cellStyle name="Normal 31 31 2" xfId="18371"/>
    <cellStyle name="Normal 31 31 2 2" xfId="45379"/>
    <cellStyle name="Normal 31 31 3" xfId="31875"/>
    <cellStyle name="Normal 31 32" xfId="3613"/>
    <cellStyle name="Normal 31 32 2" xfId="18463"/>
    <cellStyle name="Normal 31 32 2 2" xfId="45471"/>
    <cellStyle name="Normal 31 32 3" xfId="31967"/>
    <cellStyle name="Normal 31 33" xfId="3719"/>
    <cellStyle name="Normal 31 33 2" xfId="18555"/>
    <cellStyle name="Normal 31 33 2 2" xfId="45563"/>
    <cellStyle name="Normal 31 33 3" xfId="32059"/>
    <cellStyle name="Normal 31 34" xfId="3825"/>
    <cellStyle name="Normal 31 34 2" xfId="18647"/>
    <cellStyle name="Normal 31 34 2 2" xfId="45655"/>
    <cellStyle name="Normal 31 34 3" xfId="32151"/>
    <cellStyle name="Normal 31 35" xfId="3931"/>
    <cellStyle name="Normal 31 35 2" xfId="18739"/>
    <cellStyle name="Normal 31 35 2 2" xfId="45747"/>
    <cellStyle name="Normal 31 35 3" xfId="32243"/>
    <cellStyle name="Normal 31 36" xfId="4037"/>
    <cellStyle name="Normal 31 36 2" xfId="18831"/>
    <cellStyle name="Normal 31 36 2 2" xfId="45839"/>
    <cellStyle name="Normal 31 36 3" xfId="32335"/>
    <cellStyle name="Normal 31 37" xfId="4143"/>
    <cellStyle name="Normal 31 37 2" xfId="18923"/>
    <cellStyle name="Normal 31 37 2 2" xfId="45931"/>
    <cellStyle name="Normal 31 37 3" xfId="32427"/>
    <cellStyle name="Normal 31 38" xfId="4249"/>
    <cellStyle name="Normal 31 38 2" xfId="19015"/>
    <cellStyle name="Normal 31 38 2 2" xfId="46023"/>
    <cellStyle name="Normal 31 38 3" xfId="32519"/>
    <cellStyle name="Normal 31 39" xfId="4355"/>
    <cellStyle name="Normal 31 39 2" xfId="19107"/>
    <cellStyle name="Normal 31 39 2 2" xfId="46115"/>
    <cellStyle name="Normal 31 39 3" xfId="32611"/>
    <cellStyle name="Normal 31 4" xfId="645"/>
    <cellStyle name="Normal 31 4 2" xfId="15887"/>
    <cellStyle name="Normal 31 4 2 2" xfId="42895"/>
    <cellStyle name="Normal 31 4 3" xfId="29391"/>
    <cellStyle name="Normal 31 40" xfId="4461"/>
    <cellStyle name="Normal 31 40 2" xfId="19199"/>
    <cellStyle name="Normal 31 40 2 2" xfId="46207"/>
    <cellStyle name="Normal 31 40 3" xfId="32703"/>
    <cellStyle name="Normal 31 41" xfId="4567"/>
    <cellStyle name="Normal 31 41 2" xfId="19291"/>
    <cellStyle name="Normal 31 41 2 2" xfId="46299"/>
    <cellStyle name="Normal 31 41 3" xfId="32795"/>
    <cellStyle name="Normal 31 42" xfId="4673"/>
    <cellStyle name="Normal 31 42 2" xfId="19383"/>
    <cellStyle name="Normal 31 42 2 2" xfId="46391"/>
    <cellStyle name="Normal 31 42 3" xfId="32887"/>
    <cellStyle name="Normal 31 43" xfId="4779"/>
    <cellStyle name="Normal 31 43 2" xfId="19475"/>
    <cellStyle name="Normal 31 43 2 2" xfId="46483"/>
    <cellStyle name="Normal 31 43 3" xfId="32979"/>
    <cellStyle name="Normal 31 44" xfId="4885"/>
    <cellStyle name="Normal 31 44 2" xfId="19567"/>
    <cellStyle name="Normal 31 44 2 2" xfId="46575"/>
    <cellStyle name="Normal 31 44 3" xfId="33071"/>
    <cellStyle name="Normal 31 45" xfId="4991"/>
    <cellStyle name="Normal 31 45 2" xfId="19659"/>
    <cellStyle name="Normal 31 45 2 2" xfId="46667"/>
    <cellStyle name="Normal 31 45 3" xfId="33163"/>
    <cellStyle name="Normal 31 46" xfId="5097"/>
    <cellStyle name="Normal 31 46 2" xfId="19751"/>
    <cellStyle name="Normal 31 46 2 2" xfId="46759"/>
    <cellStyle name="Normal 31 46 3" xfId="33255"/>
    <cellStyle name="Normal 31 47" xfId="5203"/>
    <cellStyle name="Normal 31 47 2" xfId="19843"/>
    <cellStyle name="Normal 31 47 2 2" xfId="46851"/>
    <cellStyle name="Normal 31 47 3" xfId="33347"/>
    <cellStyle name="Normal 31 48" xfId="5309"/>
    <cellStyle name="Normal 31 48 2" xfId="19935"/>
    <cellStyle name="Normal 31 48 2 2" xfId="46943"/>
    <cellStyle name="Normal 31 48 3" xfId="33439"/>
    <cellStyle name="Normal 31 49" xfId="5415"/>
    <cellStyle name="Normal 31 49 2" xfId="20027"/>
    <cellStyle name="Normal 31 49 2 2" xfId="47035"/>
    <cellStyle name="Normal 31 49 3" xfId="33531"/>
    <cellStyle name="Normal 31 5" xfId="751"/>
    <cellStyle name="Normal 31 5 2" xfId="15979"/>
    <cellStyle name="Normal 31 5 2 2" xfId="42987"/>
    <cellStyle name="Normal 31 5 3" xfId="29483"/>
    <cellStyle name="Normal 31 50" xfId="5521"/>
    <cellStyle name="Normal 31 50 2" xfId="20119"/>
    <cellStyle name="Normal 31 50 2 2" xfId="47127"/>
    <cellStyle name="Normal 31 50 3" xfId="33623"/>
    <cellStyle name="Normal 31 51" xfId="5627"/>
    <cellStyle name="Normal 31 51 2" xfId="20211"/>
    <cellStyle name="Normal 31 51 2 2" xfId="47219"/>
    <cellStyle name="Normal 31 51 3" xfId="33715"/>
    <cellStyle name="Normal 31 52" xfId="5733"/>
    <cellStyle name="Normal 31 52 2" xfId="20303"/>
    <cellStyle name="Normal 31 52 2 2" xfId="47311"/>
    <cellStyle name="Normal 31 52 3" xfId="33807"/>
    <cellStyle name="Normal 31 53" xfId="5839"/>
    <cellStyle name="Normal 31 53 2" xfId="20395"/>
    <cellStyle name="Normal 31 53 2 2" xfId="47403"/>
    <cellStyle name="Normal 31 53 3" xfId="33899"/>
    <cellStyle name="Normal 31 54" xfId="5945"/>
    <cellStyle name="Normal 31 54 2" xfId="20487"/>
    <cellStyle name="Normal 31 54 2 2" xfId="47495"/>
    <cellStyle name="Normal 31 54 3" xfId="33991"/>
    <cellStyle name="Normal 31 55" xfId="6051"/>
    <cellStyle name="Normal 31 55 2" xfId="20579"/>
    <cellStyle name="Normal 31 55 2 2" xfId="47587"/>
    <cellStyle name="Normal 31 55 3" xfId="34083"/>
    <cellStyle name="Normal 31 56" xfId="6157"/>
    <cellStyle name="Normal 31 56 2" xfId="20671"/>
    <cellStyle name="Normal 31 56 2 2" xfId="47679"/>
    <cellStyle name="Normal 31 56 3" xfId="34175"/>
    <cellStyle name="Normal 31 57" xfId="6263"/>
    <cellStyle name="Normal 31 57 2" xfId="20763"/>
    <cellStyle name="Normal 31 57 2 2" xfId="47771"/>
    <cellStyle name="Normal 31 57 3" xfId="34267"/>
    <cellStyle name="Normal 31 58" xfId="6369"/>
    <cellStyle name="Normal 31 58 2" xfId="20855"/>
    <cellStyle name="Normal 31 58 2 2" xfId="47863"/>
    <cellStyle name="Normal 31 58 3" xfId="34359"/>
    <cellStyle name="Normal 31 59" xfId="6475"/>
    <cellStyle name="Normal 31 59 2" xfId="20947"/>
    <cellStyle name="Normal 31 59 2 2" xfId="47955"/>
    <cellStyle name="Normal 31 59 3" xfId="34451"/>
    <cellStyle name="Normal 31 6" xfId="857"/>
    <cellStyle name="Normal 31 6 2" xfId="16071"/>
    <cellStyle name="Normal 31 6 2 2" xfId="43079"/>
    <cellStyle name="Normal 31 6 3" xfId="29575"/>
    <cellStyle name="Normal 31 60" xfId="6581"/>
    <cellStyle name="Normal 31 60 2" xfId="21039"/>
    <cellStyle name="Normal 31 60 2 2" xfId="48047"/>
    <cellStyle name="Normal 31 60 3" xfId="34543"/>
    <cellStyle name="Normal 31 61" xfId="6686"/>
    <cellStyle name="Normal 31 61 2" xfId="21130"/>
    <cellStyle name="Normal 31 61 2 2" xfId="48138"/>
    <cellStyle name="Normal 31 61 3" xfId="34634"/>
    <cellStyle name="Normal 31 62" xfId="6791"/>
    <cellStyle name="Normal 31 62 2" xfId="21221"/>
    <cellStyle name="Normal 31 62 2 2" xfId="48229"/>
    <cellStyle name="Normal 31 62 3" xfId="34725"/>
    <cellStyle name="Normal 31 63" xfId="6896"/>
    <cellStyle name="Normal 31 63 2" xfId="21312"/>
    <cellStyle name="Normal 31 63 2 2" xfId="48320"/>
    <cellStyle name="Normal 31 63 3" xfId="34816"/>
    <cellStyle name="Normal 31 64" xfId="7001"/>
    <cellStyle name="Normal 31 64 2" xfId="21403"/>
    <cellStyle name="Normal 31 64 2 2" xfId="48411"/>
    <cellStyle name="Normal 31 64 3" xfId="34907"/>
    <cellStyle name="Normal 31 65" xfId="7105"/>
    <cellStyle name="Normal 31 65 2" xfId="21493"/>
    <cellStyle name="Normal 31 65 2 2" xfId="48501"/>
    <cellStyle name="Normal 31 65 3" xfId="34997"/>
    <cellStyle name="Normal 31 66" xfId="7209"/>
    <cellStyle name="Normal 31 66 2" xfId="21583"/>
    <cellStyle name="Normal 31 66 2 2" xfId="48591"/>
    <cellStyle name="Normal 31 66 3" xfId="35087"/>
    <cellStyle name="Normal 31 67" xfId="7312"/>
    <cellStyle name="Normal 31 67 2" xfId="21672"/>
    <cellStyle name="Normal 31 67 2 2" xfId="48680"/>
    <cellStyle name="Normal 31 67 3" xfId="35176"/>
    <cellStyle name="Normal 31 68" xfId="7412"/>
    <cellStyle name="Normal 31 68 2" xfId="21759"/>
    <cellStyle name="Normal 31 68 2 2" xfId="48767"/>
    <cellStyle name="Normal 31 68 3" xfId="35263"/>
    <cellStyle name="Normal 31 69" xfId="7510"/>
    <cellStyle name="Normal 31 69 2" xfId="21844"/>
    <cellStyle name="Normal 31 69 2 2" xfId="48852"/>
    <cellStyle name="Normal 31 69 3" xfId="35348"/>
    <cellStyle name="Normal 31 7" xfId="963"/>
    <cellStyle name="Normal 31 7 2" xfId="16163"/>
    <cellStyle name="Normal 31 7 2 2" xfId="43171"/>
    <cellStyle name="Normal 31 7 3" xfId="29667"/>
    <cellStyle name="Normal 31 70" xfId="7599"/>
    <cellStyle name="Normal 31 70 2" xfId="21922"/>
    <cellStyle name="Normal 31 70 2 2" xfId="48930"/>
    <cellStyle name="Normal 31 70 3" xfId="35426"/>
    <cellStyle name="Normal 31 71" xfId="7675"/>
    <cellStyle name="Normal 31 71 2" xfId="21991"/>
    <cellStyle name="Normal 31 71 2 2" xfId="48999"/>
    <cellStyle name="Normal 31 71 3" xfId="35495"/>
    <cellStyle name="Normal 31 72" xfId="7854"/>
    <cellStyle name="Normal 31 72 2" xfId="22144"/>
    <cellStyle name="Normal 31 72 2 2" xfId="49152"/>
    <cellStyle name="Normal 31 72 3" xfId="35648"/>
    <cellStyle name="Normal 31 73" xfId="7996"/>
    <cellStyle name="Normal 31 73 2" xfId="22272"/>
    <cellStyle name="Normal 31 73 2 2" xfId="49280"/>
    <cellStyle name="Normal 31 73 3" xfId="35776"/>
    <cellStyle name="Normal 31 74" xfId="8138"/>
    <cellStyle name="Normal 31 74 2" xfId="22400"/>
    <cellStyle name="Normal 31 74 2 2" xfId="49408"/>
    <cellStyle name="Normal 31 74 3" xfId="35904"/>
    <cellStyle name="Normal 31 75" xfId="8280"/>
    <cellStyle name="Normal 31 75 2" xfId="22528"/>
    <cellStyle name="Normal 31 75 2 2" xfId="49536"/>
    <cellStyle name="Normal 31 75 3" xfId="36032"/>
    <cellStyle name="Normal 31 76" xfId="8422"/>
    <cellStyle name="Normal 31 76 2" xfId="22656"/>
    <cellStyle name="Normal 31 76 2 2" xfId="49664"/>
    <cellStyle name="Normal 31 76 3" xfId="36160"/>
    <cellStyle name="Normal 31 77" xfId="8564"/>
    <cellStyle name="Normal 31 77 2" xfId="22784"/>
    <cellStyle name="Normal 31 77 2 2" xfId="49792"/>
    <cellStyle name="Normal 31 77 3" xfId="36288"/>
    <cellStyle name="Normal 31 78" xfId="8706"/>
    <cellStyle name="Normal 31 78 2" xfId="22912"/>
    <cellStyle name="Normal 31 78 2 2" xfId="49920"/>
    <cellStyle name="Normal 31 78 3" xfId="36416"/>
    <cellStyle name="Normal 31 79" xfId="8848"/>
    <cellStyle name="Normal 31 79 2" xfId="23040"/>
    <cellStyle name="Normal 31 79 2 2" xfId="50048"/>
    <cellStyle name="Normal 31 79 3" xfId="36544"/>
    <cellStyle name="Normal 31 8" xfId="1069"/>
    <cellStyle name="Normal 31 8 2" xfId="16255"/>
    <cellStyle name="Normal 31 8 2 2" xfId="43263"/>
    <cellStyle name="Normal 31 8 3" xfId="29759"/>
    <cellStyle name="Normal 31 80" xfId="8990"/>
    <cellStyle name="Normal 31 80 2" xfId="23168"/>
    <cellStyle name="Normal 31 80 2 2" xfId="50176"/>
    <cellStyle name="Normal 31 80 3" xfId="36672"/>
    <cellStyle name="Normal 31 81" xfId="9132"/>
    <cellStyle name="Normal 31 81 2" xfId="23296"/>
    <cellStyle name="Normal 31 81 2 2" xfId="50304"/>
    <cellStyle name="Normal 31 81 3" xfId="36800"/>
    <cellStyle name="Normal 31 82" xfId="9274"/>
    <cellStyle name="Normal 31 82 2" xfId="23424"/>
    <cellStyle name="Normal 31 82 2 2" xfId="50432"/>
    <cellStyle name="Normal 31 82 3" xfId="36928"/>
    <cellStyle name="Normal 31 83" xfId="9416"/>
    <cellStyle name="Normal 31 83 2" xfId="23552"/>
    <cellStyle name="Normal 31 83 2 2" xfId="50560"/>
    <cellStyle name="Normal 31 83 3" xfId="37056"/>
    <cellStyle name="Normal 31 84" xfId="9558"/>
    <cellStyle name="Normal 31 84 2" xfId="23680"/>
    <cellStyle name="Normal 31 84 2 2" xfId="50688"/>
    <cellStyle name="Normal 31 84 3" xfId="37184"/>
    <cellStyle name="Normal 31 85" xfId="9700"/>
    <cellStyle name="Normal 31 85 2" xfId="23808"/>
    <cellStyle name="Normal 31 85 2 2" xfId="50816"/>
    <cellStyle name="Normal 31 85 3" xfId="37312"/>
    <cellStyle name="Normal 31 86" xfId="9842"/>
    <cellStyle name="Normal 31 86 2" xfId="23936"/>
    <cellStyle name="Normal 31 86 2 2" xfId="50944"/>
    <cellStyle name="Normal 31 86 3" xfId="37440"/>
    <cellStyle name="Normal 31 87" xfId="9984"/>
    <cellStyle name="Normal 31 87 2" xfId="24064"/>
    <cellStyle name="Normal 31 87 2 2" xfId="51072"/>
    <cellStyle name="Normal 31 87 3" xfId="37568"/>
    <cellStyle name="Normal 31 88" xfId="10126"/>
    <cellStyle name="Normal 31 88 2" xfId="24192"/>
    <cellStyle name="Normal 31 88 2 2" xfId="51200"/>
    <cellStyle name="Normal 31 88 3" xfId="37696"/>
    <cellStyle name="Normal 31 89" xfId="10268"/>
    <cellStyle name="Normal 31 89 2" xfId="24320"/>
    <cellStyle name="Normal 31 89 2 2" xfId="51328"/>
    <cellStyle name="Normal 31 89 3" xfId="37824"/>
    <cellStyle name="Normal 31 9" xfId="1175"/>
    <cellStyle name="Normal 31 9 2" xfId="16347"/>
    <cellStyle name="Normal 31 9 2 2" xfId="43355"/>
    <cellStyle name="Normal 31 9 3" xfId="29851"/>
    <cellStyle name="Normal 31 90" xfId="10410"/>
    <cellStyle name="Normal 31 90 2" xfId="24448"/>
    <cellStyle name="Normal 31 90 2 2" xfId="51456"/>
    <cellStyle name="Normal 31 90 3" xfId="37952"/>
    <cellStyle name="Normal 31 91" xfId="10552"/>
    <cellStyle name="Normal 31 91 2" xfId="24576"/>
    <cellStyle name="Normal 31 91 2 2" xfId="51584"/>
    <cellStyle name="Normal 31 91 3" xfId="38080"/>
    <cellStyle name="Normal 31 92" xfId="10694"/>
    <cellStyle name="Normal 31 92 2" xfId="24704"/>
    <cellStyle name="Normal 31 92 2 2" xfId="51712"/>
    <cellStyle name="Normal 31 92 3" xfId="38208"/>
    <cellStyle name="Normal 31 93" xfId="10836"/>
    <cellStyle name="Normal 31 93 2" xfId="24832"/>
    <cellStyle name="Normal 31 93 2 2" xfId="51840"/>
    <cellStyle name="Normal 31 93 3" xfId="38336"/>
    <cellStyle name="Normal 31 94" xfId="10978"/>
    <cellStyle name="Normal 31 94 2" xfId="24960"/>
    <cellStyle name="Normal 31 94 2 2" xfId="51968"/>
    <cellStyle name="Normal 31 94 3" xfId="38464"/>
    <cellStyle name="Normal 31 95" xfId="11120"/>
    <cellStyle name="Normal 31 95 2" xfId="25088"/>
    <cellStyle name="Normal 31 95 2 2" xfId="52096"/>
    <cellStyle name="Normal 31 95 3" xfId="38592"/>
    <cellStyle name="Normal 31 96" xfId="11262"/>
    <cellStyle name="Normal 31 96 2" xfId="25216"/>
    <cellStyle name="Normal 31 96 2 2" xfId="52224"/>
    <cellStyle name="Normal 31 96 3" xfId="38720"/>
    <cellStyle name="Normal 31 97" xfId="11404"/>
    <cellStyle name="Normal 31 97 2" xfId="25344"/>
    <cellStyle name="Normal 31 97 2 2" xfId="52352"/>
    <cellStyle name="Normal 31 97 3" xfId="38848"/>
    <cellStyle name="Normal 31 98" xfId="11546"/>
    <cellStyle name="Normal 31 98 2" xfId="25472"/>
    <cellStyle name="Normal 31 98 2 2" xfId="52480"/>
    <cellStyle name="Normal 31 98 3" xfId="38976"/>
    <cellStyle name="Normal 31 99" xfId="11688"/>
    <cellStyle name="Normal 31 99 2" xfId="25600"/>
    <cellStyle name="Normal 31 99 2 2" xfId="52608"/>
    <cellStyle name="Normal 31 99 3" xfId="39104"/>
    <cellStyle name="Normal 310" xfId="56419"/>
    <cellStyle name="Normal 311" xfId="56424"/>
    <cellStyle name="Normal 312" xfId="56425"/>
    <cellStyle name="Normal 313" xfId="56428"/>
    <cellStyle name="Normal 314" xfId="56431"/>
    <cellStyle name="Normal 315" xfId="56434"/>
    <cellStyle name="Normal 316" xfId="56437"/>
    <cellStyle name="Normal 317" xfId="56440"/>
    <cellStyle name="Normal 318" xfId="56443"/>
    <cellStyle name="Normal 319" xfId="56446"/>
    <cellStyle name="Normal 32" xfId="177"/>
    <cellStyle name="Normal 32 10" xfId="1282"/>
    <cellStyle name="Normal 32 10 2" xfId="16440"/>
    <cellStyle name="Normal 32 10 2 2" xfId="43448"/>
    <cellStyle name="Normal 32 10 3" xfId="29944"/>
    <cellStyle name="Normal 32 100" xfId="11831"/>
    <cellStyle name="Normal 32 100 2" xfId="25729"/>
    <cellStyle name="Normal 32 100 2 2" xfId="52737"/>
    <cellStyle name="Normal 32 100 3" xfId="39233"/>
    <cellStyle name="Normal 32 101" xfId="11973"/>
    <cellStyle name="Normal 32 101 2" xfId="25857"/>
    <cellStyle name="Normal 32 101 2 2" xfId="52865"/>
    <cellStyle name="Normal 32 101 3" xfId="39361"/>
    <cellStyle name="Normal 32 102" xfId="12115"/>
    <cellStyle name="Normal 32 102 2" xfId="25985"/>
    <cellStyle name="Normal 32 102 2 2" xfId="52993"/>
    <cellStyle name="Normal 32 102 3" xfId="39489"/>
    <cellStyle name="Normal 32 103" xfId="12257"/>
    <cellStyle name="Normal 32 103 2" xfId="26113"/>
    <cellStyle name="Normal 32 103 2 2" xfId="53121"/>
    <cellStyle name="Normal 32 103 3" xfId="39617"/>
    <cellStyle name="Normal 32 104" xfId="12399"/>
    <cellStyle name="Normal 32 104 2" xfId="26241"/>
    <cellStyle name="Normal 32 104 2 2" xfId="53249"/>
    <cellStyle name="Normal 32 104 3" xfId="39745"/>
    <cellStyle name="Normal 32 105" xfId="12541"/>
    <cellStyle name="Normal 32 105 2" xfId="26369"/>
    <cellStyle name="Normal 32 105 2 2" xfId="53377"/>
    <cellStyle name="Normal 32 105 3" xfId="39873"/>
    <cellStyle name="Normal 32 106" xfId="12683"/>
    <cellStyle name="Normal 32 106 2" xfId="26497"/>
    <cellStyle name="Normal 32 106 2 2" xfId="53505"/>
    <cellStyle name="Normal 32 106 3" xfId="40001"/>
    <cellStyle name="Normal 32 107" xfId="12825"/>
    <cellStyle name="Normal 32 107 2" xfId="26625"/>
    <cellStyle name="Normal 32 107 2 2" xfId="53633"/>
    <cellStyle name="Normal 32 107 3" xfId="40129"/>
    <cellStyle name="Normal 32 108" xfId="12967"/>
    <cellStyle name="Normal 32 108 2" xfId="26753"/>
    <cellStyle name="Normal 32 108 2 2" xfId="53761"/>
    <cellStyle name="Normal 32 108 3" xfId="40257"/>
    <cellStyle name="Normal 32 109" xfId="13109"/>
    <cellStyle name="Normal 32 109 2" xfId="26881"/>
    <cellStyle name="Normal 32 109 2 2" xfId="53889"/>
    <cellStyle name="Normal 32 109 3" xfId="40385"/>
    <cellStyle name="Normal 32 11" xfId="1388"/>
    <cellStyle name="Normal 32 11 2" xfId="16532"/>
    <cellStyle name="Normal 32 11 2 2" xfId="43540"/>
    <cellStyle name="Normal 32 11 3" xfId="30036"/>
    <cellStyle name="Normal 32 110" xfId="13251"/>
    <cellStyle name="Normal 32 110 2" xfId="27009"/>
    <cellStyle name="Normal 32 110 2 2" xfId="54017"/>
    <cellStyle name="Normal 32 110 3" xfId="40513"/>
    <cellStyle name="Normal 32 111" xfId="13393"/>
    <cellStyle name="Normal 32 111 2" xfId="27137"/>
    <cellStyle name="Normal 32 111 2 2" xfId="54145"/>
    <cellStyle name="Normal 32 111 3" xfId="40641"/>
    <cellStyle name="Normal 32 112" xfId="13535"/>
    <cellStyle name="Normal 32 112 2" xfId="27265"/>
    <cellStyle name="Normal 32 112 2 2" xfId="54273"/>
    <cellStyle name="Normal 32 112 3" xfId="40769"/>
    <cellStyle name="Normal 32 113" xfId="13677"/>
    <cellStyle name="Normal 32 113 2" xfId="27393"/>
    <cellStyle name="Normal 32 113 2 2" xfId="54401"/>
    <cellStyle name="Normal 32 113 3" xfId="40897"/>
    <cellStyle name="Normal 32 114" xfId="13819"/>
    <cellStyle name="Normal 32 114 2" xfId="27521"/>
    <cellStyle name="Normal 32 114 2 2" xfId="54529"/>
    <cellStyle name="Normal 32 114 3" xfId="41025"/>
    <cellStyle name="Normal 32 115" xfId="13960"/>
    <cellStyle name="Normal 32 115 2" xfId="27648"/>
    <cellStyle name="Normal 32 115 2 2" xfId="54656"/>
    <cellStyle name="Normal 32 115 3" xfId="41152"/>
    <cellStyle name="Normal 32 116" xfId="14101"/>
    <cellStyle name="Normal 32 116 2" xfId="27775"/>
    <cellStyle name="Normal 32 116 2 2" xfId="54783"/>
    <cellStyle name="Normal 32 116 3" xfId="41279"/>
    <cellStyle name="Normal 32 117" xfId="14242"/>
    <cellStyle name="Normal 32 117 2" xfId="27902"/>
    <cellStyle name="Normal 32 117 2 2" xfId="54910"/>
    <cellStyle name="Normal 32 117 3" xfId="41406"/>
    <cellStyle name="Normal 32 118" xfId="14383"/>
    <cellStyle name="Normal 32 118 2" xfId="28029"/>
    <cellStyle name="Normal 32 118 2 2" xfId="55037"/>
    <cellStyle name="Normal 32 118 3" xfId="41533"/>
    <cellStyle name="Normal 32 119" xfId="14523"/>
    <cellStyle name="Normal 32 119 2" xfId="28155"/>
    <cellStyle name="Normal 32 119 2 2" xfId="55163"/>
    <cellStyle name="Normal 32 119 3" xfId="41659"/>
    <cellStyle name="Normal 32 12" xfId="1494"/>
    <cellStyle name="Normal 32 12 2" xfId="16624"/>
    <cellStyle name="Normal 32 12 2 2" xfId="43632"/>
    <cellStyle name="Normal 32 12 3" xfId="30128"/>
    <cellStyle name="Normal 32 120" xfId="14663"/>
    <cellStyle name="Normal 32 120 2" xfId="28281"/>
    <cellStyle name="Normal 32 120 2 2" xfId="55289"/>
    <cellStyle name="Normal 32 120 3" xfId="41785"/>
    <cellStyle name="Normal 32 121" xfId="14802"/>
    <cellStyle name="Normal 32 121 2" xfId="28406"/>
    <cellStyle name="Normal 32 121 2 2" xfId="55414"/>
    <cellStyle name="Normal 32 121 3" xfId="41910"/>
    <cellStyle name="Normal 32 122" xfId="14937"/>
    <cellStyle name="Normal 32 122 2" xfId="28528"/>
    <cellStyle name="Normal 32 122 2 2" xfId="55536"/>
    <cellStyle name="Normal 32 122 3" xfId="42032"/>
    <cellStyle name="Normal 32 123" xfId="15071"/>
    <cellStyle name="Normal 32 123 2" xfId="28649"/>
    <cellStyle name="Normal 32 123 2 2" xfId="55657"/>
    <cellStyle name="Normal 32 123 3" xfId="42153"/>
    <cellStyle name="Normal 32 124" xfId="15198"/>
    <cellStyle name="Normal 32 124 2" xfId="28765"/>
    <cellStyle name="Normal 32 124 2 2" xfId="55773"/>
    <cellStyle name="Normal 32 124 3" xfId="42269"/>
    <cellStyle name="Normal 32 125" xfId="15318"/>
    <cellStyle name="Normal 32 125 2" xfId="28878"/>
    <cellStyle name="Normal 32 125 2 2" xfId="55886"/>
    <cellStyle name="Normal 32 125 3" xfId="42382"/>
    <cellStyle name="Normal 32 126" xfId="15533"/>
    <cellStyle name="Normal 32 126 2" xfId="42541"/>
    <cellStyle name="Normal 32 127" xfId="29037"/>
    <cellStyle name="Normal 32 13" xfId="1600"/>
    <cellStyle name="Normal 32 13 2" xfId="16716"/>
    <cellStyle name="Normal 32 13 2 2" xfId="43724"/>
    <cellStyle name="Normal 32 13 3" xfId="30220"/>
    <cellStyle name="Normal 32 14" xfId="1706"/>
    <cellStyle name="Normal 32 14 2" xfId="16808"/>
    <cellStyle name="Normal 32 14 2 2" xfId="43816"/>
    <cellStyle name="Normal 32 14 3" xfId="30312"/>
    <cellStyle name="Normal 32 15" xfId="1812"/>
    <cellStyle name="Normal 32 15 2" xfId="16900"/>
    <cellStyle name="Normal 32 15 2 2" xfId="43908"/>
    <cellStyle name="Normal 32 15 3" xfId="30404"/>
    <cellStyle name="Normal 32 16" xfId="1918"/>
    <cellStyle name="Normal 32 16 2" xfId="16992"/>
    <cellStyle name="Normal 32 16 2 2" xfId="44000"/>
    <cellStyle name="Normal 32 16 3" xfId="30496"/>
    <cellStyle name="Normal 32 17" xfId="2024"/>
    <cellStyle name="Normal 32 17 2" xfId="17084"/>
    <cellStyle name="Normal 32 17 2 2" xfId="44092"/>
    <cellStyle name="Normal 32 17 3" xfId="30588"/>
    <cellStyle name="Normal 32 18" xfId="2130"/>
    <cellStyle name="Normal 32 18 2" xfId="17176"/>
    <cellStyle name="Normal 32 18 2 2" xfId="44184"/>
    <cellStyle name="Normal 32 18 3" xfId="30680"/>
    <cellStyle name="Normal 32 19" xfId="2236"/>
    <cellStyle name="Normal 32 19 2" xfId="17268"/>
    <cellStyle name="Normal 32 19 2 2" xfId="44276"/>
    <cellStyle name="Normal 32 19 3" xfId="30772"/>
    <cellStyle name="Normal 32 2" xfId="354"/>
    <cellStyle name="Normal 32 2 2" xfId="15656"/>
    <cellStyle name="Normal 32 2 2 2" xfId="42664"/>
    <cellStyle name="Normal 32 2 3" xfId="29160"/>
    <cellStyle name="Normal 32 20" xfId="2342"/>
    <cellStyle name="Normal 32 20 2" xfId="17360"/>
    <cellStyle name="Normal 32 20 2 2" xfId="44368"/>
    <cellStyle name="Normal 32 20 3" xfId="30864"/>
    <cellStyle name="Normal 32 21" xfId="2448"/>
    <cellStyle name="Normal 32 21 2" xfId="17452"/>
    <cellStyle name="Normal 32 21 2 2" xfId="44460"/>
    <cellStyle name="Normal 32 21 3" xfId="30956"/>
    <cellStyle name="Normal 32 22" xfId="2554"/>
    <cellStyle name="Normal 32 22 2" xfId="17544"/>
    <cellStyle name="Normal 32 22 2 2" xfId="44552"/>
    <cellStyle name="Normal 32 22 3" xfId="31048"/>
    <cellStyle name="Normal 32 23" xfId="2660"/>
    <cellStyle name="Normal 32 23 2" xfId="17636"/>
    <cellStyle name="Normal 32 23 2 2" xfId="44644"/>
    <cellStyle name="Normal 32 23 3" xfId="31140"/>
    <cellStyle name="Normal 32 24" xfId="2766"/>
    <cellStyle name="Normal 32 24 2" xfId="17728"/>
    <cellStyle name="Normal 32 24 2 2" xfId="44736"/>
    <cellStyle name="Normal 32 24 3" xfId="31232"/>
    <cellStyle name="Normal 32 25" xfId="2872"/>
    <cellStyle name="Normal 32 25 2" xfId="17820"/>
    <cellStyle name="Normal 32 25 2 2" xfId="44828"/>
    <cellStyle name="Normal 32 25 3" xfId="31324"/>
    <cellStyle name="Normal 32 26" xfId="2978"/>
    <cellStyle name="Normal 32 26 2" xfId="17912"/>
    <cellStyle name="Normal 32 26 2 2" xfId="44920"/>
    <cellStyle name="Normal 32 26 3" xfId="31416"/>
    <cellStyle name="Normal 32 27" xfId="3084"/>
    <cellStyle name="Normal 32 27 2" xfId="18004"/>
    <cellStyle name="Normal 32 27 2 2" xfId="45012"/>
    <cellStyle name="Normal 32 27 3" xfId="31508"/>
    <cellStyle name="Normal 32 28" xfId="3190"/>
    <cellStyle name="Normal 32 28 2" xfId="18096"/>
    <cellStyle name="Normal 32 28 2 2" xfId="45104"/>
    <cellStyle name="Normal 32 28 3" xfId="31600"/>
    <cellStyle name="Normal 32 29" xfId="3296"/>
    <cellStyle name="Normal 32 29 2" xfId="18188"/>
    <cellStyle name="Normal 32 29 2 2" xfId="45196"/>
    <cellStyle name="Normal 32 29 3" xfId="31692"/>
    <cellStyle name="Normal 32 3" xfId="541"/>
    <cellStyle name="Normal 32 3 2" xfId="15797"/>
    <cellStyle name="Normal 32 3 2 2" xfId="42805"/>
    <cellStyle name="Normal 32 3 3" xfId="29301"/>
    <cellStyle name="Normal 32 30" xfId="3402"/>
    <cellStyle name="Normal 32 30 2" xfId="18280"/>
    <cellStyle name="Normal 32 30 2 2" xfId="45288"/>
    <cellStyle name="Normal 32 30 3" xfId="31784"/>
    <cellStyle name="Normal 32 31" xfId="3508"/>
    <cellStyle name="Normal 32 31 2" xfId="18372"/>
    <cellStyle name="Normal 32 31 2 2" xfId="45380"/>
    <cellStyle name="Normal 32 31 3" xfId="31876"/>
    <cellStyle name="Normal 32 32" xfId="3614"/>
    <cellStyle name="Normal 32 32 2" xfId="18464"/>
    <cellStyle name="Normal 32 32 2 2" xfId="45472"/>
    <cellStyle name="Normal 32 32 3" xfId="31968"/>
    <cellStyle name="Normal 32 33" xfId="3720"/>
    <cellStyle name="Normal 32 33 2" xfId="18556"/>
    <cellStyle name="Normal 32 33 2 2" xfId="45564"/>
    <cellStyle name="Normal 32 33 3" xfId="32060"/>
    <cellStyle name="Normal 32 34" xfId="3826"/>
    <cellStyle name="Normal 32 34 2" xfId="18648"/>
    <cellStyle name="Normal 32 34 2 2" xfId="45656"/>
    <cellStyle name="Normal 32 34 3" xfId="32152"/>
    <cellStyle name="Normal 32 35" xfId="3932"/>
    <cellStyle name="Normal 32 35 2" xfId="18740"/>
    <cellStyle name="Normal 32 35 2 2" xfId="45748"/>
    <cellStyle name="Normal 32 35 3" xfId="32244"/>
    <cellStyle name="Normal 32 36" xfId="4038"/>
    <cellStyle name="Normal 32 36 2" xfId="18832"/>
    <cellStyle name="Normal 32 36 2 2" xfId="45840"/>
    <cellStyle name="Normal 32 36 3" xfId="32336"/>
    <cellStyle name="Normal 32 37" xfId="4144"/>
    <cellStyle name="Normal 32 37 2" xfId="18924"/>
    <cellStyle name="Normal 32 37 2 2" xfId="45932"/>
    <cellStyle name="Normal 32 37 3" xfId="32428"/>
    <cellStyle name="Normal 32 38" xfId="4250"/>
    <cellStyle name="Normal 32 38 2" xfId="19016"/>
    <cellStyle name="Normal 32 38 2 2" xfId="46024"/>
    <cellStyle name="Normal 32 38 3" xfId="32520"/>
    <cellStyle name="Normal 32 39" xfId="4356"/>
    <cellStyle name="Normal 32 39 2" xfId="19108"/>
    <cellStyle name="Normal 32 39 2 2" xfId="46116"/>
    <cellStyle name="Normal 32 39 3" xfId="32612"/>
    <cellStyle name="Normal 32 4" xfId="646"/>
    <cellStyle name="Normal 32 4 2" xfId="15888"/>
    <cellStyle name="Normal 32 4 2 2" xfId="42896"/>
    <cellStyle name="Normal 32 4 3" xfId="29392"/>
    <cellStyle name="Normal 32 40" xfId="4462"/>
    <cellStyle name="Normal 32 40 2" xfId="19200"/>
    <cellStyle name="Normal 32 40 2 2" xfId="46208"/>
    <cellStyle name="Normal 32 40 3" xfId="32704"/>
    <cellStyle name="Normal 32 41" xfId="4568"/>
    <cellStyle name="Normal 32 41 2" xfId="19292"/>
    <cellStyle name="Normal 32 41 2 2" xfId="46300"/>
    <cellStyle name="Normal 32 41 3" xfId="32796"/>
    <cellStyle name="Normal 32 42" xfId="4674"/>
    <cellStyle name="Normal 32 42 2" xfId="19384"/>
    <cellStyle name="Normal 32 42 2 2" xfId="46392"/>
    <cellStyle name="Normal 32 42 3" xfId="32888"/>
    <cellStyle name="Normal 32 43" xfId="4780"/>
    <cellStyle name="Normal 32 43 2" xfId="19476"/>
    <cellStyle name="Normal 32 43 2 2" xfId="46484"/>
    <cellStyle name="Normal 32 43 3" xfId="32980"/>
    <cellStyle name="Normal 32 44" xfId="4886"/>
    <cellStyle name="Normal 32 44 2" xfId="19568"/>
    <cellStyle name="Normal 32 44 2 2" xfId="46576"/>
    <cellStyle name="Normal 32 44 3" xfId="33072"/>
    <cellStyle name="Normal 32 45" xfId="4992"/>
    <cellStyle name="Normal 32 45 2" xfId="19660"/>
    <cellStyle name="Normal 32 45 2 2" xfId="46668"/>
    <cellStyle name="Normal 32 45 3" xfId="33164"/>
    <cellStyle name="Normal 32 46" xfId="5098"/>
    <cellStyle name="Normal 32 46 2" xfId="19752"/>
    <cellStyle name="Normal 32 46 2 2" xfId="46760"/>
    <cellStyle name="Normal 32 46 3" xfId="33256"/>
    <cellStyle name="Normal 32 47" xfId="5204"/>
    <cellStyle name="Normal 32 47 2" xfId="19844"/>
    <cellStyle name="Normal 32 47 2 2" xfId="46852"/>
    <cellStyle name="Normal 32 47 3" xfId="33348"/>
    <cellStyle name="Normal 32 48" xfId="5310"/>
    <cellStyle name="Normal 32 48 2" xfId="19936"/>
    <cellStyle name="Normal 32 48 2 2" xfId="46944"/>
    <cellStyle name="Normal 32 48 3" xfId="33440"/>
    <cellStyle name="Normal 32 49" xfId="5416"/>
    <cellStyle name="Normal 32 49 2" xfId="20028"/>
    <cellStyle name="Normal 32 49 2 2" xfId="47036"/>
    <cellStyle name="Normal 32 49 3" xfId="33532"/>
    <cellStyle name="Normal 32 5" xfId="752"/>
    <cellStyle name="Normal 32 5 2" xfId="15980"/>
    <cellStyle name="Normal 32 5 2 2" xfId="42988"/>
    <cellStyle name="Normal 32 5 3" xfId="29484"/>
    <cellStyle name="Normal 32 50" xfId="5522"/>
    <cellStyle name="Normal 32 50 2" xfId="20120"/>
    <cellStyle name="Normal 32 50 2 2" xfId="47128"/>
    <cellStyle name="Normal 32 50 3" xfId="33624"/>
    <cellStyle name="Normal 32 51" xfId="5628"/>
    <cellStyle name="Normal 32 51 2" xfId="20212"/>
    <cellStyle name="Normal 32 51 2 2" xfId="47220"/>
    <cellStyle name="Normal 32 51 3" xfId="33716"/>
    <cellStyle name="Normal 32 52" xfId="5734"/>
    <cellStyle name="Normal 32 52 2" xfId="20304"/>
    <cellStyle name="Normal 32 52 2 2" xfId="47312"/>
    <cellStyle name="Normal 32 52 3" xfId="33808"/>
    <cellStyle name="Normal 32 53" xfId="5840"/>
    <cellStyle name="Normal 32 53 2" xfId="20396"/>
    <cellStyle name="Normal 32 53 2 2" xfId="47404"/>
    <cellStyle name="Normal 32 53 3" xfId="33900"/>
    <cellStyle name="Normal 32 54" xfId="5946"/>
    <cellStyle name="Normal 32 54 2" xfId="20488"/>
    <cellStyle name="Normal 32 54 2 2" xfId="47496"/>
    <cellStyle name="Normal 32 54 3" xfId="33992"/>
    <cellStyle name="Normal 32 55" xfId="6052"/>
    <cellStyle name="Normal 32 55 2" xfId="20580"/>
    <cellStyle name="Normal 32 55 2 2" xfId="47588"/>
    <cellStyle name="Normal 32 55 3" xfId="34084"/>
    <cellStyle name="Normal 32 56" xfId="6158"/>
    <cellStyle name="Normal 32 56 2" xfId="20672"/>
    <cellStyle name="Normal 32 56 2 2" xfId="47680"/>
    <cellStyle name="Normal 32 56 3" xfId="34176"/>
    <cellStyle name="Normal 32 57" xfId="6264"/>
    <cellStyle name="Normal 32 57 2" xfId="20764"/>
    <cellStyle name="Normal 32 57 2 2" xfId="47772"/>
    <cellStyle name="Normal 32 57 3" xfId="34268"/>
    <cellStyle name="Normal 32 58" xfId="6370"/>
    <cellStyle name="Normal 32 58 2" xfId="20856"/>
    <cellStyle name="Normal 32 58 2 2" xfId="47864"/>
    <cellStyle name="Normal 32 58 3" xfId="34360"/>
    <cellStyle name="Normal 32 59" xfId="6476"/>
    <cellStyle name="Normal 32 59 2" xfId="20948"/>
    <cellStyle name="Normal 32 59 2 2" xfId="47956"/>
    <cellStyle name="Normal 32 59 3" xfId="34452"/>
    <cellStyle name="Normal 32 6" xfId="858"/>
    <cellStyle name="Normal 32 6 2" xfId="16072"/>
    <cellStyle name="Normal 32 6 2 2" xfId="43080"/>
    <cellStyle name="Normal 32 6 3" xfId="29576"/>
    <cellStyle name="Normal 32 60" xfId="6582"/>
    <cellStyle name="Normal 32 60 2" xfId="21040"/>
    <cellStyle name="Normal 32 60 2 2" xfId="48048"/>
    <cellStyle name="Normal 32 60 3" xfId="34544"/>
    <cellStyle name="Normal 32 61" xfId="6687"/>
    <cellStyle name="Normal 32 61 2" xfId="21131"/>
    <cellStyle name="Normal 32 61 2 2" xfId="48139"/>
    <cellStyle name="Normal 32 61 3" xfId="34635"/>
    <cellStyle name="Normal 32 62" xfId="6792"/>
    <cellStyle name="Normal 32 62 2" xfId="21222"/>
    <cellStyle name="Normal 32 62 2 2" xfId="48230"/>
    <cellStyle name="Normal 32 62 3" xfId="34726"/>
    <cellStyle name="Normal 32 63" xfId="6897"/>
    <cellStyle name="Normal 32 63 2" xfId="21313"/>
    <cellStyle name="Normal 32 63 2 2" xfId="48321"/>
    <cellStyle name="Normal 32 63 3" xfId="34817"/>
    <cellStyle name="Normal 32 64" xfId="7002"/>
    <cellStyle name="Normal 32 64 2" xfId="21404"/>
    <cellStyle name="Normal 32 64 2 2" xfId="48412"/>
    <cellStyle name="Normal 32 64 3" xfId="34908"/>
    <cellStyle name="Normal 32 65" xfId="7106"/>
    <cellStyle name="Normal 32 65 2" xfId="21494"/>
    <cellStyle name="Normal 32 65 2 2" xfId="48502"/>
    <cellStyle name="Normal 32 65 3" xfId="34998"/>
    <cellStyle name="Normal 32 66" xfId="7210"/>
    <cellStyle name="Normal 32 66 2" xfId="21584"/>
    <cellStyle name="Normal 32 66 2 2" xfId="48592"/>
    <cellStyle name="Normal 32 66 3" xfId="35088"/>
    <cellStyle name="Normal 32 67" xfId="7313"/>
    <cellStyle name="Normal 32 67 2" xfId="21673"/>
    <cellStyle name="Normal 32 67 2 2" xfId="48681"/>
    <cellStyle name="Normal 32 67 3" xfId="35177"/>
    <cellStyle name="Normal 32 68" xfId="7413"/>
    <cellStyle name="Normal 32 68 2" xfId="21760"/>
    <cellStyle name="Normal 32 68 2 2" xfId="48768"/>
    <cellStyle name="Normal 32 68 3" xfId="35264"/>
    <cellStyle name="Normal 32 69" xfId="7511"/>
    <cellStyle name="Normal 32 69 2" xfId="21845"/>
    <cellStyle name="Normal 32 69 2 2" xfId="48853"/>
    <cellStyle name="Normal 32 69 3" xfId="35349"/>
    <cellStyle name="Normal 32 7" xfId="964"/>
    <cellStyle name="Normal 32 7 2" xfId="16164"/>
    <cellStyle name="Normal 32 7 2 2" xfId="43172"/>
    <cellStyle name="Normal 32 7 3" xfId="29668"/>
    <cellStyle name="Normal 32 70" xfId="7600"/>
    <cellStyle name="Normal 32 70 2" xfId="21923"/>
    <cellStyle name="Normal 32 70 2 2" xfId="48931"/>
    <cellStyle name="Normal 32 70 3" xfId="35427"/>
    <cellStyle name="Normal 32 71" xfId="7676"/>
    <cellStyle name="Normal 32 71 2" xfId="21992"/>
    <cellStyle name="Normal 32 71 2 2" xfId="49000"/>
    <cellStyle name="Normal 32 71 3" xfId="35496"/>
    <cellStyle name="Normal 32 72" xfId="7855"/>
    <cellStyle name="Normal 32 72 2" xfId="22145"/>
    <cellStyle name="Normal 32 72 2 2" xfId="49153"/>
    <cellStyle name="Normal 32 72 3" xfId="35649"/>
    <cellStyle name="Normal 32 73" xfId="7997"/>
    <cellStyle name="Normal 32 73 2" xfId="22273"/>
    <cellStyle name="Normal 32 73 2 2" xfId="49281"/>
    <cellStyle name="Normal 32 73 3" xfId="35777"/>
    <cellStyle name="Normal 32 74" xfId="8139"/>
    <cellStyle name="Normal 32 74 2" xfId="22401"/>
    <cellStyle name="Normal 32 74 2 2" xfId="49409"/>
    <cellStyle name="Normal 32 74 3" xfId="35905"/>
    <cellStyle name="Normal 32 75" xfId="8281"/>
    <cellStyle name="Normal 32 75 2" xfId="22529"/>
    <cellStyle name="Normal 32 75 2 2" xfId="49537"/>
    <cellStyle name="Normal 32 75 3" xfId="36033"/>
    <cellStyle name="Normal 32 76" xfId="8423"/>
    <cellStyle name="Normal 32 76 2" xfId="22657"/>
    <cellStyle name="Normal 32 76 2 2" xfId="49665"/>
    <cellStyle name="Normal 32 76 3" xfId="36161"/>
    <cellStyle name="Normal 32 77" xfId="8565"/>
    <cellStyle name="Normal 32 77 2" xfId="22785"/>
    <cellStyle name="Normal 32 77 2 2" xfId="49793"/>
    <cellStyle name="Normal 32 77 3" xfId="36289"/>
    <cellStyle name="Normal 32 78" xfId="8707"/>
    <cellStyle name="Normal 32 78 2" xfId="22913"/>
    <cellStyle name="Normal 32 78 2 2" xfId="49921"/>
    <cellStyle name="Normal 32 78 3" xfId="36417"/>
    <cellStyle name="Normal 32 79" xfId="8849"/>
    <cellStyle name="Normal 32 79 2" xfId="23041"/>
    <cellStyle name="Normal 32 79 2 2" xfId="50049"/>
    <cellStyle name="Normal 32 79 3" xfId="36545"/>
    <cellStyle name="Normal 32 8" xfId="1070"/>
    <cellStyle name="Normal 32 8 2" xfId="16256"/>
    <cellStyle name="Normal 32 8 2 2" xfId="43264"/>
    <cellStyle name="Normal 32 8 3" xfId="29760"/>
    <cellStyle name="Normal 32 80" xfId="8991"/>
    <cellStyle name="Normal 32 80 2" xfId="23169"/>
    <cellStyle name="Normal 32 80 2 2" xfId="50177"/>
    <cellStyle name="Normal 32 80 3" xfId="36673"/>
    <cellStyle name="Normal 32 81" xfId="9133"/>
    <cellStyle name="Normal 32 81 2" xfId="23297"/>
    <cellStyle name="Normal 32 81 2 2" xfId="50305"/>
    <cellStyle name="Normal 32 81 3" xfId="36801"/>
    <cellStyle name="Normal 32 82" xfId="9275"/>
    <cellStyle name="Normal 32 82 2" xfId="23425"/>
    <cellStyle name="Normal 32 82 2 2" xfId="50433"/>
    <cellStyle name="Normal 32 82 3" xfId="36929"/>
    <cellStyle name="Normal 32 83" xfId="9417"/>
    <cellStyle name="Normal 32 83 2" xfId="23553"/>
    <cellStyle name="Normal 32 83 2 2" xfId="50561"/>
    <cellStyle name="Normal 32 83 3" xfId="37057"/>
    <cellStyle name="Normal 32 84" xfId="9559"/>
    <cellStyle name="Normal 32 84 2" xfId="23681"/>
    <cellStyle name="Normal 32 84 2 2" xfId="50689"/>
    <cellStyle name="Normal 32 84 3" xfId="37185"/>
    <cellStyle name="Normal 32 85" xfId="9701"/>
    <cellStyle name="Normal 32 85 2" xfId="23809"/>
    <cellStyle name="Normal 32 85 2 2" xfId="50817"/>
    <cellStyle name="Normal 32 85 3" xfId="37313"/>
    <cellStyle name="Normal 32 86" xfId="9843"/>
    <cellStyle name="Normal 32 86 2" xfId="23937"/>
    <cellStyle name="Normal 32 86 2 2" xfId="50945"/>
    <cellStyle name="Normal 32 86 3" xfId="37441"/>
    <cellStyle name="Normal 32 87" xfId="9985"/>
    <cellStyle name="Normal 32 87 2" xfId="24065"/>
    <cellStyle name="Normal 32 87 2 2" xfId="51073"/>
    <cellStyle name="Normal 32 87 3" xfId="37569"/>
    <cellStyle name="Normal 32 88" xfId="10127"/>
    <cellStyle name="Normal 32 88 2" xfId="24193"/>
    <cellStyle name="Normal 32 88 2 2" xfId="51201"/>
    <cellStyle name="Normal 32 88 3" xfId="37697"/>
    <cellStyle name="Normal 32 89" xfId="10269"/>
    <cellStyle name="Normal 32 89 2" xfId="24321"/>
    <cellStyle name="Normal 32 89 2 2" xfId="51329"/>
    <cellStyle name="Normal 32 89 3" xfId="37825"/>
    <cellStyle name="Normal 32 9" xfId="1176"/>
    <cellStyle name="Normal 32 9 2" xfId="16348"/>
    <cellStyle name="Normal 32 9 2 2" xfId="43356"/>
    <cellStyle name="Normal 32 9 3" xfId="29852"/>
    <cellStyle name="Normal 32 90" xfId="10411"/>
    <cellStyle name="Normal 32 90 2" xfId="24449"/>
    <cellStyle name="Normal 32 90 2 2" xfId="51457"/>
    <cellStyle name="Normal 32 90 3" xfId="37953"/>
    <cellStyle name="Normal 32 91" xfId="10553"/>
    <cellStyle name="Normal 32 91 2" xfId="24577"/>
    <cellStyle name="Normal 32 91 2 2" xfId="51585"/>
    <cellStyle name="Normal 32 91 3" xfId="38081"/>
    <cellStyle name="Normal 32 92" xfId="10695"/>
    <cellStyle name="Normal 32 92 2" xfId="24705"/>
    <cellStyle name="Normal 32 92 2 2" xfId="51713"/>
    <cellStyle name="Normal 32 92 3" xfId="38209"/>
    <cellStyle name="Normal 32 93" xfId="10837"/>
    <cellStyle name="Normal 32 93 2" xfId="24833"/>
    <cellStyle name="Normal 32 93 2 2" xfId="51841"/>
    <cellStyle name="Normal 32 93 3" xfId="38337"/>
    <cellStyle name="Normal 32 94" xfId="10979"/>
    <cellStyle name="Normal 32 94 2" xfId="24961"/>
    <cellStyle name="Normal 32 94 2 2" xfId="51969"/>
    <cellStyle name="Normal 32 94 3" xfId="38465"/>
    <cellStyle name="Normal 32 95" xfId="11121"/>
    <cellStyle name="Normal 32 95 2" xfId="25089"/>
    <cellStyle name="Normal 32 95 2 2" xfId="52097"/>
    <cellStyle name="Normal 32 95 3" xfId="38593"/>
    <cellStyle name="Normal 32 96" xfId="11263"/>
    <cellStyle name="Normal 32 96 2" xfId="25217"/>
    <cellStyle name="Normal 32 96 2 2" xfId="52225"/>
    <cellStyle name="Normal 32 96 3" xfId="38721"/>
    <cellStyle name="Normal 32 97" xfId="11405"/>
    <cellStyle name="Normal 32 97 2" xfId="25345"/>
    <cellStyle name="Normal 32 97 2 2" xfId="52353"/>
    <cellStyle name="Normal 32 97 3" xfId="38849"/>
    <cellStyle name="Normal 32 98" xfId="11547"/>
    <cellStyle name="Normal 32 98 2" xfId="25473"/>
    <cellStyle name="Normal 32 98 2 2" xfId="52481"/>
    <cellStyle name="Normal 32 98 3" xfId="38977"/>
    <cellStyle name="Normal 32 99" xfId="11689"/>
    <cellStyle name="Normal 32 99 2" xfId="25601"/>
    <cellStyle name="Normal 32 99 2 2" xfId="52609"/>
    <cellStyle name="Normal 32 99 3" xfId="39105"/>
    <cellStyle name="Normal 320" xfId="56449"/>
    <cellStyle name="Normal 321" xfId="56452"/>
    <cellStyle name="Normal 322" xfId="56455"/>
    <cellStyle name="Normal 323" xfId="56458"/>
    <cellStyle name="Normal 324" xfId="56461"/>
    <cellStyle name="Normal 325" xfId="56464"/>
    <cellStyle name="Normal 326" xfId="56467"/>
    <cellStyle name="Normal 327" xfId="56470"/>
    <cellStyle name="Normal 328" xfId="56473"/>
    <cellStyle name="Normal 329" xfId="56476"/>
    <cellStyle name="Normal 33" xfId="178"/>
    <cellStyle name="Normal 33 10" xfId="1283"/>
    <cellStyle name="Normal 33 10 2" xfId="16441"/>
    <cellStyle name="Normal 33 10 2 2" xfId="43449"/>
    <cellStyle name="Normal 33 10 3" xfId="29945"/>
    <cellStyle name="Normal 33 100" xfId="11832"/>
    <cellStyle name="Normal 33 100 2" xfId="25730"/>
    <cellStyle name="Normal 33 100 2 2" xfId="52738"/>
    <cellStyle name="Normal 33 100 3" xfId="39234"/>
    <cellStyle name="Normal 33 101" xfId="11974"/>
    <cellStyle name="Normal 33 101 2" xfId="25858"/>
    <cellStyle name="Normal 33 101 2 2" xfId="52866"/>
    <cellStyle name="Normal 33 101 3" xfId="39362"/>
    <cellStyle name="Normal 33 102" xfId="12116"/>
    <cellStyle name="Normal 33 102 2" xfId="25986"/>
    <cellStyle name="Normal 33 102 2 2" xfId="52994"/>
    <cellStyle name="Normal 33 102 3" xfId="39490"/>
    <cellStyle name="Normal 33 103" xfId="12258"/>
    <cellStyle name="Normal 33 103 2" xfId="26114"/>
    <cellStyle name="Normal 33 103 2 2" xfId="53122"/>
    <cellStyle name="Normal 33 103 3" xfId="39618"/>
    <cellStyle name="Normal 33 104" xfId="12400"/>
    <cellStyle name="Normal 33 104 2" xfId="26242"/>
    <cellStyle name="Normal 33 104 2 2" xfId="53250"/>
    <cellStyle name="Normal 33 104 3" xfId="39746"/>
    <cellStyle name="Normal 33 105" xfId="12542"/>
    <cellStyle name="Normal 33 105 2" xfId="26370"/>
    <cellStyle name="Normal 33 105 2 2" xfId="53378"/>
    <cellStyle name="Normal 33 105 3" xfId="39874"/>
    <cellStyle name="Normal 33 106" xfId="12684"/>
    <cellStyle name="Normal 33 106 2" xfId="26498"/>
    <cellStyle name="Normal 33 106 2 2" xfId="53506"/>
    <cellStyle name="Normal 33 106 3" xfId="40002"/>
    <cellStyle name="Normal 33 107" xfId="12826"/>
    <cellStyle name="Normal 33 107 2" xfId="26626"/>
    <cellStyle name="Normal 33 107 2 2" xfId="53634"/>
    <cellStyle name="Normal 33 107 3" xfId="40130"/>
    <cellStyle name="Normal 33 108" xfId="12968"/>
    <cellStyle name="Normal 33 108 2" xfId="26754"/>
    <cellStyle name="Normal 33 108 2 2" xfId="53762"/>
    <cellStyle name="Normal 33 108 3" xfId="40258"/>
    <cellStyle name="Normal 33 109" xfId="13110"/>
    <cellStyle name="Normal 33 109 2" xfId="26882"/>
    <cellStyle name="Normal 33 109 2 2" xfId="53890"/>
    <cellStyle name="Normal 33 109 3" xfId="40386"/>
    <cellStyle name="Normal 33 11" xfId="1389"/>
    <cellStyle name="Normal 33 11 2" xfId="16533"/>
    <cellStyle name="Normal 33 11 2 2" xfId="43541"/>
    <cellStyle name="Normal 33 11 3" xfId="30037"/>
    <cellStyle name="Normal 33 110" xfId="13252"/>
    <cellStyle name="Normal 33 110 2" xfId="27010"/>
    <cellStyle name="Normal 33 110 2 2" xfId="54018"/>
    <cellStyle name="Normal 33 110 3" xfId="40514"/>
    <cellStyle name="Normal 33 111" xfId="13394"/>
    <cellStyle name="Normal 33 111 2" xfId="27138"/>
    <cellStyle name="Normal 33 111 2 2" xfId="54146"/>
    <cellStyle name="Normal 33 111 3" xfId="40642"/>
    <cellStyle name="Normal 33 112" xfId="13536"/>
    <cellStyle name="Normal 33 112 2" xfId="27266"/>
    <cellStyle name="Normal 33 112 2 2" xfId="54274"/>
    <cellStyle name="Normal 33 112 3" xfId="40770"/>
    <cellStyle name="Normal 33 113" xfId="13678"/>
    <cellStyle name="Normal 33 113 2" xfId="27394"/>
    <cellStyle name="Normal 33 113 2 2" xfId="54402"/>
    <cellStyle name="Normal 33 113 3" xfId="40898"/>
    <cellStyle name="Normal 33 114" xfId="13820"/>
    <cellStyle name="Normal 33 114 2" xfId="27522"/>
    <cellStyle name="Normal 33 114 2 2" xfId="54530"/>
    <cellStyle name="Normal 33 114 3" xfId="41026"/>
    <cellStyle name="Normal 33 115" xfId="13961"/>
    <cellStyle name="Normal 33 115 2" xfId="27649"/>
    <cellStyle name="Normal 33 115 2 2" xfId="54657"/>
    <cellStyle name="Normal 33 115 3" xfId="41153"/>
    <cellStyle name="Normal 33 116" xfId="14102"/>
    <cellStyle name="Normal 33 116 2" xfId="27776"/>
    <cellStyle name="Normal 33 116 2 2" xfId="54784"/>
    <cellStyle name="Normal 33 116 3" xfId="41280"/>
    <cellStyle name="Normal 33 117" xfId="14243"/>
    <cellStyle name="Normal 33 117 2" xfId="27903"/>
    <cellStyle name="Normal 33 117 2 2" xfId="54911"/>
    <cellStyle name="Normal 33 117 3" xfId="41407"/>
    <cellStyle name="Normal 33 118" xfId="14384"/>
    <cellStyle name="Normal 33 118 2" xfId="28030"/>
    <cellStyle name="Normal 33 118 2 2" xfId="55038"/>
    <cellStyle name="Normal 33 118 3" xfId="41534"/>
    <cellStyle name="Normal 33 119" xfId="14524"/>
    <cellStyle name="Normal 33 119 2" xfId="28156"/>
    <cellStyle name="Normal 33 119 2 2" xfId="55164"/>
    <cellStyle name="Normal 33 119 3" xfId="41660"/>
    <cellStyle name="Normal 33 12" xfId="1495"/>
    <cellStyle name="Normal 33 12 2" xfId="16625"/>
    <cellStyle name="Normal 33 12 2 2" xfId="43633"/>
    <cellStyle name="Normal 33 12 3" xfId="30129"/>
    <cellStyle name="Normal 33 120" xfId="14664"/>
    <cellStyle name="Normal 33 120 2" xfId="28282"/>
    <cellStyle name="Normal 33 120 2 2" xfId="55290"/>
    <cellStyle name="Normal 33 120 3" xfId="41786"/>
    <cellStyle name="Normal 33 121" xfId="14803"/>
    <cellStyle name="Normal 33 121 2" xfId="28407"/>
    <cellStyle name="Normal 33 121 2 2" xfId="55415"/>
    <cellStyle name="Normal 33 121 3" xfId="41911"/>
    <cellStyle name="Normal 33 122" xfId="14938"/>
    <cellStyle name="Normal 33 122 2" xfId="28529"/>
    <cellStyle name="Normal 33 122 2 2" xfId="55537"/>
    <cellStyle name="Normal 33 122 3" xfId="42033"/>
    <cellStyle name="Normal 33 123" xfId="15072"/>
    <cellStyle name="Normal 33 123 2" xfId="28650"/>
    <cellStyle name="Normal 33 123 2 2" xfId="55658"/>
    <cellStyle name="Normal 33 123 3" xfId="42154"/>
    <cellStyle name="Normal 33 124" xfId="15199"/>
    <cellStyle name="Normal 33 124 2" xfId="28766"/>
    <cellStyle name="Normal 33 124 2 2" xfId="55774"/>
    <cellStyle name="Normal 33 124 3" xfId="42270"/>
    <cellStyle name="Normal 33 125" xfId="15319"/>
    <cellStyle name="Normal 33 125 2" xfId="28879"/>
    <cellStyle name="Normal 33 125 2 2" xfId="55887"/>
    <cellStyle name="Normal 33 125 3" xfId="42383"/>
    <cellStyle name="Normal 33 126" xfId="15534"/>
    <cellStyle name="Normal 33 126 2" xfId="42542"/>
    <cellStyle name="Normal 33 127" xfId="29038"/>
    <cellStyle name="Normal 33 13" xfId="1601"/>
    <cellStyle name="Normal 33 13 2" xfId="16717"/>
    <cellStyle name="Normal 33 13 2 2" xfId="43725"/>
    <cellStyle name="Normal 33 13 3" xfId="30221"/>
    <cellStyle name="Normal 33 14" xfId="1707"/>
    <cellStyle name="Normal 33 14 2" xfId="16809"/>
    <cellStyle name="Normal 33 14 2 2" xfId="43817"/>
    <cellStyle name="Normal 33 14 3" xfId="30313"/>
    <cellStyle name="Normal 33 15" xfId="1813"/>
    <cellStyle name="Normal 33 15 2" xfId="16901"/>
    <cellStyle name="Normal 33 15 2 2" xfId="43909"/>
    <cellStyle name="Normal 33 15 3" xfId="30405"/>
    <cellStyle name="Normal 33 16" xfId="1919"/>
    <cellStyle name="Normal 33 16 2" xfId="16993"/>
    <cellStyle name="Normal 33 16 2 2" xfId="44001"/>
    <cellStyle name="Normal 33 16 3" xfId="30497"/>
    <cellStyle name="Normal 33 17" xfId="2025"/>
    <cellStyle name="Normal 33 17 2" xfId="17085"/>
    <cellStyle name="Normal 33 17 2 2" xfId="44093"/>
    <cellStyle name="Normal 33 17 3" xfId="30589"/>
    <cellStyle name="Normal 33 18" xfId="2131"/>
    <cellStyle name="Normal 33 18 2" xfId="17177"/>
    <cellStyle name="Normal 33 18 2 2" xfId="44185"/>
    <cellStyle name="Normal 33 18 3" xfId="30681"/>
    <cellStyle name="Normal 33 19" xfId="2237"/>
    <cellStyle name="Normal 33 19 2" xfId="17269"/>
    <cellStyle name="Normal 33 19 2 2" xfId="44277"/>
    <cellStyle name="Normal 33 19 3" xfId="30773"/>
    <cellStyle name="Normal 33 2" xfId="355"/>
    <cellStyle name="Normal 33 2 2" xfId="15657"/>
    <cellStyle name="Normal 33 2 2 2" xfId="42665"/>
    <cellStyle name="Normal 33 2 3" xfId="29161"/>
    <cellStyle name="Normal 33 20" xfId="2343"/>
    <cellStyle name="Normal 33 20 2" xfId="17361"/>
    <cellStyle name="Normal 33 20 2 2" xfId="44369"/>
    <cellStyle name="Normal 33 20 3" xfId="30865"/>
    <cellStyle name="Normal 33 21" xfId="2449"/>
    <cellStyle name="Normal 33 21 2" xfId="17453"/>
    <cellStyle name="Normal 33 21 2 2" xfId="44461"/>
    <cellStyle name="Normal 33 21 3" xfId="30957"/>
    <cellStyle name="Normal 33 22" xfId="2555"/>
    <cellStyle name="Normal 33 22 2" xfId="17545"/>
    <cellStyle name="Normal 33 22 2 2" xfId="44553"/>
    <cellStyle name="Normal 33 22 3" xfId="31049"/>
    <cellStyle name="Normal 33 23" xfId="2661"/>
    <cellStyle name="Normal 33 23 2" xfId="17637"/>
    <cellStyle name="Normal 33 23 2 2" xfId="44645"/>
    <cellStyle name="Normal 33 23 3" xfId="31141"/>
    <cellStyle name="Normal 33 24" xfId="2767"/>
    <cellStyle name="Normal 33 24 2" xfId="17729"/>
    <cellStyle name="Normal 33 24 2 2" xfId="44737"/>
    <cellStyle name="Normal 33 24 3" xfId="31233"/>
    <cellStyle name="Normal 33 25" xfId="2873"/>
    <cellStyle name="Normal 33 25 2" xfId="17821"/>
    <cellStyle name="Normal 33 25 2 2" xfId="44829"/>
    <cellStyle name="Normal 33 25 3" xfId="31325"/>
    <cellStyle name="Normal 33 26" xfId="2979"/>
    <cellStyle name="Normal 33 26 2" xfId="17913"/>
    <cellStyle name="Normal 33 26 2 2" xfId="44921"/>
    <cellStyle name="Normal 33 26 3" xfId="31417"/>
    <cellStyle name="Normal 33 27" xfId="3085"/>
    <cellStyle name="Normal 33 27 2" xfId="18005"/>
    <cellStyle name="Normal 33 27 2 2" xfId="45013"/>
    <cellStyle name="Normal 33 27 3" xfId="31509"/>
    <cellStyle name="Normal 33 28" xfId="3191"/>
    <cellStyle name="Normal 33 28 2" xfId="18097"/>
    <cellStyle name="Normal 33 28 2 2" xfId="45105"/>
    <cellStyle name="Normal 33 28 3" xfId="31601"/>
    <cellStyle name="Normal 33 29" xfId="3297"/>
    <cellStyle name="Normal 33 29 2" xfId="18189"/>
    <cellStyle name="Normal 33 29 2 2" xfId="45197"/>
    <cellStyle name="Normal 33 29 3" xfId="31693"/>
    <cellStyle name="Normal 33 3" xfId="542"/>
    <cellStyle name="Normal 33 3 2" xfId="15798"/>
    <cellStyle name="Normal 33 3 2 2" xfId="42806"/>
    <cellStyle name="Normal 33 3 3" xfId="29302"/>
    <cellStyle name="Normal 33 30" xfId="3403"/>
    <cellStyle name="Normal 33 30 2" xfId="18281"/>
    <cellStyle name="Normal 33 30 2 2" xfId="45289"/>
    <cellStyle name="Normal 33 30 3" xfId="31785"/>
    <cellStyle name="Normal 33 31" xfId="3509"/>
    <cellStyle name="Normal 33 31 2" xfId="18373"/>
    <cellStyle name="Normal 33 31 2 2" xfId="45381"/>
    <cellStyle name="Normal 33 31 3" xfId="31877"/>
    <cellStyle name="Normal 33 32" xfId="3615"/>
    <cellStyle name="Normal 33 32 2" xfId="18465"/>
    <cellStyle name="Normal 33 32 2 2" xfId="45473"/>
    <cellStyle name="Normal 33 32 3" xfId="31969"/>
    <cellStyle name="Normal 33 33" xfId="3721"/>
    <cellStyle name="Normal 33 33 2" xfId="18557"/>
    <cellStyle name="Normal 33 33 2 2" xfId="45565"/>
    <cellStyle name="Normal 33 33 3" xfId="32061"/>
    <cellStyle name="Normal 33 34" xfId="3827"/>
    <cellStyle name="Normal 33 34 2" xfId="18649"/>
    <cellStyle name="Normal 33 34 2 2" xfId="45657"/>
    <cellStyle name="Normal 33 34 3" xfId="32153"/>
    <cellStyle name="Normal 33 35" xfId="3933"/>
    <cellStyle name="Normal 33 35 2" xfId="18741"/>
    <cellStyle name="Normal 33 35 2 2" xfId="45749"/>
    <cellStyle name="Normal 33 35 3" xfId="32245"/>
    <cellStyle name="Normal 33 36" xfId="4039"/>
    <cellStyle name="Normal 33 36 2" xfId="18833"/>
    <cellStyle name="Normal 33 36 2 2" xfId="45841"/>
    <cellStyle name="Normal 33 36 3" xfId="32337"/>
    <cellStyle name="Normal 33 37" xfId="4145"/>
    <cellStyle name="Normal 33 37 2" xfId="18925"/>
    <cellStyle name="Normal 33 37 2 2" xfId="45933"/>
    <cellStyle name="Normal 33 37 3" xfId="32429"/>
    <cellStyle name="Normal 33 38" xfId="4251"/>
    <cellStyle name="Normal 33 38 2" xfId="19017"/>
    <cellStyle name="Normal 33 38 2 2" xfId="46025"/>
    <cellStyle name="Normal 33 38 3" xfId="32521"/>
    <cellStyle name="Normal 33 39" xfId="4357"/>
    <cellStyle name="Normal 33 39 2" xfId="19109"/>
    <cellStyle name="Normal 33 39 2 2" xfId="46117"/>
    <cellStyle name="Normal 33 39 3" xfId="32613"/>
    <cellStyle name="Normal 33 4" xfId="647"/>
    <cellStyle name="Normal 33 4 2" xfId="15889"/>
    <cellStyle name="Normal 33 4 2 2" xfId="42897"/>
    <cellStyle name="Normal 33 4 3" xfId="29393"/>
    <cellStyle name="Normal 33 40" xfId="4463"/>
    <cellStyle name="Normal 33 40 2" xfId="19201"/>
    <cellStyle name="Normal 33 40 2 2" xfId="46209"/>
    <cellStyle name="Normal 33 40 3" xfId="32705"/>
    <cellStyle name="Normal 33 41" xfId="4569"/>
    <cellStyle name="Normal 33 41 2" xfId="19293"/>
    <cellStyle name="Normal 33 41 2 2" xfId="46301"/>
    <cellStyle name="Normal 33 41 3" xfId="32797"/>
    <cellStyle name="Normal 33 42" xfId="4675"/>
    <cellStyle name="Normal 33 42 2" xfId="19385"/>
    <cellStyle name="Normal 33 42 2 2" xfId="46393"/>
    <cellStyle name="Normal 33 42 3" xfId="32889"/>
    <cellStyle name="Normal 33 43" xfId="4781"/>
    <cellStyle name="Normal 33 43 2" xfId="19477"/>
    <cellStyle name="Normal 33 43 2 2" xfId="46485"/>
    <cellStyle name="Normal 33 43 3" xfId="32981"/>
    <cellStyle name="Normal 33 44" xfId="4887"/>
    <cellStyle name="Normal 33 44 2" xfId="19569"/>
    <cellStyle name="Normal 33 44 2 2" xfId="46577"/>
    <cellStyle name="Normal 33 44 3" xfId="33073"/>
    <cellStyle name="Normal 33 45" xfId="4993"/>
    <cellStyle name="Normal 33 45 2" xfId="19661"/>
    <cellStyle name="Normal 33 45 2 2" xfId="46669"/>
    <cellStyle name="Normal 33 45 3" xfId="33165"/>
    <cellStyle name="Normal 33 46" xfId="5099"/>
    <cellStyle name="Normal 33 46 2" xfId="19753"/>
    <cellStyle name="Normal 33 46 2 2" xfId="46761"/>
    <cellStyle name="Normal 33 46 3" xfId="33257"/>
    <cellStyle name="Normal 33 47" xfId="5205"/>
    <cellStyle name="Normal 33 47 2" xfId="19845"/>
    <cellStyle name="Normal 33 47 2 2" xfId="46853"/>
    <cellStyle name="Normal 33 47 3" xfId="33349"/>
    <cellStyle name="Normal 33 48" xfId="5311"/>
    <cellStyle name="Normal 33 48 2" xfId="19937"/>
    <cellStyle name="Normal 33 48 2 2" xfId="46945"/>
    <cellStyle name="Normal 33 48 3" xfId="33441"/>
    <cellStyle name="Normal 33 49" xfId="5417"/>
    <cellStyle name="Normal 33 49 2" xfId="20029"/>
    <cellStyle name="Normal 33 49 2 2" xfId="47037"/>
    <cellStyle name="Normal 33 49 3" xfId="33533"/>
    <cellStyle name="Normal 33 5" xfId="753"/>
    <cellStyle name="Normal 33 5 2" xfId="15981"/>
    <cellStyle name="Normal 33 5 2 2" xfId="42989"/>
    <cellStyle name="Normal 33 5 3" xfId="29485"/>
    <cellStyle name="Normal 33 50" xfId="5523"/>
    <cellStyle name="Normal 33 50 2" xfId="20121"/>
    <cellStyle name="Normal 33 50 2 2" xfId="47129"/>
    <cellStyle name="Normal 33 50 3" xfId="33625"/>
    <cellStyle name="Normal 33 51" xfId="5629"/>
    <cellStyle name="Normal 33 51 2" xfId="20213"/>
    <cellStyle name="Normal 33 51 2 2" xfId="47221"/>
    <cellStyle name="Normal 33 51 3" xfId="33717"/>
    <cellStyle name="Normal 33 52" xfId="5735"/>
    <cellStyle name="Normal 33 52 2" xfId="20305"/>
    <cellStyle name="Normal 33 52 2 2" xfId="47313"/>
    <cellStyle name="Normal 33 52 3" xfId="33809"/>
    <cellStyle name="Normal 33 53" xfId="5841"/>
    <cellStyle name="Normal 33 53 2" xfId="20397"/>
    <cellStyle name="Normal 33 53 2 2" xfId="47405"/>
    <cellStyle name="Normal 33 53 3" xfId="33901"/>
    <cellStyle name="Normal 33 54" xfId="5947"/>
    <cellStyle name="Normal 33 54 2" xfId="20489"/>
    <cellStyle name="Normal 33 54 2 2" xfId="47497"/>
    <cellStyle name="Normal 33 54 3" xfId="33993"/>
    <cellStyle name="Normal 33 55" xfId="6053"/>
    <cellStyle name="Normal 33 55 2" xfId="20581"/>
    <cellStyle name="Normal 33 55 2 2" xfId="47589"/>
    <cellStyle name="Normal 33 55 3" xfId="34085"/>
    <cellStyle name="Normal 33 56" xfId="6159"/>
    <cellStyle name="Normal 33 56 2" xfId="20673"/>
    <cellStyle name="Normal 33 56 2 2" xfId="47681"/>
    <cellStyle name="Normal 33 56 3" xfId="34177"/>
    <cellStyle name="Normal 33 57" xfId="6265"/>
    <cellStyle name="Normal 33 57 2" xfId="20765"/>
    <cellStyle name="Normal 33 57 2 2" xfId="47773"/>
    <cellStyle name="Normal 33 57 3" xfId="34269"/>
    <cellStyle name="Normal 33 58" xfId="6371"/>
    <cellStyle name="Normal 33 58 2" xfId="20857"/>
    <cellStyle name="Normal 33 58 2 2" xfId="47865"/>
    <cellStyle name="Normal 33 58 3" xfId="34361"/>
    <cellStyle name="Normal 33 59" xfId="6477"/>
    <cellStyle name="Normal 33 59 2" xfId="20949"/>
    <cellStyle name="Normal 33 59 2 2" xfId="47957"/>
    <cellStyle name="Normal 33 59 3" xfId="34453"/>
    <cellStyle name="Normal 33 6" xfId="859"/>
    <cellStyle name="Normal 33 6 2" xfId="16073"/>
    <cellStyle name="Normal 33 6 2 2" xfId="43081"/>
    <cellStyle name="Normal 33 6 3" xfId="29577"/>
    <cellStyle name="Normal 33 60" xfId="6583"/>
    <cellStyle name="Normal 33 60 2" xfId="21041"/>
    <cellStyle name="Normal 33 60 2 2" xfId="48049"/>
    <cellStyle name="Normal 33 60 3" xfId="34545"/>
    <cellStyle name="Normal 33 61" xfId="6688"/>
    <cellStyle name="Normal 33 61 2" xfId="21132"/>
    <cellStyle name="Normal 33 61 2 2" xfId="48140"/>
    <cellStyle name="Normal 33 61 3" xfId="34636"/>
    <cellStyle name="Normal 33 62" xfId="6793"/>
    <cellStyle name="Normal 33 62 2" xfId="21223"/>
    <cellStyle name="Normal 33 62 2 2" xfId="48231"/>
    <cellStyle name="Normal 33 62 3" xfId="34727"/>
    <cellStyle name="Normal 33 63" xfId="6898"/>
    <cellStyle name="Normal 33 63 2" xfId="21314"/>
    <cellStyle name="Normal 33 63 2 2" xfId="48322"/>
    <cellStyle name="Normal 33 63 3" xfId="34818"/>
    <cellStyle name="Normal 33 64" xfId="7003"/>
    <cellStyle name="Normal 33 64 2" xfId="21405"/>
    <cellStyle name="Normal 33 64 2 2" xfId="48413"/>
    <cellStyle name="Normal 33 64 3" xfId="34909"/>
    <cellStyle name="Normal 33 65" xfId="7107"/>
    <cellStyle name="Normal 33 65 2" xfId="21495"/>
    <cellStyle name="Normal 33 65 2 2" xfId="48503"/>
    <cellStyle name="Normal 33 65 3" xfId="34999"/>
    <cellStyle name="Normal 33 66" xfId="7211"/>
    <cellStyle name="Normal 33 66 2" xfId="21585"/>
    <cellStyle name="Normal 33 66 2 2" xfId="48593"/>
    <cellStyle name="Normal 33 66 3" xfId="35089"/>
    <cellStyle name="Normal 33 67" xfId="7314"/>
    <cellStyle name="Normal 33 67 2" xfId="21674"/>
    <cellStyle name="Normal 33 67 2 2" xfId="48682"/>
    <cellStyle name="Normal 33 67 3" xfId="35178"/>
    <cellStyle name="Normal 33 68" xfId="7414"/>
    <cellStyle name="Normal 33 68 2" xfId="21761"/>
    <cellStyle name="Normal 33 68 2 2" xfId="48769"/>
    <cellStyle name="Normal 33 68 3" xfId="35265"/>
    <cellStyle name="Normal 33 69" xfId="7512"/>
    <cellStyle name="Normal 33 69 2" xfId="21846"/>
    <cellStyle name="Normal 33 69 2 2" xfId="48854"/>
    <cellStyle name="Normal 33 69 3" xfId="35350"/>
    <cellStyle name="Normal 33 7" xfId="965"/>
    <cellStyle name="Normal 33 7 2" xfId="16165"/>
    <cellStyle name="Normal 33 7 2 2" xfId="43173"/>
    <cellStyle name="Normal 33 7 3" xfId="29669"/>
    <cellStyle name="Normal 33 70" xfId="7601"/>
    <cellStyle name="Normal 33 70 2" xfId="21924"/>
    <cellStyle name="Normal 33 70 2 2" xfId="48932"/>
    <cellStyle name="Normal 33 70 3" xfId="35428"/>
    <cellStyle name="Normal 33 71" xfId="7677"/>
    <cellStyle name="Normal 33 71 2" xfId="21993"/>
    <cellStyle name="Normal 33 71 2 2" xfId="49001"/>
    <cellStyle name="Normal 33 71 3" xfId="35497"/>
    <cellStyle name="Normal 33 72" xfId="7856"/>
    <cellStyle name="Normal 33 72 2" xfId="22146"/>
    <cellStyle name="Normal 33 72 2 2" xfId="49154"/>
    <cellStyle name="Normal 33 72 3" xfId="35650"/>
    <cellStyle name="Normal 33 73" xfId="7998"/>
    <cellStyle name="Normal 33 73 2" xfId="22274"/>
    <cellStyle name="Normal 33 73 2 2" xfId="49282"/>
    <cellStyle name="Normal 33 73 3" xfId="35778"/>
    <cellStyle name="Normal 33 74" xfId="8140"/>
    <cellStyle name="Normal 33 74 2" xfId="22402"/>
    <cellStyle name="Normal 33 74 2 2" xfId="49410"/>
    <cellStyle name="Normal 33 74 3" xfId="35906"/>
    <cellStyle name="Normal 33 75" xfId="8282"/>
    <cellStyle name="Normal 33 75 2" xfId="22530"/>
    <cellStyle name="Normal 33 75 2 2" xfId="49538"/>
    <cellStyle name="Normal 33 75 3" xfId="36034"/>
    <cellStyle name="Normal 33 76" xfId="8424"/>
    <cellStyle name="Normal 33 76 2" xfId="22658"/>
    <cellStyle name="Normal 33 76 2 2" xfId="49666"/>
    <cellStyle name="Normal 33 76 3" xfId="36162"/>
    <cellStyle name="Normal 33 77" xfId="8566"/>
    <cellStyle name="Normal 33 77 2" xfId="22786"/>
    <cellStyle name="Normal 33 77 2 2" xfId="49794"/>
    <cellStyle name="Normal 33 77 3" xfId="36290"/>
    <cellStyle name="Normal 33 78" xfId="8708"/>
    <cellStyle name="Normal 33 78 2" xfId="22914"/>
    <cellStyle name="Normal 33 78 2 2" xfId="49922"/>
    <cellStyle name="Normal 33 78 3" xfId="36418"/>
    <cellStyle name="Normal 33 79" xfId="8850"/>
    <cellStyle name="Normal 33 79 2" xfId="23042"/>
    <cellStyle name="Normal 33 79 2 2" xfId="50050"/>
    <cellStyle name="Normal 33 79 3" xfId="36546"/>
    <cellStyle name="Normal 33 8" xfId="1071"/>
    <cellStyle name="Normal 33 8 2" xfId="16257"/>
    <cellStyle name="Normal 33 8 2 2" xfId="43265"/>
    <cellStyle name="Normal 33 8 3" xfId="29761"/>
    <cellStyle name="Normal 33 80" xfId="8992"/>
    <cellStyle name="Normal 33 80 2" xfId="23170"/>
    <cellStyle name="Normal 33 80 2 2" xfId="50178"/>
    <cellStyle name="Normal 33 80 3" xfId="36674"/>
    <cellStyle name="Normal 33 81" xfId="9134"/>
    <cellStyle name="Normal 33 81 2" xfId="23298"/>
    <cellStyle name="Normal 33 81 2 2" xfId="50306"/>
    <cellStyle name="Normal 33 81 3" xfId="36802"/>
    <cellStyle name="Normal 33 82" xfId="9276"/>
    <cellStyle name="Normal 33 82 2" xfId="23426"/>
    <cellStyle name="Normal 33 82 2 2" xfId="50434"/>
    <cellStyle name="Normal 33 82 3" xfId="36930"/>
    <cellStyle name="Normal 33 83" xfId="9418"/>
    <cellStyle name="Normal 33 83 2" xfId="23554"/>
    <cellStyle name="Normal 33 83 2 2" xfId="50562"/>
    <cellStyle name="Normal 33 83 3" xfId="37058"/>
    <cellStyle name="Normal 33 84" xfId="9560"/>
    <cellStyle name="Normal 33 84 2" xfId="23682"/>
    <cellStyle name="Normal 33 84 2 2" xfId="50690"/>
    <cellStyle name="Normal 33 84 3" xfId="37186"/>
    <cellStyle name="Normal 33 85" xfId="9702"/>
    <cellStyle name="Normal 33 85 2" xfId="23810"/>
    <cellStyle name="Normal 33 85 2 2" xfId="50818"/>
    <cellStyle name="Normal 33 85 3" xfId="37314"/>
    <cellStyle name="Normal 33 86" xfId="9844"/>
    <cellStyle name="Normal 33 86 2" xfId="23938"/>
    <cellStyle name="Normal 33 86 2 2" xfId="50946"/>
    <cellStyle name="Normal 33 86 3" xfId="37442"/>
    <cellStyle name="Normal 33 87" xfId="9986"/>
    <cellStyle name="Normal 33 87 2" xfId="24066"/>
    <cellStyle name="Normal 33 87 2 2" xfId="51074"/>
    <cellStyle name="Normal 33 87 3" xfId="37570"/>
    <cellStyle name="Normal 33 88" xfId="10128"/>
    <cellStyle name="Normal 33 88 2" xfId="24194"/>
    <cellStyle name="Normal 33 88 2 2" xfId="51202"/>
    <cellStyle name="Normal 33 88 3" xfId="37698"/>
    <cellStyle name="Normal 33 89" xfId="10270"/>
    <cellStyle name="Normal 33 89 2" xfId="24322"/>
    <cellStyle name="Normal 33 89 2 2" xfId="51330"/>
    <cellStyle name="Normal 33 89 3" xfId="37826"/>
    <cellStyle name="Normal 33 9" xfId="1177"/>
    <cellStyle name="Normal 33 9 2" xfId="16349"/>
    <cellStyle name="Normal 33 9 2 2" xfId="43357"/>
    <cellStyle name="Normal 33 9 3" xfId="29853"/>
    <cellStyle name="Normal 33 90" xfId="10412"/>
    <cellStyle name="Normal 33 90 2" xfId="24450"/>
    <cellStyle name="Normal 33 90 2 2" xfId="51458"/>
    <cellStyle name="Normal 33 90 3" xfId="37954"/>
    <cellStyle name="Normal 33 91" xfId="10554"/>
    <cellStyle name="Normal 33 91 2" xfId="24578"/>
    <cellStyle name="Normal 33 91 2 2" xfId="51586"/>
    <cellStyle name="Normal 33 91 3" xfId="38082"/>
    <cellStyle name="Normal 33 92" xfId="10696"/>
    <cellStyle name="Normal 33 92 2" xfId="24706"/>
    <cellStyle name="Normal 33 92 2 2" xfId="51714"/>
    <cellStyle name="Normal 33 92 3" xfId="38210"/>
    <cellStyle name="Normal 33 93" xfId="10838"/>
    <cellStyle name="Normal 33 93 2" xfId="24834"/>
    <cellStyle name="Normal 33 93 2 2" xfId="51842"/>
    <cellStyle name="Normal 33 93 3" xfId="38338"/>
    <cellStyle name="Normal 33 94" xfId="10980"/>
    <cellStyle name="Normal 33 94 2" xfId="24962"/>
    <cellStyle name="Normal 33 94 2 2" xfId="51970"/>
    <cellStyle name="Normal 33 94 3" xfId="38466"/>
    <cellStyle name="Normal 33 95" xfId="11122"/>
    <cellStyle name="Normal 33 95 2" xfId="25090"/>
    <cellStyle name="Normal 33 95 2 2" xfId="52098"/>
    <cellStyle name="Normal 33 95 3" xfId="38594"/>
    <cellStyle name="Normal 33 96" xfId="11264"/>
    <cellStyle name="Normal 33 96 2" xfId="25218"/>
    <cellStyle name="Normal 33 96 2 2" xfId="52226"/>
    <cellStyle name="Normal 33 96 3" xfId="38722"/>
    <cellStyle name="Normal 33 97" xfId="11406"/>
    <cellStyle name="Normal 33 97 2" xfId="25346"/>
    <cellStyle name="Normal 33 97 2 2" xfId="52354"/>
    <cellStyle name="Normal 33 97 3" xfId="38850"/>
    <cellStyle name="Normal 33 98" xfId="11548"/>
    <cellStyle name="Normal 33 98 2" xfId="25474"/>
    <cellStyle name="Normal 33 98 2 2" xfId="52482"/>
    <cellStyle name="Normal 33 98 3" xfId="38978"/>
    <cellStyle name="Normal 33 99" xfId="11690"/>
    <cellStyle name="Normal 33 99 2" xfId="25602"/>
    <cellStyle name="Normal 33 99 2 2" xfId="52610"/>
    <cellStyle name="Normal 33 99 3" xfId="39106"/>
    <cellStyle name="Normal 330" xfId="56479"/>
    <cellStyle name="Normal 331" xfId="56482"/>
    <cellStyle name="Normal 332" xfId="56485"/>
    <cellStyle name="Normal 333" xfId="56488"/>
    <cellStyle name="Normal 334" xfId="56491"/>
    <cellStyle name="Normal 335" xfId="56494"/>
    <cellStyle name="Normal 336" xfId="56497"/>
    <cellStyle name="Normal 337" xfId="56500"/>
    <cellStyle name="Normal 338" xfId="56503"/>
    <cellStyle name="Normal 339" xfId="56506"/>
    <cellStyle name="Normal 34" xfId="179"/>
    <cellStyle name="Normal 34 10" xfId="1284"/>
    <cellStyle name="Normal 34 10 2" xfId="16442"/>
    <cellStyle name="Normal 34 10 2 2" xfId="43450"/>
    <cellStyle name="Normal 34 10 3" xfId="29946"/>
    <cellStyle name="Normal 34 100" xfId="11833"/>
    <cellStyle name="Normal 34 100 2" xfId="25731"/>
    <cellStyle name="Normal 34 100 2 2" xfId="52739"/>
    <cellStyle name="Normal 34 100 3" xfId="39235"/>
    <cellStyle name="Normal 34 101" xfId="11975"/>
    <cellStyle name="Normal 34 101 2" xfId="25859"/>
    <cellStyle name="Normal 34 101 2 2" xfId="52867"/>
    <cellStyle name="Normal 34 101 3" xfId="39363"/>
    <cellStyle name="Normal 34 102" xfId="12117"/>
    <cellStyle name="Normal 34 102 2" xfId="25987"/>
    <cellStyle name="Normal 34 102 2 2" xfId="52995"/>
    <cellStyle name="Normal 34 102 3" xfId="39491"/>
    <cellStyle name="Normal 34 103" xfId="12259"/>
    <cellStyle name="Normal 34 103 2" xfId="26115"/>
    <cellStyle name="Normal 34 103 2 2" xfId="53123"/>
    <cellStyle name="Normal 34 103 3" xfId="39619"/>
    <cellStyle name="Normal 34 104" xfId="12401"/>
    <cellStyle name="Normal 34 104 2" xfId="26243"/>
    <cellStyle name="Normal 34 104 2 2" xfId="53251"/>
    <cellStyle name="Normal 34 104 3" xfId="39747"/>
    <cellStyle name="Normal 34 105" xfId="12543"/>
    <cellStyle name="Normal 34 105 2" xfId="26371"/>
    <cellStyle name="Normal 34 105 2 2" xfId="53379"/>
    <cellStyle name="Normal 34 105 3" xfId="39875"/>
    <cellStyle name="Normal 34 106" xfId="12685"/>
    <cellStyle name="Normal 34 106 2" xfId="26499"/>
    <cellStyle name="Normal 34 106 2 2" xfId="53507"/>
    <cellStyle name="Normal 34 106 3" xfId="40003"/>
    <cellStyle name="Normal 34 107" xfId="12827"/>
    <cellStyle name="Normal 34 107 2" xfId="26627"/>
    <cellStyle name="Normal 34 107 2 2" xfId="53635"/>
    <cellStyle name="Normal 34 107 3" xfId="40131"/>
    <cellStyle name="Normal 34 108" xfId="12969"/>
    <cellStyle name="Normal 34 108 2" xfId="26755"/>
    <cellStyle name="Normal 34 108 2 2" xfId="53763"/>
    <cellStyle name="Normal 34 108 3" xfId="40259"/>
    <cellStyle name="Normal 34 109" xfId="13111"/>
    <cellStyle name="Normal 34 109 2" xfId="26883"/>
    <cellStyle name="Normal 34 109 2 2" xfId="53891"/>
    <cellStyle name="Normal 34 109 3" xfId="40387"/>
    <cellStyle name="Normal 34 11" xfId="1390"/>
    <cellStyle name="Normal 34 11 2" xfId="16534"/>
    <cellStyle name="Normal 34 11 2 2" xfId="43542"/>
    <cellStyle name="Normal 34 11 3" xfId="30038"/>
    <cellStyle name="Normal 34 110" xfId="13253"/>
    <cellStyle name="Normal 34 110 2" xfId="27011"/>
    <cellStyle name="Normal 34 110 2 2" xfId="54019"/>
    <cellStyle name="Normal 34 110 3" xfId="40515"/>
    <cellStyle name="Normal 34 111" xfId="13395"/>
    <cellStyle name="Normal 34 111 2" xfId="27139"/>
    <cellStyle name="Normal 34 111 2 2" xfId="54147"/>
    <cellStyle name="Normal 34 111 3" xfId="40643"/>
    <cellStyle name="Normal 34 112" xfId="13537"/>
    <cellStyle name="Normal 34 112 2" xfId="27267"/>
    <cellStyle name="Normal 34 112 2 2" xfId="54275"/>
    <cellStyle name="Normal 34 112 3" xfId="40771"/>
    <cellStyle name="Normal 34 113" xfId="13679"/>
    <cellStyle name="Normal 34 113 2" xfId="27395"/>
    <cellStyle name="Normal 34 113 2 2" xfId="54403"/>
    <cellStyle name="Normal 34 113 3" xfId="40899"/>
    <cellStyle name="Normal 34 114" xfId="13821"/>
    <cellStyle name="Normal 34 114 2" xfId="27523"/>
    <cellStyle name="Normal 34 114 2 2" xfId="54531"/>
    <cellStyle name="Normal 34 114 3" xfId="41027"/>
    <cellStyle name="Normal 34 115" xfId="13962"/>
    <cellStyle name="Normal 34 115 2" xfId="27650"/>
    <cellStyle name="Normal 34 115 2 2" xfId="54658"/>
    <cellStyle name="Normal 34 115 3" xfId="41154"/>
    <cellStyle name="Normal 34 116" xfId="14103"/>
    <cellStyle name="Normal 34 116 2" xfId="27777"/>
    <cellStyle name="Normal 34 116 2 2" xfId="54785"/>
    <cellStyle name="Normal 34 116 3" xfId="41281"/>
    <cellStyle name="Normal 34 117" xfId="14244"/>
    <cellStyle name="Normal 34 117 2" xfId="27904"/>
    <cellStyle name="Normal 34 117 2 2" xfId="54912"/>
    <cellStyle name="Normal 34 117 3" xfId="41408"/>
    <cellStyle name="Normal 34 118" xfId="14385"/>
    <cellStyle name="Normal 34 118 2" xfId="28031"/>
    <cellStyle name="Normal 34 118 2 2" xfId="55039"/>
    <cellStyle name="Normal 34 118 3" xfId="41535"/>
    <cellStyle name="Normal 34 119" xfId="14525"/>
    <cellStyle name="Normal 34 119 2" xfId="28157"/>
    <cellStyle name="Normal 34 119 2 2" xfId="55165"/>
    <cellStyle name="Normal 34 119 3" xfId="41661"/>
    <cellStyle name="Normal 34 12" xfId="1496"/>
    <cellStyle name="Normal 34 12 2" xfId="16626"/>
    <cellStyle name="Normal 34 12 2 2" xfId="43634"/>
    <cellStyle name="Normal 34 12 3" xfId="30130"/>
    <cellStyle name="Normal 34 120" xfId="14665"/>
    <cellStyle name="Normal 34 120 2" xfId="28283"/>
    <cellStyle name="Normal 34 120 2 2" xfId="55291"/>
    <cellStyle name="Normal 34 120 3" xfId="41787"/>
    <cellStyle name="Normal 34 121" xfId="14804"/>
    <cellStyle name="Normal 34 121 2" xfId="28408"/>
    <cellStyle name="Normal 34 121 2 2" xfId="55416"/>
    <cellStyle name="Normal 34 121 3" xfId="41912"/>
    <cellStyle name="Normal 34 122" xfId="14939"/>
    <cellStyle name="Normal 34 122 2" xfId="28530"/>
    <cellStyle name="Normal 34 122 2 2" xfId="55538"/>
    <cellStyle name="Normal 34 122 3" xfId="42034"/>
    <cellStyle name="Normal 34 123" xfId="15073"/>
    <cellStyle name="Normal 34 123 2" xfId="28651"/>
    <cellStyle name="Normal 34 123 2 2" xfId="55659"/>
    <cellStyle name="Normal 34 123 3" xfId="42155"/>
    <cellStyle name="Normal 34 124" xfId="15200"/>
    <cellStyle name="Normal 34 124 2" xfId="28767"/>
    <cellStyle name="Normal 34 124 2 2" xfId="55775"/>
    <cellStyle name="Normal 34 124 3" xfId="42271"/>
    <cellStyle name="Normal 34 125" xfId="15320"/>
    <cellStyle name="Normal 34 125 2" xfId="28880"/>
    <cellStyle name="Normal 34 125 2 2" xfId="55888"/>
    <cellStyle name="Normal 34 125 3" xfId="42384"/>
    <cellStyle name="Normal 34 126" xfId="15535"/>
    <cellStyle name="Normal 34 126 2" xfId="42543"/>
    <cellStyle name="Normal 34 127" xfId="29039"/>
    <cellStyle name="Normal 34 13" xfId="1602"/>
    <cellStyle name="Normal 34 13 2" xfId="16718"/>
    <cellStyle name="Normal 34 13 2 2" xfId="43726"/>
    <cellStyle name="Normal 34 13 3" xfId="30222"/>
    <cellStyle name="Normal 34 14" xfId="1708"/>
    <cellStyle name="Normal 34 14 2" xfId="16810"/>
    <cellStyle name="Normal 34 14 2 2" xfId="43818"/>
    <cellStyle name="Normal 34 14 3" xfId="30314"/>
    <cellStyle name="Normal 34 15" xfId="1814"/>
    <cellStyle name="Normal 34 15 2" xfId="16902"/>
    <cellStyle name="Normal 34 15 2 2" xfId="43910"/>
    <cellStyle name="Normal 34 15 3" xfId="30406"/>
    <cellStyle name="Normal 34 16" xfId="1920"/>
    <cellStyle name="Normal 34 16 2" xfId="16994"/>
    <cellStyle name="Normal 34 16 2 2" xfId="44002"/>
    <cellStyle name="Normal 34 16 3" xfId="30498"/>
    <cellStyle name="Normal 34 17" xfId="2026"/>
    <cellStyle name="Normal 34 17 2" xfId="17086"/>
    <cellStyle name="Normal 34 17 2 2" xfId="44094"/>
    <cellStyle name="Normal 34 17 3" xfId="30590"/>
    <cellStyle name="Normal 34 18" xfId="2132"/>
    <cellStyle name="Normal 34 18 2" xfId="17178"/>
    <cellStyle name="Normal 34 18 2 2" xfId="44186"/>
    <cellStyle name="Normal 34 18 3" xfId="30682"/>
    <cellStyle name="Normal 34 19" xfId="2238"/>
    <cellStyle name="Normal 34 19 2" xfId="17270"/>
    <cellStyle name="Normal 34 19 2 2" xfId="44278"/>
    <cellStyle name="Normal 34 19 3" xfId="30774"/>
    <cellStyle name="Normal 34 2" xfId="356"/>
    <cellStyle name="Normal 34 2 2" xfId="15658"/>
    <cellStyle name="Normal 34 2 2 2" xfId="42666"/>
    <cellStyle name="Normal 34 2 3" xfId="29162"/>
    <cellStyle name="Normal 34 20" xfId="2344"/>
    <cellStyle name="Normal 34 20 2" xfId="17362"/>
    <cellStyle name="Normal 34 20 2 2" xfId="44370"/>
    <cellStyle name="Normal 34 20 3" xfId="30866"/>
    <cellStyle name="Normal 34 21" xfId="2450"/>
    <cellStyle name="Normal 34 21 2" xfId="17454"/>
    <cellStyle name="Normal 34 21 2 2" xfId="44462"/>
    <cellStyle name="Normal 34 21 3" xfId="30958"/>
    <cellStyle name="Normal 34 22" xfId="2556"/>
    <cellStyle name="Normal 34 22 2" xfId="17546"/>
    <cellStyle name="Normal 34 22 2 2" xfId="44554"/>
    <cellStyle name="Normal 34 22 3" xfId="31050"/>
    <cellStyle name="Normal 34 23" xfId="2662"/>
    <cellStyle name="Normal 34 23 2" xfId="17638"/>
    <cellStyle name="Normal 34 23 2 2" xfId="44646"/>
    <cellStyle name="Normal 34 23 3" xfId="31142"/>
    <cellStyle name="Normal 34 24" xfId="2768"/>
    <cellStyle name="Normal 34 24 2" xfId="17730"/>
    <cellStyle name="Normal 34 24 2 2" xfId="44738"/>
    <cellStyle name="Normal 34 24 3" xfId="31234"/>
    <cellStyle name="Normal 34 25" xfId="2874"/>
    <cellStyle name="Normal 34 25 2" xfId="17822"/>
    <cellStyle name="Normal 34 25 2 2" xfId="44830"/>
    <cellStyle name="Normal 34 25 3" xfId="31326"/>
    <cellStyle name="Normal 34 26" xfId="2980"/>
    <cellStyle name="Normal 34 26 2" xfId="17914"/>
    <cellStyle name="Normal 34 26 2 2" xfId="44922"/>
    <cellStyle name="Normal 34 26 3" xfId="31418"/>
    <cellStyle name="Normal 34 27" xfId="3086"/>
    <cellStyle name="Normal 34 27 2" xfId="18006"/>
    <cellStyle name="Normal 34 27 2 2" xfId="45014"/>
    <cellStyle name="Normal 34 27 3" xfId="31510"/>
    <cellStyle name="Normal 34 28" xfId="3192"/>
    <cellStyle name="Normal 34 28 2" xfId="18098"/>
    <cellStyle name="Normal 34 28 2 2" xfId="45106"/>
    <cellStyle name="Normal 34 28 3" xfId="31602"/>
    <cellStyle name="Normal 34 29" xfId="3298"/>
    <cellStyle name="Normal 34 29 2" xfId="18190"/>
    <cellStyle name="Normal 34 29 2 2" xfId="45198"/>
    <cellStyle name="Normal 34 29 3" xfId="31694"/>
    <cellStyle name="Normal 34 3" xfId="543"/>
    <cellStyle name="Normal 34 3 2" xfId="15799"/>
    <cellStyle name="Normal 34 3 2 2" xfId="42807"/>
    <cellStyle name="Normal 34 3 3" xfId="29303"/>
    <cellStyle name="Normal 34 30" xfId="3404"/>
    <cellStyle name="Normal 34 30 2" xfId="18282"/>
    <cellStyle name="Normal 34 30 2 2" xfId="45290"/>
    <cellStyle name="Normal 34 30 3" xfId="31786"/>
    <cellStyle name="Normal 34 31" xfId="3510"/>
    <cellStyle name="Normal 34 31 2" xfId="18374"/>
    <cellStyle name="Normal 34 31 2 2" xfId="45382"/>
    <cellStyle name="Normal 34 31 3" xfId="31878"/>
    <cellStyle name="Normal 34 32" xfId="3616"/>
    <cellStyle name="Normal 34 32 2" xfId="18466"/>
    <cellStyle name="Normal 34 32 2 2" xfId="45474"/>
    <cellStyle name="Normal 34 32 3" xfId="31970"/>
    <cellStyle name="Normal 34 33" xfId="3722"/>
    <cellStyle name="Normal 34 33 2" xfId="18558"/>
    <cellStyle name="Normal 34 33 2 2" xfId="45566"/>
    <cellStyle name="Normal 34 33 3" xfId="32062"/>
    <cellStyle name="Normal 34 34" xfId="3828"/>
    <cellStyle name="Normal 34 34 2" xfId="18650"/>
    <cellStyle name="Normal 34 34 2 2" xfId="45658"/>
    <cellStyle name="Normal 34 34 3" xfId="32154"/>
    <cellStyle name="Normal 34 35" xfId="3934"/>
    <cellStyle name="Normal 34 35 2" xfId="18742"/>
    <cellStyle name="Normal 34 35 2 2" xfId="45750"/>
    <cellStyle name="Normal 34 35 3" xfId="32246"/>
    <cellStyle name="Normal 34 36" xfId="4040"/>
    <cellStyle name="Normal 34 36 2" xfId="18834"/>
    <cellStyle name="Normal 34 36 2 2" xfId="45842"/>
    <cellStyle name="Normal 34 36 3" xfId="32338"/>
    <cellStyle name="Normal 34 37" xfId="4146"/>
    <cellStyle name="Normal 34 37 2" xfId="18926"/>
    <cellStyle name="Normal 34 37 2 2" xfId="45934"/>
    <cellStyle name="Normal 34 37 3" xfId="32430"/>
    <cellStyle name="Normal 34 38" xfId="4252"/>
    <cellStyle name="Normal 34 38 2" xfId="19018"/>
    <cellStyle name="Normal 34 38 2 2" xfId="46026"/>
    <cellStyle name="Normal 34 38 3" xfId="32522"/>
    <cellStyle name="Normal 34 39" xfId="4358"/>
    <cellStyle name="Normal 34 39 2" xfId="19110"/>
    <cellStyle name="Normal 34 39 2 2" xfId="46118"/>
    <cellStyle name="Normal 34 39 3" xfId="32614"/>
    <cellStyle name="Normal 34 4" xfId="648"/>
    <cellStyle name="Normal 34 4 2" xfId="15890"/>
    <cellStyle name="Normal 34 4 2 2" xfId="42898"/>
    <cellStyle name="Normal 34 4 3" xfId="29394"/>
    <cellStyle name="Normal 34 40" xfId="4464"/>
    <cellStyle name="Normal 34 40 2" xfId="19202"/>
    <cellStyle name="Normal 34 40 2 2" xfId="46210"/>
    <cellStyle name="Normal 34 40 3" xfId="32706"/>
    <cellStyle name="Normal 34 41" xfId="4570"/>
    <cellStyle name="Normal 34 41 2" xfId="19294"/>
    <cellStyle name="Normal 34 41 2 2" xfId="46302"/>
    <cellStyle name="Normal 34 41 3" xfId="32798"/>
    <cellStyle name="Normal 34 42" xfId="4676"/>
    <cellStyle name="Normal 34 42 2" xfId="19386"/>
    <cellStyle name="Normal 34 42 2 2" xfId="46394"/>
    <cellStyle name="Normal 34 42 3" xfId="32890"/>
    <cellStyle name="Normal 34 43" xfId="4782"/>
    <cellStyle name="Normal 34 43 2" xfId="19478"/>
    <cellStyle name="Normal 34 43 2 2" xfId="46486"/>
    <cellStyle name="Normal 34 43 3" xfId="32982"/>
    <cellStyle name="Normal 34 44" xfId="4888"/>
    <cellStyle name="Normal 34 44 2" xfId="19570"/>
    <cellStyle name="Normal 34 44 2 2" xfId="46578"/>
    <cellStyle name="Normal 34 44 3" xfId="33074"/>
    <cellStyle name="Normal 34 45" xfId="4994"/>
    <cellStyle name="Normal 34 45 2" xfId="19662"/>
    <cellStyle name="Normal 34 45 2 2" xfId="46670"/>
    <cellStyle name="Normal 34 45 3" xfId="33166"/>
    <cellStyle name="Normal 34 46" xfId="5100"/>
    <cellStyle name="Normal 34 46 2" xfId="19754"/>
    <cellStyle name="Normal 34 46 2 2" xfId="46762"/>
    <cellStyle name="Normal 34 46 3" xfId="33258"/>
    <cellStyle name="Normal 34 47" xfId="5206"/>
    <cellStyle name="Normal 34 47 2" xfId="19846"/>
    <cellStyle name="Normal 34 47 2 2" xfId="46854"/>
    <cellStyle name="Normal 34 47 3" xfId="33350"/>
    <cellStyle name="Normal 34 48" xfId="5312"/>
    <cellStyle name="Normal 34 48 2" xfId="19938"/>
    <cellStyle name="Normal 34 48 2 2" xfId="46946"/>
    <cellStyle name="Normal 34 48 3" xfId="33442"/>
    <cellStyle name="Normal 34 49" xfId="5418"/>
    <cellStyle name="Normal 34 49 2" xfId="20030"/>
    <cellStyle name="Normal 34 49 2 2" xfId="47038"/>
    <cellStyle name="Normal 34 49 3" xfId="33534"/>
    <cellStyle name="Normal 34 5" xfId="754"/>
    <cellStyle name="Normal 34 5 2" xfId="15982"/>
    <cellStyle name="Normal 34 5 2 2" xfId="42990"/>
    <cellStyle name="Normal 34 5 3" xfId="29486"/>
    <cellStyle name="Normal 34 50" xfId="5524"/>
    <cellStyle name="Normal 34 50 2" xfId="20122"/>
    <cellStyle name="Normal 34 50 2 2" xfId="47130"/>
    <cellStyle name="Normal 34 50 3" xfId="33626"/>
    <cellStyle name="Normal 34 51" xfId="5630"/>
    <cellStyle name="Normal 34 51 2" xfId="20214"/>
    <cellStyle name="Normal 34 51 2 2" xfId="47222"/>
    <cellStyle name="Normal 34 51 3" xfId="33718"/>
    <cellStyle name="Normal 34 52" xfId="5736"/>
    <cellStyle name="Normal 34 52 2" xfId="20306"/>
    <cellStyle name="Normal 34 52 2 2" xfId="47314"/>
    <cellStyle name="Normal 34 52 3" xfId="33810"/>
    <cellStyle name="Normal 34 53" xfId="5842"/>
    <cellStyle name="Normal 34 53 2" xfId="20398"/>
    <cellStyle name="Normal 34 53 2 2" xfId="47406"/>
    <cellStyle name="Normal 34 53 3" xfId="33902"/>
    <cellStyle name="Normal 34 54" xfId="5948"/>
    <cellStyle name="Normal 34 54 2" xfId="20490"/>
    <cellStyle name="Normal 34 54 2 2" xfId="47498"/>
    <cellStyle name="Normal 34 54 3" xfId="33994"/>
    <cellStyle name="Normal 34 55" xfId="6054"/>
    <cellStyle name="Normal 34 55 2" xfId="20582"/>
    <cellStyle name="Normal 34 55 2 2" xfId="47590"/>
    <cellStyle name="Normal 34 55 3" xfId="34086"/>
    <cellStyle name="Normal 34 56" xfId="6160"/>
    <cellStyle name="Normal 34 56 2" xfId="20674"/>
    <cellStyle name="Normal 34 56 2 2" xfId="47682"/>
    <cellStyle name="Normal 34 56 3" xfId="34178"/>
    <cellStyle name="Normal 34 57" xfId="6266"/>
    <cellStyle name="Normal 34 57 2" xfId="20766"/>
    <cellStyle name="Normal 34 57 2 2" xfId="47774"/>
    <cellStyle name="Normal 34 57 3" xfId="34270"/>
    <cellStyle name="Normal 34 58" xfId="6372"/>
    <cellStyle name="Normal 34 58 2" xfId="20858"/>
    <cellStyle name="Normal 34 58 2 2" xfId="47866"/>
    <cellStyle name="Normal 34 58 3" xfId="34362"/>
    <cellStyle name="Normal 34 59" xfId="6478"/>
    <cellStyle name="Normal 34 59 2" xfId="20950"/>
    <cellStyle name="Normal 34 59 2 2" xfId="47958"/>
    <cellStyle name="Normal 34 59 3" xfId="34454"/>
    <cellStyle name="Normal 34 6" xfId="860"/>
    <cellStyle name="Normal 34 6 2" xfId="16074"/>
    <cellStyle name="Normal 34 6 2 2" xfId="43082"/>
    <cellStyle name="Normal 34 6 3" xfId="29578"/>
    <cellStyle name="Normal 34 60" xfId="6584"/>
    <cellStyle name="Normal 34 60 2" xfId="21042"/>
    <cellStyle name="Normal 34 60 2 2" xfId="48050"/>
    <cellStyle name="Normal 34 60 3" xfId="34546"/>
    <cellStyle name="Normal 34 61" xfId="6689"/>
    <cellStyle name="Normal 34 61 2" xfId="21133"/>
    <cellStyle name="Normal 34 61 2 2" xfId="48141"/>
    <cellStyle name="Normal 34 61 3" xfId="34637"/>
    <cellStyle name="Normal 34 62" xfId="6794"/>
    <cellStyle name="Normal 34 62 2" xfId="21224"/>
    <cellStyle name="Normal 34 62 2 2" xfId="48232"/>
    <cellStyle name="Normal 34 62 3" xfId="34728"/>
    <cellStyle name="Normal 34 63" xfId="6899"/>
    <cellStyle name="Normal 34 63 2" xfId="21315"/>
    <cellStyle name="Normal 34 63 2 2" xfId="48323"/>
    <cellStyle name="Normal 34 63 3" xfId="34819"/>
    <cellStyle name="Normal 34 64" xfId="7004"/>
    <cellStyle name="Normal 34 64 2" xfId="21406"/>
    <cellStyle name="Normal 34 64 2 2" xfId="48414"/>
    <cellStyle name="Normal 34 64 3" xfId="34910"/>
    <cellStyle name="Normal 34 65" xfId="7108"/>
    <cellStyle name="Normal 34 65 2" xfId="21496"/>
    <cellStyle name="Normal 34 65 2 2" xfId="48504"/>
    <cellStyle name="Normal 34 65 3" xfId="35000"/>
    <cellStyle name="Normal 34 66" xfId="7212"/>
    <cellStyle name="Normal 34 66 2" xfId="21586"/>
    <cellStyle name="Normal 34 66 2 2" xfId="48594"/>
    <cellStyle name="Normal 34 66 3" xfId="35090"/>
    <cellStyle name="Normal 34 67" xfId="7315"/>
    <cellStyle name="Normal 34 67 2" xfId="21675"/>
    <cellStyle name="Normal 34 67 2 2" xfId="48683"/>
    <cellStyle name="Normal 34 67 3" xfId="35179"/>
    <cellStyle name="Normal 34 68" xfId="7415"/>
    <cellStyle name="Normal 34 68 2" xfId="21762"/>
    <cellStyle name="Normal 34 68 2 2" xfId="48770"/>
    <cellStyle name="Normal 34 68 3" xfId="35266"/>
    <cellStyle name="Normal 34 69" xfId="7513"/>
    <cellStyle name="Normal 34 69 2" xfId="21847"/>
    <cellStyle name="Normal 34 69 2 2" xfId="48855"/>
    <cellStyle name="Normal 34 69 3" xfId="35351"/>
    <cellStyle name="Normal 34 7" xfId="966"/>
    <cellStyle name="Normal 34 7 2" xfId="16166"/>
    <cellStyle name="Normal 34 7 2 2" xfId="43174"/>
    <cellStyle name="Normal 34 7 3" xfId="29670"/>
    <cellStyle name="Normal 34 70" xfId="7602"/>
    <cellStyle name="Normal 34 70 2" xfId="21925"/>
    <cellStyle name="Normal 34 70 2 2" xfId="48933"/>
    <cellStyle name="Normal 34 70 3" xfId="35429"/>
    <cellStyle name="Normal 34 71" xfId="7678"/>
    <cellStyle name="Normal 34 71 2" xfId="21994"/>
    <cellStyle name="Normal 34 71 2 2" xfId="49002"/>
    <cellStyle name="Normal 34 71 3" xfId="35498"/>
    <cellStyle name="Normal 34 72" xfId="7857"/>
    <cellStyle name="Normal 34 72 2" xfId="22147"/>
    <cellStyle name="Normal 34 72 2 2" xfId="49155"/>
    <cellStyle name="Normal 34 72 3" xfId="35651"/>
    <cellStyle name="Normal 34 73" xfId="7999"/>
    <cellStyle name="Normal 34 73 2" xfId="22275"/>
    <cellStyle name="Normal 34 73 2 2" xfId="49283"/>
    <cellStyle name="Normal 34 73 3" xfId="35779"/>
    <cellStyle name="Normal 34 74" xfId="8141"/>
    <cellStyle name="Normal 34 74 2" xfId="22403"/>
    <cellStyle name="Normal 34 74 2 2" xfId="49411"/>
    <cellStyle name="Normal 34 74 3" xfId="35907"/>
    <cellStyle name="Normal 34 75" xfId="8283"/>
    <cellStyle name="Normal 34 75 2" xfId="22531"/>
    <cellStyle name="Normal 34 75 2 2" xfId="49539"/>
    <cellStyle name="Normal 34 75 3" xfId="36035"/>
    <cellStyle name="Normal 34 76" xfId="8425"/>
    <cellStyle name="Normal 34 76 2" xfId="22659"/>
    <cellStyle name="Normal 34 76 2 2" xfId="49667"/>
    <cellStyle name="Normal 34 76 3" xfId="36163"/>
    <cellStyle name="Normal 34 77" xfId="8567"/>
    <cellStyle name="Normal 34 77 2" xfId="22787"/>
    <cellStyle name="Normal 34 77 2 2" xfId="49795"/>
    <cellStyle name="Normal 34 77 3" xfId="36291"/>
    <cellStyle name="Normal 34 78" xfId="8709"/>
    <cellStyle name="Normal 34 78 2" xfId="22915"/>
    <cellStyle name="Normal 34 78 2 2" xfId="49923"/>
    <cellStyle name="Normal 34 78 3" xfId="36419"/>
    <cellStyle name="Normal 34 79" xfId="8851"/>
    <cellStyle name="Normal 34 79 2" xfId="23043"/>
    <cellStyle name="Normal 34 79 2 2" xfId="50051"/>
    <cellStyle name="Normal 34 79 3" xfId="36547"/>
    <cellStyle name="Normal 34 8" xfId="1072"/>
    <cellStyle name="Normal 34 8 2" xfId="16258"/>
    <cellStyle name="Normal 34 8 2 2" xfId="43266"/>
    <cellStyle name="Normal 34 8 3" xfId="29762"/>
    <cellStyle name="Normal 34 80" xfId="8993"/>
    <cellStyle name="Normal 34 80 2" xfId="23171"/>
    <cellStyle name="Normal 34 80 2 2" xfId="50179"/>
    <cellStyle name="Normal 34 80 3" xfId="36675"/>
    <cellStyle name="Normal 34 81" xfId="9135"/>
    <cellStyle name="Normal 34 81 2" xfId="23299"/>
    <cellStyle name="Normal 34 81 2 2" xfId="50307"/>
    <cellStyle name="Normal 34 81 3" xfId="36803"/>
    <cellStyle name="Normal 34 82" xfId="9277"/>
    <cellStyle name="Normal 34 82 2" xfId="23427"/>
    <cellStyle name="Normal 34 82 2 2" xfId="50435"/>
    <cellStyle name="Normal 34 82 3" xfId="36931"/>
    <cellStyle name="Normal 34 83" xfId="9419"/>
    <cellStyle name="Normal 34 83 2" xfId="23555"/>
    <cellStyle name="Normal 34 83 2 2" xfId="50563"/>
    <cellStyle name="Normal 34 83 3" xfId="37059"/>
    <cellStyle name="Normal 34 84" xfId="9561"/>
    <cellStyle name="Normal 34 84 2" xfId="23683"/>
    <cellStyle name="Normal 34 84 2 2" xfId="50691"/>
    <cellStyle name="Normal 34 84 3" xfId="37187"/>
    <cellStyle name="Normal 34 85" xfId="9703"/>
    <cellStyle name="Normal 34 85 2" xfId="23811"/>
    <cellStyle name="Normal 34 85 2 2" xfId="50819"/>
    <cellStyle name="Normal 34 85 3" xfId="37315"/>
    <cellStyle name="Normal 34 86" xfId="9845"/>
    <cellStyle name="Normal 34 86 2" xfId="23939"/>
    <cellStyle name="Normal 34 86 2 2" xfId="50947"/>
    <cellStyle name="Normal 34 86 3" xfId="37443"/>
    <cellStyle name="Normal 34 87" xfId="9987"/>
    <cellStyle name="Normal 34 87 2" xfId="24067"/>
    <cellStyle name="Normal 34 87 2 2" xfId="51075"/>
    <cellStyle name="Normal 34 87 3" xfId="37571"/>
    <cellStyle name="Normal 34 88" xfId="10129"/>
    <cellStyle name="Normal 34 88 2" xfId="24195"/>
    <cellStyle name="Normal 34 88 2 2" xfId="51203"/>
    <cellStyle name="Normal 34 88 3" xfId="37699"/>
    <cellStyle name="Normal 34 89" xfId="10271"/>
    <cellStyle name="Normal 34 89 2" xfId="24323"/>
    <cellStyle name="Normal 34 89 2 2" xfId="51331"/>
    <cellStyle name="Normal 34 89 3" xfId="37827"/>
    <cellStyle name="Normal 34 9" xfId="1178"/>
    <cellStyle name="Normal 34 9 2" xfId="16350"/>
    <cellStyle name="Normal 34 9 2 2" xfId="43358"/>
    <cellStyle name="Normal 34 9 3" xfId="29854"/>
    <cellStyle name="Normal 34 90" xfId="10413"/>
    <cellStyle name="Normal 34 90 2" xfId="24451"/>
    <cellStyle name="Normal 34 90 2 2" xfId="51459"/>
    <cellStyle name="Normal 34 90 3" xfId="37955"/>
    <cellStyle name="Normal 34 91" xfId="10555"/>
    <cellStyle name="Normal 34 91 2" xfId="24579"/>
    <cellStyle name="Normal 34 91 2 2" xfId="51587"/>
    <cellStyle name="Normal 34 91 3" xfId="38083"/>
    <cellStyle name="Normal 34 92" xfId="10697"/>
    <cellStyle name="Normal 34 92 2" xfId="24707"/>
    <cellStyle name="Normal 34 92 2 2" xfId="51715"/>
    <cellStyle name="Normal 34 92 3" xfId="38211"/>
    <cellStyle name="Normal 34 93" xfId="10839"/>
    <cellStyle name="Normal 34 93 2" xfId="24835"/>
    <cellStyle name="Normal 34 93 2 2" xfId="51843"/>
    <cellStyle name="Normal 34 93 3" xfId="38339"/>
    <cellStyle name="Normal 34 94" xfId="10981"/>
    <cellStyle name="Normal 34 94 2" xfId="24963"/>
    <cellStyle name="Normal 34 94 2 2" xfId="51971"/>
    <cellStyle name="Normal 34 94 3" xfId="38467"/>
    <cellStyle name="Normal 34 95" xfId="11123"/>
    <cellStyle name="Normal 34 95 2" xfId="25091"/>
    <cellStyle name="Normal 34 95 2 2" xfId="52099"/>
    <cellStyle name="Normal 34 95 3" xfId="38595"/>
    <cellStyle name="Normal 34 96" xfId="11265"/>
    <cellStyle name="Normal 34 96 2" xfId="25219"/>
    <cellStyle name="Normal 34 96 2 2" xfId="52227"/>
    <cellStyle name="Normal 34 96 3" xfId="38723"/>
    <cellStyle name="Normal 34 97" xfId="11407"/>
    <cellStyle name="Normal 34 97 2" xfId="25347"/>
    <cellStyle name="Normal 34 97 2 2" xfId="52355"/>
    <cellStyle name="Normal 34 97 3" xfId="38851"/>
    <cellStyle name="Normal 34 98" xfId="11549"/>
    <cellStyle name="Normal 34 98 2" xfId="25475"/>
    <cellStyle name="Normal 34 98 2 2" xfId="52483"/>
    <cellStyle name="Normal 34 98 3" xfId="38979"/>
    <cellStyle name="Normal 34 99" xfId="11691"/>
    <cellStyle name="Normal 34 99 2" xfId="25603"/>
    <cellStyle name="Normal 34 99 2 2" xfId="52611"/>
    <cellStyle name="Normal 34 99 3" xfId="39107"/>
    <cellStyle name="Normal 340" xfId="56509"/>
    <cellStyle name="Normal 341" xfId="56512"/>
    <cellStyle name="Normal 342" xfId="56515"/>
    <cellStyle name="Normal 343" xfId="56518"/>
    <cellStyle name="Normal 344" xfId="56525"/>
    <cellStyle name="Normal 345" xfId="56526"/>
    <cellStyle name="Normal 346" xfId="56527"/>
    <cellStyle name="Normal 347" xfId="56530"/>
    <cellStyle name="Normal 348" xfId="56533"/>
    <cellStyle name="Normal 349" xfId="56536"/>
    <cellStyle name="Normal 35" xfId="180"/>
    <cellStyle name="Normal 35 10" xfId="1285"/>
    <cellStyle name="Normal 35 10 2" xfId="16443"/>
    <cellStyle name="Normal 35 10 2 2" xfId="43451"/>
    <cellStyle name="Normal 35 10 3" xfId="29947"/>
    <cellStyle name="Normal 35 100" xfId="11834"/>
    <cellStyle name="Normal 35 100 2" xfId="25732"/>
    <cellStyle name="Normal 35 100 2 2" xfId="52740"/>
    <cellStyle name="Normal 35 100 3" xfId="39236"/>
    <cellStyle name="Normal 35 101" xfId="11976"/>
    <cellStyle name="Normal 35 101 2" xfId="25860"/>
    <cellStyle name="Normal 35 101 2 2" xfId="52868"/>
    <cellStyle name="Normal 35 101 3" xfId="39364"/>
    <cellStyle name="Normal 35 102" xfId="12118"/>
    <cellStyle name="Normal 35 102 2" xfId="25988"/>
    <cellStyle name="Normal 35 102 2 2" xfId="52996"/>
    <cellStyle name="Normal 35 102 3" xfId="39492"/>
    <cellStyle name="Normal 35 103" xfId="12260"/>
    <cellStyle name="Normal 35 103 2" xfId="26116"/>
    <cellStyle name="Normal 35 103 2 2" xfId="53124"/>
    <cellStyle name="Normal 35 103 3" xfId="39620"/>
    <cellStyle name="Normal 35 104" xfId="12402"/>
    <cellStyle name="Normal 35 104 2" xfId="26244"/>
    <cellStyle name="Normal 35 104 2 2" xfId="53252"/>
    <cellStyle name="Normal 35 104 3" xfId="39748"/>
    <cellStyle name="Normal 35 105" xfId="12544"/>
    <cellStyle name="Normal 35 105 2" xfId="26372"/>
    <cellStyle name="Normal 35 105 2 2" xfId="53380"/>
    <cellStyle name="Normal 35 105 3" xfId="39876"/>
    <cellStyle name="Normal 35 106" xfId="12686"/>
    <cellStyle name="Normal 35 106 2" xfId="26500"/>
    <cellStyle name="Normal 35 106 2 2" xfId="53508"/>
    <cellStyle name="Normal 35 106 3" xfId="40004"/>
    <cellStyle name="Normal 35 107" xfId="12828"/>
    <cellStyle name="Normal 35 107 2" xfId="26628"/>
    <cellStyle name="Normal 35 107 2 2" xfId="53636"/>
    <cellStyle name="Normal 35 107 3" xfId="40132"/>
    <cellStyle name="Normal 35 108" xfId="12970"/>
    <cellStyle name="Normal 35 108 2" xfId="26756"/>
    <cellStyle name="Normal 35 108 2 2" xfId="53764"/>
    <cellStyle name="Normal 35 108 3" xfId="40260"/>
    <cellStyle name="Normal 35 109" xfId="13112"/>
    <cellStyle name="Normal 35 109 2" xfId="26884"/>
    <cellStyle name="Normal 35 109 2 2" xfId="53892"/>
    <cellStyle name="Normal 35 109 3" xfId="40388"/>
    <cellStyle name="Normal 35 11" xfId="1391"/>
    <cellStyle name="Normal 35 11 2" xfId="16535"/>
    <cellStyle name="Normal 35 11 2 2" xfId="43543"/>
    <cellStyle name="Normal 35 11 3" xfId="30039"/>
    <cellStyle name="Normal 35 110" xfId="13254"/>
    <cellStyle name="Normal 35 110 2" xfId="27012"/>
    <cellStyle name="Normal 35 110 2 2" xfId="54020"/>
    <cellStyle name="Normal 35 110 3" xfId="40516"/>
    <cellStyle name="Normal 35 111" xfId="13396"/>
    <cellStyle name="Normal 35 111 2" xfId="27140"/>
    <cellStyle name="Normal 35 111 2 2" xfId="54148"/>
    <cellStyle name="Normal 35 111 3" xfId="40644"/>
    <cellStyle name="Normal 35 112" xfId="13538"/>
    <cellStyle name="Normal 35 112 2" xfId="27268"/>
    <cellStyle name="Normal 35 112 2 2" xfId="54276"/>
    <cellStyle name="Normal 35 112 3" xfId="40772"/>
    <cellStyle name="Normal 35 113" xfId="13680"/>
    <cellStyle name="Normal 35 113 2" xfId="27396"/>
    <cellStyle name="Normal 35 113 2 2" xfId="54404"/>
    <cellStyle name="Normal 35 113 3" xfId="40900"/>
    <cellStyle name="Normal 35 114" xfId="13822"/>
    <cellStyle name="Normal 35 114 2" xfId="27524"/>
    <cellStyle name="Normal 35 114 2 2" xfId="54532"/>
    <cellStyle name="Normal 35 114 3" xfId="41028"/>
    <cellStyle name="Normal 35 115" xfId="13963"/>
    <cellStyle name="Normal 35 115 2" xfId="27651"/>
    <cellStyle name="Normal 35 115 2 2" xfId="54659"/>
    <cellStyle name="Normal 35 115 3" xfId="41155"/>
    <cellStyle name="Normal 35 116" xfId="14104"/>
    <cellStyle name="Normal 35 116 2" xfId="27778"/>
    <cellStyle name="Normal 35 116 2 2" xfId="54786"/>
    <cellStyle name="Normal 35 116 3" xfId="41282"/>
    <cellStyle name="Normal 35 117" xfId="14245"/>
    <cellStyle name="Normal 35 117 2" xfId="27905"/>
    <cellStyle name="Normal 35 117 2 2" xfId="54913"/>
    <cellStyle name="Normal 35 117 3" xfId="41409"/>
    <cellStyle name="Normal 35 118" xfId="14386"/>
    <cellStyle name="Normal 35 118 2" xfId="28032"/>
    <cellStyle name="Normal 35 118 2 2" xfId="55040"/>
    <cellStyle name="Normal 35 118 3" xfId="41536"/>
    <cellStyle name="Normal 35 119" xfId="14526"/>
    <cellStyle name="Normal 35 119 2" xfId="28158"/>
    <cellStyle name="Normal 35 119 2 2" xfId="55166"/>
    <cellStyle name="Normal 35 119 3" xfId="41662"/>
    <cellStyle name="Normal 35 12" xfId="1497"/>
    <cellStyle name="Normal 35 12 2" xfId="16627"/>
    <cellStyle name="Normal 35 12 2 2" xfId="43635"/>
    <cellStyle name="Normal 35 12 3" xfId="30131"/>
    <cellStyle name="Normal 35 120" xfId="14666"/>
    <cellStyle name="Normal 35 120 2" xfId="28284"/>
    <cellStyle name="Normal 35 120 2 2" xfId="55292"/>
    <cellStyle name="Normal 35 120 3" xfId="41788"/>
    <cellStyle name="Normal 35 121" xfId="14805"/>
    <cellStyle name="Normal 35 121 2" xfId="28409"/>
    <cellStyle name="Normal 35 121 2 2" xfId="55417"/>
    <cellStyle name="Normal 35 121 3" xfId="41913"/>
    <cellStyle name="Normal 35 122" xfId="14940"/>
    <cellStyle name="Normal 35 122 2" xfId="28531"/>
    <cellStyle name="Normal 35 122 2 2" xfId="55539"/>
    <cellStyle name="Normal 35 122 3" xfId="42035"/>
    <cellStyle name="Normal 35 123" xfId="15074"/>
    <cellStyle name="Normal 35 123 2" xfId="28652"/>
    <cellStyle name="Normal 35 123 2 2" xfId="55660"/>
    <cellStyle name="Normal 35 123 3" xfId="42156"/>
    <cellStyle name="Normal 35 124" xfId="15201"/>
    <cellStyle name="Normal 35 124 2" xfId="28768"/>
    <cellStyle name="Normal 35 124 2 2" xfId="55776"/>
    <cellStyle name="Normal 35 124 3" xfId="42272"/>
    <cellStyle name="Normal 35 125" xfId="15321"/>
    <cellStyle name="Normal 35 125 2" xfId="28881"/>
    <cellStyle name="Normal 35 125 2 2" xfId="55889"/>
    <cellStyle name="Normal 35 125 3" xfId="42385"/>
    <cellStyle name="Normal 35 126" xfId="15536"/>
    <cellStyle name="Normal 35 126 2" xfId="42544"/>
    <cellStyle name="Normal 35 127" xfId="29040"/>
    <cellStyle name="Normal 35 13" xfId="1603"/>
    <cellStyle name="Normal 35 13 2" xfId="16719"/>
    <cellStyle name="Normal 35 13 2 2" xfId="43727"/>
    <cellStyle name="Normal 35 13 3" xfId="30223"/>
    <cellStyle name="Normal 35 14" xfId="1709"/>
    <cellStyle name="Normal 35 14 2" xfId="16811"/>
    <cellStyle name="Normal 35 14 2 2" xfId="43819"/>
    <cellStyle name="Normal 35 14 3" xfId="30315"/>
    <cellStyle name="Normal 35 15" xfId="1815"/>
    <cellStyle name="Normal 35 15 2" xfId="16903"/>
    <cellStyle name="Normal 35 15 2 2" xfId="43911"/>
    <cellStyle name="Normal 35 15 3" xfId="30407"/>
    <cellStyle name="Normal 35 16" xfId="1921"/>
    <cellStyle name="Normal 35 16 2" xfId="16995"/>
    <cellStyle name="Normal 35 16 2 2" xfId="44003"/>
    <cellStyle name="Normal 35 16 3" xfId="30499"/>
    <cellStyle name="Normal 35 17" xfId="2027"/>
    <cellStyle name="Normal 35 17 2" xfId="17087"/>
    <cellStyle name="Normal 35 17 2 2" xfId="44095"/>
    <cellStyle name="Normal 35 17 3" xfId="30591"/>
    <cellStyle name="Normal 35 18" xfId="2133"/>
    <cellStyle name="Normal 35 18 2" xfId="17179"/>
    <cellStyle name="Normal 35 18 2 2" xfId="44187"/>
    <cellStyle name="Normal 35 18 3" xfId="30683"/>
    <cellStyle name="Normal 35 19" xfId="2239"/>
    <cellStyle name="Normal 35 19 2" xfId="17271"/>
    <cellStyle name="Normal 35 19 2 2" xfId="44279"/>
    <cellStyle name="Normal 35 19 3" xfId="30775"/>
    <cellStyle name="Normal 35 2" xfId="357"/>
    <cellStyle name="Normal 35 2 2" xfId="15659"/>
    <cellStyle name="Normal 35 2 2 2" xfId="42667"/>
    <cellStyle name="Normal 35 2 3" xfId="29163"/>
    <cellStyle name="Normal 35 20" xfId="2345"/>
    <cellStyle name="Normal 35 20 2" xfId="17363"/>
    <cellStyle name="Normal 35 20 2 2" xfId="44371"/>
    <cellStyle name="Normal 35 20 3" xfId="30867"/>
    <cellStyle name="Normal 35 21" xfId="2451"/>
    <cellStyle name="Normal 35 21 2" xfId="17455"/>
    <cellStyle name="Normal 35 21 2 2" xfId="44463"/>
    <cellStyle name="Normal 35 21 3" xfId="30959"/>
    <cellStyle name="Normal 35 22" xfId="2557"/>
    <cellStyle name="Normal 35 22 2" xfId="17547"/>
    <cellStyle name="Normal 35 22 2 2" xfId="44555"/>
    <cellStyle name="Normal 35 22 3" xfId="31051"/>
    <cellStyle name="Normal 35 23" xfId="2663"/>
    <cellStyle name="Normal 35 23 2" xfId="17639"/>
    <cellStyle name="Normal 35 23 2 2" xfId="44647"/>
    <cellStyle name="Normal 35 23 3" xfId="31143"/>
    <cellStyle name="Normal 35 24" xfId="2769"/>
    <cellStyle name="Normal 35 24 2" xfId="17731"/>
    <cellStyle name="Normal 35 24 2 2" xfId="44739"/>
    <cellStyle name="Normal 35 24 3" xfId="31235"/>
    <cellStyle name="Normal 35 25" xfId="2875"/>
    <cellStyle name="Normal 35 25 2" xfId="17823"/>
    <cellStyle name="Normal 35 25 2 2" xfId="44831"/>
    <cellStyle name="Normal 35 25 3" xfId="31327"/>
    <cellStyle name="Normal 35 26" xfId="2981"/>
    <cellStyle name="Normal 35 26 2" xfId="17915"/>
    <cellStyle name="Normal 35 26 2 2" xfId="44923"/>
    <cellStyle name="Normal 35 26 3" xfId="31419"/>
    <cellStyle name="Normal 35 27" xfId="3087"/>
    <cellStyle name="Normal 35 27 2" xfId="18007"/>
    <cellStyle name="Normal 35 27 2 2" xfId="45015"/>
    <cellStyle name="Normal 35 27 3" xfId="31511"/>
    <cellStyle name="Normal 35 28" xfId="3193"/>
    <cellStyle name="Normal 35 28 2" xfId="18099"/>
    <cellStyle name="Normal 35 28 2 2" xfId="45107"/>
    <cellStyle name="Normal 35 28 3" xfId="31603"/>
    <cellStyle name="Normal 35 29" xfId="3299"/>
    <cellStyle name="Normal 35 29 2" xfId="18191"/>
    <cellStyle name="Normal 35 29 2 2" xfId="45199"/>
    <cellStyle name="Normal 35 29 3" xfId="31695"/>
    <cellStyle name="Normal 35 3" xfId="544"/>
    <cellStyle name="Normal 35 3 2" xfId="15800"/>
    <cellStyle name="Normal 35 3 2 2" xfId="42808"/>
    <cellStyle name="Normal 35 3 3" xfId="29304"/>
    <cellStyle name="Normal 35 30" xfId="3405"/>
    <cellStyle name="Normal 35 30 2" xfId="18283"/>
    <cellStyle name="Normal 35 30 2 2" xfId="45291"/>
    <cellStyle name="Normal 35 30 3" xfId="31787"/>
    <cellStyle name="Normal 35 31" xfId="3511"/>
    <cellStyle name="Normal 35 31 2" xfId="18375"/>
    <cellStyle name="Normal 35 31 2 2" xfId="45383"/>
    <cellStyle name="Normal 35 31 3" xfId="31879"/>
    <cellStyle name="Normal 35 32" xfId="3617"/>
    <cellStyle name="Normal 35 32 2" xfId="18467"/>
    <cellStyle name="Normal 35 32 2 2" xfId="45475"/>
    <cellStyle name="Normal 35 32 3" xfId="31971"/>
    <cellStyle name="Normal 35 33" xfId="3723"/>
    <cellStyle name="Normal 35 33 2" xfId="18559"/>
    <cellStyle name="Normal 35 33 2 2" xfId="45567"/>
    <cellStyle name="Normal 35 33 3" xfId="32063"/>
    <cellStyle name="Normal 35 34" xfId="3829"/>
    <cellStyle name="Normal 35 34 2" xfId="18651"/>
    <cellStyle name="Normal 35 34 2 2" xfId="45659"/>
    <cellStyle name="Normal 35 34 3" xfId="32155"/>
    <cellStyle name="Normal 35 35" xfId="3935"/>
    <cellStyle name="Normal 35 35 2" xfId="18743"/>
    <cellStyle name="Normal 35 35 2 2" xfId="45751"/>
    <cellStyle name="Normal 35 35 3" xfId="32247"/>
    <cellStyle name="Normal 35 36" xfId="4041"/>
    <cellStyle name="Normal 35 36 2" xfId="18835"/>
    <cellStyle name="Normal 35 36 2 2" xfId="45843"/>
    <cellStyle name="Normal 35 36 3" xfId="32339"/>
    <cellStyle name="Normal 35 37" xfId="4147"/>
    <cellStyle name="Normal 35 37 2" xfId="18927"/>
    <cellStyle name="Normal 35 37 2 2" xfId="45935"/>
    <cellStyle name="Normal 35 37 3" xfId="32431"/>
    <cellStyle name="Normal 35 38" xfId="4253"/>
    <cellStyle name="Normal 35 38 2" xfId="19019"/>
    <cellStyle name="Normal 35 38 2 2" xfId="46027"/>
    <cellStyle name="Normal 35 38 3" xfId="32523"/>
    <cellStyle name="Normal 35 39" xfId="4359"/>
    <cellStyle name="Normal 35 39 2" xfId="19111"/>
    <cellStyle name="Normal 35 39 2 2" xfId="46119"/>
    <cellStyle name="Normal 35 39 3" xfId="32615"/>
    <cellStyle name="Normal 35 4" xfId="649"/>
    <cellStyle name="Normal 35 4 2" xfId="15891"/>
    <cellStyle name="Normal 35 4 2 2" xfId="42899"/>
    <cellStyle name="Normal 35 4 3" xfId="29395"/>
    <cellStyle name="Normal 35 40" xfId="4465"/>
    <cellStyle name="Normal 35 40 2" xfId="19203"/>
    <cellStyle name="Normal 35 40 2 2" xfId="46211"/>
    <cellStyle name="Normal 35 40 3" xfId="32707"/>
    <cellStyle name="Normal 35 41" xfId="4571"/>
    <cellStyle name="Normal 35 41 2" xfId="19295"/>
    <cellStyle name="Normal 35 41 2 2" xfId="46303"/>
    <cellStyle name="Normal 35 41 3" xfId="32799"/>
    <cellStyle name="Normal 35 42" xfId="4677"/>
    <cellStyle name="Normal 35 42 2" xfId="19387"/>
    <cellStyle name="Normal 35 42 2 2" xfId="46395"/>
    <cellStyle name="Normal 35 42 3" xfId="32891"/>
    <cellStyle name="Normal 35 43" xfId="4783"/>
    <cellStyle name="Normal 35 43 2" xfId="19479"/>
    <cellStyle name="Normal 35 43 2 2" xfId="46487"/>
    <cellStyle name="Normal 35 43 3" xfId="32983"/>
    <cellStyle name="Normal 35 44" xfId="4889"/>
    <cellStyle name="Normal 35 44 2" xfId="19571"/>
    <cellStyle name="Normal 35 44 2 2" xfId="46579"/>
    <cellStyle name="Normal 35 44 3" xfId="33075"/>
    <cellStyle name="Normal 35 45" xfId="4995"/>
    <cellStyle name="Normal 35 45 2" xfId="19663"/>
    <cellStyle name="Normal 35 45 2 2" xfId="46671"/>
    <cellStyle name="Normal 35 45 3" xfId="33167"/>
    <cellStyle name="Normal 35 46" xfId="5101"/>
    <cellStyle name="Normal 35 46 2" xfId="19755"/>
    <cellStyle name="Normal 35 46 2 2" xfId="46763"/>
    <cellStyle name="Normal 35 46 3" xfId="33259"/>
    <cellStyle name="Normal 35 47" xfId="5207"/>
    <cellStyle name="Normal 35 47 2" xfId="19847"/>
    <cellStyle name="Normal 35 47 2 2" xfId="46855"/>
    <cellStyle name="Normal 35 47 3" xfId="33351"/>
    <cellStyle name="Normal 35 48" xfId="5313"/>
    <cellStyle name="Normal 35 48 2" xfId="19939"/>
    <cellStyle name="Normal 35 48 2 2" xfId="46947"/>
    <cellStyle name="Normal 35 48 3" xfId="33443"/>
    <cellStyle name="Normal 35 49" xfId="5419"/>
    <cellStyle name="Normal 35 49 2" xfId="20031"/>
    <cellStyle name="Normal 35 49 2 2" xfId="47039"/>
    <cellStyle name="Normal 35 49 3" xfId="33535"/>
    <cellStyle name="Normal 35 5" xfId="755"/>
    <cellStyle name="Normal 35 5 2" xfId="15983"/>
    <cellStyle name="Normal 35 5 2 2" xfId="42991"/>
    <cellStyle name="Normal 35 5 3" xfId="29487"/>
    <cellStyle name="Normal 35 50" xfId="5525"/>
    <cellStyle name="Normal 35 50 2" xfId="20123"/>
    <cellStyle name="Normal 35 50 2 2" xfId="47131"/>
    <cellStyle name="Normal 35 50 3" xfId="33627"/>
    <cellStyle name="Normal 35 51" xfId="5631"/>
    <cellStyle name="Normal 35 51 2" xfId="20215"/>
    <cellStyle name="Normal 35 51 2 2" xfId="47223"/>
    <cellStyle name="Normal 35 51 3" xfId="33719"/>
    <cellStyle name="Normal 35 52" xfId="5737"/>
    <cellStyle name="Normal 35 52 2" xfId="20307"/>
    <cellStyle name="Normal 35 52 2 2" xfId="47315"/>
    <cellStyle name="Normal 35 52 3" xfId="33811"/>
    <cellStyle name="Normal 35 53" xfId="5843"/>
    <cellStyle name="Normal 35 53 2" xfId="20399"/>
    <cellStyle name="Normal 35 53 2 2" xfId="47407"/>
    <cellStyle name="Normal 35 53 3" xfId="33903"/>
    <cellStyle name="Normal 35 54" xfId="5949"/>
    <cellStyle name="Normal 35 54 2" xfId="20491"/>
    <cellStyle name="Normal 35 54 2 2" xfId="47499"/>
    <cellStyle name="Normal 35 54 3" xfId="33995"/>
    <cellStyle name="Normal 35 55" xfId="6055"/>
    <cellStyle name="Normal 35 55 2" xfId="20583"/>
    <cellStyle name="Normal 35 55 2 2" xfId="47591"/>
    <cellStyle name="Normal 35 55 3" xfId="34087"/>
    <cellStyle name="Normal 35 56" xfId="6161"/>
    <cellStyle name="Normal 35 56 2" xfId="20675"/>
    <cellStyle name="Normal 35 56 2 2" xfId="47683"/>
    <cellStyle name="Normal 35 56 3" xfId="34179"/>
    <cellStyle name="Normal 35 57" xfId="6267"/>
    <cellStyle name="Normal 35 57 2" xfId="20767"/>
    <cellStyle name="Normal 35 57 2 2" xfId="47775"/>
    <cellStyle name="Normal 35 57 3" xfId="34271"/>
    <cellStyle name="Normal 35 58" xfId="6373"/>
    <cellStyle name="Normal 35 58 2" xfId="20859"/>
    <cellStyle name="Normal 35 58 2 2" xfId="47867"/>
    <cellStyle name="Normal 35 58 3" xfId="34363"/>
    <cellStyle name="Normal 35 59" xfId="6479"/>
    <cellStyle name="Normal 35 59 2" xfId="20951"/>
    <cellStyle name="Normal 35 59 2 2" xfId="47959"/>
    <cellStyle name="Normal 35 59 3" xfId="34455"/>
    <cellStyle name="Normal 35 6" xfId="861"/>
    <cellStyle name="Normal 35 6 2" xfId="16075"/>
    <cellStyle name="Normal 35 6 2 2" xfId="43083"/>
    <cellStyle name="Normal 35 6 3" xfId="29579"/>
    <cellStyle name="Normal 35 60" xfId="6585"/>
    <cellStyle name="Normal 35 60 2" xfId="21043"/>
    <cellStyle name="Normal 35 60 2 2" xfId="48051"/>
    <cellStyle name="Normal 35 60 3" xfId="34547"/>
    <cellStyle name="Normal 35 61" xfId="6690"/>
    <cellStyle name="Normal 35 61 2" xfId="21134"/>
    <cellStyle name="Normal 35 61 2 2" xfId="48142"/>
    <cellStyle name="Normal 35 61 3" xfId="34638"/>
    <cellStyle name="Normal 35 62" xfId="6795"/>
    <cellStyle name="Normal 35 62 2" xfId="21225"/>
    <cellStyle name="Normal 35 62 2 2" xfId="48233"/>
    <cellStyle name="Normal 35 62 3" xfId="34729"/>
    <cellStyle name="Normal 35 63" xfId="6900"/>
    <cellStyle name="Normal 35 63 2" xfId="21316"/>
    <cellStyle name="Normal 35 63 2 2" xfId="48324"/>
    <cellStyle name="Normal 35 63 3" xfId="34820"/>
    <cellStyle name="Normal 35 64" xfId="7005"/>
    <cellStyle name="Normal 35 64 2" xfId="21407"/>
    <cellStyle name="Normal 35 64 2 2" xfId="48415"/>
    <cellStyle name="Normal 35 64 3" xfId="34911"/>
    <cellStyle name="Normal 35 65" xfId="7109"/>
    <cellStyle name="Normal 35 65 2" xfId="21497"/>
    <cellStyle name="Normal 35 65 2 2" xfId="48505"/>
    <cellStyle name="Normal 35 65 3" xfId="35001"/>
    <cellStyle name="Normal 35 66" xfId="7213"/>
    <cellStyle name="Normal 35 66 2" xfId="21587"/>
    <cellStyle name="Normal 35 66 2 2" xfId="48595"/>
    <cellStyle name="Normal 35 66 3" xfId="35091"/>
    <cellStyle name="Normal 35 67" xfId="7316"/>
    <cellStyle name="Normal 35 67 2" xfId="21676"/>
    <cellStyle name="Normal 35 67 2 2" xfId="48684"/>
    <cellStyle name="Normal 35 67 3" xfId="35180"/>
    <cellStyle name="Normal 35 68" xfId="7416"/>
    <cellStyle name="Normal 35 68 2" xfId="21763"/>
    <cellStyle name="Normal 35 68 2 2" xfId="48771"/>
    <cellStyle name="Normal 35 68 3" xfId="35267"/>
    <cellStyle name="Normal 35 69" xfId="7514"/>
    <cellStyle name="Normal 35 69 2" xfId="21848"/>
    <cellStyle name="Normal 35 69 2 2" xfId="48856"/>
    <cellStyle name="Normal 35 69 3" xfId="35352"/>
    <cellStyle name="Normal 35 7" xfId="967"/>
    <cellStyle name="Normal 35 7 2" xfId="16167"/>
    <cellStyle name="Normal 35 7 2 2" xfId="43175"/>
    <cellStyle name="Normal 35 7 3" xfId="29671"/>
    <cellStyle name="Normal 35 70" xfId="7603"/>
    <cellStyle name="Normal 35 70 2" xfId="21926"/>
    <cellStyle name="Normal 35 70 2 2" xfId="48934"/>
    <cellStyle name="Normal 35 70 3" xfId="35430"/>
    <cellStyle name="Normal 35 71" xfId="7679"/>
    <cellStyle name="Normal 35 71 2" xfId="21995"/>
    <cellStyle name="Normal 35 71 2 2" xfId="49003"/>
    <cellStyle name="Normal 35 71 3" xfId="35499"/>
    <cellStyle name="Normal 35 72" xfId="7858"/>
    <cellStyle name="Normal 35 72 2" xfId="22148"/>
    <cellStyle name="Normal 35 72 2 2" xfId="49156"/>
    <cellStyle name="Normal 35 72 3" xfId="35652"/>
    <cellStyle name="Normal 35 73" xfId="8000"/>
    <cellStyle name="Normal 35 73 2" xfId="22276"/>
    <cellStyle name="Normal 35 73 2 2" xfId="49284"/>
    <cellStyle name="Normal 35 73 3" xfId="35780"/>
    <cellStyle name="Normal 35 74" xfId="8142"/>
    <cellStyle name="Normal 35 74 2" xfId="22404"/>
    <cellStyle name="Normal 35 74 2 2" xfId="49412"/>
    <cellStyle name="Normal 35 74 3" xfId="35908"/>
    <cellStyle name="Normal 35 75" xfId="8284"/>
    <cellStyle name="Normal 35 75 2" xfId="22532"/>
    <cellStyle name="Normal 35 75 2 2" xfId="49540"/>
    <cellStyle name="Normal 35 75 3" xfId="36036"/>
    <cellStyle name="Normal 35 76" xfId="8426"/>
    <cellStyle name="Normal 35 76 2" xfId="22660"/>
    <cellStyle name="Normal 35 76 2 2" xfId="49668"/>
    <cellStyle name="Normal 35 76 3" xfId="36164"/>
    <cellStyle name="Normal 35 77" xfId="8568"/>
    <cellStyle name="Normal 35 77 2" xfId="22788"/>
    <cellStyle name="Normal 35 77 2 2" xfId="49796"/>
    <cellStyle name="Normal 35 77 3" xfId="36292"/>
    <cellStyle name="Normal 35 78" xfId="8710"/>
    <cellStyle name="Normal 35 78 2" xfId="22916"/>
    <cellStyle name="Normal 35 78 2 2" xfId="49924"/>
    <cellStyle name="Normal 35 78 3" xfId="36420"/>
    <cellStyle name="Normal 35 79" xfId="8852"/>
    <cellStyle name="Normal 35 79 2" xfId="23044"/>
    <cellStyle name="Normal 35 79 2 2" xfId="50052"/>
    <cellStyle name="Normal 35 79 3" xfId="36548"/>
    <cellStyle name="Normal 35 8" xfId="1073"/>
    <cellStyle name="Normal 35 8 2" xfId="16259"/>
    <cellStyle name="Normal 35 8 2 2" xfId="43267"/>
    <cellStyle name="Normal 35 8 3" xfId="29763"/>
    <cellStyle name="Normal 35 80" xfId="8994"/>
    <cellStyle name="Normal 35 80 2" xfId="23172"/>
    <cellStyle name="Normal 35 80 2 2" xfId="50180"/>
    <cellStyle name="Normal 35 80 3" xfId="36676"/>
    <cellStyle name="Normal 35 81" xfId="9136"/>
    <cellStyle name="Normal 35 81 2" xfId="23300"/>
    <cellStyle name="Normal 35 81 2 2" xfId="50308"/>
    <cellStyle name="Normal 35 81 3" xfId="36804"/>
    <cellStyle name="Normal 35 82" xfId="9278"/>
    <cellStyle name="Normal 35 82 2" xfId="23428"/>
    <cellStyle name="Normal 35 82 2 2" xfId="50436"/>
    <cellStyle name="Normal 35 82 3" xfId="36932"/>
    <cellStyle name="Normal 35 83" xfId="9420"/>
    <cellStyle name="Normal 35 83 2" xfId="23556"/>
    <cellStyle name="Normal 35 83 2 2" xfId="50564"/>
    <cellStyle name="Normal 35 83 3" xfId="37060"/>
    <cellStyle name="Normal 35 84" xfId="9562"/>
    <cellStyle name="Normal 35 84 2" xfId="23684"/>
    <cellStyle name="Normal 35 84 2 2" xfId="50692"/>
    <cellStyle name="Normal 35 84 3" xfId="37188"/>
    <cellStyle name="Normal 35 85" xfId="9704"/>
    <cellStyle name="Normal 35 85 2" xfId="23812"/>
    <cellStyle name="Normal 35 85 2 2" xfId="50820"/>
    <cellStyle name="Normal 35 85 3" xfId="37316"/>
    <cellStyle name="Normal 35 86" xfId="9846"/>
    <cellStyle name="Normal 35 86 2" xfId="23940"/>
    <cellStyle name="Normal 35 86 2 2" xfId="50948"/>
    <cellStyle name="Normal 35 86 3" xfId="37444"/>
    <cellStyle name="Normal 35 87" xfId="9988"/>
    <cellStyle name="Normal 35 87 2" xfId="24068"/>
    <cellStyle name="Normal 35 87 2 2" xfId="51076"/>
    <cellStyle name="Normal 35 87 3" xfId="37572"/>
    <cellStyle name="Normal 35 88" xfId="10130"/>
    <cellStyle name="Normal 35 88 2" xfId="24196"/>
    <cellStyle name="Normal 35 88 2 2" xfId="51204"/>
    <cellStyle name="Normal 35 88 3" xfId="37700"/>
    <cellStyle name="Normal 35 89" xfId="10272"/>
    <cellStyle name="Normal 35 89 2" xfId="24324"/>
    <cellStyle name="Normal 35 89 2 2" xfId="51332"/>
    <cellStyle name="Normal 35 89 3" xfId="37828"/>
    <cellStyle name="Normal 35 9" xfId="1179"/>
    <cellStyle name="Normal 35 9 2" xfId="16351"/>
    <cellStyle name="Normal 35 9 2 2" xfId="43359"/>
    <cellStyle name="Normal 35 9 3" xfId="29855"/>
    <cellStyle name="Normal 35 90" xfId="10414"/>
    <cellStyle name="Normal 35 90 2" xfId="24452"/>
    <cellStyle name="Normal 35 90 2 2" xfId="51460"/>
    <cellStyle name="Normal 35 90 3" xfId="37956"/>
    <cellStyle name="Normal 35 91" xfId="10556"/>
    <cellStyle name="Normal 35 91 2" xfId="24580"/>
    <cellStyle name="Normal 35 91 2 2" xfId="51588"/>
    <cellStyle name="Normal 35 91 3" xfId="38084"/>
    <cellStyle name="Normal 35 92" xfId="10698"/>
    <cellStyle name="Normal 35 92 2" xfId="24708"/>
    <cellStyle name="Normal 35 92 2 2" xfId="51716"/>
    <cellStyle name="Normal 35 92 3" xfId="38212"/>
    <cellStyle name="Normal 35 93" xfId="10840"/>
    <cellStyle name="Normal 35 93 2" xfId="24836"/>
    <cellStyle name="Normal 35 93 2 2" xfId="51844"/>
    <cellStyle name="Normal 35 93 3" xfId="38340"/>
    <cellStyle name="Normal 35 94" xfId="10982"/>
    <cellStyle name="Normal 35 94 2" xfId="24964"/>
    <cellStyle name="Normal 35 94 2 2" xfId="51972"/>
    <cellStyle name="Normal 35 94 3" xfId="38468"/>
    <cellStyle name="Normal 35 95" xfId="11124"/>
    <cellStyle name="Normal 35 95 2" xfId="25092"/>
    <cellStyle name="Normal 35 95 2 2" xfId="52100"/>
    <cellStyle name="Normal 35 95 3" xfId="38596"/>
    <cellStyle name="Normal 35 96" xfId="11266"/>
    <cellStyle name="Normal 35 96 2" xfId="25220"/>
    <cellStyle name="Normal 35 96 2 2" xfId="52228"/>
    <cellStyle name="Normal 35 96 3" xfId="38724"/>
    <cellStyle name="Normal 35 97" xfId="11408"/>
    <cellStyle name="Normal 35 97 2" xfId="25348"/>
    <cellStyle name="Normal 35 97 2 2" xfId="52356"/>
    <cellStyle name="Normal 35 97 3" xfId="38852"/>
    <cellStyle name="Normal 35 98" xfId="11550"/>
    <cellStyle name="Normal 35 98 2" xfId="25476"/>
    <cellStyle name="Normal 35 98 2 2" xfId="52484"/>
    <cellStyle name="Normal 35 98 3" xfId="38980"/>
    <cellStyle name="Normal 35 99" xfId="11692"/>
    <cellStyle name="Normal 35 99 2" xfId="25604"/>
    <cellStyle name="Normal 35 99 2 2" xfId="52612"/>
    <cellStyle name="Normal 35 99 3" xfId="39108"/>
    <cellStyle name="Normal 350" xfId="56539"/>
    <cellStyle name="Normal 351" xfId="56542"/>
    <cellStyle name="Normal 352" xfId="56545"/>
    <cellStyle name="Normal 353" xfId="56548"/>
    <cellStyle name="Normal 354" xfId="56551"/>
    <cellStyle name="Normal 355" xfId="56554"/>
    <cellStyle name="Normal 356" xfId="56557"/>
    <cellStyle name="Normal 357" xfId="56560"/>
    <cellStyle name="Normal 358" xfId="56563"/>
    <cellStyle name="Normal 359" xfId="56566"/>
    <cellStyle name="Normal 36" xfId="181"/>
    <cellStyle name="Normal 36 10" xfId="1286"/>
    <cellStyle name="Normal 36 10 2" xfId="16444"/>
    <cellStyle name="Normal 36 10 2 2" xfId="43452"/>
    <cellStyle name="Normal 36 10 3" xfId="29948"/>
    <cellStyle name="Normal 36 100" xfId="11835"/>
    <cellStyle name="Normal 36 100 2" xfId="25733"/>
    <cellStyle name="Normal 36 100 2 2" xfId="52741"/>
    <cellStyle name="Normal 36 100 3" xfId="39237"/>
    <cellStyle name="Normal 36 101" xfId="11977"/>
    <cellStyle name="Normal 36 101 2" xfId="25861"/>
    <cellStyle name="Normal 36 101 2 2" xfId="52869"/>
    <cellStyle name="Normal 36 101 3" xfId="39365"/>
    <cellStyle name="Normal 36 102" xfId="12119"/>
    <cellStyle name="Normal 36 102 2" xfId="25989"/>
    <cellStyle name="Normal 36 102 2 2" xfId="52997"/>
    <cellStyle name="Normal 36 102 3" xfId="39493"/>
    <cellStyle name="Normal 36 103" xfId="12261"/>
    <cellStyle name="Normal 36 103 2" xfId="26117"/>
    <cellStyle name="Normal 36 103 2 2" xfId="53125"/>
    <cellStyle name="Normal 36 103 3" xfId="39621"/>
    <cellStyle name="Normal 36 104" xfId="12403"/>
    <cellStyle name="Normal 36 104 2" xfId="26245"/>
    <cellStyle name="Normal 36 104 2 2" xfId="53253"/>
    <cellStyle name="Normal 36 104 3" xfId="39749"/>
    <cellStyle name="Normal 36 105" xfId="12545"/>
    <cellStyle name="Normal 36 105 2" xfId="26373"/>
    <cellStyle name="Normal 36 105 2 2" xfId="53381"/>
    <cellStyle name="Normal 36 105 3" xfId="39877"/>
    <cellStyle name="Normal 36 106" xfId="12687"/>
    <cellStyle name="Normal 36 106 2" xfId="26501"/>
    <cellStyle name="Normal 36 106 2 2" xfId="53509"/>
    <cellStyle name="Normal 36 106 3" xfId="40005"/>
    <cellStyle name="Normal 36 107" xfId="12829"/>
    <cellStyle name="Normal 36 107 2" xfId="26629"/>
    <cellStyle name="Normal 36 107 2 2" xfId="53637"/>
    <cellStyle name="Normal 36 107 3" xfId="40133"/>
    <cellStyle name="Normal 36 108" xfId="12971"/>
    <cellStyle name="Normal 36 108 2" xfId="26757"/>
    <cellStyle name="Normal 36 108 2 2" xfId="53765"/>
    <cellStyle name="Normal 36 108 3" xfId="40261"/>
    <cellStyle name="Normal 36 109" xfId="13113"/>
    <cellStyle name="Normal 36 109 2" xfId="26885"/>
    <cellStyle name="Normal 36 109 2 2" xfId="53893"/>
    <cellStyle name="Normal 36 109 3" xfId="40389"/>
    <cellStyle name="Normal 36 11" xfId="1392"/>
    <cellStyle name="Normal 36 11 2" xfId="16536"/>
    <cellStyle name="Normal 36 11 2 2" xfId="43544"/>
    <cellStyle name="Normal 36 11 3" xfId="30040"/>
    <cellStyle name="Normal 36 110" xfId="13255"/>
    <cellStyle name="Normal 36 110 2" xfId="27013"/>
    <cellStyle name="Normal 36 110 2 2" xfId="54021"/>
    <cellStyle name="Normal 36 110 3" xfId="40517"/>
    <cellStyle name="Normal 36 111" xfId="13397"/>
    <cellStyle name="Normal 36 111 2" xfId="27141"/>
    <cellStyle name="Normal 36 111 2 2" xfId="54149"/>
    <cellStyle name="Normal 36 111 3" xfId="40645"/>
    <cellStyle name="Normal 36 112" xfId="13539"/>
    <cellStyle name="Normal 36 112 2" xfId="27269"/>
    <cellStyle name="Normal 36 112 2 2" xfId="54277"/>
    <cellStyle name="Normal 36 112 3" xfId="40773"/>
    <cellStyle name="Normal 36 113" xfId="13681"/>
    <cellStyle name="Normal 36 113 2" xfId="27397"/>
    <cellStyle name="Normal 36 113 2 2" xfId="54405"/>
    <cellStyle name="Normal 36 113 3" xfId="40901"/>
    <cellStyle name="Normal 36 114" xfId="13823"/>
    <cellStyle name="Normal 36 114 2" xfId="27525"/>
    <cellStyle name="Normal 36 114 2 2" xfId="54533"/>
    <cellStyle name="Normal 36 114 3" xfId="41029"/>
    <cellStyle name="Normal 36 115" xfId="13964"/>
    <cellStyle name="Normal 36 115 2" xfId="27652"/>
    <cellStyle name="Normal 36 115 2 2" xfId="54660"/>
    <cellStyle name="Normal 36 115 3" xfId="41156"/>
    <cellStyle name="Normal 36 116" xfId="14105"/>
    <cellStyle name="Normal 36 116 2" xfId="27779"/>
    <cellStyle name="Normal 36 116 2 2" xfId="54787"/>
    <cellStyle name="Normal 36 116 3" xfId="41283"/>
    <cellStyle name="Normal 36 117" xfId="14246"/>
    <cellStyle name="Normal 36 117 2" xfId="27906"/>
    <cellStyle name="Normal 36 117 2 2" xfId="54914"/>
    <cellStyle name="Normal 36 117 3" xfId="41410"/>
    <cellStyle name="Normal 36 118" xfId="14387"/>
    <cellStyle name="Normal 36 118 2" xfId="28033"/>
    <cellStyle name="Normal 36 118 2 2" xfId="55041"/>
    <cellStyle name="Normal 36 118 3" xfId="41537"/>
    <cellStyle name="Normal 36 119" xfId="14527"/>
    <cellStyle name="Normal 36 119 2" xfId="28159"/>
    <cellStyle name="Normal 36 119 2 2" xfId="55167"/>
    <cellStyle name="Normal 36 119 3" xfId="41663"/>
    <cellStyle name="Normal 36 12" xfId="1498"/>
    <cellStyle name="Normal 36 12 2" xfId="16628"/>
    <cellStyle name="Normal 36 12 2 2" xfId="43636"/>
    <cellStyle name="Normal 36 12 3" xfId="30132"/>
    <cellStyle name="Normal 36 120" xfId="14667"/>
    <cellStyle name="Normal 36 120 2" xfId="28285"/>
    <cellStyle name="Normal 36 120 2 2" xfId="55293"/>
    <cellStyle name="Normal 36 120 3" xfId="41789"/>
    <cellStyle name="Normal 36 121" xfId="14806"/>
    <cellStyle name="Normal 36 121 2" xfId="28410"/>
    <cellStyle name="Normal 36 121 2 2" xfId="55418"/>
    <cellStyle name="Normal 36 121 3" xfId="41914"/>
    <cellStyle name="Normal 36 122" xfId="14941"/>
    <cellStyle name="Normal 36 122 2" xfId="28532"/>
    <cellStyle name="Normal 36 122 2 2" xfId="55540"/>
    <cellStyle name="Normal 36 122 3" xfId="42036"/>
    <cellStyle name="Normal 36 123" xfId="15075"/>
    <cellStyle name="Normal 36 123 2" xfId="28653"/>
    <cellStyle name="Normal 36 123 2 2" xfId="55661"/>
    <cellStyle name="Normal 36 123 3" xfId="42157"/>
    <cellStyle name="Normal 36 124" xfId="15202"/>
    <cellStyle name="Normal 36 124 2" xfId="28769"/>
    <cellStyle name="Normal 36 124 2 2" xfId="55777"/>
    <cellStyle name="Normal 36 124 3" xfId="42273"/>
    <cellStyle name="Normal 36 125" xfId="15322"/>
    <cellStyle name="Normal 36 125 2" xfId="28882"/>
    <cellStyle name="Normal 36 125 2 2" xfId="55890"/>
    <cellStyle name="Normal 36 125 3" xfId="42386"/>
    <cellStyle name="Normal 36 126" xfId="15537"/>
    <cellStyle name="Normal 36 126 2" xfId="42545"/>
    <cellStyle name="Normal 36 127" xfId="29041"/>
    <cellStyle name="Normal 36 13" xfId="1604"/>
    <cellStyle name="Normal 36 13 2" xfId="16720"/>
    <cellStyle name="Normal 36 13 2 2" xfId="43728"/>
    <cellStyle name="Normal 36 13 3" xfId="30224"/>
    <cellStyle name="Normal 36 14" xfId="1710"/>
    <cellStyle name="Normal 36 14 2" xfId="16812"/>
    <cellStyle name="Normal 36 14 2 2" xfId="43820"/>
    <cellStyle name="Normal 36 14 3" xfId="30316"/>
    <cellStyle name="Normal 36 15" xfId="1816"/>
    <cellStyle name="Normal 36 15 2" xfId="16904"/>
    <cellStyle name="Normal 36 15 2 2" xfId="43912"/>
    <cellStyle name="Normal 36 15 3" xfId="30408"/>
    <cellStyle name="Normal 36 16" xfId="1922"/>
    <cellStyle name="Normal 36 16 2" xfId="16996"/>
    <cellStyle name="Normal 36 16 2 2" xfId="44004"/>
    <cellStyle name="Normal 36 16 3" xfId="30500"/>
    <cellStyle name="Normal 36 17" xfId="2028"/>
    <cellStyle name="Normal 36 17 2" xfId="17088"/>
    <cellStyle name="Normal 36 17 2 2" xfId="44096"/>
    <cellStyle name="Normal 36 17 3" xfId="30592"/>
    <cellStyle name="Normal 36 18" xfId="2134"/>
    <cellStyle name="Normal 36 18 2" xfId="17180"/>
    <cellStyle name="Normal 36 18 2 2" xfId="44188"/>
    <cellStyle name="Normal 36 18 3" xfId="30684"/>
    <cellStyle name="Normal 36 19" xfId="2240"/>
    <cellStyle name="Normal 36 19 2" xfId="17272"/>
    <cellStyle name="Normal 36 19 2 2" xfId="44280"/>
    <cellStyle name="Normal 36 19 3" xfId="30776"/>
    <cellStyle name="Normal 36 2" xfId="358"/>
    <cellStyle name="Normal 36 2 2" xfId="15660"/>
    <cellStyle name="Normal 36 2 2 2" xfId="42668"/>
    <cellStyle name="Normal 36 2 3" xfId="29164"/>
    <cellStyle name="Normal 36 20" xfId="2346"/>
    <cellStyle name="Normal 36 20 2" xfId="17364"/>
    <cellStyle name="Normal 36 20 2 2" xfId="44372"/>
    <cellStyle name="Normal 36 20 3" xfId="30868"/>
    <cellStyle name="Normal 36 21" xfId="2452"/>
    <cellStyle name="Normal 36 21 2" xfId="17456"/>
    <cellStyle name="Normal 36 21 2 2" xfId="44464"/>
    <cellStyle name="Normal 36 21 3" xfId="30960"/>
    <cellStyle name="Normal 36 22" xfId="2558"/>
    <cellStyle name="Normal 36 22 2" xfId="17548"/>
    <cellStyle name="Normal 36 22 2 2" xfId="44556"/>
    <cellStyle name="Normal 36 22 3" xfId="31052"/>
    <cellStyle name="Normal 36 23" xfId="2664"/>
    <cellStyle name="Normal 36 23 2" xfId="17640"/>
    <cellStyle name="Normal 36 23 2 2" xfId="44648"/>
    <cellStyle name="Normal 36 23 3" xfId="31144"/>
    <cellStyle name="Normal 36 24" xfId="2770"/>
    <cellStyle name="Normal 36 24 2" xfId="17732"/>
    <cellStyle name="Normal 36 24 2 2" xfId="44740"/>
    <cellStyle name="Normal 36 24 3" xfId="31236"/>
    <cellStyle name="Normal 36 25" xfId="2876"/>
    <cellStyle name="Normal 36 25 2" xfId="17824"/>
    <cellStyle name="Normal 36 25 2 2" xfId="44832"/>
    <cellStyle name="Normal 36 25 3" xfId="31328"/>
    <cellStyle name="Normal 36 26" xfId="2982"/>
    <cellStyle name="Normal 36 26 2" xfId="17916"/>
    <cellStyle name="Normal 36 26 2 2" xfId="44924"/>
    <cellStyle name="Normal 36 26 3" xfId="31420"/>
    <cellStyle name="Normal 36 27" xfId="3088"/>
    <cellStyle name="Normal 36 27 2" xfId="18008"/>
    <cellStyle name="Normal 36 27 2 2" xfId="45016"/>
    <cellStyle name="Normal 36 27 3" xfId="31512"/>
    <cellStyle name="Normal 36 28" xfId="3194"/>
    <cellStyle name="Normal 36 28 2" xfId="18100"/>
    <cellStyle name="Normal 36 28 2 2" xfId="45108"/>
    <cellStyle name="Normal 36 28 3" xfId="31604"/>
    <cellStyle name="Normal 36 29" xfId="3300"/>
    <cellStyle name="Normal 36 29 2" xfId="18192"/>
    <cellStyle name="Normal 36 29 2 2" xfId="45200"/>
    <cellStyle name="Normal 36 29 3" xfId="31696"/>
    <cellStyle name="Normal 36 3" xfId="545"/>
    <cellStyle name="Normal 36 3 2" xfId="15801"/>
    <cellStyle name="Normal 36 3 2 2" xfId="42809"/>
    <cellStyle name="Normal 36 3 3" xfId="29305"/>
    <cellStyle name="Normal 36 30" xfId="3406"/>
    <cellStyle name="Normal 36 30 2" xfId="18284"/>
    <cellStyle name="Normal 36 30 2 2" xfId="45292"/>
    <cellStyle name="Normal 36 30 3" xfId="31788"/>
    <cellStyle name="Normal 36 31" xfId="3512"/>
    <cellStyle name="Normal 36 31 2" xfId="18376"/>
    <cellStyle name="Normal 36 31 2 2" xfId="45384"/>
    <cellStyle name="Normal 36 31 3" xfId="31880"/>
    <cellStyle name="Normal 36 32" xfId="3618"/>
    <cellStyle name="Normal 36 32 2" xfId="18468"/>
    <cellStyle name="Normal 36 32 2 2" xfId="45476"/>
    <cellStyle name="Normal 36 32 3" xfId="31972"/>
    <cellStyle name="Normal 36 33" xfId="3724"/>
    <cellStyle name="Normal 36 33 2" xfId="18560"/>
    <cellStyle name="Normal 36 33 2 2" xfId="45568"/>
    <cellStyle name="Normal 36 33 3" xfId="32064"/>
    <cellStyle name="Normal 36 34" xfId="3830"/>
    <cellStyle name="Normal 36 34 2" xfId="18652"/>
    <cellStyle name="Normal 36 34 2 2" xfId="45660"/>
    <cellStyle name="Normal 36 34 3" xfId="32156"/>
    <cellStyle name="Normal 36 35" xfId="3936"/>
    <cellStyle name="Normal 36 35 2" xfId="18744"/>
    <cellStyle name="Normal 36 35 2 2" xfId="45752"/>
    <cellStyle name="Normal 36 35 3" xfId="32248"/>
    <cellStyle name="Normal 36 36" xfId="4042"/>
    <cellStyle name="Normal 36 36 2" xfId="18836"/>
    <cellStyle name="Normal 36 36 2 2" xfId="45844"/>
    <cellStyle name="Normal 36 36 3" xfId="32340"/>
    <cellStyle name="Normal 36 37" xfId="4148"/>
    <cellStyle name="Normal 36 37 2" xfId="18928"/>
    <cellStyle name="Normal 36 37 2 2" xfId="45936"/>
    <cellStyle name="Normal 36 37 3" xfId="32432"/>
    <cellStyle name="Normal 36 38" xfId="4254"/>
    <cellStyle name="Normal 36 38 2" xfId="19020"/>
    <cellStyle name="Normal 36 38 2 2" xfId="46028"/>
    <cellStyle name="Normal 36 38 3" xfId="32524"/>
    <cellStyle name="Normal 36 39" xfId="4360"/>
    <cellStyle name="Normal 36 39 2" xfId="19112"/>
    <cellStyle name="Normal 36 39 2 2" xfId="46120"/>
    <cellStyle name="Normal 36 39 3" xfId="32616"/>
    <cellStyle name="Normal 36 4" xfId="650"/>
    <cellStyle name="Normal 36 4 2" xfId="15892"/>
    <cellStyle name="Normal 36 4 2 2" xfId="42900"/>
    <cellStyle name="Normal 36 4 3" xfId="29396"/>
    <cellStyle name="Normal 36 40" xfId="4466"/>
    <cellStyle name="Normal 36 40 2" xfId="19204"/>
    <cellStyle name="Normal 36 40 2 2" xfId="46212"/>
    <cellStyle name="Normal 36 40 3" xfId="32708"/>
    <cellStyle name="Normal 36 41" xfId="4572"/>
    <cellStyle name="Normal 36 41 2" xfId="19296"/>
    <cellStyle name="Normal 36 41 2 2" xfId="46304"/>
    <cellStyle name="Normal 36 41 3" xfId="32800"/>
    <cellStyle name="Normal 36 42" xfId="4678"/>
    <cellStyle name="Normal 36 42 2" xfId="19388"/>
    <cellStyle name="Normal 36 42 2 2" xfId="46396"/>
    <cellStyle name="Normal 36 42 3" xfId="32892"/>
    <cellStyle name="Normal 36 43" xfId="4784"/>
    <cellStyle name="Normal 36 43 2" xfId="19480"/>
    <cellStyle name="Normal 36 43 2 2" xfId="46488"/>
    <cellStyle name="Normal 36 43 3" xfId="32984"/>
    <cellStyle name="Normal 36 44" xfId="4890"/>
    <cellStyle name="Normal 36 44 2" xfId="19572"/>
    <cellStyle name="Normal 36 44 2 2" xfId="46580"/>
    <cellStyle name="Normal 36 44 3" xfId="33076"/>
    <cellStyle name="Normal 36 45" xfId="4996"/>
    <cellStyle name="Normal 36 45 2" xfId="19664"/>
    <cellStyle name="Normal 36 45 2 2" xfId="46672"/>
    <cellStyle name="Normal 36 45 3" xfId="33168"/>
    <cellStyle name="Normal 36 46" xfId="5102"/>
    <cellStyle name="Normal 36 46 2" xfId="19756"/>
    <cellStyle name="Normal 36 46 2 2" xfId="46764"/>
    <cellStyle name="Normal 36 46 3" xfId="33260"/>
    <cellStyle name="Normal 36 47" xfId="5208"/>
    <cellStyle name="Normal 36 47 2" xfId="19848"/>
    <cellStyle name="Normal 36 47 2 2" xfId="46856"/>
    <cellStyle name="Normal 36 47 3" xfId="33352"/>
    <cellStyle name="Normal 36 48" xfId="5314"/>
    <cellStyle name="Normal 36 48 2" xfId="19940"/>
    <cellStyle name="Normal 36 48 2 2" xfId="46948"/>
    <cellStyle name="Normal 36 48 3" xfId="33444"/>
    <cellStyle name="Normal 36 49" xfId="5420"/>
    <cellStyle name="Normal 36 49 2" xfId="20032"/>
    <cellStyle name="Normal 36 49 2 2" xfId="47040"/>
    <cellStyle name="Normal 36 49 3" xfId="33536"/>
    <cellStyle name="Normal 36 5" xfId="756"/>
    <cellStyle name="Normal 36 5 2" xfId="15984"/>
    <cellStyle name="Normal 36 5 2 2" xfId="42992"/>
    <cellStyle name="Normal 36 5 3" xfId="29488"/>
    <cellStyle name="Normal 36 50" xfId="5526"/>
    <cellStyle name="Normal 36 50 2" xfId="20124"/>
    <cellStyle name="Normal 36 50 2 2" xfId="47132"/>
    <cellStyle name="Normal 36 50 3" xfId="33628"/>
    <cellStyle name="Normal 36 51" xfId="5632"/>
    <cellStyle name="Normal 36 51 2" xfId="20216"/>
    <cellStyle name="Normal 36 51 2 2" xfId="47224"/>
    <cellStyle name="Normal 36 51 3" xfId="33720"/>
    <cellStyle name="Normal 36 52" xfId="5738"/>
    <cellStyle name="Normal 36 52 2" xfId="20308"/>
    <cellStyle name="Normal 36 52 2 2" xfId="47316"/>
    <cellStyle name="Normal 36 52 3" xfId="33812"/>
    <cellStyle name="Normal 36 53" xfId="5844"/>
    <cellStyle name="Normal 36 53 2" xfId="20400"/>
    <cellStyle name="Normal 36 53 2 2" xfId="47408"/>
    <cellStyle name="Normal 36 53 3" xfId="33904"/>
    <cellStyle name="Normal 36 54" xfId="5950"/>
    <cellStyle name="Normal 36 54 2" xfId="20492"/>
    <cellStyle name="Normal 36 54 2 2" xfId="47500"/>
    <cellStyle name="Normal 36 54 3" xfId="33996"/>
    <cellStyle name="Normal 36 55" xfId="6056"/>
    <cellStyle name="Normal 36 55 2" xfId="20584"/>
    <cellStyle name="Normal 36 55 2 2" xfId="47592"/>
    <cellStyle name="Normal 36 55 3" xfId="34088"/>
    <cellStyle name="Normal 36 56" xfId="6162"/>
    <cellStyle name="Normal 36 56 2" xfId="20676"/>
    <cellStyle name="Normal 36 56 2 2" xfId="47684"/>
    <cellStyle name="Normal 36 56 3" xfId="34180"/>
    <cellStyle name="Normal 36 57" xfId="6268"/>
    <cellStyle name="Normal 36 57 2" xfId="20768"/>
    <cellStyle name="Normal 36 57 2 2" xfId="47776"/>
    <cellStyle name="Normal 36 57 3" xfId="34272"/>
    <cellStyle name="Normal 36 58" xfId="6374"/>
    <cellStyle name="Normal 36 58 2" xfId="20860"/>
    <cellStyle name="Normal 36 58 2 2" xfId="47868"/>
    <cellStyle name="Normal 36 58 3" xfId="34364"/>
    <cellStyle name="Normal 36 59" xfId="6480"/>
    <cellStyle name="Normal 36 59 2" xfId="20952"/>
    <cellStyle name="Normal 36 59 2 2" xfId="47960"/>
    <cellStyle name="Normal 36 59 3" xfId="34456"/>
    <cellStyle name="Normal 36 6" xfId="862"/>
    <cellStyle name="Normal 36 6 2" xfId="16076"/>
    <cellStyle name="Normal 36 6 2 2" xfId="43084"/>
    <cellStyle name="Normal 36 6 3" xfId="29580"/>
    <cellStyle name="Normal 36 60" xfId="6586"/>
    <cellStyle name="Normal 36 60 2" xfId="21044"/>
    <cellStyle name="Normal 36 60 2 2" xfId="48052"/>
    <cellStyle name="Normal 36 60 3" xfId="34548"/>
    <cellStyle name="Normal 36 61" xfId="6691"/>
    <cellStyle name="Normal 36 61 2" xfId="21135"/>
    <cellStyle name="Normal 36 61 2 2" xfId="48143"/>
    <cellStyle name="Normal 36 61 3" xfId="34639"/>
    <cellStyle name="Normal 36 62" xfId="6796"/>
    <cellStyle name="Normal 36 62 2" xfId="21226"/>
    <cellStyle name="Normal 36 62 2 2" xfId="48234"/>
    <cellStyle name="Normal 36 62 3" xfId="34730"/>
    <cellStyle name="Normal 36 63" xfId="6901"/>
    <cellStyle name="Normal 36 63 2" xfId="21317"/>
    <cellStyle name="Normal 36 63 2 2" xfId="48325"/>
    <cellStyle name="Normal 36 63 3" xfId="34821"/>
    <cellStyle name="Normal 36 64" xfId="7006"/>
    <cellStyle name="Normal 36 64 2" xfId="21408"/>
    <cellStyle name="Normal 36 64 2 2" xfId="48416"/>
    <cellStyle name="Normal 36 64 3" xfId="34912"/>
    <cellStyle name="Normal 36 65" xfId="7110"/>
    <cellStyle name="Normal 36 65 2" xfId="21498"/>
    <cellStyle name="Normal 36 65 2 2" xfId="48506"/>
    <cellStyle name="Normal 36 65 3" xfId="35002"/>
    <cellStyle name="Normal 36 66" xfId="7214"/>
    <cellStyle name="Normal 36 66 2" xfId="21588"/>
    <cellStyle name="Normal 36 66 2 2" xfId="48596"/>
    <cellStyle name="Normal 36 66 3" xfId="35092"/>
    <cellStyle name="Normal 36 67" xfId="7317"/>
    <cellStyle name="Normal 36 67 2" xfId="21677"/>
    <cellStyle name="Normal 36 67 2 2" xfId="48685"/>
    <cellStyle name="Normal 36 67 3" xfId="35181"/>
    <cellStyle name="Normal 36 68" xfId="7417"/>
    <cellStyle name="Normal 36 68 2" xfId="21764"/>
    <cellStyle name="Normal 36 68 2 2" xfId="48772"/>
    <cellStyle name="Normal 36 68 3" xfId="35268"/>
    <cellStyle name="Normal 36 69" xfId="7515"/>
    <cellStyle name="Normal 36 69 2" xfId="21849"/>
    <cellStyle name="Normal 36 69 2 2" xfId="48857"/>
    <cellStyle name="Normal 36 69 3" xfId="35353"/>
    <cellStyle name="Normal 36 7" xfId="968"/>
    <cellStyle name="Normal 36 7 2" xfId="16168"/>
    <cellStyle name="Normal 36 7 2 2" xfId="43176"/>
    <cellStyle name="Normal 36 7 3" xfId="29672"/>
    <cellStyle name="Normal 36 70" xfId="7604"/>
    <cellStyle name="Normal 36 70 2" xfId="21927"/>
    <cellStyle name="Normal 36 70 2 2" xfId="48935"/>
    <cellStyle name="Normal 36 70 3" xfId="35431"/>
    <cellStyle name="Normal 36 71" xfId="7680"/>
    <cellStyle name="Normal 36 71 2" xfId="21996"/>
    <cellStyle name="Normal 36 71 2 2" xfId="49004"/>
    <cellStyle name="Normal 36 71 3" xfId="35500"/>
    <cellStyle name="Normal 36 72" xfId="7859"/>
    <cellStyle name="Normal 36 72 2" xfId="22149"/>
    <cellStyle name="Normal 36 72 2 2" xfId="49157"/>
    <cellStyle name="Normal 36 72 3" xfId="35653"/>
    <cellStyle name="Normal 36 73" xfId="8001"/>
    <cellStyle name="Normal 36 73 2" xfId="22277"/>
    <cellStyle name="Normal 36 73 2 2" xfId="49285"/>
    <cellStyle name="Normal 36 73 3" xfId="35781"/>
    <cellStyle name="Normal 36 74" xfId="8143"/>
    <cellStyle name="Normal 36 74 2" xfId="22405"/>
    <cellStyle name="Normal 36 74 2 2" xfId="49413"/>
    <cellStyle name="Normal 36 74 3" xfId="35909"/>
    <cellStyle name="Normal 36 75" xfId="8285"/>
    <cellStyle name="Normal 36 75 2" xfId="22533"/>
    <cellStyle name="Normal 36 75 2 2" xfId="49541"/>
    <cellStyle name="Normal 36 75 3" xfId="36037"/>
    <cellStyle name="Normal 36 76" xfId="8427"/>
    <cellStyle name="Normal 36 76 2" xfId="22661"/>
    <cellStyle name="Normal 36 76 2 2" xfId="49669"/>
    <cellStyle name="Normal 36 76 3" xfId="36165"/>
    <cellStyle name="Normal 36 77" xfId="8569"/>
    <cellStyle name="Normal 36 77 2" xfId="22789"/>
    <cellStyle name="Normal 36 77 2 2" xfId="49797"/>
    <cellStyle name="Normal 36 77 3" xfId="36293"/>
    <cellStyle name="Normal 36 78" xfId="8711"/>
    <cellStyle name="Normal 36 78 2" xfId="22917"/>
    <cellStyle name="Normal 36 78 2 2" xfId="49925"/>
    <cellStyle name="Normal 36 78 3" xfId="36421"/>
    <cellStyle name="Normal 36 79" xfId="8853"/>
    <cellStyle name="Normal 36 79 2" xfId="23045"/>
    <cellStyle name="Normal 36 79 2 2" xfId="50053"/>
    <cellStyle name="Normal 36 79 3" xfId="36549"/>
    <cellStyle name="Normal 36 8" xfId="1074"/>
    <cellStyle name="Normal 36 8 2" xfId="16260"/>
    <cellStyle name="Normal 36 8 2 2" xfId="43268"/>
    <cellStyle name="Normal 36 8 3" xfId="29764"/>
    <cellStyle name="Normal 36 80" xfId="8995"/>
    <cellStyle name="Normal 36 80 2" xfId="23173"/>
    <cellStyle name="Normal 36 80 2 2" xfId="50181"/>
    <cellStyle name="Normal 36 80 3" xfId="36677"/>
    <cellStyle name="Normal 36 81" xfId="9137"/>
    <cellStyle name="Normal 36 81 2" xfId="23301"/>
    <cellStyle name="Normal 36 81 2 2" xfId="50309"/>
    <cellStyle name="Normal 36 81 3" xfId="36805"/>
    <cellStyle name="Normal 36 82" xfId="9279"/>
    <cellStyle name="Normal 36 82 2" xfId="23429"/>
    <cellStyle name="Normal 36 82 2 2" xfId="50437"/>
    <cellStyle name="Normal 36 82 3" xfId="36933"/>
    <cellStyle name="Normal 36 83" xfId="9421"/>
    <cellStyle name="Normal 36 83 2" xfId="23557"/>
    <cellStyle name="Normal 36 83 2 2" xfId="50565"/>
    <cellStyle name="Normal 36 83 3" xfId="37061"/>
    <cellStyle name="Normal 36 84" xfId="9563"/>
    <cellStyle name="Normal 36 84 2" xfId="23685"/>
    <cellStyle name="Normal 36 84 2 2" xfId="50693"/>
    <cellStyle name="Normal 36 84 3" xfId="37189"/>
    <cellStyle name="Normal 36 85" xfId="9705"/>
    <cellStyle name="Normal 36 85 2" xfId="23813"/>
    <cellStyle name="Normal 36 85 2 2" xfId="50821"/>
    <cellStyle name="Normal 36 85 3" xfId="37317"/>
    <cellStyle name="Normal 36 86" xfId="9847"/>
    <cellStyle name="Normal 36 86 2" xfId="23941"/>
    <cellStyle name="Normal 36 86 2 2" xfId="50949"/>
    <cellStyle name="Normal 36 86 3" xfId="37445"/>
    <cellStyle name="Normal 36 87" xfId="9989"/>
    <cellStyle name="Normal 36 87 2" xfId="24069"/>
    <cellStyle name="Normal 36 87 2 2" xfId="51077"/>
    <cellStyle name="Normal 36 87 3" xfId="37573"/>
    <cellStyle name="Normal 36 88" xfId="10131"/>
    <cellStyle name="Normal 36 88 2" xfId="24197"/>
    <cellStyle name="Normal 36 88 2 2" xfId="51205"/>
    <cellStyle name="Normal 36 88 3" xfId="37701"/>
    <cellStyle name="Normal 36 89" xfId="10273"/>
    <cellStyle name="Normal 36 89 2" xfId="24325"/>
    <cellStyle name="Normal 36 89 2 2" xfId="51333"/>
    <cellStyle name="Normal 36 89 3" xfId="37829"/>
    <cellStyle name="Normal 36 9" xfId="1180"/>
    <cellStyle name="Normal 36 9 2" xfId="16352"/>
    <cellStyle name="Normal 36 9 2 2" xfId="43360"/>
    <cellStyle name="Normal 36 9 3" xfId="29856"/>
    <cellStyle name="Normal 36 90" xfId="10415"/>
    <cellStyle name="Normal 36 90 2" xfId="24453"/>
    <cellStyle name="Normal 36 90 2 2" xfId="51461"/>
    <cellStyle name="Normal 36 90 3" xfId="37957"/>
    <cellStyle name="Normal 36 91" xfId="10557"/>
    <cellStyle name="Normal 36 91 2" xfId="24581"/>
    <cellStyle name="Normal 36 91 2 2" xfId="51589"/>
    <cellStyle name="Normal 36 91 3" xfId="38085"/>
    <cellStyle name="Normal 36 92" xfId="10699"/>
    <cellStyle name="Normal 36 92 2" xfId="24709"/>
    <cellStyle name="Normal 36 92 2 2" xfId="51717"/>
    <cellStyle name="Normal 36 92 3" xfId="38213"/>
    <cellStyle name="Normal 36 93" xfId="10841"/>
    <cellStyle name="Normal 36 93 2" xfId="24837"/>
    <cellStyle name="Normal 36 93 2 2" xfId="51845"/>
    <cellStyle name="Normal 36 93 3" xfId="38341"/>
    <cellStyle name="Normal 36 94" xfId="10983"/>
    <cellStyle name="Normal 36 94 2" xfId="24965"/>
    <cellStyle name="Normal 36 94 2 2" xfId="51973"/>
    <cellStyle name="Normal 36 94 3" xfId="38469"/>
    <cellStyle name="Normal 36 95" xfId="11125"/>
    <cellStyle name="Normal 36 95 2" xfId="25093"/>
    <cellStyle name="Normal 36 95 2 2" xfId="52101"/>
    <cellStyle name="Normal 36 95 3" xfId="38597"/>
    <cellStyle name="Normal 36 96" xfId="11267"/>
    <cellStyle name="Normal 36 96 2" xfId="25221"/>
    <cellStyle name="Normal 36 96 2 2" xfId="52229"/>
    <cellStyle name="Normal 36 96 3" xfId="38725"/>
    <cellStyle name="Normal 36 97" xfId="11409"/>
    <cellStyle name="Normal 36 97 2" xfId="25349"/>
    <cellStyle name="Normal 36 97 2 2" xfId="52357"/>
    <cellStyle name="Normal 36 97 3" xfId="38853"/>
    <cellStyle name="Normal 36 98" xfId="11551"/>
    <cellStyle name="Normal 36 98 2" xfId="25477"/>
    <cellStyle name="Normal 36 98 2 2" xfId="52485"/>
    <cellStyle name="Normal 36 98 3" xfId="38981"/>
    <cellStyle name="Normal 36 99" xfId="11693"/>
    <cellStyle name="Normal 36 99 2" xfId="25605"/>
    <cellStyle name="Normal 36 99 2 2" xfId="52613"/>
    <cellStyle name="Normal 36 99 3" xfId="39109"/>
    <cellStyle name="Normal 360" xfId="56569"/>
    <cellStyle name="Normal 361" xfId="56572"/>
    <cellStyle name="Normal 362" xfId="56575"/>
    <cellStyle name="Normal 363" xfId="56578"/>
    <cellStyle name="Normal 364" xfId="56581"/>
    <cellStyle name="Normal 365" xfId="56584"/>
    <cellStyle name="Normal 366" xfId="56587"/>
    <cellStyle name="Normal 367" xfId="56590"/>
    <cellStyle name="Normal 368" xfId="56593"/>
    <cellStyle name="Normal 369" xfId="56596"/>
    <cellStyle name="Normal 37" xfId="182"/>
    <cellStyle name="Normal 37 10" xfId="1287"/>
    <cellStyle name="Normal 37 10 2" xfId="16445"/>
    <cellStyle name="Normal 37 10 2 2" xfId="43453"/>
    <cellStyle name="Normal 37 10 3" xfId="29949"/>
    <cellStyle name="Normal 37 100" xfId="11836"/>
    <cellStyle name="Normal 37 100 2" xfId="25734"/>
    <cellStyle name="Normal 37 100 2 2" xfId="52742"/>
    <cellStyle name="Normal 37 100 3" xfId="39238"/>
    <cellStyle name="Normal 37 101" xfId="11978"/>
    <cellStyle name="Normal 37 101 2" xfId="25862"/>
    <cellStyle name="Normal 37 101 2 2" xfId="52870"/>
    <cellStyle name="Normal 37 101 3" xfId="39366"/>
    <cellStyle name="Normal 37 102" xfId="12120"/>
    <cellStyle name="Normal 37 102 2" xfId="25990"/>
    <cellStyle name="Normal 37 102 2 2" xfId="52998"/>
    <cellStyle name="Normal 37 102 3" xfId="39494"/>
    <cellStyle name="Normal 37 103" xfId="12262"/>
    <cellStyle name="Normal 37 103 2" xfId="26118"/>
    <cellStyle name="Normal 37 103 2 2" xfId="53126"/>
    <cellStyle name="Normal 37 103 3" xfId="39622"/>
    <cellStyle name="Normal 37 104" xfId="12404"/>
    <cellStyle name="Normal 37 104 2" xfId="26246"/>
    <cellStyle name="Normal 37 104 2 2" xfId="53254"/>
    <cellStyle name="Normal 37 104 3" xfId="39750"/>
    <cellStyle name="Normal 37 105" xfId="12546"/>
    <cellStyle name="Normal 37 105 2" xfId="26374"/>
    <cellStyle name="Normal 37 105 2 2" xfId="53382"/>
    <cellStyle name="Normal 37 105 3" xfId="39878"/>
    <cellStyle name="Normal 37 106" xfId="12688"/>
    <cellStyle name="Normal 37 106 2" xfId="26502"/>
    <cellStyle name="Normal 37 106 2 2" xfId="53510"/>
    <cellStyle name="Normal 37 106 3" xfId="40006"/>
    <cellStyle name="Normal 37 107" xfId="12830"/>
    <cellStyle name="Normal 37 107 2" xfId="26630"/>
    <cellStyle name="Normal 37 107 2 2" xfId="53638"/>
    <cellStyle name="Normal 37 107 3" xfId="40134"/>
    <cellStyle name="Normal 37 108" xfId="12972"/>
    <cellStyle name="Normal 37 108 2" xfId="26758"/>
    <cellStyle name="Normal 37 108 2 2" xfId="53766"/>
    <cellStyle name="Normal 37 108 3" xfId="40262"/>
    <cellStyle name="Normal 37 109" xfId="13114"/>
    <cellStyle name="Normal 37 109 2" xfId="26886"/>
    <cellStyle name="Normal 37 109 2 2" xfId="53894"/>
    <cellStyle name="Normal 37 109 3" xfId="40390"/>
    <cellStyle name="Normal 37 11" xfId="1393"/>
    <cellStyle name="Normal 37 11 2" xfId="16537"/>
    <cellStyle name="Normal 37 11 2 2" xfId="43545"/>
    <cellStyle name="Normal 37 11 3" xfId="30041"/>
    <cellStyle name="Normal 37 110" xfId="13256"/>
    <cellStyle name="Normal 37 110 2" xfId="27014"/>
    <cellStyle name="Normal 37 110 2 2" xfId="54022"/>
    <cellStyle name="Normal 37 110 3" xfId="40518"/>
    <cellStyle name="Normal 37 111" xfId="13398"/>
    <cellStyle name="Normal 37 111 2" xfId="27142"/>
    <cellStyle name="Normal 37 111 2 2" xfId="54150"/>
    <cellStyle name="Normal 37 111 3" xfId="40646"/>
    <cellStyle name="Normal 37 112" xfId="13540"/>
    <cellStyle name="Normal 37 112 2" xfId="27270"/>
    <cellStyle name="Normal 37 112 2 2" xfId="54278"/>
    <cellStyle name="Normal 37 112 3" xfId="40774"/>
    <cellStyle name="Normal 37 113" xfId="13682"/>
    <cellStyle name="Normal 37 113 2" xfId="27398"/>
    <cellStyle name="Normal 37 113 2 2" xfId="54406"/>
    <cellStyle name="Normal 37 113 3" xfId="40902"/>
    <cellStyle name="Normal 37 114" xfId="13824"/>
    <cellStyle name="Normal 37 114 2" xfId="27526"/>
    <cellStyle name="Normal 37 114 2 2" xfId="54534"/>
    <cellStyle name="Normal 37 114 3" xfId="41030"/>
    <cellStyle name="Normal 37 115" xfId="13965"/>
    <cellStyle name="Normal 37 115 2" xfId="27653"/>
    <cellStyle name="Normal 37 115 2 2" xfId="54661"/>
    <cellStyle name="Normal 37 115 3" xfId="41157"/>
    <cellStyle name="Normal 37 116" xfId="14106"/>
    <cellStyle name="Normal 37 116 2" xfId="27780"/>
    <cellStyle name="Normal 37 116 2 2" xfId="54788"/>
    <cellStyle name="Normal 37 116 3" xfId="41284"/>
    <cellStyle name="Normal 37 117" xfId="14247"/>
    <cellStyle name="Normal 37 117 2" xfId="27907"/>
    <cellStyle name="Normal 37 117 2 2" xfId="54915"/>
    <cellStyle name="Normal 37 117 3" xfId="41411"/>
    <cellStyle name="Normal 37 118" xfId="14388"/>
    <cellStyle name="Normal 37 118 2" xfId="28034"/>
    <cellStyle name="Normal 37 118 2 2" xfId="55042"/>
    <cellStyle name="Normal 37 118 3" xfId="41538"/>
    <cellStyle name="Normal 37 119" xfId="14528"/>
    <cellStyle name="Normal 37 119 2" xfId="28160"/>
    <cellStyle name="Normal 37 119 2 2" xfId="55168"/>
    <cellStyle name="Normal 37 119 3" xfId="41664"/>
    <cellStyle name="Normal 37 12" xfId="1499"/>
    <cellStyle name="Normal 37 12 2" xfId="16629"/>
    <cellStyle name="Normal 37 12 2 2" xfId="43637"/>
    <cellStyle name="Normal 37 12 3" xfId="30133"/>
    <cellStyle name="Normal 37 120" xfId="14668"/>
    <cellStyle name="Normal 37 120 2" xfId="28286"/>
    <cellStyle name="Normal 37 120 2 2" xfId="55294"/>
    <cellStyle name="Normal 37 120 3" xfId="41790"/>
    <cellStyle name="Normal 37 121" xfId="14807"/>
    <cellStyle name="Normal 37 121 2" xfId="28411"/>
    <cellStyle name="Normal 37 121 2 2" xfId="55419"/>
    <cellStyle name="Normal 37 121 3" xfId="41915"/>
    <cellStyle name="Normal 37 122" xfId="14942"/>
    <cellStyle name="Normal 37 122 2" xfId="28533"/>
    <cellStyle name="Normal 37 122 2 2" xfId="55541"/>
    <cellStyle name="Normal 37 122 3" xfId="42037"/>
    <cellStyle name="Normal 37 123" xfId="15076"/>
    <cellStyle name="Normal 37 123 2" xfId="28654"/>
    <cellStyle name="Normal 37 123 2 2" xfId="55662"/>
    <cellStyle name="Normal 37 123 3" xfId="42158"/>
    <cellStyle name="Normal 37 124" xfId="15203"/>
    <cellStyle name="Normal 37 124 2" xfId="28770"/>
    <cellStyle name="Normal 37 124 2 2" xfId="55778"/>
    <cellStyle name="Normal 37 124 3" xfId="42274"/>
    <cellStyle name="Normal 37 125" xfId="15323"/>
    <cellStyle name="Normal 37 125 2" xfId="28883"/>
    <cellStyle name="Normal 37 125 2 2" xfId="55891"/>
    <cellStyle name="Normal 37 125 3" xfId="42387"/>
    <cellStyle name="Normal 37 126" xfId="15538"/>
    <cellStyle name="Normal 37 126 2" xfId="42546"/>
    <cellStyle name="Normal 37 127" xfId="29042"/>
    <cellStyle name="Normal 37 13" xfId="1605"/>
    <cellStyle name="Normal 37 13 2" xfId="16721"/>
    <cellStyle name="Normal 37 13 2 2" xfId="43729"/>
    <cellStyle name="Normal 37 13 3" xfId="30225"/>
    <cellStyle name="Normal 37 14" xfId="1711"/>
    <cellStyle name="Normal 37 14 2" xfId="16813"/>
    <cellStyle name="Normal 37 14 2 2" xfId="43821"/>
    <cellStyle name="Normal 37 14 3" xfId="30317"/>
    <cellStyle name="Normal 37 15" xfId="1817"/>
    <cellStyle name="Normal 37 15 2" xfId="16905"/>
    <cellStyle name="Normal 37 15 2 2" xfId="43913"/>
    <cellStyle name="Normal 37 15 3" xfId="30409"/>
    <cellStyle name="Normal 37 16" xfId="1923"/>
    <cellStyle name="Normal 37 16 2" xfId="16997"/>
    <cellStyle name="Normal 37 16 2 2" xfId="44005"/>
    <cellStyle name="Normal 37 16 3" xfId="30501"/>
    <cellStyle name="Normal 37 17" xfId="2029"/>
    <cellStyle name="Normal 37 17 2" xfId="17089"/>
    <cellStyle name="Normal 37 17 2 2" xfId="44097"/>
    <cellStyle name="Normal 37 17 3" xfId="30593"/>
    <cellStyle name="Normal 37 18" xfId="2135"/>
    <cellStyle name="Normal 37 18 2" xfId="17181"/>
    <cellStyle name="Normal 37 18 2 2" xfId="44189"/>
    <cellStyle name="Normal 37 18 3" xfId="30685"/>
    <cellStyle name="Normal 37 19" xfId="2241"/>
    <cellStyle name="Normal 37 19 2" xfId="17273"/>
    <cellStyle name="Normal 37 19 2 2" xfId="44281"/>
    <cellStyle name="Normal 37 19 3" xfId="30777"/>
    <cellStyle name="Normal 37 2" xfId="359"/>
    <cellStyle name="Normal 37 2 2" xfId="15661"/>
    <cellStyle name="Normal 37 2 2 2" xfId="42669"/>
    <cellStyle name="Normal 37 2 3" xfId="29165"/>
    <cellStyle name="Normal 37 20" xfId="2347"/>
    <cellStyle name="Normal 37 20 2" xfId="17365"/>
    <cellStyle name="Normal 37 20 2 2" xfId="44373"/>
    <cellStyle name="Normal 37 20 3" xfId="30869"/>
    <cellStyle name="Normal 37 21" xfId="2453"/>
    <cellStyle name="Normal 37 21 2" xfId="17457"/>
    <cellStyle name="Normal 37 21 2 2" xfId="44465"/>
    <cellStyle name="Normal 37 21 3" xfId="30961"/>
    <cellStyle name="Normal 37 22" xfId="2559"/>
    <cellStyle name="Normal 37 22 2" xfId="17549"/>
    <cellStyle name="Normal 37 22 2 2" xfId="44557"/>
    <cellStyle name="Normal 37 22 3" xfId="31053"/>
    <cellStyle name="Normal 37 23" xfId="2665"/>
    <cellStyle name="Normal 37 23 2" xfId="17641"/>
    <cellStyle name="Normal 37 23 2 2" xfId="44649"/>
    <cellStyle name="Normal 37 23 3" xfId="31145"/>
    <cellStyle name="Normal 37 24" xfId="2771"/>
    <cellStyle name="Normal 37 24 2" xfId="17733"/>
    <cellStyle name="Normal 37 24 2 2" xfId="44741"/>
    <cellStyle name="Normal 37 24 3" xfId="31237"/>
    <cellStyle name="Normal 37 25" xfId="2877"/>
    <cellStyle name="Normal 37 25 2" xfId="17825"/>
    <cellStyle name="Normal 37 25 2 2" xfId="44833"/>
    <cellStyle name="Normal 37 25 3" xfId="31329"/>
    <cellStyle name="Normal 37 26" xfId="2983"/>
    <cellStyle name="Normal 37 26 2" xfId="17917"/>
    <cellStyle name="Normal 37 26 2 2" xfId="44925"/>
    <cellStyle name="Normal 37 26 3" xfId="31421"/>
    <cellStyle name="Normal 37 27" xfId="3089"/>
    <cellStyle name="Normal 37 27 2" xfId="18009"/>
    <cellStyle name="Normal 37 27 2 2" xfId="45017"/>
    <cellStyle name="Normal 37 27 3" xfId="31513"/>
    <cellStyle name="Normal 37 28" xfId="3195"/>
    <cellStyle name="Normal 37 28 2" xfId="18101"/>
    <cellStyle name="Normal 37 28 2 2" xfId="45109"/>
    <cellStyle name="Normal 37 28 3" xfId="31605"/>
    <cellStyle name="Normal 37 29" xfId="3301"/>
    <cellStyle name="Normal 37 29 2" xfId="18193"/>
    <cellStyle name="Normal 37 29 2 2" xfId="45201"/>
    <cellStyle name="Normal 37 29 3" xfId="31697"/>
    <cellStyle name="Normal 37 3" xfId="546"/>
    <cellStyle name="Normal 37 3 2" xfId="15802"/>
    <cellStyle name="Normal 37 3 2 2" xfId="42810"/>
    <cellStyle name="Normal 37 3 3" xfId="29306"/>
    <cellStyle name="Normal 37 30" xfId="3407"/>
    <cellStyle name="Normal 37 30 2" xfId="18285"/>
    <cellStyle name="Normal 37 30 2 2" xfId="45293"/>
    <cellStyle name="Normal 37 30 3" xfId="31789"/>
    <cellStyle name="Normal 37 31" xfId="3513"/>
    <cellStyle name="Normal 37 31 2" xfId="18377"/>
    <cellStyle name="Normal 37 31 2 2" xfId="45385"/>
    <cellStyle name="Normal 37 31 3" xfId="31881"/>
    <cellStyle name="Normal 37 32" xfId="3619"/>
    <cellStyle name="Normal 37 32 2" xfId="18469"/>
    <cellStyle name="Normal 37 32 2 2" xfId="45477"/>
    <cellStyle name="Normal 37 32 3" xfId="31973"/>
    <cellStyle name="Normal 37 33" xfId="3725"/>
    <cellStyle name="Normal 37 33 2" xfId="18561"/>
    <cellStyle name="Normal 37 33 2 2" xfId="45569"/>
    <cellStyle name="Normal 37 33 3" xfId="32065"/>
    <cellStyle name="Normal 37 34" xfId="3831"/>
    <cellStyle name="Normal 37 34 2" xfId="18653"/>
    <cellStyle name="Normal 37 34 2 2" xfId="45661"/>
    <cellStyle name="Normal 37 34 3" xfId="32157"/>
    <cellStyle name="Normal 37 35" xfId="3937"/>
    <cellStyle name="Normal 37 35 2" xfId="18745"/>
    <cellStyle name="Normal 37 35 2 2" xfId="45753"/>
    <cellStyle name="Normal 37 35 3" xfId="32249"/>
    <cellStyle name="Normal 37 36" xfId="4043"/>
    <cellStyle name="Normal 37 36 2" xfId="18837"/>
    <cellStyle name="Normal 37 36 2 2" xfId="45845"/>
    <cellStyle name="Normal 37 36 3" xfId="32341"/>
    <cellStyle name="Normal 37 37" xfId="4149"/>
    <cellStyle name="Normal 37 37 2" xfId="18929"/>
    <cellStyle name="Normal 37 37 2 2" xfId="45937"/>
    <cellStyle name="Normal 37 37 3" xfId="32433"/>
    <cellStyle name="Normal 37 38" xfId="4255"/>
    <cellStyle name="Normal 37 38 2" xfId="19021"/>
    <cellStyle name="Normal 37 38 2 2" xfId="46029"/>
    <cellStyle name="Normal 37 38 3" xfId="32525"/>
    <cellStyle name="Normal 37 39" xfId="4361"/>
    <cellStyle name="Normal 37 39 2" xfId="19113"/>
    <cellStyle name="Normal 37 39 2 2" xfId="46121"/>
    <cellStyle name="Normal 37 39 3" xfId="32617"/>
    <cellStyle name="Normal 37 4" xfId="651"/>
    <cellStyle name="Normal 37 4 2" xfId="15893"/>
    <cellStyle name="Normal 37 4 2 2" xfId="42901"/>
    <cellStyle name="Normal 37 4 3" xfId="29397"/>
    <cellStyle name="Normal 37 40" xfId="4467"/>
    <cellStyle name="Normal 37 40 2" xfId="19205"/>
    <cellStyle name="Normal 37 40 2 2" xfId="46213"/>
    <cellStyle name="Normal 37 40 3" xfId="32709"/>
    <cellStyle name="Normal 37 41" xfId="4573"/>
    <cellStyle name="Normal 37 41 2" xfId="19297"/>
    <cellStyle name="Normal 37 41 2 2" xfId="46305"/>
    <cellStyle name="Normal 37 41 3" xfId="32801"/>
    <cellStyle name="Normal 37 42" xfId="4679"/>
    <cellStyle name="Normal 37 42 2" xfId="19389"/>
    <cellStyle name="Normal 37 42 2 2" xfId="46397"/>
    <cellStyle name="Normal 37 42 3" xfId="32893"/>
    <cellStyle name="Normal 37 43" xfId="4785"/>
    <cellStyle name="Normal 37 43 2" xfId="19481"/>
    <cellStyle name="Normal 37 43 2 2" xfId="46489"/>
    <cellStyle name="Normal 37 43 3" xfId="32985"/>
    <cellStyle name="Normal 37 44" xfId="4891"/>
    <cellStyle name="Normal 37 44 2" xfId="19573"/>
    <cellStyle name="Normal 37 44 2 2" xfId="46581"/>
    <cellStyle name="Normal 37 44 3" xfId="33077"/>
    <cellStyle name="Normal 37 45" xfId="4997"/>
    <cellStyle name="Normal 37 45 2" xfId="19665"/>
    <cellStyle name="Normal 37 45 2 2" xfId="46673"/>
    <cellStyle name="Normal 37 45 3" xfId="33169"/>
    <cellStyle name="Normal 37 46" xfId="5103"/>
    <cellStyle name="Normal 37 46 2" xfId="19757"/>
    <cellStyle name="Normal 37 46 2 2" xfId="46765"/>
    <cellStyle name="Normal 37 46 3" xfId="33261"/>
    <cellStyle name="Normal 37 47" xfId="5209"/>
    <cellStyle name="Normal 37 47 2" xfId="19849"/>
    <cellStyle name="Normal 37 47 2 2" xfId="46857"/>
    <cellStyle name="Normal 37 47 3" xfId="33353"/>
    <cellStyle name="Normal 37 48" xfId="5315"/>
    <cellStyle name="Normal 37 48 2" xfId="19941"/>
    <cellStyle name="Normal 37 48 2 2" xfId="46949"/>
    <cellStyle name="Normal 37 48 3" xfId="33445"/>
    <cellStyle name="Normal 37 49" xfId="5421"/>
    <cellStyle name="Normal 37 49 2" xfId="20033"/>
    <cellStyle name="Normal 37 49 2 2" xfId="47041"/>
    <cellStyle name="Normal 37 49 3" xfId="33537"/>
    <cellStyle name="Normal 37 5" xfId="757"/>
    <cellStyle name="Normal 37 5 2" xfId="15985"/>
    <cellStyle name="Normal 37 5 2 2" xfId="42993"/>
    <cellStyle name="Normal 37 5 3" xfId="29489"/>
    <cellStyle name="Normal 37 50" xfId="5527"/>
    <cellStyle name="Normal 37 50 2" xfId="20125"/>
    <cellStyle name="Normal 37 50 2 2" xfId="47133"/>
    <cellStyle name="Normal 37 50 3" xfId="33629"/>
    <cellStyle name="Normal 37 51" xfId="5633"/>
    <cellStyle name="Normal 37 51 2" xfId="20217"/>
    <cellStyle name="Normal 37 51 2 2" xfId="47225"/>
    <cellStyle name="Normal 37 51 3" xfId="33721"/>
    <cellStyle name="Normal 37 52" xfId="5739"/>
    <cellStyle name="Normal 37 52 2" xfId="20309"/>
    <cellStyle name="Normal 37 52 2 2" xfId="47317"/>
    <cellStyle name="Normal 37 52 3" xfId="33813"/>
    <cellStyle name="Normal 37 53" xfId="5845"/>
    <cellStyle name="Normal 37 53 2" xfId="20401"/>
    <cellStyle name="Normal 37 53 2 2" xfId="47409"/>
    <cellStyle name="Normal 37 53 3" xfId="33905"/>
    <cellStyle name="Normal 37 54" xfId="5951"/>
    <cellStyle name="Normal 37 54 2" xfId="20493"/>
    <cellStyle name="Normal 37 54 2 2" xfId="47501"/>
    <cellStyle name="Normal 37 54 3" xfId="33997"/>
    <cellStyle name="Normal 37 55" xfId="6057"/>
    <cellStyle name="Normal 37 55 2" xfId="20585"/>
    <cellStyle name="Normal 37 55 2 2" xfId="47593"/>
    <cellStyle name="Normal 37 55 3" xfId="34089"/>
    <cellStyle name="Normal 37 56" xfId="6163"/>
    <cellStyle name="Normal 37 56 2" xfId="20677"/>
    <cellStyle name="Normal 37 56 2 2" xfId="47685"/>
    <cellStyle name="Normal 37 56 3" xfId="34181"/>
    <cellStyle name="Normal 37 57" xfId="6269"/>
    <cellStyle name="Normal 37 57 2" xfId="20769"/>
    <cellStyle name="Normal 37 57 2 2" xfId="47777"/>
    <cellStyle name="Normal 37 57 3" xfId="34273"/>
    <cellStyle name="Normal 37 58" xfId="6375"/>
    <cellStyle name="Normal 37 58 2" xfId="20861"/>
    <cellStyle name="Normal 37 58 2 2" xfId="47869"/>
    <cellStyle name="Normal 37 58 3" xfId="34365"/>
    <cellStyle name="Normal 37 59" xfId="6481"/>
    <cellStyle name="Normal 37 59 2" xfId="20953"/>
    <cellStyle name="Normal 37 59 2 2" xfId="47961"/>
    <cellStyle name="Normal 37 59 3" xfId="34457"/>
    <cellStyle name="Normal 37 6" xfId="863"/>
    <cellStyle name="Normal 37 6 2" xfId="16077"/>
    <cellStyle name="Normal 37 6 2 2" xfId="43085"/>
    <cellStyle name="Normal 37 6 3" xfId="29581"/>
    <cellStyle name="Normal 37 60" xfId="6587"/>
    <cellStyle name="Normal 37 60 2" xfId="21045"/>
    <cellStyle name="Normal 37 60 2 2" xfId="48053"/>
    <cellStyle name="Normal 37 60 3" xfId="34549"/>
    <cellStyle name="Normal 37 61" xfId="6692"/>
    <cellStyle name="Normal 37 61 2" xfId="21136"/>
    <cellStyle name="Normal 37 61 2 2" xfId="48144"/>
    <cellStyle name="Normal 37 61 3" xfId="34640"/>
    <cellStyle name="Normal 37 62" xfId="6797"/>
    <cellStyle name="Normal 37 62 2" xfId="21227"/>
    <cellStyle name="Normal 37 62 2 2" xfId="48235"/>
    <cellStyle name="Normal 37 62 3" xfId="34731"/>
    <cellStyle name="Normal 37 63" xfId="6902"/>
    <cellStyle name="Normal 37 63 2" xfId="21318"/>
    <cellStyle name="Normal 37 63 2 2" xfId="48326"/>
    <cellStyle name="Normal 37 63 3" xfId="34822"/>
    <cellStyle name="Normal 37 64" xfId="7007"/>
    <cellStyle name="Normal 37 64 2" xfId="21409"/>
    <cellStyle name="Normal 37 64 2 2" xfId="48417"/>
    <cellStyle name="Normal 37 64 3" xfId="34913"/>
    <cellStyle name="Normal 37 65" xfId="7111"/>
    <cellStyle name="Normal 37 65 2" xfId="21499"/>
    <cellStyle name="Normal 37 65 2 2" xfId="48507"/>
    <cellStyle name="Normal 37 65 3" xfId="35003"/>
    <cellStyle name="Normal 37 66" xfId="7215"/>
    <cellStyle name="Normal 37 66 2" xfId="21589"/>
    <cellStyle name="Normal 37 66 2 2" xfId="48597"/>
    <cellStyle name="Normal 37 66 3" xfId="35093"/>
    <cellStyle name="Normal 37 67" xfId="7318"/>
    <cellStyle name="Normal 37 67 2" xfId="21678"/>
    <cellStyle name="Normal 37 67 2 2" xfId="48686"/>
    <cellStyle name="Normal 37 67 3" xfId="35182"/>
    <cellStyle name="Normal 37 68" xfId="7418"/>
    <cellStyle name="Normal 37 68 2" xfId="21765"/>
    <cellStyle name="Normal 37 68 2 2" xfId="48773"/>
    <cellStyle name="Normal 37 68 3" xfId="35269"/>
    <cellStyle name="Normal 37 69" xfId="7516"/>
    <cellStyle name="Normal 37 69 2" xfId="21850"/>
    <cellStyle name="Normal 37 69 2 2" xfId="48858"/>
    <cellStyle name="Normal 37 69 3" xfId="35354"/>
    <cellStyle name="Normal 37 7" xfId="969"/>
    <cellStyle name="Normal 37 7 2" xfId="16169"/>
    <cellStyle name="Normal 37 7 2 2" xfId="43177"/>
    <cellStyle name="Normal 37 7 3" xfId="29673"/>
    <cellStyle name="Normal 37 70" xfId="7605"/>
    <cellStyle name="Normal 37 70 2" xfId="21928"/>
    <cellStyle name="Normal 37 70 2 2" xfId="48936"/>
    <cellStyle name="Normal 37 70 3" xfId="35432"/>
    <cellStyle name="Normal 37 71" xfId="7681"/>
    <cellStyle name="Normal 37 71 2" xfId="21997"/>
    <cellStyle name="Normal 37 71 2 2" xfId="49005"/>
    <cellStyle name="Normal 37 71 3" xfId="35501"/>
    <cellStyle name="Normal 37 72" xfId="7860"/>
    <cellStyle name="Normal 37 72 2" xfId="22150"/>
    <cellStyle name="Normal 37 72 2 2" xfId="49158"/>
    <cellStyle name="Normal 37 72 3" xfId="35654"/>
    <cellStyle name="Normal 37 73" xfId="8002"/>
    <cellStyle name="Normal 37 73 2" xfId="22278"/>
    <cellStyle name="Normal 37 73 2 2" xfId="49286"/>
    <cellStyle name="Normal 37 73 3" xfId="35782"/>
    <cellStyle name="Normal 37 74" xfId="8144"/>
    <cellStyle name="Normal 37 74 2" xfId="22406"/>
    <cellStyle name="Normal 37 74 2 2" xfId="49414"/>
    <cellStyle name="Normal 37 74 3" xfId="35910"/>
    <cellStyle name="Normal 37 75" xfId="8286"/>
    <cellStyle name="Normal 37 75 2" xfId="22534"/>
    <cellStyle name="Normal 37 75 2 2" xfId="49542"/>
    <cellStyle name="Normal 37 75 3" xfId="36038"/>
    <cellStyle name="Normal 37 76" xfId="8428"/>
    <cellStyle name="Normal 37 76 2" xfId="22662"/>
    <cellStyle name="Normal 37 76 2 2" xfId="49670"/>
    <cellStyle name="Normal 37 76 3" xfId="36166"/>
    <cellStyle name="Normal 37 77" xfId="8570"/>
    <cellStyle name="Normal 37 77 2" xfId="22790"/>
    <cellStyle name="Normal 37 77 2 2" xfId="49798"/>
    <cellStyle name="Normal 37 77 3" xfId="36294"/>
    <cellStyle name="Normal 37 78" xfId="8712"/>
    <cellStyle name="Normal 37 78 2" xfId="22918"/>
    <cellStyle name="Normal 37 78 2 2" xfId="49926"/>
    <cellStyle name="Normal 37 78 3" xfId="36422"/>
    <cellStyle name="Normal 37 79" xfId="8854"/>
    <cellStyle name="Normal 37 79 2" xfId="23046"/>
    <cellStyle name="Normal 37 79 2 2" xfId="50054"/>
    <cellStyle name="Normal 37 79 3" xfId="36550"/>
    <cellStyle name="Normal 37 8" xfId="1075"/>
    <cellStyle name="Normal 37 8 2" xfId="16261"/>
    <cellStyle name="Normal 37 8 2 2" xfId="43269"/>
    <cellStyle name="Normal 37 8 3" xfId="29765"/>
    <cellStyle name="Normal 37 80" xfId="8996"/>
    <cellStyle name="Normal 37 80 2" xfId="23174"/>
    <cellStyle name="Normal 37 80 2 2" xfId="50182"/>
    <cellStyle name="Normal 37 80 3" xfId="36678"/>
    <cellStyle name="Normal 37 81" xfId="9138"/>
    <cellStyle name="Normal 37 81 2" xfId="23302"/>
    <cellStyle name="Normal 37 81 2 2" xfId="50310"/>
    <cellStyle name="Normal 37 81 3" xfId="36806"/>
    <cellStyle name="Normal 37 82" xfId="9280"/>
    <cellStyle name="Normal 37 82 2" xfId="23430"/>
    <cellStyle name="Normal 37 82 2 2" xfId="50438"/>
    <cellStyle name="Normal 37 82 3" xfId="36934"/>
    <cellStyle name="Normal 37 83" xfId="9422"/>
    <cellStyle name="Normal 37 83 2" xfId="23558"/>
    <cellStyle name="Normal 37 83 2 2" xfId="50566"/>
    <cellStyle name="Normal 37 83 3" xfId="37062"/>
    <cellStyle name="Normal 37 84" xfId="9564"/>
    <cellStyle name="Normal 37 84 2" xfId="23686"/>
    <cellStyle name="Normal 37 84 2 2" xfId="50694"/>
    <cellStyle name="Normal 37 84 3" xfId="37190"/>
    <cellStyle name="Normal 37 85" xfId="9706"/>
    <cellStyle name="Normal 37 85 2" xfId="23814"/>
    <cellStyle name="Normal 37 85 2 2" xfId="50822"/>
    <cellStyle name="Normal 37 85 3" xfId="37318"/>
    <cellStyle name="Normal 37 86" xfId="9848"/>
    <cellStyle name="Normal 37 86 2" xfId="23942"/>
    <cellStyle name="Normal 37 86 2 2" xfId="50950"/>
    <cellStyle name="Normal 37 86 3" xfId="37446"/>
    <cellStyle name="Normal 37 87" xfId="9990"/>
    <cellStyle name="Normal 37 87 2" xfId="24070"/>
    <cellStyle name="Normal 37 87 2 2" xfId="51078"/>
    <cellStyle name="Normal 37 87 3" xfId="37574"/>
    <cellStyle name="Normal 37 88" xfId="10132"/>
    <cellStyle name="Normal 37 88 2" xfId="24198"/>
    <cellStyle name="Normal 37 88 2 2" xfId="51206"/>
    <cellStyle name="Normal 37 88 3" xfId="37702"/>
    <cellStyle name="Normal 37 89" xfId="10274"/>
    <cellStyle name="Normal 37 89 2" xfId="24326"/>
    <cellStyle name="Normal 37 89 2 2" xfId="51334"/>
    <cellStyle name="Normal 37 89 3" xfId="37830"/>
    <cellStyle name="Normal 37 9" xfId="1181"/>
    <cellStyle name="Normal 37 9 2" xfId="16353"/>
    <cellStyle name="Normal 37 9 2 2" xfId="43361"/>
    <cellStyle name="Normal 37 9 3" xfId="29857"/>
    <cellStyle name="Normal 37 90" xfId="10416"/>
    <cellStyle name="Normal 37 90 2" xfId="24454"/>
    <cellStyle name="Normal 37 90 2 2" xfId="51462"/>
    <cellStyle name="Normal 37 90 3" xfId="37958"/>
    <cellStyle name="Normal 37 91" xfId="10558"/>
    <cellStyle name="Normal 37 91 2" xfId="24582"/>
    <cellStyle name="Normal 37 91 2 2" xfId="51590"/>
    <cellStyle name="Normal 37 91 3" xfId="38086"/>
    <cellStyle name="Normal 37 92" xfId="10700"/>
    <cellStyle name="Normal 37 92 2" xfId="24710"/>
    <cellStyle name="Normal 37 92 2 2" xfId="51718"/>
    <cellStyle name="Normal 37 92 3" xfId="38214"/>
    <cellStyle name="Normal 37 93" xfId="10842"/>
    <cellStyle name="Normal 37 93 2" xfId="24838"/>
    <cellStyle name="Normal 37 93 2 2" xfId="51846"/>
    <cellStyle name="Normal 37 93 3" xfId="38342"/>
    <cellStyle name="Normal 37 94" xfId="10984"/>
    <cellStyle name="Normal 37 94 2" xfId="24966"/>
    <cellStyle name="Normal 37 94 2 2" xfId="51974"/>
    <cellStyle name="Normal 37 94 3" xfId="38470"/>
    <cellStyle name="Normal 37 95" xfId="11126"/>
    <cellStyle name="Normal 37 95 2" xfId="25094"/>
    <cellStyle name="Normal 37 95 2 2" xfId="52102"/>
    <cellStyle name="Normal 37 95 3" xfId="38598"/>
    <cellStyle name="Normal 37 96" xfId="11268"/>
    <cellStyle name="Normal 37 96 2" xfId="25222"/>
    <cellStyle name="Normal 37 96 2 2" xfId="52230"/>
    <cellStyle name="Normal 37 96 3" xfId="38726"/>
    <cellStyle name="Normal 37 97" xfId="11410"/>
    <cellStyle name="Normal 37 97 2" xfId="25350"/>
    <cellStyle name="Normal 37 97 2 2" xfId="52358"/>
    <cellStyle name="Normal 37 97 3" xfId="38854"/>
    <cellStyle name="Normal 37 98" xfId="11552"/>
    <cellStyle name="Normal 37 98 2" xfId="25478"/>
    <cellStyle name="Normal 37 98 2 2" xfId="52486"/>
    <cellStyle name="Normal 37 98 3" xfId="38982"/>
    <cellStyle name="Normal 37 99" xfId="11694"/>
    <cellStyle name="Normal 37 99 2" xfId="25606"/>
    <cellStyle name="Normal 37 99 2 2" xfId="52614"/>
    <cellStyle name="Normal 37 99 3" xfId="39110"/>
    <cellStyle name="Normal 370" xfId="56599"/>
    <cellStyle name="Normal 371" xfId="56602"/>
    <cellStyle name="Normal 372" xfId="56605"/>
    <cellStyle name="Normal 373" xfId="56608"/>
    <cellStyle name="Normal 374" xfId="56611"/>
    <cellStyle name="Normal 375" xfId="56614"/>
    <cellStyle name="Normal 376" xfId="56617"/>
    <cellStyle name="Normal 377" xfId="56620"/>
    <cellStyle name="Normal 378" xfId="56623"/>
    <cellStyle name="Normal 379" xfId="56626"/>
    <cellStyle name="Normal 38" xfId="183"/>
    <cellStyle name="Normal 38 10" xfId="1288"/>
    <cellStyle name="Normal 38 10 2" xfId="16446"/>
    <cellStyle name="Normal 38 10 2 2" xfId="43454"/>
    <cellStyle name="Normal 38 10 3" xfId="29950"/>
    <cellStyle name="Normal 38 100" xfId="11837"/>
    <cellStyle name="Normal 38 100 2" xfId="25735"/>
    <cellStyle name="Normal 38 100 2 2" xfId="52743"/>
    <cellStyle name="Normal 38 100 3" xfId="39239"/>
    <cellStyle name="Normal 38 101" xfId="11979"/>
    <cellStyle name="Normal 38 101 2" xfId="25863"/>
    <cellStyle name="Normal 38 101 2 2" xfId="52871"/>
    <cellStyle name="Normal 38 101 3" xfId="39367"/>
    <cellStyle name="Normal 38 102" xfId="12121"/>
    <cellStyle name="Normal 38 102 2" xfId="25991"/>
    <cellStyle name="Normal 38 102 2 2" xfId="52999"/>
    <cellStyle name="Normal 38 102 3" xfId="39495"/>
    <cellStyle name="Normal 38 103" xfId="12263"/>
    <cellStyle name="Normal 38 103 2" xfId="26119"/>
    <cellStyle name="Normal 38 103 2 2" xfId="53127"/>
    <cellStyle name="Normal 38 103 3" xfId="39623"/>
    <cellStyle name="Normal 38 104" xfId="12405"/>
    <cellStyle name="Normal 38 104 2" xfId="26247"/>
    <cellStyle name="Normal 38 104 2 2" xfId="53255"/>
    <cellStyle name="Normal 38 104 3" xfId="39751"/>
    <cellStyle name="Normal 38 105" xfId="12547"/>
    <cellStyle name="Normal 38 105 2" xfId="26375"/>
    <cellStyle name="Normal 38 105 2 2" xfId="53383"/>
    <cellStyle name="Normal 38 105 3" xfId="39879"/>
    <cellStyle name="Normal 38 106" xfId="12689"/>
    <cellStyle name="Normal 38 106 2" xfId="26503"/>
    <cellStyle name="Normal 38 106 2 2" xfId="53511"/>
    <cellStyle name="Normal 38 106 3" xfId="40007"/>
    <cellStyle name="Normal 38 107" xfId="12831"/>
    <cellStyle name="Normal 38 107 2" xfId="26631"/>
    <cellStyle name="Normal 38 107 2 2" xfId="53639"/>
    <cellStyle name="Normal 38 107 3" xfId="40135"/>
    <cellStyle name="Normal 38 108" xfId="12973"/>
    <cellStyle name="Normal 38 108 2" xfId="26759"/>
    <cellStyle name="Normal 38 108 2 2" xfId="53767"/>
    <cellStyle name="Normal 38 108 3" xfId="40263"/>
    <cellStyle name="Normal 38 109" xfId="13115"/>
    <cellStyle name="Normal 38 109 2" xfId="26887"/>
    <cellStyle name="Normal 38 109 2 2" xfId="53895"/>
    <cellStyle name="Normal 38 109 3" xfId="40391"/>
    <cellStyle name="Normal 38 11" xfId="1394"/>
    <cellStyle name="Normal 38 11 2" xfId="16538"/>
    <cellStyle name="Normal 38 11 2 2" xfId="43546"/>
    <cellStyle name="Normal 38 11 3" xfId="30042"/>
    <cellStyle name="Normal 38 110" xfId="13257"/>
    <cellStyle name="Normal 38 110 2" xfId="27015"/>
    <cellStyle name="Normal 38 110 2 2" xfId="54023"/>
    <cellStyle name="Normal 38 110 3" xfId="40519"/>
    <cellStyle name="Normal 38 111" xfId="13399"/>
    <cellStyle name="Normal 38 111 2" xfId="27143"/>
    <cellStyle name="Normal 38 111 2 2" xfId="54151"/>
    <cellStyle name="Normal 38 111 3" xfId="40647"/>
    <cellStyle name="Normal 38 112" xfId="13541"/>
    <cellStyle name="Normal 38 112 2" xfId="27271"/>
    <cellStyle name="Normal 38 112 2 2" xfId="54279"/>
    <cellStyle name="Normal 38 112 3" xfId="40775"/>
    <cellStyle name="Normal 38 113" xfId="13683"/>
    <cellStyle name="Normal 38 113 2" xfId="27399"/>
    <cellStyle name="Normal 38 113 2 2" xfId="54407"/>
    <cellStyle name="Normal 38 113 3" xfId="40903"/>
    <cellStyle name="Normal 38 114" xfId="13825"/>
    <cellStyle name="Normal 38 114 2" xfId="27527"/>
    <cellStyle name="Normal 38 114 2 2" xfId="54535"/>
    <cellStyle name="Normal 38 114 3" xfId="41031"/>
    <cellStyle name="Normal 38 115" xfId="13966"/>
    <cellStyle name="Normal 38 115 2" xfId="27654"/>
    <cellStyle name="Normal 38 115 2 2" xfId="54662"/>
    <cellStyle name="Normal 38 115 3" xfId="41158"/>
    <cellStyle name="Normal 38 116" xfId="14107"/>
    <cellStyle name="Normal 38 116 2" xfId="27781"/>
    <cellStyle name="Normal 38 116 2 2" xfId="54789"/>
    <cellStyle name="Normal 38 116 3" xfId="41285"/>
    <cellStyle name="Normal 38 117" xfId="14248"/>
    <cellStyle name="Normal 38 117 2" xfId="27908"/>
    <cellStyle name="Normal 38 117 2 2" xfId="54916"/>
    <cellStyle name="Normal 38 117 3" xfId="41412"/>
    <cellStyle name="Normal 38 118" xfId="14389"/>
    <cellStyle name="Normal 38 118 2" xfId="28035"/>
    <cellStyle name="Normal 38 118 2 2" xfId="55043"/>
    <cellStyle name="Normal 38 118 3" xfId="41539"/>
    <cellStyle name="Normal 38 119" xfId="14529"/>
    <cellStyle name="Normal 38 119 2" xfId="28161"/>
    <cellStyle name="Normal 38 119 2 2" xfId="55169"/>
    <cellStyle name="Normal 38 119 3" xfId="41665"/>
    <cellStyle name="Normal 38 12" xfId="1500"/>
    <cellStyle name="Normal 38 12 2" xfId="16630"/>
    <cellStyle name="Normal 38 12 2 2" xfId="43638"/>
    <cellStyle name="Normal 38 12 3" xfId="30134"/>
    <cellStyle name="Normal 38 120" xfId="14669"/>
    <cellStyle name="Normal 38 120 2" xfId="28287"/>
    <cellStyle name="Normal 38 120 2 2" xfId="55295"/>
    <cellStyle name="Normal 38 120 3" xfId="41791"/>
    <cellStyle name="Normal 38 121" xfId="14808"/>
    <cellStyle name="Normal 38 121 2" xfId="28412"/>
    <cellStyle name="Normal 38 121 2 2" xfId="55420"/>
    <cellStyle name="Normal 38 121 3" xfId="41916"/>
    <cellStyle name="Normal 38 122" xfId="14943"/>
    <cellStyle name="Normal 38 122 2" xfId="28534"/>
    <cellStyle name="Normal 38 122 2 2" xfId="55542"/>
    <cellStyle name="Normal 38 122 3" xfId="42038"/>
    <cellStyle name="Normal 38 123" xfId="15077"/>
    <cellStyle name="Normal 38 123 2" xfId="28655"/>
    <cellStyle name="Normal 38 123 2 2" xfId="55663"/>
    <cellStyle name="Normal 38 123 3" xfId="42159"/>
    <cellStyle name="Normal 38 124" xfId="15204"/>
    <cellStyle name="Normal 38 124 2" xfId="28771"/>
    <cellStyle name="Normal 38 124 2 2" xfId="55779"/>
    <cellStyle name="Normal 38 124 3" xfId="42275"/>
    <cellStyle name="Normal 38 125" xfId="15324"/>
    <cellStyle name="Normal 38 125 2" xfId="28884"/>
    <cellStyle name="Normal 38 125 2 2" xfId="55892"/>
    <cellStyle name="Normal 38 125 3" xfId="42388"/>
    <cellStyle name="Normal 38 126" xfId="15539"/>
    <cellStyle name="Normal 38 126 2" xfId="42547"/>
    <cellStyle name="Normal 38 127" xfId="29043"/>
    <cellStyle name="Normal 38 13" xfId="1606"/>
    <cellStyle name="Normal 38 13 2" xfId="16722"/>
    <cellStyle name="Normal 38 13 2 2" xfId="43730"/>
    <cellStyle name="Normal 38 13 3" xfId="30226"/>
    <cellStyle name="Normal 38 14" xfId="1712"/>
    <cellStyle name="Normal 38 14 2" xfId="16814"/>
    <cellStyle name="Normal 38 14 2 2" xfId="43822"/>
    <cellStyle name="Normal 38 14 3" xfId="30318"/>
    <cellStyle name="Normal 38 15" xfId="1818"/>
    <cellStyle name="Normal 38 15 2" xfId="16906"/>
    <cellStyle name="Normal 38 15 2 2" xfId="43914"/>
    <cellStyle name="Normal 38 15 3" xfId="30410"/>
    <cellStyle name="Normal 38 16" xfId="1924"/>
    <cellStyle name="Normal 38 16 2" xfId="16998"/>
    <cellStyle name="Normal 38 16 2 2" xfId="44006"/>
    <cellStyle name="Normal 38 16 3" xfId="30502"/>
    <cellStyle name="Normal 38 17" xfId="2030"/>
    <cellStyle name="Normal 38 17 2" xfId="17090"/>
    <cellStyle name="Normal 38 17 2 2" xfId="44098"/>
    <cellStyle name="Normal 38 17 3" xfId="30594"/>
    <cellStyle name="Normal 38 18" xfId="2136"/>
    <cellStyle name="Normal 38 18 2" xfId="17182"/>
    <cellStyle name="Normal 38 18 2 2" xfId="44190"/>
    <cellStyle name="Normal 38 18 3" xfId="30686"/>
    <cellStyle name="Normal 38 19" xfId="2242"/>
    <cellStyle name="Normal 38 19 2" xfId="17274"/>
    <cellStyle name="Normal 38 19 2 2" xfId="44282"/>
    <cellStyle name="Normal 38 19 3" xfId="30778"/>
    <cellStyle name="Normal 38 2" xfId="360"/>
    <cellStyle name="Normal 38 2 2" xfId="15662"/>
    <cellStyle name="Normal 38 2 2 2" xfId="42670"/>
    <cellStyle name="Normal 38 2 3" xfId="29166"/>
    <cellStyle name="Normal 38 20" xfId="2348"/>
    <cellStyle name="Normal 38 20 2" xfId="17366"/>
    <cellStyle name="Normal 38 20 2 2" xfId="44374"/>
    <cellStyle name="Normal 38 20 3" xfId="30870"/>
    <cellStyle name="Normal 38 21" xfId="2454"/>
    <cellStyle name="Normal 38 21 2" xfId="17458"/>
    <cellStyle name="Normal 38 21 2 2" xfId="44466"/>
    <cellStyle name="Normal 38 21 3" xfId="30962"/>
    <cellStyle name="Normal 38 22" xfId="2560"/>
    <cellStyle name="Normal 38 22 2" xfId="17550"/>
    <cellStyle name="Normal 38 22 2 2" xfId="44558"/>
    <cellStyle name="Normal 38 22 3" xfId="31054"/>
    <cellStyle name="Normal 38 23" xfId="2666"/>
    <cellStyle name="Normal 38 23 2" xfId="17642"/>
    <cellStyle name="Normal 38 23 2 2" xfId="44650"/>
    <cellStyle name="Normal 38 23 3" xfId="31146"/>
    <cellStyle name="Normal 38 24" xfId="2772"/>
    <cellStyle name="Normal 38 24 2" xfId="17734"/>
    <cellStyle name="Normal 38 24 2 2" xfId="44742"/>
    <cellStyle name="Normal 38 24 3" xfId="31238"/>
    <cellStyle name="Normal 38 25" xfId="2878"/>
    <cellStyle name="Normal 38 25 2" xfId="17826"/>
    <cellStyle name="Normal 38 25 2 2" xfId="44834"/>
    <cellStyle name="Normal 38 25 3" xfId="31330"/>
    <cellStyle name="Normal 38 26" xfId="2984"/>
    <cellStyle name="Normal 38 26 2" xfId="17918"/>
    <cellStyle name="Normal 38 26 2 2" xfId="44926"/>
    <cellStyle name="Normal 38 26 3" xfId="31422"/>
    <cellStyle name="Normal 38 27" xfId="3090"/>
    <cellStyle name="Normal 38 27 2" xfId="18010"/>
    <cellStyle name="Normal 38 27 2 2" xfId="45018"/>
    <cellStyle name="Normal 38 27 3" xfId="31514"/>
    <cellStyle name="Normal 38 28" xfId="3196"/>
    <cellStyle name="Normal 38 28 2" xfId="18102"/>
    <cellStyle name="Normal 38 28 2 2" xfId="45110"/>
    <cellStyle name="Normal 38 28 3" xfId="31606"/>
    <cellStyle name="Normal 38 29" xfId="3302"/>
    <cellStyle name="Normal 38 29 2" xfId="18194"/>
    <cellStyle name="Normal 38 29 2 2" xfId="45202"/>
    <cellStyle name="Normal 38 29 3" xfId="31698"/>
    <cellStyle name="Normal 38 3" xfId="547"/>
    <cellStyle name="Normal 38 3 2" xfId="15803"/>
    <cellStyle name="Normal 38 3 2 2" xfId="42811"/>
    <cellStyle name="Normal 38 3 3" xfId="29307"/>
    <cellStyle name="Normal 38 30" xfId="3408"/>
    <cellStyle name="Normal 38 30 2" xfId="18286"/>
    <cellStyle name="Normal 38 30 2 2" xfId="45294"/>
    <cellStyle name="Normal 38 30 3" xfId="31790"/>
    <cellStyle name="Normal 38 31" xfId="3514"/>
    <cellStyle name="Normal 38 31 2" xfId="18378"/>
    <cellStyle name="Normal 38 31 2 2" xfId="45386"/>
    <cellStyle name="Normal 38 31 3" xfId="31882"/>
    <cellStyle name="Normal 38 32" xfId="3620"/>
    <cellStyle name="Normal 38 32 2" xfId="18470"/>
    <cellStyle name="Normal 38 32 2 2" xfId="45478"/>
    <cellStyle name="Normal 38 32 3" xfId="31974"/>
    <cellStyle name="Normal 38 33" xfId="3726"/>
    <cellStyle name="Normal 38 33 2" xfId="18562"/>
    <cellStyle name="Normal 38 33 2 2" xfId="45570"/>
    <cellStyle name="Normal 38 33 3" xfId="32066"/>
    <cellStyle name="Normal 38 34" xfId="3832"/>
    <cellStyle name="Normal 38 34 2" xfId="18654"/>
    <cellStyle name="Normal 38 34 2 2" xfId="45662"/>
    <cellStyle name="Normal 38 34 3" xfId="32158"/>
    <cellStyle name="Normal 38 35" xfId="3938"/>
    <cellStyle name="Normal 38 35 2" xfId="18746"/>
    <cellStyle name="Normal 38 35 2 2" xfId="45754"/>
    <cellStyle name="Normal 38 35 3" xfId="32250"/>
    <cellStyle name="Normal 38 36" xfId="4044"/>
    <cellStyle name="Normal 38 36 2" xfId="18838"/>
    <cellStyle name="Normal 38 36 2 2" xfId="45846"/>
    <cellStyle name="Normal 38 36 3" xfId="32342"/>
    <cellStyle name="Normal 38 37" xfId="4150"/>
    <cellStyle name="Normal 38 37 2" xfId="18930"/>
    <cellStyle name="Normal 38 37 2 2" xfId="45938"/>
    <cellStyle name="Normal 38 37 3" xfId="32434"/>
    <cellStyle name="Normal 38 38" xfId="4256"/>
    <cellStyle name="Normal 38 38 2" xfId="19022"/>
    <cellStyle name="Normal 38 38 2 2" xfId="46030"/>
    <cellStyle name="Normal 38 38 3" xfId="32526"/>
    <cellStyle name="Normal 38 39" xfId="4362"/>
    <cellStyle name="Normal 38 39 2" xfId="19114"/>
    <cellStyle name="Normal 38 39 2 2" xfId="46122"/>
    <cellStyle name="Normal 38 39 3" xfId="32618"/>
    <cellStyle name="Normal 38 4" xfId="652"/>
    <cellStyle name="Normal 38 4 2" xfId="15894"/>
    <cellStyle name="Normal 38 4 2 2" xfId="42902"/>
    <cellStyle name="Normal 38 4 3" xfId="29398"/>
    <cellStyle name="Normal 38 40" xfId="4468"/>
    <cellStyle name="Normal 38 40 2" xfId="19206"/>
    <cellStyle name="Normal 38 40 2 2" xfId="46214"/>
    <cellStyle name="Normal 38 40 3" xfId="32710"/>
    <cellStyle name="Normal 38 41" xfId="4574"/>
    <cellStyle name="Normal 38 41 2" xfId="19298"/>
    <cellStyle name="Normal 38 41 2 2" xfId="46306"/>
    <cellStyle name="Normal 38 41 3" xfId="32802"/>
    <cellStyle name="Normal 38 42" xfId="4680"/>
    <cellStyle name="Normal 38 42 2" xfId="19390"/>
    <cellStyle name="Normal 38 42 2 2" xfId="46398"/>
    <cellStyle name="Normal 38 42 3" xfId="32894"/>
    <cellStyle name="Normal 38 43" xfId="4786"/>
    <cellStyle name="Normal 38 43 2" xfId="19482"/>
    <cellStyle name="Normal 38 43 2 2" xfId="46490"/>
    <cellStyle name="Normal 38 43 3" xfId="32986"/>
    <cellStyle name="Normal 38 44" xfId="4892"/>
    <cellStyle name="Normal 38 44 2" xfId="19574"/>
    <cellStyle name="Normal 38 44 2 2" xfId="46582"/>
    <cellStyle name="Normal 38 44 3" xfId="33078"/>
    <cellStyle name="Normal 38 45" xfId="4998"/>
    <cellStyle name="Normal 38 45 2" xfId="19666"/>
    <cellStyle name="Normal 38 45 2 2" xfId="46674"/>
    <cellStyle name="Normal 38 45 3" xfId="33170"/>
    <cellStyle name="Normal 38 46" xfId="5104"/>
    <cellStyle name="Normal 38 46 2" xfId="19758"/>
    <cellStyle name="Normal 38 46 2 2" xfId="46766"/>
    <cellStyle name="Normal 38 46 3" xfId="33262"/>
    <cellStyle name="Normal 38 47" xfId="5210"/>
    <cellStyle name="Normal 38 47 2" xfId="19850"/>
    <cellStyle name="Normal 38 47 2 2" xfId="46858"/>
    <cellStyle name="Normal 38 47 3" xfId="33354"/>
    <cellStyle name="Normal 38 48" xfId="5316"/>
    <cellStyle name="Normal 38 48 2" xfId="19942"/>
    <cellStyle name="Normal 38 48 2 2" xfId="46950"/>
    <cellStyle name="Normal 38 48 3" xfId="33446"/>
    <cellStyle name="Normal 38 49" xfId="5422"/>
    <cellStyle name="Normal 38 49 2" xfId="20034"/>
    <cellStyle name="Normal 38 49 2 2" xfId="47042"/>
    <cellStyle name="Normal 38 49 3" xfId="33538"/>
    <cellStyle name="Normal 38 5" xfId="758"/>
    <cellStyle name="Normal 38 5 2" xfId="15986"/>
    <cellStyle name="Normal 38 5 2 2" xfId="42994"/>
    <cellStyle name="Normal 38 5 3" xfId="29490"/>
    <cellStyle name="Normal 38 50" xfId="5528"/>
    <cellStyle name="Normal 38 50 2" xfId="20126"/>
    <cellStyle name="Normal 38 50 2 2" xfId="47134"/>
    <cellStyle name="Normal 38 50 3" xfId="33630"/>
    <cellStyle name="Normal 38 51" xfId="5634"/>
    <cellStyle name="Normal 38 51 2" xfId="20218"/>
    <cellStyle name="Normal 38 51 2 2" xfId="47226"/>
    <cellStyle name="Normal 38 51 3" xfId="33722"/>
    <cellStyle name="Normal 38 52" xfId="5740"/>
    <cellStyle name="Normal 38 52 2" xfId="20310"/>
    <cellStyle name="Normal 38 52 2 2" xfId="47318"/>
    <cellStyle name="Normal 38 52 3" xfId="33814"/>
    <cellStyle name="Normal 38 53" xfId="5846"/>
    <cellStyle name="Normal 38 53 2" xfId="20402"/>
    <cellStyle name="Normal 38 53 2 2" xfId="47410"/>
    <cellStyle name="Normal 38 53 3" xfId="33906"/>
    <cellStyle name="Normal 38 54" xfId="5952"/>
    <cellStyle name="Normal 38 54 2" xfId="20494"/>
    <cellStyle name="Normal 38 54 2 2" xfId="47502"/>
    <cellStyle name="Normal 38 54 3" xfId="33998"/>
    <cellStyle name="Normal 38 55" xfId="6058"/>
    <cellStyle name="Normal 38 55 2" xfId="20586"/>
    <cellStyle name="Normal 38 55 2 2" xfId="47594"/>
    <cellStyle name="Normal 38 55 3" xfId="34090"/>
    <cellStyle name="Normal 38 56" xfId="6164"/>
    <cellStyle name="Normal 38 56 2" xfId="20678"/>
    <cellStyle name="Normal 38 56 2 2" xfId="47686"/>
    <cellStyle name="Normal 38 56 3" xfId="34182"/>
    <cellStyle name="Normal 38 57" xfId="6270"/>
    <cellStyle name="Normal 38 57 2" xfId="20770"/>
    <cellStyle name="Normal 38 57 2 2" xfId="47778"/>
    <cellStyle name="Normal 38 57 3" xfId="34274"/>
    <cellStyle name="Normal 38 58" xfId="6376"/>
    <cellStyle name="Normal 38 58 2" xfId="20862"/>
    <cellStyle name="Normal 38 58 2 2" xfId="47870"/>
    <cellStyle name="Normal 38 58 3" xfId="34366"/>
    <cellStyle name="Normal 38 59" xfId="6482"/>
    <cellStyle name="Normal 38 59 2" xfId="20954"/>
    <cellStyle name="Normal 38 59 2 2" xfId="47962"/>
    <cellStyle name="Normal 38 59 3" xfId="34458"/>
    <cellStyle name="Normal 38 6" xfId="864"/>
    <cellStyle name="Normal 38 6 2" xfId="16078"/>
    <cellStyle name="Normal 38 6 2 2" xfId="43086"/>
    <cellStyle name="Normal 38 6 3" xfId="29582"/>
    <cellStyle name="Normal 38 60" xfId="6588"/>
    <cellStyle name="Normal 38 60 2" xfId="21046"/>
    <cellStyle name="Normal 38 60 2 2" xfId="48054"/>
    <cellStyle name="Normal 38 60 3" xfId="34550"/>
    <cellStyle name="Normal 38 61" xfId="6693"/>
    <cellStyle name="Normal 38 61 2" xfId="21137"/>
    <cellStyle name="Normal 38 61 2 2" xfId="48145"/>
    <cellStyle name="Normal 38 61 3" xfId="34641"/>
    <cellStyle name="Normal 38 62" xfId="6798"/>
    <cellStyle name="Normal 38 62 2" xfId="21228"/>
    <cellStyle name="Normal 38 62 2 2" xfId="48236"/>
    <cellStyle name="Normal 38 62 3" xfId="34732"/>
    <cellStyle name="Normal 38 63" xfId="6903"/>
    <cellStyle name="Normal 38 63 2" xfId="21319"/>
    <cellStyle name="Normal 38 63 2 2" xfId="48327"/>
    <cellStyle name="Normal 38 63 3" xfId="34823"/>
    <cellStyle name="Normal 38 64" xfId="7008"/>
    <cellStyle name="Normal 38 64 2" xfId="21410"/>
    <cellStyle name="Normal 38 64 2 2" xfId="48418"/>
    <cellStyle name="Normal 38 64 3" xfId="34914"/>
    <cellStyle name="Normal 38 65" xfId="7112"/>
    <cellStyle name="Normal 38 65 2" xfId="21500"/>
    <cellStyle name="Normal 38 65 2 2" xfId="48508"/>
    <cellStyle name="Normal 38 65 3" xfId="35004"/>
    <cellStyle name="Normal 38 66" xfId="7216"/>
    <cellStyle name="Normal 38 66 2" xfId="21590"/>
    <cellStyle name="Normal 38 66 2 2" xfId="48598"/>
    <cellStyle name="Normal 38 66 3" xfId="35094"/>
    <cellStyle name="Normal 38 67" xfId="7319"/>
    <cellStyle name="Normal 38 67 2" xfId="21679"/>
    <cellStyle name="Normal 38 67 2 2" xfId="48687"/>
    <cellStyle name="Normal 38 67 3" xfId="35183"/>
    <cellStyle name="Normal 38 68" xfId="7419"/>
    <cellStyle name="Normal 38 68 2" xfId="21766"/>
    <cellStyle name="Normal 38 68 2 2" xfId="48774"/>
    <cellStyle name="Normal 38 68 3" xfId="35270"/>
    <cellStyle name="Normal 38 69" xfId="7517"/>
    <cellStyle name="Normal 38 69 2" xfId="21851"/>
    <cellStyle name="Normal 38 69 2 2" xfId="48859"/>
    <cellStyle name="Normal 38 69 3" xfId="35355"/>
    <cellStyle name="Normal 38 7" xfId="970"/>
    <cellStyle name="Normal 38 7 2" xfId="16170"/>
    <cellStyle name="Normal 38 7 2 2" xfId="43178"/>
    <cellStyle name="Normal 38 7 3" xfId="29674"/>
    <cellStyle name="Normal 38 70" xfId="7606"/>
    <cellStyle name="Normal 38 70 2" xfId="21929"/>
    <cellStyle name="Normal 38 70 2 2" xfId="48937"/>
    <cellStyle name="Normal 38 70 3" xfId="35433"/>
    <cellStyle name="Normal 38 71" xfId="7682"/>
    <cellStyle name="Normal 38 71 2" xfId="21998"/>
    <cellStyle name="Normal 38 71 2 2" xfId="49006"/>
    <cellStyle name="Normal 38 71 3" xfId="35502"/>
    <cellStyle name="Normal 38 72" xfId="7861"/>
    <cellStyle name="Normal 38 72 2" xfId="22151"/>
    <cellStyle name="Normal 38 72 2 2" xfId="49159"/>
    <cellStyle name="Normal 38 72 3" xfId="35655"/>
    <cellStyle name="Normal 38 73" xfId="8003"/>
    <cellStyle name="Normal 38 73 2" xfId="22279"/>
    <cellStyle name="Normal 38 73 2 2" xfId="49287"/>
    <cellStyle name="Normal 38 73 3" xfId="35783"/>
    <cellStyle name="Normal 38 74" xfId="8145"/>
    <cellStyle name="Normal 38 74 2" xfId="22407"/>
    <cellStyle name="Normal 38 74 2 2" xfId="49415"/>
    <cellStyle name="Normal 38 74 3" xfId="35911"/>
    <cellStyle name="Normal 38 75" xfId="8287"/>
    <cellStyle name="Normal 38 75 2" xfId="22535"/>
    <cellStyle name="Normal 38 75 2 2" xfId="49543"/>
    <cellStyle name="Normal 38 75 3" xfId="36039"/>
    <cellStyle name="Normal 38 76" xfId="8429"/>
    <cellStyle name="Normal 38 76 2" xfId="22663"/>
    <cellStyle name="Normal 38 76 2 2" xfId="49671"/>
    <cellStyle name="Normal 38 76 3" xfId="36167"/>
    <cellStyle name="Normal 38 77" xfId="8571"/>
    <cellStyle name="Normal 38 77 2" xfId="22791"/>
    <cellStyle name="Normal 38 77 2 2" xfId="49799"/>
    <cellStyle name="Normal 38 77 3" xfId="36295"/>
    <cellStyle name="Normal 38 78" xfId="8713"/>
    <cellStyle name="Normal 38 78 2" xfId="22919"/>
    <cellStyle name="Normal 38 78 2 2" xfId="49927"/>
    <cellStyle name="Normal 38 78 3" xfId="36423"/>
    <cellStyle name="Normal 38 79" xfId="8855"/>
    <cellStyle name="Normal 38 79 2" xfId="23047"/>
    <cellStyle name="Normal 38 79 2 2" xfId="50055"/>
    <cellStyle name="Normal 38 79 3" xfId="36551"/>
    <cellStyle name="Normal 38 8" xfId="1076"/>
    <cellStyle name="Normal 38 8 2" xfId="16262"/>
    <cellStyle name="Normal 38 8 2 2" xfId="43270"/>
    <cellStyle name="Normal 38 8 3" xfId="29766"/>
    <cellStyle name="Normal 38 80" xfId="8997"/>
    <cellStyle name="Normal 38 80 2" xfId="23175"/>
    <cellStyle name="Normal 38 80 2 2" xfId="50183"/>
    <cellStyle name="Normal 38 80 3" xfId="36679"/>
    <cellStyle name="Normal 38 81" xfId="9139"/>
    <cellStyle name="Normal 38 81 2" xfId="23303"/>
    <cellStyle name="Normal 38 81 2 2" xfId="50311"/>
    <cellStyle name="Normal 38 81 3" xfId="36807"/>
    <cellStyle name="Normal 38 82" xfId="9281"/>
    <cellStyle name="Normal 38 82 2" xfId="23431"/>
    <cellStyle name="Normal 38 82 2 2" xfId="50439"/>
    <cellStyle name="Normal 38 82 3" xfId="36935"/>
    <cellStyle name="Normal 38 83" xfId="9423"/>
    <cellStyle name="Normal 38 83 2" xfId="23559"/>
    <cellStyle name="Normal 38 83 2 2" xfId="50567"/>
    <cellStyle name="Normal 38 83 3" xfId="37063"/>
    <cellStyle name="Normal 38 84" xfId="9565"/>
    <cellStyle name="Normal 38 84 2" xfId="23687"/>
    <cellStyle name="Normal 38 84 2 2" xfId="50695"/>
    <cellStyle name="Normal 38 84 3" xfId="37191"/>
    <cellStyle name="Normal 38 85" xfId="9707"/>
    <cellStyle name="Normal 38 85 2" xfId="23815"/>
    <cellStyle name="Normal 38 85 2 2" xfId="50823"/>
    <cellStyle name="Normal 38 85 3" xfId="37319"/>
    <cellStyle name="Normal 38 86" xfId="9849"/>
    <cellStyle name="Normal 38 86 2" xfId="23943"/>
    <cellStyle name="Normal 38 86 2 2" xfId="50951"/>
    <cellStyle name="Normal 38 86 3" xfId="37447"/>
    <cellStyle name="Normal 38 87" xfId="9991"/>
    <cellStyle name="Normal 38 87 2" xfId="24071"/>
    <cellStyle name="Normal 38 87 2 2" xfId="51079"/>
    <cellStyle name="Normal 38 87 3" xfId="37575"/>
    <cellStyle name="Normal 38 88" xfId="10133"/>
    <cellStyle name="Normal 38 88 2" xfId="24199"/>
    <cellStyle name="Normal 38 88 2 2" xfId="51207"/>
    <cellStyle name="Normal 38 88 3" xfId="37703"/>
    <cellStyle name="Normal 38 89" xfId="10275"/>
    <cellStyle name="Normal 38 89 2" xfId="24327"/>
    <cellStyle name="Normal 38 89 2 2" xfId="51335"/>
    <cellStyle name="Normal 38 89 3" xfId="37831"/>
    <cellStyle name="Normal 38 9" xfId="1182"/>
    <cellStyle name="Normal 38 9 2" xfId="16354"/>
    <cellStyle name="Normal 38 9 2 2" xfId="43362"/>
    <cellStyle name="Normal 38 9 3" xfId="29858"/>
    <cellStyle name="Normal 38 90" xfId="10417"/>
    <cellStyle name="Normal 38 90 2" xfId="24455"/>
    <cellStyle name="Normal 38 90 2 2" xfId="51463"/>
    <cellStyle name="Normal 38 90 3" xfId="37959"/>
    <cellStyle name="Normal 38 91" xfId="10559"/>
    <cellStyle name="Normal 38 91 2" xfId="24583"/>
    <cellStyle name="Normal 38 91 2 2" xfId="51591"/>
    <cellStyle name="Normal 38 91 3" xfId="38087"/>
    <cellStyle name="Normal 38 92" xfId="10701"/>
    <cellStyle name="Normal 38 92 2" xfId="24711"/>
    <cellStyle name="Normal 38 92 2 2" xfId="51719"/>
    <cellStyle name="Normal 38 92 3" xfId="38215"/>
    <cellStyle name="Normal 38 93" xfId="10843"/>
    <cellStyle name="Normal 38 93 2" xfId="24839"/>
    <cellStyle name="Normal 38 93 2 2" xfId="51847"/>
    <cellStyle name="Normal 38 93 3" xfId="38343"/>
    <cellStyle name="Normal 38 94" xfId="10985"/>
    <cellStyle name="Normal 38 94 2" xfId="24967"/>
    <cellStyle name="Normal 38 94 2 2" xfId="51975"/>
    <cellStyle name="Normal 38 94 3" xfId="38471"/>
    <cellStyle name="Normal 38 95" xfId="11127"/>
    <cellStyle name="Normal 38 95 2" xfId="25095"/>
    <cellStyle name="Normal 38 95 2 2" xfId="52103"/>
    <cellStyle name="Normal 38 95 3" xfId="38599"/>
    <cellStyle name="Normal 38 96" xfId="11269"/>
    <cellStyle name="Normal 38 96 2" xfId="25223"/>
    <cellStyle name="Normal 38 96 2 2" xfId="52231"/>
    <cellStyle name="Normal 38 96 3" xfId="38727"/>
    <cellStyle name="Normal 38 97" xfId="11411"/>
    <cellStyle name="Normal 38 97 2" xfId="25351"/>
    <cellStyle name="Normal 38 97 2 2" xfId="52359"/>
    <cellStyle name="Normal 38 97 3" xfId="38855"/>
    <cellStyle name="Normal 38 98" xfId="11553"/>
    <cellStyle name="Normal 38 98 2" xfId="25479"/>
    <cellStyle name="Normal 38 98 2 2" xfId="52487"/>
    <cellStyle name="Normal 38 98 3" xfId="38983"/>
    <cellStyle name="Normal 38 99" xfId="11695"/>
    <cellStyle name="Normal 38 99 2" xfId="25607"/>
    <cellStyle name="Normal 38 99 2 2" xfId="52615"/>
    <cellStyle name="Normal 38 99 3" xfId="39111"/>
    <cellStyle name="Normal 380" xfId="56629"/>
    <cellStyle name="Normal 381" xfId="56634"/>
    <cellStyle name="Normal 382" xfId="56635"/>
    <cellStyle name="Normal 383" xfId="56638"/>
    <cellStyle name="Normal 384" xfId="56641"/>
    <cellStyle name="Normal 385" xfId="56644"/>
    <cellStyle name="Normal 386" xfId="56647"/>
    <cellStyle name="Normal 387" xfId="56650"/>
    <cellStyle name="Normal 388" xfId="56653"/>
    <cellStyle name="Normal 389" xfId="56656"/>
    <cellStyle name="Normal 39" xfId="184"/>
    <cellStyle name="Normal 39 10" xfId="1289"/>
    <cellStyle name="Normal 39 10 2" xfId="16447"/>
    <cellStyle name="Normal 39 10 2 2" xfId="43455"/>
    <cellStyle name="Normal 39 10 3" xfId="29951"/>
    <cellStyle name="Normal 39 100" xfId="11838"/>
    <cellStyle name="Normal 39 100 2" xfId="25736"/>
    <cellStyle name="Normal 39 100 2 2" xfId="52744"/>
    <cellStyle name="Normal 39 100 3" xfId="39240"/>
    <cellStyle name="Normal 39 101" xfId="11980"/>
    <cellStyle name="Normal 39 101 2" xfId="25864"/>
    <cellStyle name="Normal 39 101 2 2" xfId="52872"/>
    <cellStyle name="Normal 39 101 3" xfId="39368"/>
    <cellStyle name="Normal 39 102" xfId="12122"/>
    <cellStyle name="Normal 39 102 2" xfId="25992"/>
    <cellStyle name="Normal 39 102 2 2" xfId="53000"/>
    <cellStyle name="Normal 39 102 3" xfId="39496"/>
    <cellStyle name="Normal 39 103" xfId="12264"/>
    <cellStyle name="Normal 39 103 2" xfId="26120"/>
    <cellStyle name="Normal 39 103 2 2" xfId="53128"/>
    <cellStyle name="Normal 39 103 3" xfId="39624"/>
    <cellStyle name="Normal 39 104" xfId="12406"/>
    <cellStyle name="Normal 39 104 2" xfId="26248"/>
    <cellStyle name="Normal 39 104 2 2" xfId="53256"/>
    <cellStyle name="Normal 39 104 3" xfId="39752"/>
    <cellStyle name="Normal 39 105" xfId="12548"/>
    <cellStyle name="Normal 39 105 2" xfId="26376"/>
    <cellStyle name="Normal 39 105 2 2" xfId="53384"/>
    <cellStyle name="Normal 39 105 3" xfId="39880"/>
    <cellStyle name="Normal 39 106" xfId="12690"/>
    <cellStyle name="Normal 39 106 2" xfId="26504"/>
    <cellStyle name="Normal 39 106 2 2" xfId="53512"/>
    <cellStyle name="Normal 39 106 3" xfId="40008"/>
    <cellStyle name="Normal 39 107" xfId="12832"/>
    <cellStyle name="Normal 39 107 2" xfId="26632"/>
    <cellStyle name="Normal 39 107 2 2" xfId="53640"/>
    <cellStyle name="Normal 39 107 3" xfId="40136"/>
    <cellStyle name="Normal 39 108" xfId="12974"/>
    <cellStyle name="Normal 39 108 2" xfId="26760"/>
    <cellStyle name="Normal 39 108 2 2" xfId="53768"/>
    <cellStyle name="Normal 39 108 3" xfId="40264"/>
    <cellStyle name="Normal 39 109" xfId="13116"/>
    <cellStyle name="Normal 39 109 2" xfId="26888"/>
    <cellStyle name="Normal 39 109 2 2" xfId="53896"/>
    <cellStyle name="Normal 39 109 3" xfId="40392"/>
    <cellStyle name="Normal 39 11" xfId="1395"/>
    <cellStyle name="Normal 39 11 2" xfId="16539"/>
    <cellStyle name="Normal 39 11 2 2" xfId="43547"/>
    <cellStyle name="Normal 39 11 3" xfId="30043"/>
    <cellStyle name="Normal 39 110" xfId="13258"/>
    <cellStyle name="Normal 39 110 2" xfId="27016"/>
    <cellStyle name="Normal 39 110 2 2" xfId="54024"/>
    <cellStyle name="Normal 39 110 3" xfId="40520"/>
    <cellStyle name="Normal 39 111" xfId="13400"/>
    <cellStyle name="Normal 39 111 2" xfId="27144"/>
    <cellStyle name="Normal 39 111 2 2" xfId="54152"/>
    <cellStyle name="Normal 39 111 3" xfId="40648"/>
    <cellStyle name="Normal 39 112" xfId="13542"/>
    <cellStyle name="Normal 39 112 2" xfId="27272"/>
    <cellStyle name="Normal 39 112 2 2" xfId="54280"/>
    <cellStyle name="Normal 39 112 3" xfId="40776"/>
    <cellStyle name="Normal 39 113" xfId="13684"/>
    <cellStyle name="Normal 39 113 2" xfId="27400"/>
    <cellStyle name="Normal 39 113 2 2" xfId="54408"/>
    <cellStyle name="Normal 39 113 3" xfId="40904"/>
    <cellStyle name="Normal 39 114" xfId="13826"/>
    <cellStyle name="Normal 39 114 2" xfId="27528"/>
    <cellStyle name="Normal 39 114 2 2" xfId="54536"/>
    <cellStyle name="Normal 39 114 3" xfId="41032"/>
    <cellStyle name="Normal 39 115" xfId="13967"/>
    <cellStyle name="Normal 39 115 2" xfId="27655"/>
    <cellStyle name="Normal 39 115 2 2" xfId="54663"/>
    <cellStyle name="Normal 39 115 3" xfId="41159"/>
    <cellStyle name="Normal 39 116" xfId="14108"/>
    <cellStyle name="Normal 39 116 2" xfId="27782"/>
    <cellStyle name="Normal 39 116 2 2" xfId="54790"/>
    <cellStyle name="Normal 39 116 3" xfId="41286"/>
    <cellStyle name="Normal 39 117" xfId="14249"/>
    <cellStyle name="Normal 39 117 2" xfId="27909"/>
    <cellStyle name="Normal 39 117 2 2" xfId="54917"/>
    <cellStyle name="Normal 39 117 3" xfId="41413"/>
    <cellStyle name="Normal 39 118" xfId="14390"/>
    <cellStyle name="Normal 39 118 2" xfId="28036"/>
    <cellStyle name="Normal 39 118 2 2" xfId="55044"/>
    <cellStyle name="Normal 39 118 3" xfId="41540"/>
    <cellStyle name="Normal 39 119" xfId="14530"/>
    <cellStyle name="Normal 39 119 2" xfId="28162"/>
    <cellStyle name="Normal 39 119 2 2" xfId="55170"/>
    <cellStyle name="Normal 39 119 3" xfId="41666"/>
    <cellStyle name="Normal 39 12" xfId="1501"/>
    <cellStyle name="Normal 39 12 2" xfId="16631"/>
    <cellStyle name="Normal 39 12 2 2" xfId="43639"/>
    <cellStyle name="Normal 39 12 3" xfId="30135"/>
    <cellStyle name="Normal 39 120" xfId="14670"/>
    <cellStyle name="Normal 39 120 2" xfId="28288"/>
    <cellStyle name="Normal 39 120 2 2" xfId="55296"/>
    <cellStyle name="Normal 39 120 3" xfId="41792"/>
    <cellStyle name="Normal 39 121" xfId="14809"/>
    <cellStyle name="Normal 39 121 2" xfId="28413"/>
    <cellStyle name="Normal 39 121 2 2" xfId="55421"/>
    <cellStyle name="Normal 39 121 3" xfId="41917"/>
    <cellStyle name="Normal 39 122" xfId="14944"/>
    <cellStyle name="Normal 39 122 2" xfId="28535"/>
    <cellStyle name="Normal 39 122 2 2" xfId="55543"/>
    <cellStyle name="Normal 39 122 3" xfId="42039"/>
    <cellStyle name="Normal 39 123" xfId="15078"/>
    <cellStyle name="Normal 39 123 2" xfId="28656"/>
    <cellStyle name="Normal 39 123 2 2" xfId="55664"/>
    <cellStyle name="Normal 39 123 3" xfId="42160"/>
    <cellStyle name="Normal 39 124" xfId="15205"/>
    <cellStyle name="Normal 39 124 2" xfId="28772"/>
    <cellStyle name="Normal 39 124 2 2" xfId="55780"/>
    <cellStyle name="Normal 39 124 3" xfId="42276"/>
    <cellStyle name="Normal 39 125" xfId="15325"/>
    <cellStyle name="Normal 39 125 2" xfId="28885"/>
    <cellStyle name="Normal 39 125 2 2" xfId="55893"/>
    <cellStyle name="Normal 39 125 3" xfId="42389"/>
    <cellStyle name="Normal 39 126" xfId="15540"/>
    <cellStyle name="Normal 39 126 2" xfId="42548"/>
    <cellStyle name="Normal 39 127" xfId="29044"/>
    <cellStyle name="Normal 39 13" xfId="1607"/>
    <cellStyle name="Normal 39 13 2" xfId="16723"/>
    <cellStyle name="Normal 39 13 2 2" xfId="43731"/>
    <cellStyle name="Normal 39 13 3" xfId="30227"/>
    <cellStyle name="Normal 39 14" xfId="1713"/>
    <cellStyle name="Normal 39 14 2" xfId="16815"/>
    <cellStyle name="Normal 39 14 2 2" xfId="43823"/>
    <cellStyle name="Normal 39 14 3" xfId="30319"/>
    <cellStyle name="Normal 39 15" xfId="1819"/>
    <cellStyle name="Normal 39 15 2" xfId="16907"/>
    <cellStyle name="Normal 39 15 2 2" xfId="43915"/>
    <cellStyle name="Normal 39 15 3" xfId="30411"/>
    <cellStyle name="Normal 39 16" xfId="1925"/>
    <cellStyle name="Normal 39 16 2" xfId="16999"/>
    <cellStyle name="Normal 39 16 2 2" xfId="44007"/>
    <cellStyle name="Normal 39 16 3" xfId="30503"/>
    <cellStyle name="Normal 39 17" xfId="2031"/>
    <cellStyle name="Normal 39 17 2" xfId="17091"/>
    <cellStyle name="Normal 39 17 2 2" xfId="44099"/>
    <cellStyle name="Normal 39 17 3" xfId="30595"/>
    <cellStyle name="Normal 39 18" xfId="2137"/>
    <cellStyle name="Normal 39 18 2" xfId="17183"/>
    <cellStyle name="Normal 39 18 2 2" xfId="44191"/>
    <cellStyle name="Normal 39 18 3" xfId="30687"/>
    <cellStyle name="Normal 39 19" xfId="2243"/>
    <cellStyle name="Normal 39 19 2" xfId="17275"/>
    <cellStyle name="Normal 39 19 2 2" xfId="44283"/>
    <cellStyle name="Normal 39 19 3" xfId="30779"/>
    <cellStyle name="Normal 39 2" xfId="361"/>
    <cellStyle name="Normal 39 2 2" xfId="15663"/>
    <cellStyle name="Normal 39 2 2 2" xfId="42671"/>
    <cellStyle name="Normal 39 2 3" xfId="29167"/>
    <cellStyle name="Normal 39 20" xfId="2349"/>
    <cellStyle name="Normal 39 20 2" xfId="17367"/>
    <cellStyle name="Normal 39 20 2 2" xfId="44375"/>
    <cellStyle name="Normal 39 20 3" xfId="30871"/>
    <cellStyle name="Normal 39 21" xfId="2455"/>
    <cellStyle name="Normal 39 21 2" xfId="17459"/>
    <cellStyle name="Normal 39 21 2 2" xfId="44467"/>
    <cellStyle name="Normal 39 21 3" xfId="30963"/>
    <cellStyle name="Normal 39 22" xfId="2561"/>
    <cellStyle name="Normal 39 22 2" xfId="17551"/>
    <cellStyle name="Normal 39 22 2 2" xfId="44559"/>
    <cellStyle name="Normal 39 22 3" xfId="31055"/>
    <cellStyle name="Normal 39 23" xfId="2667"/>
    <cellStyle name="Normal 39 23 2" xfId="17643"/>
    <cellStyle name="Normal 39 23 2 2" xfId="44651"/>
    <cellStyle name="Normal 39 23 3" xfId="31147"/>
    <cellStyle name="Normal 39 24" xfId="2773"/>
    <cellStyle name="Normal 39 24 2" xfId="17735"/>
    <cellStyle name="Normal 39 24 2 2" xfId="44743"/>
    <cellStyle name="Normal 39 24 3" xfId="31239"/>
    <cellStyle name="Normal 39 25" xfId="2879"/>
    <cellStyle name="Normal 39 25 2" xfId="17827"/>
    <cellStyle name="Normal 39 25 2 2" xfId="44835"/>
    <cellStyle name="Normal 39 25 3" xfId="31331"/>
    <cellStyle name="Normal 39 26" xfId="2985"/>
    <cellStyle name="Normal 39 26 2" xfId="17919"/>
    <cellStyle name="Normal 39 26 2 2" xfId="44927"/>
    <cellStyle name="Normal 39 26 3" xfId="31423"/>
    <cellStyle name="Normal 39 27" xfId="3091"/>
    <cellStyle name="Normal 39 27 2" xfId="18011"/>
    <cellStyle name="Normal 39 27 2 2" xfId="45019"/>
    <cellStyle name="Normal 39 27 3" xfId="31515"/>
    <cellStyle name="Normal 39 28" xfId="3197"/>
    <cellStyle name="Normal 39 28 2" xfId="18103"/>
    <cellStyle name="Normal 39 28 2 2" xfId="45111"/>
    <cellStyle name="Normal 39 28 3" xfId="31607"/>
    <cellStyle name="Normal 39 29" xfId="3303"/>
    <cellStyle name="Normal 39 29 2" xfId="18195"/>
    <cellStyle name="Normal 39 29 2 2" xfId="45203"/>
    <cellStyle name="Normal 39 29 3" xfId="31699"/>
    <cellStyle name="Normal 39 3" xfId="548"/>
    <cellStyle name="Normal 39 3 2" xfId="15804"/>
    <cellStyle name="Normal 39 3 2 2" xfId="42812"/>
    <cellStyle name="Normal 39 3 3" xfId="29308"/>
    <cellStyle name="Normal 39 30" xfId="3409"/>
    <cellStyle name="Normal 39 30 2" xfId="18287"/>
    <cellStyle name="Normal 39 30 2 2" xfId="45295"/>
    <cellStyle name="Normal 39 30 3" xfId="31791"/>
    <cellStyle name="Normal 39 31" xfId="3515"/>
    <cellStyle name="Normal 39 31 2" xfId="18379"/>
    <cellStyle name="Normal 39 31 2 2" xfId="45387"/>
    <cellStyle name="Normal 39 31 3" xfId="31883"/>
    <cellStyle name="Normal 39 32" xfId="3621"/>
    <cellStyle name="Normal 39 32 2" xfId="18471"/>
    <cellStyle name="Normal 39 32 2 2" xfId="45479"/>
    <cellStyle name="Normal 39 32 3" xfId="31975"/>
    <cellStyle name="Normal 39 33" xfId="3727"/>
    <cellStyle name="Normal 39 33 2" xfId="18563"/>
    <cellStyle name="Normal 39 33 2 2" xfId="45571"/>
    <cellStyle name="Normal 39 33 3" xfId="32067"/>
    <cellStyle name="Normal 39 34" xfId="3833"/>
    <cellStyle name="Normal 39 34 2" xfId="18655"/>
    <cellStyle name="Normal 39 34 2 2" xfId="45663"/>
    <cellStyle name="Normal 39 34 3" xfId="32159"/>
    <cellStyle name="Normal 39 35" xfId="3939"/>
    <cellStyle name="Normal 39 35 2" xfId="18747"/>
    <cellStyle name="Normal 39 35 2 2" xfId="45755"/>
    <cellStyle name="Normal 39 35 3" xfId="32251"/>
    <cellStyle name="Normal 39 36" xfId="4045"/>
    <cellStyle name="Normal 39 36 2" xfId="18839"/>
    <cellStyle name="Normal 39 36 2 2" xfId="45847"/>
    <cellStyle name="Normal 39 36 3" xfId="32343"/>
    <cellStyle name="Normal 39 37" xfId="4151"/>
    <cellStyle name="Normal 39 37 2" xfId="18931"/>
    <cellStyle name="Normal 39 37 2 2" xfId="45939"/>
    <cellStyle name="Normal 39 37 3" xfId="32435"/>
    <cellStyle name="Normal 39 38" xfId="4257"/>
    <cellStyle name="Normal 39 38 2" xfId="19023"/>
    <cellStyle name="Normal 39 38 2 2" xfId="46031"/>
    <cellStyle name="Normal 39 38 3" xfId="32527"/>
    <cellStyle name="Normal 39 39" xfId="4363"/>
    <cellStyle name="Normal 39 39 2" xfId="19115"/>
    <cellStyle name="Normal 39 39 2 2" xfId="46123"/>
    <cellStyle name="Normal 39 39 3" xfId="32619"/>
    <cellStyle name="Normal 39 4" xfId="653"/>
    <cellStyle name="Normal 39 4 2" xfId="15895"/>
    <cellStyle name="Normal 39 4 2 2" xfId="42903"/>
    <cellStyle name="Normal 39 4 3" xfId="29399"/>
    <cellStyle name="Normal 39 40" xfId="4469"/>
    <cellStyle name="Normal 39 40 2" xfId="19207"/>
    <cellStyle name="Normal 39 40 2 2" xfId="46215"/>
    <cellStyle name="Normal 39 40 3" xfId="32711"/>
    <cellStyle name="Normal 39 41" xfId="4575"/>
    <cellStyle name="Normal 39 41 2" xfId="19299"/>
    <cellStyle name="Normal 39 41 2 2" xfId="46307"/>
    <cellStyle name="Normal 39 41 3" xfId="32803"/>
    <cellStyle name="Normal 39 42" xfId="4681"/>
    <cellStyle name="Normal 39 42 2" xfId="19391"/>
    <cellStyle name="Normal 39 42 2 2" xfId="46399"/>
    <cellStyle name="Normal 39 42 3" xfId="32895"/>
    <cellStyle name="Normal 39 43" xfId="4787"/>
    <cellStyle name="Normal 39 43 2" xfId="19483"/>
    <cellStyle name="Normal 39 43 2 2" xfId="46491"/>
    <cellStyle name="Normal 39 43 3" xfId="32987"/>
    <cellStyle name="Normal 39 44" xfId="4893"/>
    <cellStyle name="Normal 39 44 2" xfId="19575"/>
    <cellStyle name="Normal 39 44 2 2" xfId="46583"/>
    <cellStyle name="Normal 39 44 3" xfId="33079"/>
    <cellStyle name="Normal 39 45" xfId="4999"/>
    <cellStyle name="Normal 39 45 2" xfId="19667"/>
    <cellStyle name="Normal 39 45 2 2" xfId="46675"/>
    <cellStyle name="Normal 39 45 3" xfId="33171"/>
    <cellStyle name="Normal 39 46" xfId="5105"/>
    <cellStyle name="Normal 39 46 2" xfId="19759"/>
    <cellStyle name="Normal 39 46 2 2" xfId="46767"/>
    <cellStyle name="Normal 39 46 3" xfId="33263"/>
    <cellStyle name="Normal 39 47" xfId="5211"/>
    <cellStyle name="Normal 39 47 2" xfId="19851"/>
    <cellStyle name="Normal 39 47 2 2" xfId="46859"/>
    <cellStyle name="Normal 39 47 3" xfId="33355"/>
    <cellStyle name="Normal 39 48" xfId="5317"/>
    <cellStyle name="Normal 39 48 2" xfId="19943"/>
    <cellStyle name="Normal 39 48 2 2" xfId="46951"/>
    <cellStyle name="Normal 39 48 3" xfId="33447"/>
    <cellStyle name="Normal 39 49" xfId="5423"/>
    <cellStyle name="Normal 39 49 2" xfId="20035"/>
    <cellStyle name="Normal 39 49 2 2" xfId="47043"/>
    <cellStyle name="Normal 39 49 3" xfId="33539"/>
    <cellStyle name="Normal 39 5" xfId="759"/>
    <cellStyle name="Normal 39 5 2" xfId="15987"/>
    <cellStyle name="Normal 39 5 2 2" xfId="42995"/>
    <cellStyle name="Normal 39 5 3" xfId="29491"/>
    <cellStyle name="Normal 39 50" xfId="5529"/>
    <cellStyle name="Normal 39 50 2" xfId="20127"/>
    <cellStyle name="Normal 39 50 2 2" xfId="47135"/>
    <cellStyle name="Normal 39 50 3" xfId="33631"/>
    <cellStyle name="Normal 39 51" xfId="5635"/>
    <cellStyle name="Normal 39 51 2" xfId="20219"/>
    <cellStyle name="Normal 39 51 2 2" xfId="47227"/>
    <cellStyle name="Normal 39 51 3" xfId="33723"/>
    <cellStyle name="Normal 39 52" xfId="5741"/>
    <cellStyle name="Normal 39 52 2" xfId="20311"/>
    <cellStyle name="Normal 39 52 2 2" xfId="47319"/>
    <cellStyle name="Normal 39 52 3" xfId="33815"/>
    <cellStyle name="Normal 39 53" xfId="5847"/>
    <cellStyle name="Normal 39 53 2" xfId="20403"/>
    <cellStyle name="Normal 39 53 2 2" xfId="47411"/>
    <cellStyle name="Normal 39 53 3" xfId="33907"/>
    <cellStyle name="Normal 39 54" xfId="5953"/>
    <cellStyle name="Normal 39 54 2" xfId="20495"/>
    <cellStyle name="Normal 39 54 2 2" xfId="47503"/>
    <cellStyle name="Normal 39 54 3" xfId="33999"/>
    <cellStyle name="Normal 39 55" xfId="6059"/>
    <cellStyle name="Normal 39 55 2" xfId="20587"/>
    <cellStyle name="Normal 39 55 2 2" xfId="47595"/>
    <cellStyle name="Normal 39 55 3" xfId="34091"/>
    <cellStyle name="Normal 39 56" xfId="6165"/>
    <cellStyle name="Normal 39 56 2" xfId="20679"/>
    <cellStyle name="Normal 39 56 2 2" xfId="47687"/>
    <cellStyle name="Normal 39 56 3" xfId="34183"/>
    <cellStyle name="Normal 39 57" xfId="6271"/>
    <cellStyle name="Normal 39 57 2" xfId="20771"/>
    <cellStyle name="Normal 39 57 2 2" xfId="47779"/>
    <cellStyle name="Normal 39 57 3" xfId="34275"/>
    <cellStyle name="Normal 39 58" xfId="6377"/>
    <cellStyle name="Normal 39 58 2" xfId="20863"/>
    <cellStyle name="Normal 39 58 2 2" xfId="47871"/>
    <cellStyle name="Normal 39 58 3" xfId="34367"/>
    <cellStyle name="Normal 39 59" xfId="6483"/>
    <cellStyle name="Normal 39 59 2" xfId="20955"/>
    <cellStyle name="Normal 39 59 2 2" xfId="47963"/>
    <cellStyle name="Normal 39 59 3" xfId="34459"/>
    <cellStyle name="Normal 39 6" xfId="865"/>
    <cellStyle name="Normal 39 6 2" xfId="16079"/>
    <cellStyle name="Normal 39 6 2 2" xfId="43087"/>
    <cellStyle name="Normal 39 6 3" xfId="29583"/>
    <cellStyle name="Normal 39 60" xfId="6589"/>
    <cellStyle name="Normal 39 60 2" xfId="21047"/>
    <cellStyle name="Normal 39 60 2 2" xfId="48055"/>
    <cellStyle name="Normal 39 60 3" xfId="34551"/>
    <cellStyle name="Normal 39 61" xfId="6694"/>
    <cellStyle name="Normal 39 61 2" xfId="21138"/>
    <cellStyle name="Normal 39 61 2 2" xfId="48146"/>
    <cellStyle name="Normal 39 61 3" xfId="34642"/>
    <cellStyle name="Normal 39 62" xfId="6799"/>
    <cellStyle name="Normal 39 62 2" xfId="21229"/>
    <cellStyle name="Normal 39 62 2 2" xfId="48237"/>
    <cellStyle name="Normal 39 62 3" xfId="34733"/>
    <cellStyle name="Normal 39 63" xfId="6904"/>
    <cellStyle name="Normal 39 63 2" xfId="21320"/>
    <cellStyle name="Normal 39 63 2 2" xfId="48328"/>
    <cellStyle name="Normal 39 63 3" xfId="34824"/>
    <cellStyle name="Normal 39 64" xfId="7009"/>
    <cellStyle name="Normal 39 64 2" xfId="21411"/>
    <cellStyle name="Normal 39 64 2 2" xfId="48419"/>
    <cellStyle name="Normal 39 64 3" xfId="34915"/>
    <cellStyle name="Normal 39 65" xfId="7113"/>
    <cellStyle name="Normal 39 65 2" xfId="21501"/>
    <cellStyle name="Normal 39 65 2 2" xfId="48509"/>
    <cellStyle name="Normal 39 65 3" xfId="35005"/>
    <cellStyle name="Normal 39 66" xfId="7217"/>
    <cellStyle name="Normal 39 66 2" xfId="21591"/>
    <cellStyle name="Normal 39 66 2 2" xfId="48599"/>
    <cellStyle name="Normal 39 66 3" xfId="35095"/>
    <cellStyle name="Normal 39 67" xfId="7320"/>
    <cellStyle name="Normal 39 67 2" xfId="21680"/>
    <cellStyle name="Normal 39 67 2 2" xfId="48688"/>
    <cellStyle name="Normal 39 67 3" xfId="35184"/>
    <cellStyle name="Normal 39 68" xfId="7420"/>
    <cellStyle name="Normal 39 68 2" xfId="21767"/>
    <cellStyle name="Normal 39 68 2 2" xfId="48775"/>
    <cellStyle name="Normal 39 68 3" xfId="35271"/>
    <cellStyle name="Normal 39 69" xfId="7518"/>
    <cellStyle name="Normal 39 69 2" xfId="21852"/>
    <cellStyle name="Normal 39 69 2 2" xfId="48860"/>
    <cellStyle name="Normal 39 69 3" xfId="35356"/>
    <cellStyle name="Normal 39 7" xfId="971"/>
    <cellStyle name="Normal 39 7 2" xfId="16171"/>
    <cellStyle name="Normal 39 7 2 2" xfId="43179"/>
    <cellStyle name="Normal 39 7 3" xfId="29675"/>
    <cellStyle name="Normal 39 70" xfId="7607"/>
    <cellStyle name="Normal 39 70 2" xfId="21930"/>
    <cellStyle name="Normal 39 70 2 2" xfId="48938"/>
    <cellStyle name="Normal 39 70 3" xfId="35434"/>
    <cellStyle name="Normal 39 71" xfId="7683"/>
    <cellStyle name="Normal 39 71 2" xfId="21999"/>
    <cellStyle name="Normal 39 71 2 2" xfId="49007"/>
    <cellStyle name="Normal 39 71 3" xfId="35503"/>
    <cellStyle name="Normal 39 72" xfId="7862"/>
    <cellStyle name="Normal 39 72 2" xfId="22152"/>
    <cellStyle name="Normal 39 72 2 2" xfId="49160"/>
    <cellStyle name="Normal 39 72 3" xfId="35656"/>
    <cellStyle name="Normal 39 73" xfId="8004"/>
    <cellStyle name="Normal 39 73 2" xfId="22280"/>
    <cellStyle name="Normal 39 73 2 2" xfId="49288"/>
    <cellStyle name="Normal 39 73 3" xfId="35784"/>
    <cellStyle name="Normal 39 74" xfId="8146"/>
    <cellStyle name="Normal 39 74 2" xfId="22408"/>
    <cellStyle name="Normal 39 74 2 2" xfId="49416"/>
    <cellStyle name="Normal 39 74 3" xfId="35912"/>
    <cellStyle name="Normal 39 75" xfId="8288"/>
    <cellStyle name="Normal 39 75 2" xfId="22536"/>
    <cellStyle name="Normal 39 75 2 2" xfId="49544"/>
    <cellStyle name="Normal 39 75 3" xfId="36040"/>
    <cellStyle name="Normal 39 76" xfId="8430"/>
    <cellStyle name="Normal 39 76 2" xfId="22664"/>
    <cellStyle name="Normal 39 76 2 2" xfId="49672"/>
    <cellStyle name="Normal 39 76 3" xfId="36168"/>
    <cellStyle name="Normal 39 77" xfId="8572"/>
    <cellStyle name="Normal 39 77 2" xfId="22792"/>
    <cellStyle name="Normal 39 77 2 2" xfId="49800"/>
    <cellStyle name="Normal 39 77 3" xfId="36296"/>
    <cellStyle name="Normal 39 78" xfId="8714"/>
    <cellStyle name="Normal 39 78 2" xfId="22920"/>
    <cellStyle name="Normal 39 78 2 2" xfId="49928"/>
    <cellStyle name="Normal 39 78 3" xfId="36424"/>
    <cellStyle name="Normal 39 79" xfId="8856"/>
    <cellStyle name="Normal 39 79 2" xfId="23048"/>
    <cellStyle name="Normal 39 79 2 2" xfId="50056"/>
    <cellStyle name="Normal 39 79 3" xfId="36552"/>
    <cellStyle name="Normal 39 8" xfId="1077"/>
    <cellStyle name="Normal 39 8 2" xfId="16263"/>
    <cellStyle name="Normal 39 8 2 2" xfId="43271"/>
    <cellStyle name="Normal 39 8 3" xfId="29767"/>
    <cellStyle name="Normal 39 80" xfId="8998"/>
    <cellStyle name="Normal 39 80 2" xfId="23176"/>
    <cellStyle name="Normal 39 80 2 2" xfId="50184"/>
    <cellStyle name="Normal 39 80 3" xfId="36680"/>
    <cellStyle name="Normal 39 81" xfId="9140"/>
    <cellStyle name="Normal 39 81 2" xfId="23304"/>
    <cellStyle name="Normal 39 81 2 2" xfId="50312"/>
    <cellStyle name="Normal 39 81 3" xfId="36808"/>
    <cellStyle name="Normal 39 82" xfId="9282"/>
    <cellStyle name="Normal 39 82 2" xfId="23432"/>
    <cellStyle name="Normal 39 82 2 2" xfId="50440"/>
    <cellStyle name="Normal 39 82 3" xfId="36936"/>
    <cellStyle name="Normal 39 83" xfId="9424"/>
    <cellStyle name="Normal 39 83 2" xfId="23560"/>
    <cellStyle name="Normal 39 83 2 2" xfId="50568"/>
    <cellStyle name="Normal 39 83 3" xfId="37064"/>
    <cellStyle name="Normal 39 84" xfId="9566"/>
    <cellStyle name="Normal 39 84 2" xfId="23688"/>
    <cellStyle name="Normal 39 84 2 2" xfId="50696"/>
    <cellStyle name="Normal 39 84 3" xfId="37192"/>
    <cellStyle name="Normal 39 85" xfId="9708"/>
    <cellStyle name="Normal 39 85 2" xfId="23816"/>
    <cellStyle name="Normal 39 85 2 2" xfId="50824"/>
    <cellStyle name="Normal 39 85 3" xfId="37320"/>
    <cellStyle name="Normal 39 86" xfId="9850"/>
    <cellStyle name="Normal 39 86 2" xfId="23944"/>
    <cellStyle name="Normal 39 86 2 2" xfId="50952"/>
    <cellStyle name="Normal 39 86 3" xfId="37448"/>
    <cellStyle name="Normal 39 87" xfId="9992"/>
    <cellStyle name="Normal 39 87 2" xfId="24072"/>
    <cellStyle name="Normal 39 87 2 2" xfId="51080"/>
    <cellStyle name="Normal 39 87 3" xfId="37576"/>
    <cellStyle name="Normal 39 88" xfId="10134"/>
    <cellStyle name="Normal 39 88 2" xfId="24200"/>
    <cellStyle name="Normal 39 88 2 2" xfId="51208"/>
    <cellStyle name="Normal 39 88 3" xfId="37704"/>
    <cellStyle name="Normal 39 89" xfId="10276"/>
    <cellStyle name="Normal 39 89 2" xfId="24328"/>
    <cellStyle name="Normal 39 89 2 2" xfId="51336"/>
    <cellStyle name="Normal 39 89 3" xfId="37832"/>
    <cellStyle name="Normal 39 9" xfId="1183"/>
    <cellStyle name="Normal 39 9 2" xfId="16355"/>
    <cellStyle name="Normal 39 9 2 2" xfId="43363"/>
    <cellStyle name="Normal 39 9 3" xfId="29859"/>
    <cellStyle name="Normal 39 90" xfId="10418"/>
    <cellStyle name="Normal 39 90 2" xfId="24456"/>
    <cellStyle name="Normal 39 90 2 2" xfId="51464"/>
    <cellStyle name="Normal 39 90 3" xfId="37960"/>
    <cellStyle name="Normal 39 91" xfId="10560"/>
    <cellStyle name="Normal 39 91 2" xfId="24584"/>
    <cellStyle name="Normal 39 91 2 2" xfId="51592"/>
    <cellStyle name="Normal 39 91 3" xfId="38088"/>
    <cellStyle name="Normal 39 92" xfId="10702"/>
    <cellStyle name="Normal 39 92 2" xfId="24712"/>
    <cellStyle name="Normal 39 92 2 2" xfId="51720"/>
    <cellStyle name="Normal 39 92 3" xfId="38216"/>
    <cellStyle name="Normal 39 93" xfId="10844"/>
    <cellStyle name="Normal 39 93 2" xfId="24840"/>
    <cellStyle name="Normal 39 93 2 2" xfId="51848"/>
    <cellStyle name="Normal 39 93 3" xfId="38344"/>
    <cellStyle name="Normal 39 94" xfId="10986"/>
    <cellStyle name="Normal 39 94 2" xfId="24968"/>
    <cellStyle name="Normal 39 94 2 2" xfId="51976"/>
    <cellStyle name="Normal 39 94 3" xfId="38472"/>
    <cellStyle name="Normal 39 95" xfId="11128"/>
    <cellStyle name="Normal 39 95 2" xfId="25096"/>
    <cellStyle name="Normal 39 95 2 2" xfId="52104"/>
    <cellStyle name="Normal 39 95 3" xfId="38600"/>
    <cellStyle name="Normal 39 96" xfId="11270"/>
    <cellStyle name="Normal 39 96 2" xfId="25224"/>
    <cellStyle name="Normal 39 96 2 2" xfId="52232"/>
    <cellStyle name="Normal 39 96 3" xfId="38728"/>
    <cellStyle name="Normal 39 97" xfId="11412"/>
    <cellStyle name="Normal 39 97 2" xfId="25352"/>
    <cellStyle name="Normal 39 97 2 2" xfId="52360"/>
    <cellStyle name="Normal 39 97 3" xfId="38856"/>
    <cellStyle name="Normal 39 98" xfId="11554"/>
    <cellStyle name="Normal 39 98 2" xfId="25480"/>
    <cellStyle name="Normal 39 98 2 2" xfId="52488"/>
    <cellStyle name="Normal 39 98 3" xfId="38984"/>
    <cellStyle name="Normal 39 99" xfId="11696"/>
    <cellStyle name="Normal 39 99 2" xfId="25608"/>
    <cellStyle name="Normal 39 99 2 2" xfId="52616"/>
    <cellStyle name="Normal 39 99 3" xfId="39112"/>
    <cellStyle name="Normal 390" xfId="56659"/>
    <cellStyle name="Normal 391" xfId="56662"/>
    <cellStyle name="Normal 392" xfId="56665"/>
    <cellStyle name="Normal 393" xfId="56668"/>
    <cellStyle name="Normal 394" xfId="56671"/>
    <cellStyle name="Normal 395" xfId="56674"/>
    <cellStyle name="Normal 396" xfId="56683"/>
    <cellStyle name="Normal 397" xfId="56684"/>
    <cellStyle name="Normal 398" xfId="56685"/>
    <cellStyle name="Normal 399" xfId="56686"/>
    <cellStyle name="Normal 4" xfId="150"/>
    <cellStyle name="Normal 4 10" xfId="1255"/>
    <cellStyle name="Normal 4 10 2" xfId="16413"/>
    <cellStyle name="Normal 4 10 2 2" xfId="43421"/>
    <cellStyle name="Normal 4 10 3" xfId="29917"/>
    <cellStyle name="Normal 4 100" xfId="11804"/>
    <cellStyle name="Normal 4 100 2" xfId="25702"/>
    <cellStyle name="Normal 4 100 2 2" xfId="52710"/>
    <cellStyle name="Normal 4 100 3" xfId="39206"/>
    <cellStyle name="Normal 4 101" xfId="11946"/>
    <cellStyle name="Normal 4 101 2" xfId="25830"/>
    <cellStyle name="Normal 4 101 2 2" xfId="52838"/>
    <cellStyle name="Normal 4 101 3" xfId="39334"/>
    <cellStyle name="Normal 4 102" xfId="12088"/>
    <cellStyle name="Normal 4 102 2" xfId="25958"/>
    <cellStyle name="Normal 4 102 2 2" xfId="52966"/>
    <cellStyle name="Normal 4 102 3" xfId="39462"/>
    <cellStyle name="Normal 4 103" xfId="12230"/>
    <cellStyle name="Normal 4 103 2" xfId="26086"/>
    <cellStyle name="Normal 4 103 2 2" xfId="53094"/>
    <cellStyle name="Normal 4 103 3" xfId="39590"/>
    <cellStyle name="Normal 4 104" xfId="12372"/>
    <cellStyle name="Normal 4 104 2" xfId="26214"/>
    <cellStyle name="Normal 4 104 2 2" xfId="53222"/>
    <cellStyle name="Normal 4 104 3" xfId="39718"/>
    <cellStyle name="Normal 4 105" xfId="12514"/>
    <cellStyle name="Normal 4 105 2" xfId="26342"/>
    <cellStyle name="Normal 4 105 2 2" xfId="53350"/>
    <cellStyle name="Normal 4 105 3" xfId="39846"/>
    <cellStyle name="Normal 4 106" xfId="12656"/>
    <cellStyle name="Normal 4 106 2" xfId="26470"/>
    <cellStyle name="Normal 4 106 2 2" xfId="53478"/>
    <cellStyle name="Normal 4 106 3" xfId="39974"/>
    <cellStyle name="Normal 4 107" xfId="12798"/>
    <cellStyle name="Normal 4 107 2" xfId="26598"/>
    <cellStyle name="Normal 4 107 2 2" xfId="53606"/>
    <cellStyle name="Normal 4 107 3" xfId="40102"/>
    <cellStyle name="Normal 4 108" xfId="12940"/>
    <cellStyle name="Normal 4 108 2" xfId="26726"/>
    <cellStyle name="Normal 4 108 2 2" xfId="53734"/>
    <cellStyle name="Normal 4 108 3" xfId="40230"/>
    <cellStyle name="Normal 4 109" xfId="13082"/>
    <cellStyle name="Normal 4 109 2" xfId="26854"/>
    <cellStyle name="Normal 4 109 2 2" xfId="53862"/>
    <cellStyle name="Normal 4 109 3" xfId="40358"/>
    <cellStyle name="Normal 4 11" xfId="1361"/>
    <cellStyle name="Normal 4 11 2" xfId="16505"/>
    <cellStyle name="Normal 4 11 2 2" xfId="43513"/>
    <cellStyle name="Normal 4 11 3" xfId="30009"/>
    <cellStyle name="Normal 4 110" xfId="13224"/>
    <cellStyle name="Normal 4 110 2" xfId="26982"/>
    <cellStyle name="Normal 4 110 2 2" xfId="53990"/>
    <cellStyle name="Normal 4 110 3" xfId="40486"/>
    <cellStyle name="Normal 4 111" xfId="13366"/>
    <cellStyle name="Normal 4 111 2" xfId="27110"/>
    <cellStyle name="Normal 4 111 2 2" xfId="54118"/>
    <cellStyle name="Normal 4 111 3" xfId="40614"/>
    <cellStyle name="Normal 4 112" xfId="13508"/>
    <cellStyle name="Normal 4 112 2" xfId="27238"/>
    <cellStyle name="Normal 4 112 2 2" xfId="54246"/>
    <cellStyle name="Normal 4 112 3" xfId="40742"/>
    <cellStyle name="Normal 4 113" xfId="13650"/>
    <cellStyle name="Normal 4 113 2" xfId="27366"/>
    <cellStyle name="Normal 4 113 2 2" xfId="54374"/>
    <cellStyle name="Normal 4 113 3" xfId="40870"/>
    <cellStyle name="Normal 4 114" xfId="13792"/>
    <cellStyle name="Normal 4 114 2" xfId="27494"/>
    <cellStyle name="Normal 4 114 2 2" xfId="54502"/>
    <cellStyle name="Normal 4 114 3" xfId="40998"/>
    <cellStyle name="Normal 4 115" xfId="13933"/>
    <cellStyle name="Normal 4 115 2" xfId="27621"/>
    <cellStyle name="Normal 4 115 2 2" xfId="54629"/>
    <cellStyle name="Normal 4 115 3" xfId="41125"/>
    <cellStyle name="Normal 4 116" xfId="14074"/>
    <cellStyle name="Normal 4 116 2" xfId="27748"/>
    <cellStyle name="Normal 4 116 2 2" xfId="54756"/>
    <cellStyle name="Normal 4 116 3" xfId="41252"/>
    <cellStyle name="Normal 4 117" xfId="14215"/>
    <cellStyle name="Normal 4 117 2" xfId="27875"/>
    <cellStyle name="Normal 4 117 2 2" xfId="54883"/>
    <cellStyle name="Normal 4 117 3" xfId="41379"/>
    <cellStyle name="Normal 4 118" xfId="14356"/>
    <cellStyle name="Normal 4 118 2" xfId="28002"/>
    <cellStyle name="Normal 4 118 2 2" xfId="55010"/>
    <cellStyle name="Normal 4 118 3" xfId="41506"/>
    <cellStyle name="Normal 4 119" xfId="14496"/>
    <cellStyle name="Normal 4 119 2" xfId="28128"/>
    <cellStyle name="Normal 4 119 2 2" xfId="55136"/>
    <cellStyle name="Normal 4 119 3" xfId="41632"/>
    <cellStyle name="Normal 4 12" xfId="1467"/>
    <cellStyle name="Normal 4 12 2" xfId="16597"/>
    <cellStyle name="Normal 4 12 2 2" xfId="43605"/>
    <cellStyle name="Normal 4 12 3" xfId="30101"/>
    <cellStyle name="Normal 4 120" xfId="14636"/>
    <cellStyle name="Normal 4 120 2" xfId="28254"/>
    <cellStyle name="Normal 4 120 2 2" xfId="55262"/>
    <cellStyle name="Normal 4 120 3" xfId="41758"/>
    <cellStyle name="Normal 4 121" xfId="14775"/>
    <cellStyle name="Normal 4 121 2" xfId="28379"/>
    <cellStyle name="Normal 4 121 2 2" xfId="55387"/>
    <cellStyle name="Normal 4 121 3" xfId="41883"/>
    <cellStyle name="Normal 4 122" xfId="14910"/>
    <cellStyle name="Normal 4 122 2" xfId="28501"/>
    <cellStyle name="Normal 4 122 2 2" xfId="55509"/>
    <cellStyle name="Normal 4 122 3" xfId="42005"/>
    <cellStyle name="Normal 4 123" xfId="15044"/>
    <cellStyle name="Normal 4 123 2" xfId="28622"/>
    <cellStyle name="Normal 4 123 2 2" xfId="55630"/>
    <cellStyle name="Normal 4 123 3" xfId="42126"/>
    <cellStyle name="Normal 4 124" xfId="15171"/>
    <cellStyle name="Normal 4 124 2" xfId="28738"/>
    <cellStyle name="Normal 4 124 2 2" xfId="55746"/>
    <cellStyle name="Normal 4 124 3" xfId="42242"/>
    <cellStyle name="Normal 4 125" xfId="15291"/>
    <cellStyle name="Normal 4 125 2" xfId="28851"/>
    <cellStyle name="Normal 4 125 2 2" xfId="55859"/>
    <cellStyle name="Normal 4 125 3" xfId="42355"/>
    <cellStyle name="Normal 4 126" xfId="15506"/>
    <cellStyle name="Normal 4 126 2" xfId="42514"/>
    <cellStyle name="Normal 4 127" xfId="29010"/>
    <cellStyle name="Normal 4 13" xfId="1573"/>
    <cellStyle name="Normal 4 13 2" xfId="16689"/>
    <cellStyle name="Normal 4 13 2 2" xfId="43697"/>
    <cellStyle name="Normal 4 13 3" xfId="30193"/>
    <cellStyle name="Normal 4 14" xfId="1679"/>
    <cellStyle name="Normal 4 14 2" xfId="16781"/>
    <cellStyle name="Normal 4 14 2 2" xfId="43789"/>
    <cellStyle name="Normal 4 14 3" xfId="30285"/>
    <cellStyle name="Normal 4 15" xfId="1785"/>
    <cellStyle name="Normal 4 15 2" xfId="16873"/>
    <cellStyle name="Normal 4 15 2 2" xfId="43881"/>
    <cellStyle name="Normal 4 15 3" xfId="30377"/>
    <cellStyle name="Normal 4 16" xfId="1891"/>
    <cellStyle name="Normal 4 16 2" xfId="16965"/>
    <cellStyle name="Normal 4 16 2 2" xfId="43973"/>
    <cellStyle name="Normal 4 16 3" xfId="30469"/>
    <cellStyle name="Normal 4 17" xfId="1997"/>
    <cellStyle name="Normal 4 17 2" xfId="17057"/>
    <cellStyle name="Normal 4 17 2 2" xfId="44065"/>
    <cellStyle name="Normal 4 17 3" xfId="30561"/>
    <cellStyle name="Normal 4 18" xfId="2103"/>
    <cellStyle name="Normal 4 18 2" xfId="17149"/>
    <cellStyle name="Normal 4 18 2 2" xfId="44157"/>
    <cellStyle name="Normal 4 18 3" xfId="30653"/>
    <cellStyle name="Normal 4 19" xfId="2209"/>
    <cellStyle name="Normal 4 19 2" xfId="17241"/>
    <cellStyle name="Normal 4 19 2 2" xfId="44249"/>
    <cellStyle name="Normal 4 19 3" xfId="30745"/>
    <cellStyle name="Normal 4 2" xfId="327"/>
    <cellStyle name="Normal 4 2 2" xfId="15629"/>
    <cellStyle name="Normal 4 2 2 2" xfId="42637"/>
    <cellStyle name="Normal 4 2 3" xfId="29133"/>
    <cellStyle name="Normal 4 20" xfId="2315"/>
    <cellStyle name="Normal 4 20 2" xfId="17333"/>
    <cellStyle name="Normal 4 20 2 2" xfId="44341"/>
    <cellStyle name="Normal 4 20 3" xfId="30837"/>
    <cellStyle name="Normal 4 21" xfId="2421"/>
    <cellStyle name="Normal 4 21 2" xfId="17425"/>
    <cellStyle name="Normal 4 21 2 2" xfId="44433"/>
    <cellStyle name="Normal 4 21 3" xfId="30929"/>
    <cellStyle name="Normal 4 22" xfId="2527"/>
    <cellStyle name="Normal 4 22 2" xfId="17517"/>
    <cellStyle name="Normal 4 22 2 2" xfId="44525"/>
    <cellStyle name="Normal 4 22 3" xfId="31021"/>
    <cellStyle name="Normal 4 23" xfId="2633"/>
    <cellStyle name="Normal 4 23 2" xfId="17609"/>
    <cellStyle name="Normal 4 23 2 2" xfId="44617"/>
    <cellStyle name="Normal 4 23 3" xfId="31113"/>
    <cellStyle name="Normal 4 24" xfId="2739"/>
    <cellStyle name="Normal 4 24 2" xfId="17701"/>
    <cellStyle name="Normal 4 24 2 2" xfId="44709"/>
    <cellStyle name="Normal 4 24 3" xfId="31205"/>
    <cellStyle name="Normal 4 25" xfId="2845"/>
    <cellStyle name="Normal 4 25 2" xfId="17793"/>
    <cellStyle name="Normal 4 25 2 2" xfId="44801"/>
    <cellStyle name="Normal 4 25 3" xfId="31297"/>
    <cellStyle name="Normal 4 26" xfId="2951"/>
    <cellStyle name="Normal 4 26 2" xfId="17885"/>
    <cellStyle name="Normal 4 26 2 2" xfId="44893"/>
    <cellStyle name="Normal 4 26 3" xfId="31389"/>
    <cellStyle name="Normal 4 27" xfId="3057"/>
    <cellStyle name="Normal 4 27 2" xfId="17977"/>
    <cellStyle name="Normal 4 27 2 2" xfId="44985"/>
    <cellStyle name="Normal 4 27 3" xfId="31481"/>
    <cellStyle name="Normal 4 28" xfId="3163"/>
    <cellStyle name="Normal 4 28 2" xfId="18069"/>
    <cellStyle name="Normal 4 28 2 2" xfId="45077"/>
    <cellStyle name="Normal 4 28 3" xfId="31573"/>
    <cellStyle name="Normal 4 29" xfId="3269"/>
    <cellStyle name="Normal 4 29 2" xfId="18161"/>
    <cellStyle name="Normal 4 29 2 2" xfId="45169"/>
    <cellStyle name="Normal 4 29 3" xfId="31665"/>
    <cellStyle name="Normal 4 3" xfId="514"/>
    <cellStyle name="Normal 4 3 2" xfId="15770"/>
    <cellStyle name="Normal 4 3 2 2" xfId="42778"/>
    <cellStyle name="Normal 4 3 3" xfId="29274"/>
    <cellStyle name="Normal 4 30" xfId="3375"/>
    <cellStyle name="Normal 4 30 2" xfId="18253"/>
    <cellStyle name="Normal 4 30 2 2" xfId="45261"/>
    <cellStyle name="Normal 4 30 3" xfId="31757"/>
    <cellStyle name="Normal 4 31" xfId="3481"/>
    <cellStyle name="Normal 4 31 2" xfId="18345"/>
    <cellStyle name="Normal 4 31 2 2" xfId="45353"/>
    <cellStyle name="Normal 4 31 3" xfId="31849"/>
    <cellStyle name="Normal 4 32" xfId="3587"/>
    <cellStyle name="Normal 4 32 2" xfId="18437"/>
    <cellStyle name="Normal 4 32 2 2" xfId="45445"/>
    <cellStyle name="Normal 4 32 3" xfId="31941"/>
    <cellStyle name="Normal 4 33" xfId="3693"/>
    <cellStyle name="Normal 4 33 2" xfId="18529"/>
    <cellStyle name="Normal 4 33 2 2" xfId="45537"/>
    <cellStyle name="Normal 4 33 3" xfId="32033"/>
    <cellStyle name="Normal 4 34" xfId="3799"/>
    <cellStyle name="Normal 4 34 2" xfId="18621"/>
    <cellStyle name="Normal 4 34 2 2" xfId="45629"/>
    <cellStyle name="Normal 4 34 3" xfId="32125"/>
    <cellStyle name="Normal 4 35" xfId="3905"/>
    <cellStyle name="Normal 4 35 2" xfId="18713"/>
    <cellStyle name="Normal 4 35 2 2" xfId="45721"/>
    <cellStyle name="Normal 4 35 3" xfId="32217"/>
    <cellStyle name="Normal 4 36" xfId="4011"/>
    <cellStyle name="Normal 4 36 2" xfId="18805"/>
    <cellStyle name="Normal 4 36 2 2" xfId="45813"/>
    <cellStyle name="Normal 4 36 3" xfId="32309"/>
    <cellStyle name="Normal 4 37" xfId="4117"/>
    <cellStyle name="Normal 4 37 2" xfId="18897"/>
    <cellStyle name="Normal 4 37 2 2" xfId="45905"/>
    <cellStyle name="Normal 4 37 3" xfId="32401"/>
    <cellStyle name="Normal 4 38" xfId="4223"/>
    <cellStyle name="Normal 4 38 2" xfId="18989"/>
    <cellStyle name="Normal 4 38 2 2" xfId="45997"/>
    <cellStyle name="Normal 4 38 3" xfId="32493"/>
    <cellStyle name="Normal 4 39" xfId="4329"/>
    <cellStyle name="Normal 4 39 2" xfId="19081"/>
    <cellStyle name="Normal 4 39 2 2" xfId="46089"/>
    <cellStyle name="Normal 4 39 3" xfId="32585"/>
    <cellStyle name="Normal 4 4" xfId="619"/>
    <cellStyle name="Normal 4 4 2" xfId="15861"/>
    <cellStyle name="Normal 4 4 2 2" xfId="42869"/>
    <cellStyle name="Normal 4 4 3" xfId="29365"/>
    <cellStyle name="Normal 4 40" xfId="4435"/>
    <cellStyle name="Normal 4 40 2" xfId="19173"/>
    <cellStyle name="Normal 4 40 2 2" xfId="46181"/>
    <cellStyle name="Normal 4 40 3" xfId="32677"/>
    <cellStyle name="Normal 4 41" xfId="4541"/>
    <cellStyle name="Normal 4 41 2" xfId="19265"/>
    <cellStyle name="Normal 4 41 2 2" xfId="46273"/>
    <cellStyle name="Normal 4 41 3" xfId="32769"/>
    <cellStyle name="Normal 4 42" xfId="4647"/>
    <cellStyle name="Normal 4 42 2" xfId="19357"/>
    <cellStyle name="Normal 4 42 2 2" xfId="46365"/>
    <cellStyle name="Normal 4 42 3" xfId="32861"/>
    <cellStyle name="Normal 4 43" xfId="4753"/>
    <cellStyle name="Normal 4 43 2" xfId="19449"/>
    <cellStyle name="Normal 4 43 2 2" xfId="46457"/>
    <cellStyle name="Normal 4 43 3" xfId="32953"/>
    <cellStyle name="Normal 4 44" xfId="4859"/>
    <cellStyle name="Normal 4 44 2" xfId="19541"/>
    <cellStyle name="Normal 4 44 2 2" xfId="46549"/>
    <cellStyle name="Normal 4 44 3" xfId="33045"/>
    <cellStyle name="Normal 4 45" xfId="4965"/>
    <cellStyle name="Normal 4 45 2" xfId="19633"/>
    <cellStyle name="Normal 4 45 2 2" xfId="46641"/>
    <cellStyle name="Normal 4 45 3" xfId="33137"/>
    <cellStyle name="Normal 4 46" xfId="5071"/>
    <cellStyle name="Normal 4 46 2" xfId="19725"/>
    <cellStyle name="Normal 4 46 2 2" xfId="46733"/>
    <cellStyle name="Normal 4 46 3" xfId="33229"/>
    <cellStyle name="Normal 4 47" xfId="5177"/>
    <cellStyle name="Normal 4 47 2" xfId="19817"/>
    <cellStyle name="Normal 4 47 2 2" xfId="46825"/>
    <cellStyle name="Normal 4 47 3" xfId="33321"/>
    <cellStyle name="Normal 4 48" xfId="5283"/>
    <cellStyle name="Normal 4 48 2" xfId="19909"/>
    <cellStyle name="Normal 4 48 2 2" xfId="46917"/>
    <cellStyle name="Normal 4 48 3" xfId="33413"/>
    <cellStyle name="Normal 4 49" xfId="5389"/>
    <cellStyle name="Normal 4 49 2" xfId="20001"/>
    <cellStyle name="Normal 4 49 2 2" xfId="47009"/>
    <cellStyle name="Normal 4 49 3" xfId="33505"/>
    <cellStyle name="Normal 4 5" xfId="725"/>
    <cellStyle name="Normal 4 5 2" xfId="15953"/>
    <cellStyle name="Normal 4 5 2 2" xfId="42961"/>
    <cellStyle name="Normal 4 5 3" xfId="29457"/>
    <cellStyle name="Normal 4 50" xfId="5495"/>
    <cellStyle name="Normal 4 50 2" xfId="20093"/>
    <cellStyle name="Normal 4 50 2 2" xfId="47101"/>
    <cellStyle name="Normal 4 50 3" xfId="33597"/>
    <cellStyle name="Normal 4 51" xfId="5601"/>
    <cellStyle name="Normal 4 51 2" xfId="20185"/>
    <cellStyle name="Normal 4 51 2 2" xfId="47193"/>
    <cellStyle name="Normal 4 51 3" xfId="33689"/>
    <cellStyle name="Normal 4 52" xfId="5707"/>
    <cellStyle name="Normal 4 52 2" xfId="20277"/>
    <cellStyle name="Normal 4 52 2 2" xfId="47285"/>
    <cellStyle name="Normal 4 52 3" xfId="33781"/>
    <cellStyle name="Normal 4 53" xfId="5813"/>
    <cellStyle name="Normal 4 53 2" xfId="20369"/>
    <cellStyle name="Normal 4 53 2 2" xfId="47377"/>
    <cellStyle name="Normal 4 53 3" xfId="33873"/>
    <cellStyle name="Normal 4 54" xfId="5919"/>
    <cellStyle name="Normal 4 54 2" xfId="20461"/>
    <cellStyle name="Normal 4 54 2 2" xfId="47469"/>
    <cellStyle name="Normal 4 54 3" xfId="33965"/>
    <cellStyle name="Normal 4 55" xfId="6025"/>
    <cellStyle name="Normal 4 55 2" xfId="20553"/>
    <cellStyle name="Normal 4 55 2 2" xfId="47561"/>
    <cellStyle name="Normal 4 55 3" xfId="34057"/>
    <cellStyle name="Normal 4 56" xfId="6131"/>
    <cellStyle name="Normal 4 56 2" xfId="20645"/>
    <cellStyle name="Normal 4 56 2 2" xfId="47653"/>
    <cellStyle name="Normal 4 56 3" xfId="34149"/>
    <cellStyle name="Normal 4 57" xfId="6237"/>
    <cellStyle name="Normal 4 57 2" xfId="20737"/>
    <cellStyle name="Normal 4 57 2 2" xfId="47745"/>
    <cellStyle name="Normal 4 57 3" xfId="34241"/>
    <cellStyle name="Normal 4 58" xfId="6343"/>
    <cellStyle name="Normal 4 58 2" xfId="20829"/>
    <cellStyle name="Normal 4 58 2 2" xfId="47837"/>
    <cellStyle name="Normal 4 58 3" xfId="34333"/>
    <cellStyle name="Normal 4 59" xfId="6449"/>
    <cellStyle name="Normal 4 59 2" xfId="20921"/>
    <cellStyle name="Normal 4 59 2 2" xfId="47929"/>
    <cellStyle name="Normal 4 59 3" xfId="34425"/>
    <cellStyle name="Normal 4 6" xfId="831"/>
    <cellStyle name="Normal 4 6 2" xfId="16045"/>
    <cellStyle name="Normal 4 6 2 2" xfId="43053"/>
    <cellStyle name="Normal 4 6 3" xfId="29549"/>
    <cellStyle name="Normal 4 60" xfId="6555"/>
    <cellStyle name="Normal 4 60 2" xfId="21013"/>
    <cellStyle name="Normal 4 60 2 2" xfId="48021"/>
    <cellStyle name="Normal 4 60 3" xfId="34517"/>
    <cellStyle name="Normal 4 61" xfId="6660"/>
    <cellStyle name="Normal 4 61 2" xfId="21104"/>
    <cellStyle name="Normal 4 61 2 2" xfId="48112"/>
    <cellStyle name="Normal 4 61 3" xfId="34608"/>
    <cellStyle name="Normal 4 62" xfId="6765"/>
    <cellStyle name="Normal 4 62 2" xfId="21195"/>
    <cellStyle name="Normal 4 62 2 2" xfId="48203"/>
    <cellStyle name="Normal 4 62 3" xfId="34699"/>
    <cellStyle name="Normal 4 63" xfId="6870"/>
    <cellStyle name="Normal 4 63 2" xfId="21286"/>
    <cellStyle name="Normal 4 63 2 2" xfId="48294"/>
    <cellStyle name="Normal 4 63 3" xfId="34790"/>
    <cellStyle name="Normal 4 64" xfId="6975"/>
    <cellStyle name="Normal 4 64 2" xfId="21377"/>
    <cellStyle name="Normal 4 64 2 2" xfId="48385"/>
    <cellStyle name="Normal 4 64 3" xfId="34881"/>
    <cellStyle name="Normal 4 65" xfId="7079"/>
    <cellStyle name="Normal 4 65 2" xfId="21467"/>
    <cellStyle name="Normal 4 65 2 2" xfId="48475"/>
    <cellStyle name="Normal 4 65 3" xfId="34971"/>
    <cellStyle name="Normal 4 66" xfId="7183"/>
    <cellStyle name="Normal 4 66 2" xfId="21557"/>
    <cellStyle name="Normal 4 66 2 2" xfId="48565"/>
    <cellStyle name="Normal 4 66 3" xfId="35061"/>
    <cellStyle name="Normal 4 67" xfId="7286"/>
    <cellStyle name="Normal 4 67 2" xfId="21646"/>
    <cellStyle name="Normal 4 67 2 2" xfId="48654"/>
    <cellStyle name="Normal 4 67 3" xfId="35150"/>
    <cellStyle name="Normal 4 68" xfId="7386"/>
    <cellStyle name="Normal 4 68 2" xfId="21733"/>
    <cellStyle name="Normal 4 68 2 2" xfId="48741"/>
    <cellStyle name="Normal 4 68 3" xfId="35237"/>
    <cellStyle name="Normal 4 69" xfId="7484"/>
    <cellStyle name="Normal 4 69 2" xfId="21818"/>
    <cellStyle name="Normal 4 69 2 2" xfId="48826"/>
    <cellStyle name="Normal 4 69 3" xfId="35322"/>
    <cellStyle name="Normal 4 7" xfId="937"/>
    <cellStyle name="Normal 4 7 2" xfId="16137"/>
    <cellStyle name="Normal 4 7 2 2" xfId="43145"/>
    <cellStyle name="Normal 4 7 3" xfId="29641"/>
    <cellStyle name="Normal 4 70" xfId="7573"/>
    <cellStyle name="Normal 4 70 2" xfId="21896"/>
    <cellStyle name="Normal 4 70 2 2" xfId="48904"/>
    <cellStyle name="Normal 4 70 3" xfId="35400"/>
    <cellStyle name="Normal 4 71" xfId="7649"/>
    <cellStyle name="Normal 4 71 2" xfId="21965"/>
    <cellStyle name="Normal 4 71 2 2" xfId="48973"/>
    <cellStyle name="Normal 4 71 3" xfId="35469"/>
    <cellStyle name="Normal 4 72" xfId="7828"/>
    <cellStyle name="Normal 4 72 2" xfId="22118"/>
    <cellStyle name="Normal 4 72 2 2" xfId="49126"/>
    <cellStyle name="Normal 4 72 3" xfId="35622"/>
    <cellStyle name="Normal 4 73" xfId="7970"/>
    <cellStyle name="Normal 4 73 2" xfId="22246"/>
    <cellStyle name="Normal 4 73 2 2" xfId="49254"/>
    <cellStyle name="Normal 4 73 3" xfId="35750"/>
    <cellStyle name="Normal 4 74" xfId="8112"/>
    <cellStyle name="Normal 4 74 2" xfId="22374"/>
    <cellStyle name="Normal 4 74 2 2" xfId="49382"/>
    <cellStyle name="Normal 4 74 3" xfId="35878"/>
    <cellStyle name="Normal 4 75" xfId="8254"/>
    <cellStyle name="Normal 4 75 2" xfId="22502"/>
    <cellStyle name="Normal 4 75 2 2" xfId="49510"/>
    <cellStyle name="Normal 4 75 3" xfId="36006"/>
    <cellStyle name="Normal 4 76" xfId="8396"/>
    <cellStyle name="Normal 4 76 2" xfId="22630"/>
    <cellStyle name="Normal 4 76 2 2" xfId="49638"/>
    <cellStyle name="Normal 4 76 3" xfId="36134"/>
    <cellStyle name="Normal 4 77" xfId="8538"/>
    <cellStyle name="Normal 4 77 2" xfId="22758"/>
    <cellStyle name="Normal 4 77 2 2" xfId="49766"/>
    <cellStyle name="Normal 4 77 3" xfId="36262"/>
    <cellStyle name="Normal 4 78" xfId="8680"/>
    <cellStyle name="Normal 4 78 2" xfId="22886"/>
    <cellStyle name="Normal 4 78 2 2" xfId="49894"/>
    <cellStyle name="Normal 4 78 3" xfId="36390"/>
    <cellStyle name="Normal 4 79" xfId="8822"/>
    <cellStyle name="Normal 4 79 2" xfId="23014"/>
    <cellStyle name="Normal 4 79 2 2" xfId="50022"/>
    <cellStyle name="Normal 4 79 3" xfId="36518"/>
    <cellStyle name="Normal 4 8" xfId="1043"/>
    <cellStyle name="Normal 4 8 2" xfId="16229"/>
    <cellStyle name="Normal 4 8 2 2" xfId="43237"/>
    <cellStyle name="Normal 4 8 3" xfId="29733"/>
    <cellStyle name="Normal 4 80" xfId="8964"/>
    <cellStyle name="Normal 4 80 2" xfId="23142"/>
    <cellStyle name="Normal 4 80 2 2" xfId="50150"/>
    <cellStyle name="Normal 4 80 3" xfId="36646"/>
    <cellStyle name="Normal 4 81" xfId="9106"/>
    <cellStyle name="Normal 4 81 2" xfId="23270"/>
    <cellStyle name="Normal 4 81 2 2" xfId="50278"/>
    <cellStyle name="Normal 4 81 3" xfId="36774"/>
    <cellStyle name="Normal 4 82" xfId="9248"/>
    <cellStyle name="Normal 4 82 2" xfId="23398"/>
    <cellStyle name="Normal 4 82 2 2" xfId="50406"/>
    <cellStyle name="Normal 4 82 3" xfId="36902"/>
    <cellStyle name="Normal 4 83" xfId="9390"/>
    <cellStyle name="Normal 4 83 2" xfId="23526"/>
    <cellStyle name="Normal 4 83 2 2" xfId="50534"/>
    <cellStyle name="Normal 4 83 3" xfId="37030"/>
    <cellStyle name="Normal 4 84" xfId="9532"/>
    <cellStyle name="Normal 4 84 2" xfId="23654"/>
    <cellStyle name="Normal 4 84 2 2" xfId="50662"/>
    <cellStyle name="Normal 4 84 3" xfId="37158"/>
    <cellStyle name="Normal 4 85" xfId="9674"/>
    <cellStyle name="Normal 4 85 2" xfId="23782"/>
    <cellStyle name="Normal 4 85 2 2" xfId="50790"/>
    <cellStyle name="Normal 4 85 3" xfId="37286"/>
    <cellStyle name="Normal 4 86" xfId="9816"/>
    <cellStyle name="Normal 4 86 2" xfId="23910"/>
    <cellStyle name="Normal 4 86 2 2" xfId="50918"/>
    <cellStyle name="Normal 4 86 3" xfId="37414"/>
    <cellStyle name="Normal 4 87" xfId="9958"/>
    <cellStyle name="Normal 4 87 2" xfId="24038"/>
    <cellStyle name="Normal 4 87 2 2" xfId="51046"/>
    <cellStyle name="Normal 4 87 3" xfId="37542"/>
    <cellStyle name="Normal 4 88" xfId="10100"/>
    <cellStyle name="Normal 4 88 2" xfId="24166"/>
    <cellStyle name="Normal 4 88 2 2" xfId="51174"/>
    <cellStyle name="Normal 4 88 3" xfId="37670"/>
    <cellStyle name="Normal 4 89" xfId="10242"/>
    <cellStyle name="Normal 4 89 2" xfId="24294"/>
    <cellStyle name="Normal 4 89 2 2" xfId="51302"/>
    <cellStyle name="Normal 4 89 3" xfId="37798"/>
    <cellStyle name="Normal 4 9" xfId="1149"/>
    <cellStyle name="Normal 4 9 2" xfId="16321"/>
    <cellStyle name="Normal 4 9 2 2" xfId="43329"/>
    <cellStyle name="Normal 4 9 3" xfId="29825"/>
    <cellStyle name="Normal 4 90" xfId="10384"/>
    <cellStyle name="Normal 4 90 2" xfId="24422"/>
    <cellStyle name="Normal 4 90 2 2" xfId="51430"/>
    <cellStyle name="Normal 4 90 3" xfId="37926"/>
    <cellStyle name="Normal 4 91" xfId="10526"/>
    <cellStyle name="Normal 4 91 2" xfId="24550"/>
    <cellStyle name="Normal 4 91 2 2" xfId="51558"/>
    <cellStyle name="Normal 4 91 3" xfId="38054"/>
    <cellStyle name="Normal 4 92" xfId="10668"/>
    <cellStyle name="Normal 4 92 2" xfId="24678"/>
    <cellStyle name="Normal 4 92 2 2" xfId="51686"/>
    <cellStyle name="Normal 4 92 3" xfId="38182"/>
    <cellStyle name="Normal 4 93" xfId="10810"/>
    <cellStyle name="Normal 4 93 2" xfId="24806"/>
    <cellStyle name="Normal 4 93 2 2" xfId="51814"/>
    <cellStyle name="Normal 4 93 3" xfId="38310"/>
    <cellStyle name="Normal 4 94" xfId="10952"/>
    <cellStyle name="Normal 4 94 2" xfId="24934"/>
    <cellStyle name="Normal 4 94 2 2" xfId="51942"/>
    <cellStyle name="Normal 4 94 3" xfId="38438"/>
    <cellStyle name="Normal 4 95" xfId="11094"/>
    <cellStyle name="Normal 4 95 2" xfId="25062"/>
    <cellStyle name="Normal 4 95 2 2" xfId="52070"/>
    <cellStyle name="Normal 4 95 3" xfId="38566"/>
    <cellStyle name="Normal 4 96" xfId="11236"/>
    <cellStyle name="Normal 4 96 2" xfId="25190"/>
    <cellStyle name="Normal 4 96 2 2" xfId="52198"/>
    <cellStyle name="Normal 4 96 3" xfId="38694"/>
    <cellStyle name="Normal 4 97" xfId="11378"/>
    <cellStyle name="Normal 4 97 2" xfId="25318"/>
    <cellStyle name="Normal 4 97 2 2" xfId="52326"/>
    <cellStyle name="Normal 4 97 3" xfId="38822"/>
    <cellStyle name="Normal 4 98" xfId="11520"/>
    <cellStyle name="Normal 4 98 2" xfId="25446"/>
    <cellStyle name="Normal 4 98 2 2" xfId="52454"/>
    <cellStyle name="Normal 4 98 3" xfId="38950"/>
    <cellStyle name="Normal 4 99" xfId="11662"/>
    <cellStyle name="Normal 4 99 2" xfId="25574"/>
    <cellStyle name="Normal 4 99 2 2" xfId="52582"/>
    <cellStyle name="Normal 4 99 3" xfId="39078"/>
    <cellStyle name="Normal 40" xfId="185"/>
    <cellStyle name="Normal 40 10" xfId="1290"/>
    <cellStyle name="Normal 40 10 2" xfId="16448"/>
    <cellStyle name="Normal 40 10 2 2" xfId="43456"/>
    <cellStyle name="Normal 40 10 3" xfId="29952"/>
    <cellStyle name="Normal 40 100" xfId="11839"/>
    <cellStyle name="Normal 40 100 2" xfId="25737"/>
    <cellStyle name="Normal 40 100 2 2" xfId="52745"/>
    <cellStyle name="Normal 40 100 3" xfId="39241"/>
    <cellStyle name="Normal 40 101" xfId="11981"/>
    <cellStyle name="Normal 40 101 2" xfId="25865"/>
    <cellStyle name="Normal 40 101 2 2" xfId="52873"/>
    <cellStyle name="Normal 40 101 3" xfId="39369"/>
    <cellStyle name="Normal 40 102" xfId="12123"/>
    <cellStyle name="Normal 40 102 2" xfId="25993"/>
    <cellStyle name="Normal 40 102 2 2" xfId="53001"/>
    <cellStyle name="Normal 40 102 3" xfId="39497"/>
    <cellStyle name="Normal 40 103" xfId="12265"/>
    <cellStyle name="Normal 40 103 2" xfId="26121"/>
    <cellStyle name="Normal 40 103 2 2" xfId="53129"/>
    <cellStyle name="Normal 40 103 3" xfId="39625"/>
    <cellStyle name="Normal 40 104" xfId="12407"/>
    <cellStyle name="Normal 40 104 2" xfId="26249"/>
    <cellStyle name="Normal 40 104 2 2" xfId="53257"/>
    <cellStyle name="Normal 40 104 3" xfId="39753"/>
    <cellStyle name="Normal 40 105" xfId="12549"/>
    <cellStyle name="Normal 40 105 2" xfId="26377"/>
    <cellStyle name="Normal 40 105 2 2" xfId="53385"/>
    <cellStyle name="Normal 40 105 3" xfId="39881"/>
    <cellStyle name="Normal 40 106" xfId="12691"/>
    <cellStyle name="Normal 40 106 2" xfId="26505"/>
    <cellStyle name="Normal 40 106 2 2" xfId="53513"/>
    <cellStyle name="Normal 40 106 3" xfId="40009"/>
    <cellStyle name="Normal 40 107" xfId="12833"/>
    <cellStyle name="Normal 40 107 2" xfId="26633"/>
    <cellStyle name="Normal 40 107 2 2" xfId="53641"/>
    <cellStyle name="Normal 40 107 3" xfId="40137"/>
    <cellStyle name="Normal 40 108" xfId="12975"/>
    <cellStyle name="Normal 40 108 2" xfId="26761"/>
    <cellStyle name="Normal 40 108 2 2" xfId="53769"/>
    <cellStyle name="Normal 40 108 3" xfId="40265"/>
    <cellStyle name="Normal 40 109" xfId="13117"/>
    <cellStyle name="Normal 40 109 2" xfId="26889"/>
    <cellStyle name="Normal 40 109 2 2" xfId="53897"/>
    <cellStyle name="Normal 40 109 3" xfId="40393"/>
    <cellStyle name="Normal 40 11" xfId="1396"/>
    <cellStyle name="Normal 40 11 2" xfId="16540"/>
    <cellStyle name="Normal 40 11 2 2" xfId="43548"/>
    <cellStyle name="Normal 40 11 3" xfId="30044"/>
    <cellStyle name="Normal 40 110" xfId="13259"/>
    <cellStyle name="Normal 40 110 2" xfId="27017"/>
    <cellStyle name="Normal 40 110 2 2" xfId="54025"/>
    <cellStyle name="Normal 40 110 3" xfId="40521"/>
    <cellStyle name="Normal 40 111" xfId="13401"/>
    <cellStyle name="Normal 40 111 2" xfId="27145"/>
    <cellStyle name="Normal 40 111 2 2" xfId="54153"/>
    <cellStyle name="Normal 40 111 3" xfId="40649"/>
    <cellStyle name="Normal 40 112" xfId="13543"/>
    <cellStyle name="Normal 40 112 2" xfId="27273"/>
    <cellStyle name="Normal 40 112 2 2" xfId="54281"/>
    <cellStyle name="Normal 40 112 3" xfId="40777"/>
    <cellStyle name="Normal 40 113" xfId="13685"/>
    <cellStyle name="Normal 40 113 2" xfId="27401"/>
    <cellStyle name="Normal 40 113 2 2" xfId="54409"/>
    <cellStyle name="Normal 40 113 3" xfId="40905"/>
    <cellStyle name="Normal 40 114" xfId="13827"/>
    <cellStyle name="Normal 40 114 2" xfId="27529"/>
    <cellStyle name="Normal 40 114 2 2" xfId="54537"/>
    <cellStyle name="Normal 40 114 3" xfId="41033"/>
    <cellStyle name="Normal 40 115" xfId="13968"/>
    <cellStyle name="Normal 40 115 2" xfId="27656"/>
    <cellStyle name="Normal 40 115 2 2" xfId="54664"/>
    <cellStyle name="Normal 40 115 3" xfId="41160"/>
    <cellStyle name="Normal 40 116" xfId="14109"/>
    <cellStyle name="Normal 40 116 2" xfId="27783"/>
    <cellStyle name="Normal 40 116 2 2" xfId="54791"/>
    <cellStyle name="Normal 40 116 3" xfId="41287"/>
    <cellStyle name="Normal 40 117" xfId="14250"/>
    <cellStyle name="Normal 40 117 2" xfId="27910"/>
    <cellStyle name="Normal 40 117 2 2" xfId="54918"/>
    <cellStyle name="Normal 40 117 3" xfId="41414"/>
    <cellStyle name="Normal 40 118" xfId="14391"/>
    <cellStyle name="Normal 40 118 2" xfId="28037"/>
    <cellStyle name="Normal 40 118 2 2" xfId="55045"/>
    <cellStyle name="Normal 40 118 3" xfId="41541"/>
    <cellStyle name="Normal 40 119" xfId="14531"/>
    <cellStyle name="Normal 40 119 2" xfId="28163"/>
    <cellStyle name="Normal 40 119 2 2" xfId="55171"/>
    <cellStyle name="Normal 40 119 3" xfId="41667"/>
    <cellStyle name="Normal 40 12" xfId="1502"/>
    <cellStyle name="Normal 40 12 2" xfId="16632"/>
    <cellStyle name="Normal 40 12 2 2" xfId="43640"/>
    <cellStyle name="Normal 40 12 3" xfId="30136"/>
    <cellStyle name="Normal 40 120" xfId="14671"/>
    <cellStyle name="Normal 40 120 2" xfId="28289"/>
    <cellStyle name="Normal 40 120 2 2" xfId="55297"/>
    <cellStyle name="Normal 40 120 3" xfId="41793"/>
    <cellStyle name="Normal 40 121" xfId="14810"/>
    <cellStyle name="Normal 40 121 2" xfId="28414"/>
    <cellStyle name="Normal 40 121 2 2" xfId="55422"/>
    <cellStyle name="Normal 40 121 3" xfId="41918"/>
    <cellStyle name="Normal 40 122" xfId="14945"/>
    <cellStyle name="Normal 40 122 2" xfId="28536"/>
    <cellStyle name="Normal 40 122 2 2" xfId="55544"/>
    <cellStyle name="Normal 40 122 3" xfId="42040"/>
    <cellStyle name="Normal 40 123" xfId="15079"/>
    <cellStyle name="Normal 40 123 2" xfId="28657"/>
    <cellStyle name="Normal 40 123 2 2" xfId="55665"/>
    <cellStyle name="Normal 40 123 3" xfId="42161"/>
    <cellStyle name="Normal 40 124" xfId="15206"/>
    <cellStyle name="Normal 40 124 2" xfId="28773"/>
    <cellStyle name="Normal 40 124 2 2" xfId="55781"/>
    <cellStyle name="Normal 40 124 3" xfId="42277"/>
    <cellStyle name="Normal 40 125" xfId="15326"/>
    <cellStyle name="Normal 40 125 2" xfId="28886"/>
    <cellStyle name="Normal 40 125 2 2" xfId="55894"/>
    <cellStyle name="Normal 40 125 3" xfId="42390"/>
    <cellStyle name="Normal 40 126" xfId="15541"/>
    <cellStyle name="Normal 40 126 2" xfId="42549"/>
    <cellStyle name="Normal 40 127" xfId="29045"/>
    <cellStyle name="Normal 40 13" xfId="1608"/>
    <cellStyle name="Normal 40 13 2" xfId="16724"/>
    <cellStyle name="Normal 40 13 2 2" xfId="43732"/>
    <cellStyle name="Normal 40 13 3" xfId="30228"/>
    <cellStyle name="Normal 40 14" xfId="1714"/>
    <cellStyle name="Normal 40 14 2" xfId="16816"/>
    <cellStyle name="Normal 40 14 2 2" xfId="43824"/>
    <cellStyle name="Normal 40 14 3" xfId="30320"/>
    <cellStyle name="Normal 40 15" xfId="1820"/>
    <cellStyle name="Normal 40 15 2" xfId="16908"/>
    <cellStyle name="Normal 40 15 2 2" xfId="43916"/>
    <cellStyle name="Normal 40 15 3" xfId="30412"/>
    <cellStyle name="Normal 40 16" xfId="1926"/>
    <cellStyle name="Normal 40 16 2" xfId="17000"/>
    <cellStyle name="Normal 40 16 2 2" xfId="44008"/>
    <cellStyle name="Normal 40 16 3" xfId="30504"/>
    <cellStyle name="Normal 40 17" xfId="2032"/>
    <cellStyle name="Normal 40 17 2" xfId="17092"/>
    <cellStyle name="Normal 40 17 2 2" xfId="44100"/>
    <cellStyle name="Normal 40 17 3" xfId="30596"/>
    <cellStyle name="Normal 40 18" xfId="2138"/>
    <cellStyle name="Normal 40 18 2" xfId="17184"/>
    <cellStyle name="Normal 40 18 2 2" xfId="44192"/>
    <cellStyle name="Normal 40 18 3" xfId="30688"/>
    <cellStyle name="Normal 40 19" xfId="2244"/>
    <cellStyle name="Normal 40 19 2" xfId="17276"/>
    <cellStyle name="Normal 40 19 2 2" xfId="44284"/>
    <cellStyle name="Normal 40 19 3" xfId="30780"/>
    <cellStyle name="Normal 40 2" xfId="362"/>
    <cellStyle name="Normal 40 2 2" xfId="15664"/>
    <cellStyle name="Normal 40 2 2 2" xfId="42672"/>
    <cellStyle name="Normal 40 2 3" xfId="29168"/>
    <cellStyle name="Normal 40 20" xfId="2350"/>
    <cellStyle name="Normal 40 20 2" xfId="17368"/>
    <cellStyle name="Normal 40 20 2 2" xfId="44376"/>
    <cellStyle name="Normal 40 20 3" xfId="30872"/>
    <cellStyle name="Normal 40 21" xfId="2456"/>
    <cellStyle name="Normal 40 21 2" xfId="17460"/>
    <cellStyle name="Normal 40 21 2 2" xfId="44468"/>
    <cellStyle name="Normal 40 21 3" xfId="30964"/>
    <cellStyle name="Normal 40 22" xfId="2562"/>
    <cellStyle name="Normal 40 22 2" xfId="17552"/>
    <cellStyle name="Normal 40 22 2 2" xfId="44560"/>
    <cellStyle name="Normal 40 22 3" xfId="31056"/>
    <cellStyle name="Normal 40 23" xfId="2668"/>
    <cellStyle name="Normal 40 23 2" xfId="17644"/>
    <cellStyle name="Normal 40 23 2 2" xfId="44652"/>
    <cellStyle name="Normal 40 23 3" xfId="31148"/>
    <cellStyle name="Normal 40 24" xfId="2774"/>
    <cellStyle name="Normal 40 24 2" xfId="17736"/>
    <cellStyle name="Normal 40 24 2 2" xfId="44744"/>
    <cellStyle name="Normal 40 24 3" xfId="31240"/>
    <cellStyle name="Normal 40 25" xfId="2880"/>
    <cellStyle name="Normal 40 25 2" xfId="17828"/>
    <cellStyle name="Normal 40 25 2 2" xfId="44836"/>
    <cellStyle name="Normal 40 25 3" xfId="31332"/>
    <cellStyle name="Normal 40 26" xfId="2986"/>
    <cellStyle name="Normal 40 26 2" xfId="17920"/>
    <cellStyle name="Normal 40 26 2 2" xfId="44928"/>
    <cellStyle name="Normal 40 26 3" xfId="31424"/>
    <cellStyle name="Normal 40 27" xfId="3092"/>
    <cellStyle name="Normal 40 27 2" xfId="18012"/>
    <cellStyle name="Normal 40 27 2 2" xfId="45020"/>
    <cellStyle name="Normal 40 27 3" xfId="31516"/>
    <cellStyle name="Normal 40 28" xfId="3198"/>
    <cellStyle name="Normal 40 28 2" xfId="18104"/>
    <cellStyle name="Normal 40 28 2 2" xfId="45112"/>
    <cellStyle name="Normal 40 28 3" xfId="31608"/>
    <cellStyle name="Normal 40 29" xfId="3304"/>
    <cellStyle name="Normal 40 29 2" xfId="18196"/>
    <cellStyle name="Normal 40 29 2 2" xfId="45204"/>
    <cellStyle name="Normal 40 29 3" xfId="31700"/>
    <cellStyle name="Normal 40 3" xfId="549"/>
    <cellStyle name="Normal 40 3 2" xfId="15805"/>
    <cellStyle name="Normal 40 3 2 2" xfId="42813"/>
    <cellStyle name="Normal 40 3 3" xfId="29309"/>
    <cellStyle name="Normal 40 30" xfId="3410"/>
    <cellStyle name="Normal 40 30 2" xfId="18288"/>
    <cellStyle name="Normal 40 30 2 2" xfId="45296"/>
    <cellStyle name="Normal 40 30 3" xfId="31792"/>
    <cellStyle name="Normal 40 31" xfId="3516"/>
    <cellStyle name="Normal 40 31 2" xfId="18380"/>
    <cellStyle name="Normal 40 31 2 2" xfId="45388"/>
    <cellStyle name="Normal 40 31 3" xfId="31884"/>
    <cellStyle name="Normal 40 32" xfId="3622"/>
    <cellStyle name="Normal 40 32 2" xfId="18472"/>
    <cellStyle name="Normal 40 32 2 2" xfId="45480"/>
    <cellStyle name="Normal 40 32 3" xfId="31976"/>
    <cellStyle name="Normal 40 33" xfId="3728"/>
    <cellStyle name="Normal 40 33 2" xfId="18564"/>
    <cellStyle name="Normal 40 33 2 2" xfId="45572"/>
    <cellStyle name="Normal 40 33 3" xfId="32068"/>
    <cellStyle name="Normal 40 34" xfId="3834"/>
    <cellStyle name="Normal 40 34 2" xfId="18656"/>
    <cellStyle name="Normal 40 34 2 2" xfId="45664"/>
    <cellStyle name="Normal 40 34 3" xfId="32160"/>
    <cellStyle name="Normal 40 35" xfId="3940"/>
    <cellStyle name="Normal 40 35 2" xfId="18748"/>
    <cellStyle name="Normal 40 35 2 2" xfId="45756"/>
    <cellStyle name="Normal 40 35 3" xfId="32252"/>
    <cellStyle name="Normal 40 36" xfId="4046"/>
    <cellStyle name="Normal 40 36 2" xfId="18840"/>
    <cellStyle name="Normal 40 36 2 2" xfId="45848"/>
    <cellStyle name="Normal 40 36 3" xfId="32344"/>
    <cellStyle name="Normal 40 37" xfId="4152"/>
    <cellStyle name="Normal 40 37 2" xfId="18932"/>
    <cellStyle name="Normal 40 37 2 2" xfId="45940"/>
    <cellStyle name="Normal 40 37 3" xfId="32436"/>
    <cellStyle name="Normal 40 38" xfId="4258"/>
    <cellStyle name="Normal 40 38 2" xfId="19024"/>
    <cellStyle name="Normal 40 38 2 2" xfId="46032"/>
    <cellStyle name="Normal 40 38 3" xfId="32528"/>
    <cellStyle name="Normal 40 39" xfId="4364"/>
    <cellStyle name="Normal 40 39 2" xfId="19116"/>
    <cellStyle name="Normal 40 39 2 2" xfId="46124"/>
    <cellStyle name="Normal 40 39 3" xfId="32620"/>
    <cellStyle name="Normal 40 4" xfId="654"/>
    <cellStyle name="Normal 40 4 2" xfId="15896"/>
    <cellStyle name="Normal 40 4 2 2" xfId="42904"/>
    <cellStyle name="Normal 40 4 3" xfId="29400"/>
    <cellStyle name="Normal 40 40" xfId="4470"/>
    <cellStyle name="Normal 40 40 2" xfId="19208"/>
    <cellStyle name="Normal 40 40 2 2" xfId="46216"/>
    <cellStyle name="Normal 40 40 3" xfId="32712"/>
    <cellStyle name="Normal 40 41" xfId="4576"/>
    <cellStyle name="Normal 40 41 2" xfId="19300"/>
    <cellStyle name="Normal 40 41 2 2" xfId="46308"/>
    <cellStyle name="Normal 40 41 3" xfId="32804"/>
    <cellStyle name="Normal 40 42" xfId="4682"/>
    <cellStyle name="Normal 40 42 2" xfId="19392"/>
    <cellStyle name="Normal 40 42 2 2" xfId="46400"/>
    <cellStyle name="Normal 40 42 3" xfId="32896"/>
    <cellStyle name="Normal 40 43" xfId="4788"/>
    <cellStyle name="Normal 40 43 2" xfId="19484"/>
    <cellStyle name="Normal 40 43 2 2" xfId="46492"/>
    <cellStyle name="Normal 40 43 3" xfId="32988"/>
    <cellStyle name="Normal 40 44" xfId="4894"/>
    <cellStyle name="Normal 40 44 2" xfId="19576"/>
    <cellStyle name="Normal 40 44 2 2" xfId="46584"/>
    <cellStyle name="Normal 40 44 3" xfId="33080"/>
    <cellStyle name="Normal 40 45" xfId="5000"/>
    <cellStyle name="Normal 40 45 2" xfId="19668"/>
    <cellStyle name="Normal 40 45 2 2" xfId="46676"/>
    <cellStyle name="Normal 40 45 3" xfId="33172"/>
    <cellStyle name="Normal 40 46" xfId="5106"/>
    <cellStyle name="Normal 40 46 2" xfId="19760"/>
    <cellStyle name="Normal 40 46 2 2" xfId="46768"/>
    <cellStyle name="Normal 40 46 3" xfId="33264"/>
    <cellStyle name="Normal 40 47" xfId="5212"/>
    <cellStyle name="Normal 40 47 2" xfId="19852"/>
    <cellStyle name="Normal 40 47 2 2" xfId="46860"/>
    <cellStyle name="Normal 40 47 3" xfId="33356"/>
    <cellStyle name="Normal 40 48" xfId="5318"/>
    <cellStyle name="Normal 40 48 2" xfId="19944"/>
    <cellStyle name="Normal 40 48 2 2" xfId="46952"/>
    <cellStyle name="Normal 40 48 3" xfId="33448"/>
    <cellStyle name="Normal 40 49" xfId="5424"/>
    <cellStyle name="Normal 40 49 2" xfId="20036"/>
    <cellStyle name="Normal 40 49 2 2" xfId="47044"/>
    <cellStyle name="Normal 40 49 3" xfId="33540"/>
    <cellStyle name="Normal 40 5" xfId="760"/>
    <cellStyle name="Normal 40 5 2" xfId="15988"/>
    <cellStyle name="Normal 40 5 2 2" xfId="42996"/>
    <cellStyle name="Normal 40 5 3" xfId="29492"/>
    <cellStyle name="Normal 40 50" xfId="5530"/>
    <cellStyle name="Normal 40 50 2" xfId="20128"/>
    <cellStyle name="Normal 40 50 2 2" xfId="47136"/>
    <cellStyle name="Normal 40 50 3" xfId="33632"/>
    <cellStyle name="Normal 40 51" xfId="5636"/>
    <cellStyle name="Normal 40 51 2" xfId="20220"/>
    <cellStyle name="Normal 40 51 2 2" xfId="47228"/>
    <cellStyle name="Normal 40 51 3" xfId="33724"/>
    <cellStyle name="Normal 40 52" xfId="5742"/>
    <cellStyle name="Normal 40 52 2" xfId="20312"/>
    <cellStyle name="Normal 40 52 2 2" xfId="47320"/>
    <cellStyle name="Normal 40 52 3" xfId="33816"/>
    <cellStyle name="Normal 40 53" xfId="5848"/>
    <cellStyle name="Normal 40 53 2" xfId="20404"/>
    <cellStyle name="Normal 40 53 2 2" xfId="47412"/>
    <cellStyle name="Normal 40 53 3" xfId="33908"/>
    <cellStyle name="Normal 40 54" xfId="5954"/>
    <cellStyle name="Normal 40 54 2" xfId="20496"/>
    <cellStyle name="Normal 40 54 2 2" xfId="47504"/>
    <cellStyle name="Normal 40 54 3" xfId="34000"/>
    <cellStyle name="Normal 40 55" xfId="6060"/>
    <cellStyle name="Normal 40 55 2" xfId="20588"/>
    <cellStyle name="Normal 40 55 2 2" xfId="47596"/>
    <cellStyle name="Normal 40 55 3" xfId="34092"/>
    <cellStyle name="Normal 40 56" xfId="6166"/>
    <cellStyle name="Normal 40 56 2" xfId="20680"/>
    <cellStyle name="Normal 40 56 2 2" xfId="47688"/>
    <cellStyle name="Normal 40 56 3" xfId="34184"/>
    <cellStyle name="Normal 40 57" xfId="6272"/>
    <cellStyle name="Normal 40 57 2" xfId="20772"/>
    <cellStyle name="Normal 40 57 2 2" xfId="47780"/>
    <cellStyle name="Normal 40 57 3" xfId="34276"/>
    <cellStyle name="Normal 40 58" xfId="6378"/>
    <cellStyle name="Normal 40 58 2" xfId="20864"/>
    <cellStyle name="Normal 40 58 2 2" xfId="47872"/>
    <cellStyle name="Normal 40 58 3" xfId="34368"/>
    <cellStyle name="Normal 40 59" xfId="6484"/>
    <cellStyle name="Normal 40 59 2" xfId="20956"/>
    <cellStyle name="Normal 40 59 2 2" xfId="47964"/>
    <cellStyle name="Normal 40 59 3" xfId="34460"/>
    <cellStyle name="Normal 40 6" xfId="866"/>
    <cellStyle name="Normal 40 6 2" xfId="16080"/>
    <cellStyle name="Normal 40 6 2 2" xfId="43088"/>
    <cellStyle name="Normal 40 6 3" xfId="29584"/>
    <cellStyle name="Normal 40 60" xfId="6590"/>
    <cellStyle name="Normal 40 60 2" xfId="21048"/>
    <cellStyle name="Normal 40 60 2 2" xfId="48056"/>
    <cellStyle name="Normal 40 60 3" xfId="34552"/>
    <cellStyle name="Normal 40 61" xfId="6695"/>
    <cellStyle name="Normal 40 61 2" xfId="21139"/>
    <cellStyle name="Normal 40 61 2 2" xfId="48147"/>
    <cellStyle name="Normal 40 61 3" xfId="34643"/>
    <cellStyle name="Normal 40 62" xfId="6800"/>
    <cellStyle name="Normal 40 62 2" xfId="21230"/>
    <cellStyle name="Normal 40 62 2 2" xfId="48238"/>
    <cellStyle name="Normal 40 62 3" xfId="34734"/>
    <cellStyle name="Normal 40 63" xfId="6905"/>
    <cellStyle name="Normal 40 63 2" xfId="21321"/>
    <cellStyle name="Normal 40 63 2 2" xfId="48329"/>
    <cellStyle name="Normal 40 63 3" xfId="34825"/>
    <cellStyle name="Normal 40 64" xfId="7010"/>
    <cellStyle name="Normal 40 64 2" xfId="21412"/>
    <cellStyle name="Normal 40 64 2 2" xfId="48420"/>
    <cellStyle name="Normal 40 64 3" xfId="34916"/>
    <cellStyle name="Normal 40 65" xfId="7114"/>
    <cellStyle name="Normal 40 65 2" xfId="21502"/>
    <cellStyle name="Normal 40 65 2 2" xfId="48510"/>
    <cellStyle name="Normal 40 65 3" xfId="35006"/>
    <cellStyle name="Normal 40 66" xfId="7218"/>
    <cellStyle name="Normal 40 66 2" xfId="21592"/>
    <cellStyle name="Normal 40 66 2 2" xfId="48600"/>
    <cellStyle name="Normal 40 66 3" xfId="35096"/>
    <cellStyle name="Normal 40 67" xfId="7321"/>
    <cellStyle name="Normal 40 67 2" xfId="21681"/>
    <cellStyle name="Normal 40 67 2 2" xfId="48689"/>
    <cellStyle name="Normal 40 67 3" xfId="35185"/>
    <cellStyle name="Normal 40 68" xfId="7421"/>
    <cellStyle name="Normal 40 68 2" xfId="21768"/>
    <cellStyle name="Normal 40 68 2 2" xfId="48776"/>
    <cellStyle name="Normal 40 68 3" xfId="35272"/>
    <cellStyle name="Normal 40 69" xfId="7519"/>
    <cellStyle name="Normal 40 69 2" xfId="21853"/>
    <cellStyle name="Normal 40 69 2 2" xfId="48861"/>
    <cellStyle name="Normal 40 69 3" xfId="35357"/>
    <cellStyle name="Normal 40 7" xfId="972"/>
    <cellStyle name="Normal 40 7 2" xfId="16172"/>
    <cellStyle name="Normal 40 7 2 2" xfId="43180"/>
    <cellStyle name="Normal 40 7 3" xfId="29676"/>
    <cellStyle name="Normal 40 70" xfId="7608"/>
    <cellStyle name="Normal 40 70 2" xfId="21931"/>
    <cellStyle name="Normal 40 70 2 2" xfId="48939"/>
    <cellStyle name="Normal 40 70 3" xfId="35435"/>
    <cellStyle name="Normal 40 71" xfId="7684"/>
    <cellStyle name="Normal 40 71 2" xfId="22000"/>
    <cellStyle name="Normal 40 71 2 2" xfId="49008"/>
    <cellStyle name="Normal 40 71 3" xfId="35504"/>
    <cellStyle name="Normal 40 72" xfId="7863"/>
    <cellStyle name="Normal 40 72 2" xfId="22153"/>
    <cellStyle name="Normal 40 72 2 2" xfId="49161"/>
    <cellStyle name="Normal 40 72 3" xfId="35657"/>
    <cellStyle name="Normal 40 73" xfId="8005"/>
    <cellStyle name="Normal 40 73 2" xfId="22281"/>
    <cellStyle name="Normal 40 73 2 2" xfId="49289"/>
    <cellStyle name="Normal 40 73 3" xfId="35785"/>
    <cellStyle name="Normal 40 74" xfId="8147"/>
    <cellStyle name="Normal 40 74 2" xfId="22409"/>
    <cellStyle name="Normal 40 74 2 2" xfId="49417"/>
    <cellStyle name="Normal 40 74 3" xfId="35913"/>
    <cellStyle name="Normal 40 75" xfId="8289"/>
    <cellStyle name="Normal 40 75 2" xfId="22537"/>
    <cellStyle name="Normal 40 75 2 2" xfId="49545"/>
    <cellStyle name="Normal 40 75 3" xfId="36041"/>
    <cellStyle name="Normal 40 76" xfId="8431"/>
    <cellStyle name="Normal 40 76 2" xfId="22665"/>
    <cellStyle name="Normal 40 76 2 2" xfId="49673"/>
    <cellStyle name="Normal 40 76 3" xfId="36169"/>
    <cellStyle name="Normal 40 77" xfId="8573"/>
    <cellStyle name="Normal 40 77 2" xfId="22793"/>
    <cellStyle name="Normal 40 77 2 2" xfId="49801"/>
    <cellStyle name="Normal 40 77 3" xfId="36297"/>
    <cellStyle name="Normal 40 78" xfId="8715"/>
    <cellStyle name="Normal 40 78 2" xfId="22921"/>
    <cellStyle name="Normal 40 78 2 2" xfId="49929"/>
    <cellStyle name="Normal 40 78 3" xfId="36425"/>
    <cellStyle name="Normal 40 79" xfId="8857"/>
    <cellStyle name="Normal 40 79 2" xfId="23049"/>
    <cellStyle name="Normal 40 79 2 2" xfId="50057"/>
    <cellStyle name="Normal 40 79 3" xfId="36553"/>
    <cellStyle name="Normal 40 8" xfId="1078"/>
    <cellStyle name="Normal 40 8 2" xfId="16264"/>
    <cellStyle name="Normal 40 8 2 2" xfId="43272"/>
    <cellStyle name="Normal 40 8 3" xfId="29768"/>
    <cellStyle name="Normal 40 80" xfId="8999"/>
    <cellStyle name="Normal 40 80 2" xfId="23177"/>
    <cellStyle name="Normal 40 80 2 2" xfId="50185"/>
    <cellStyle name="Normal 40 80 3" xfId="36681"/>
    <cellStyle name="Normal 40 81" xfId="9141"/>
    <cellStyle name="Normal 40 81 2" xfId="23305"/>
    <cellStyle name="Normal 40 81 2 2" xfId="50313"/>
    <cellStyle name="Normal 40 81 3" xfId="36809"/>
    <cellStyle name="Normal 40 82" xfId="9283"/>
    <cellStyle name="Normal 40 82 2" xfId="23433"/>
    <cellStyle name="Normal 40 82 2 2" xfId="50441"/>
    <cellStyle name="Normal 40 82 3" xfId="36937"/>
    <cellStyle name="Normal 40 83" xfId="9425"/>
    <cellStyle name="Normal 40 83 2" xfId="23561"/>
    <cellStyle name="Normal 40 83 2 2" xfId="50569"/>
    <cellStyle name="Normal 40 83 3" xfId="37065"/>
    <cellStyle name="Normal 40 84" xfId="9567"/>
    <cellStyle name="Normal 40 84 2" xfId="23689"/>
    <cellStyle name="Normal 40 84 2 2" xfId="50697"/>
    <cellStyle name="Normal 40 84 3" xfId="37193"/>
    <cellStyle name="Normal 40 85" xfId="9709"/>
    <cellStyle name="Normal 40 85 2" xfId="23817"/>
    <cellStyle name="Normal 40 85 2 2" xfId="50825"/>
    <cellStyle name="Normal 40 85 3" xfId="37321"/>
    <cellStyle name="Normal 40 86" xfId="9851"/>
    <cellStyle name="Normal 40 86 2" xfId="23945"/>
    <cellStyle name="Normal 40 86 2 2" xfId="50953"/>
    <cellStyle name="Normal 40 86 3" xfId="37449"/>
    <cellStyle name="Normal 40 87" xfId="9993"/>
    <cellStyle name="Normal 40 87 2" xfId="24073"/>
    <cellStyle name="Normal 40 87 2 2" xfId="51081"/>
    <cellStyle name="Normal 40 87 3" xfId="37577"/>
    <cellStyle name="Normal 40 88" xfId="10135"/>
    <cellStyle name="Normal 40 88 2" xfId="24201"/>
    <cellStyle name="Normal 40 88 2 2" xfId="51209"/>
    <cellStyle name="Normal 40 88 3" xfId="37705"/>
    <cellStyle name="Normal 40 89" xfId="10277"/>
    <cellStyle name="Normal 40 89 2" xfId="24329"/>
    <cellStyle name="Normal 40 89 2 2" xfId="51337"/>
    <cellStyle name="Normal 40 89 3" xfId="37833"/>
    <cellStyle name="Normal 40 9" xfId="1184"/>
    <cellStyle name="Normal 40 9 2" xfId="16356"/>
    <cellStyle name="Normal 40 9 2 2" xfId="43364"/>
    <cellStyle name="Normal 40 9 3" xfId="29860"/>
    <cellStyle name="Normal 40 90" xfId="10419"/>
    <cellStyle name="Normal 40 90 2" xfId="24457"/>
    <cellStyle name="Normal 40 90 2 2" xfId="51465"/>
    <cellStyle name="Normal 40 90 3" xfId="37961"/>
    <cellStyle name="Normal 40 91" xfId="10561"/>
    <cellStyle name="Normal 40 91 2" xfId="24585"/>
    <cellStyle name="Normal 40 91 2 2" xfId="51593"/>
    <cellStyle name="Normal 40 91 3" xfId="38089"/>
    <cellStyle name="Normal 40 92" xfId="10703"/>
    <cellStyle name="Normal 40 92 2" xfId="24713"/>
    <cellStyle name="Normal 40 92 2 2" xfId="51721"/>
    <cellStyle name="Normal 40 92 3" xfId="38217"/>
    <cellStyle name="Normal 40 93" xfId="10845"/>
    <cellStyle name="Normal 40 93 2" xfId="24841"/>
    <cellStyle name="Normal 40 93 2 2" xfId="51849"/>
    <cellStyle name="Normal 40 93 3" xfId="38345"/>
    <cellStyle name="Normal 40 94" xfId="10987"/>
    <cellStyle name="Normal 40 94 2" xfId="24969"/>
    <cellStyle name="Normal 40 94 2 2" xfId="51977"/>
    <cellStyle name="Normal 40 94 3" xfId="38473"/>
    <cellStyle name="Normal 40 95" xfId="11129"/>
    <cellStyle name="Normal 40 95 2" xfId="25097"/>
    <cellStyle name="Normal 40 95 2 2" xfId="52105"/>
    <cellStyle name="Normal 40 95 3" xfId="38601"/>
    <cellStyle name="Normal 40 96" xfId="11271"/>
    <cellStyle name="Normal 40 96 2" xfId="25225"/>
    <cellStyle name="Normal 40 96 2 2" xfId="52233"/>
    <cellStyle name="Normal 40 96 3" xfId="38729"/>
    <cellStyle name="Normal 40 97" xfId="11413"/>
    <cellStyle name="Normal 40 97 2" xfId="25353"/>
    <cellStyle name="Normal 40 97 2 2" xfId="52361"/>
    <cellStyle name="Normal 40 97 3" xfId="38857"/>
    <cellStyle name="Normal 40 98" xfId="11555"/>
    <cellStyle name="Normal 40 98 2" xfId="25481"/>
    <cellStyle name="Normal 40 98 2 2" xfId="52489"/>
    <cellStyle name="Normal 40 98 3" xfId="38985"/>
    <cellStyle name="Normal 40 99" xfId="11697"/>
    <cellStyle name="Normal 40 99 2" xfId="25609"/>
    <cellStyle name="Normal 40 99 2 2" xfId="52617"/>
    <cellStyle name="Normal 40 99 3" xfId="39113"/>
    <cellStyle name="Normal 400" xfId="56689"/>
    <cellStyle name="Normal 401" xfId="56692"/>
    <cellStyle name="Normal 402" xfId="56695"/>
    <cellStyle name="Normal 403" xfId="56698"/>
    <cellStyle name="Normal 404" xfId="56705"/>
    <cellStyle name="Normal 405" xfId="56706"/>
    <cellStyle name="Normal 406" xfId="56707"/>
    <cellStyle name="Normal 407" xfId="56710"/>
    <cellStyle name="Normal 408" xfId="56713"/>
    <cellStyle name="Normal 409" xfId="56716"/>
    <cellStyle name="Normal 41" xfId="186"/>
    <cellStyle name="Normal 41 10" xfId="1291"/>
    <cellStyle name="Normal 41 10 2" xfId="16449"/>
    <cellStyle name="Normal 41 10 2 2" xfId="43457"/>
    <cellStyle name="Normal 41 10 3" xfId="29953"/>
    <cellStyle name="Normal 41 100" xfId="11840"/>
    <cellStyle name="Normal 41 100 2" xfId="25738"/>
    <cellStyle name="Normal 41 100 2 2" xfId="52746"/>
    <cellStyle name="Normal 41 100 3" xfId="39242"/>
    <cellStyle name="Normal 41 101" xfId="11982"/>
    <cellStyle name="Normal 41 101 2" xfId="25866"/>
    <cellStyle name="Normal 41 101 2 2" xfId="52874"/>
    <cellStyle name="Normal 41 101 3" xfId="39370"/>
    <cellStyle name="Normal 41 102" xfId="12124"/>
    <cellStyle name="Normal 41 102 2" xfId="25994"/>
    <cellStyle name="Normal 41 102 2 2" xfId="53002"/>
    <cellStyle name="Normal 41 102 3" xfId="39498"/>
    <cellStyle name="Normal 41 103" xfId="12266"/>
    <cellStyle name="Normal 41 103 2" xfId="26122"/>
    <cellStyle name="Normal 41 103 2 2" xfId="53130"/>
    <cellStyle name="Normal 41 103 3" xfId="39626"/>
    <cellStyle name="Normal 41 104" xfId="12408"/>
    <cellStyle name="Normal 41 104 2" xfId="26250"/>
    <cellStyle name="Normal 41 104 2 2" xfId="53258"/>
    <cellStyle name="Normal 41 104 3" xfId="39754"/>
    <cellStyle name="Normal 41 105" xfId="12550"/>
    <cellStyle name="Normal 41 105 2" xfId="26378"/>
    <cellStyle name="Normal 41 105 2 2" xfId="53386"/>
    <cellStyle name="Normal 41 105 3" xfId="39882"/>
    <cellStyle name="Normal 41 106" xfId="12692"/>
    <cellStyle name="Normal 41 106 2" xfId="26506"/>
    <cellStyle name="Normal 41 106 2 2" xfId="53514"/>
    <cellStyle name="Normal 41 106 3" xfId="40010"/>
    <cellStyle name="Normal 41 107" xfId="12834"/>
    <cellStyle name="Normal 41 107 2" xfId="26634"/>
    <cellStyle name="Normal 41 107 2 2" xfId="53642"/>
    <cellStyle name="Normal 41 107 3" xfId="40138"/>
    <cellStyle name="Normal 41 108" xfId="12976"/>
    <cellStyle name="Normal 41 108 2" xfId="26762"/>
    <cellStyle name="Normal 41 108 2 2" xfId="53770"/>
    <cellStyle name="Normal 41 108 3" xfId="40266"/>
    <cellStyle name="Normal 41 109" xfId="13118"/>
    <cellStyle name="Normal 41 109 2" xfId="26890"/>
    <cellStyle name="Normal 41 109 2 2" xfId="53898"/>
    <cellStyle name="Normal 41 109 3" xfId="40394"/>
    <cellStyle name="Normal 41 11" xfId="1397"/>
    <cellStyle name="Normal 41 11 2" xfId="16541"/>
    <cellStyle name="Normal 41 11 2 2" xfId="43549"/>
    <cellStyle name="Normal 41 11 3" xfId="30045"/>
    <cellStyle name="Normal 41 110" xfId="13260"/>
    <cellStyle name="Normal 41 110 2" xfId="27018"/>
    <cellStyle name="Normal 41 110 2 2" xfId="54026"/>
    <cellStyle name="Normal 41 110 3" xfId="40522"/>
    <cellStyle name="Normal 41 111" xfId="13402"/>
    <cellStyle name="Normal 41 111 2" xfId="27146"/>
    <cellStyle name="Normal 41 111 2 2" xfId="54154"/>
    <cellStyle name="Normal 41 111 3" xfId="40650"/>
    <cellStyle name="Normal 41 112" xfId="13544"/>
    <cellStyle name="Normal 41 112 2" xfId="27274"/>
    <cellStyle name="Normal 41 112 2 2" xfId="54282"/>
    <cellStyle name="Normal 41 112 3" xfId="40778"/>
    <cellStyle name="Normal 41 113" xfId="13686"/>
    <cellStyle name="Normal 41 113 2" xfId="27402"/>
    <cellStyle name="Normal 41 113 2 2" xfId="54410"/>
    <cellStyle name="Normal 41 113 3" xfId="40906"/>
    <cellStyle name="Normal 41 114" xfId="13828"/>
    <cellStyle name="Normal 41 114 2" xfId="27530"/>
    <cellStyle name="Normal 41 114 2 2" xfId="54538"/>
    <cellStyle name="Normal 41 114 3" xfId="41034"/>
    <cellStyle name="Normal 41 115" xfId="13969"/>
    <cellStyle name="Normal 41 115 2" xfId="27657"/>
    <cellStyle name="Normal 41 115 2 2" xfId="54665"/>
    <cellStyle name="Normal 41 115 3" xfId="41161"/>
    <cellStyle name="Normal 41 116" xfId="14110"/>
    <cellStyle name="Normal 41 116 2" xfId="27784"/>
    <cellStyle name="Normal 41 116 2 2" xfId="54792"/>
    <cellStyle name="Normal 41 116 3" xfId="41288"/>
    <cellStyle name="Normal 41 117" xfId="14251"/>
    <cellStyle name="Normal 41 117 2" xfId="27911"/>
    <cellStyle name="Normal 41 117 2 2" xfId="54919"/>
    <cellStyle name="Normal 41 117 3" xfId="41415"/>
    <cellStyle name="Normal 41 118" xfId="14392"/>
    <cellStyle name="Normal 41 118 2" xfId="28038"/>
    <cellStyle name="Normal 41 118 2 2" xfId="55046"/>
    <cellStyle name="Normal 41 118 3" xfId="41542"/>
    <cellStyle name="Normal 41 119" xfId="14532"/>
    <cellStyle name="Normal 41 119 2" xfId="28164"/>
    <cellStyle name="Normal 41 119 2 2" xfId="55172"/>
    <cellStyle name="Normal 41 119 3" xfId="41668"/>
    <cellStyle name="Normal 41 12" xfId="1503"/>
    <cellStyle name="Normal 41 12 2" xfId="16633"/>
    <cellStyle name="Normal 41 12 2 2" xfId="43641"/>
    <cellStyle name="Normal 41 12 3" xfId="30137"/>
    <cellStyle name="Normal 41 120" xfId="14672"/>
    <cellStyle name="Normal 41 120 2" xfId="28290"/>
    <cellStyle name="Normal 41 120 2 2" xfId="55298"/>
    <cellStyle name="Normal 41 120 3" xfId="41794"/>
    <cellStyle name="Normal 41 121" xfId="14811"/>
    <cellStyle name="Normal 41 121 2" xfId="28415"/>
    <cellStyle name="Normal 41 121 2 2" xfId="55423"/>
    <cellStyle name="Normal 41 121 3" xfId="41919"/>
    <cellStyle name="Normal 41 122" xfId="14946"/>
    <cellStyle name="Normal 41 122 2" xfId="28537"/>
    <cellStyle name="Normal 41 122 2 2" xfId="55545"/>
    <cellStyle name="Normal 41 122 3" xfId="42041"/>
    <cellStyle name="Normal 41 123" xfId="15080"/>
    <cellStyle name="Normal 41 123 2" xfId="28658"/>
    <cellStyle name="Normal 41 123 2 2" xfId="55666"/>
    <cellStyle name="Normal 41 123 3" xfId="42162"/>
    <cellStyle name="Normal 41 124" xfId="15207"/>
    <cellStyle name="Normal 41 124 2" xfId="28774"/>
    <cellStyle name="Normal 41 124 2 2" xfId="55782"/>
    <cellStyle name="Normal 41 124 3" xfId="42278"/>
    <cellStyle name="Normal 41 125" xfId="15327"/>
    <cellStyle name="Normal 41 125 2" xfId="28887"/>
    <cellStyle name="Normal 41 125 2 2" xfId="55895"/>
    <cellStyle name="Normal 41 125 3" xfId="42391"/>
    <cellStyle name="Normal 41 126" xfId="15542"/>
    <cellStyle name="Normal 41 126 2" xfId="42550"/>
    <cellStyle name="Normal 41 127" xfId="29046"/>
    <cellStyle name="Normal 41 13" xfId="1609"/>
    <cellStyle name="Normal 41 13 2" xfId="16725"/>
    <cellStyle name="Normal 41 13 2 2" xfId="43733"/>
    <cellStyle name="Normal 41 13 3" xfId="30229"/>
    <cellStyle name="Normal 41 14" xfId="1715"/>
    <cellStyle name="Normal 41 14 2" xfId="16817"/>
    <cellStyle name="Normal 41 14 2 2" xfId="43825"/>
    <cellStyle name="Normal 41 14 3" xfId="30321"/>
    <cellStyle name="Normal 41 15" xfId="1821"/>
    <cellStyle name="Normal 41 15 2" xfId="16909"/>
    <cellStyle name="Normal 41 15 2 2" xfId="43917"/>
    <cellStyle name="Normal 41 15 3" xfId="30413"/>
    <cellStyle name="Normal 41 16" xfId="1927"/>
    <cellStyle name="Normal 41 16 2" xfId="17001"/>
    <cellStyle name="Normal 41 16 2 2" xfId="44009"/>
    <cellStyle name="Normal 41 16 3" xfId="30505"/>
    <cellStyle name="Normal 41 17" xfId="2033"/>
    <cellStyle name="Normal 41 17 2" xfId="17093"/>
    <cellStyle name="Normal 41 17 2 2" xfId="44101"/>
    <cellStyle name="Normal 41 17 3" xfId="30597"/>
    <cellStyle name="Normal 41 18" xfId="2139"/>
    <cellStyle name="Normal 41 18 2" xfId="17185"/>
    <cellStyle name="Normal 41 18 2 2" xfId="44193"/>
    <cellStyle name="Normal 41 18 3" xfId="30689"/>
    <cellStyle name="Normal 41 19" xfId="2245"/>
    <cellStyle name="Normal 41 19 2" xfId="17277"/>
    <cellStyle name="Normal 41 19 2 2" xfId="44285"/>
    <cellStyle name="Normal 41 19 3" xfId="30781"/>
    <cellStyle name="Normal 41 2" xfId="363"/>
    <cellStyle name="Normal 41 2 2" xfId="15665"/>
    <cellStyle name="Normal 41 2 2 2" xfId="42673"/>
    <cellStyle name="Normal 41 2 3" xfId="29169"/>
    <cellStyle name="Normal 41 20" xfId="2351"/>
    <cellStyle name="Normal 41 20 2" xfId="17369"/>
    <cellStyle name="Normal 41 20 2 2" xfId="44377"/>
    <cellStyle name="Normal 41 20 3" xfId="30873"/>
    <cellStyle name="Normal 41 21" xfId="2457"/>
    <cellStyle name="Normal 41 21 2" xfId="17461"/>
    <cellStyle name="Normal 41 21 2 2" xfId="44469"/>
    <cellStyle name="Normal 41 21 3" xfId="30965"/>
    <cellStyle name="Normal 41 22" xfId="2563"/>
    <cellStyle name="Normal 41 22 2" xfId="17553"/>
    <cellStyle name="Normal 41 22 2 2" xfId="44561"/>
    <cellStyle name="Normal 41 22 3" xfId="31057"/>
    <cellStyle name="Normal 41 23" xfId="2669"/>
    <cellStyle name="Normal 41 23 2" xfId="17645"/>
    <cellStyle name="Normal 41 23 2 2" xfId="44653"/>
    <cellStyle name="Normal 41 23 3" xfId="31149"/>
    <cellStyle name="Normal 41 24" xfId="2775"/>
    <cellStyle name="Normal 41 24 2" xfId="17737"/>
    <cellStyle name="Normal 41 24 2 2" xfId="44745"/>
    <cellStyle name="Normal 41 24 3" xfId="31241"/>
    <cellStyle name="Normal 41 25" xfId="2881"/>
    <cellStyle name="Normal 41 25 2" xfId="17829"/>
    <cellStyle name="Normal 41 25 2 2" xfId="44837"/>
    <cellStyle name="Normal 41 25 3" xfId="31333"/>
    <cellStyle name="Normal 41 26" xfId="2987"/>
    <cellStyle name="Normal 41 26 2" xfId="17921"/>
    <cellStyle name="Normal 41 26 2 2" xfId="44929"/>
    <cellStyle name="Normal 41 26 3" xfId="31425"/>
    <cellStyle name="Normal 41 27" xfId="3093"/>
    <cellStyle name="Normal 41 27 2" xfId="18013"/>
    <cellStyle name="Normal 41 27 2 2" xfId="45021"/>
    <cellStyle name="Normal 41 27 3" xfId="31517"/>
    <cellStyle name="Normal 41 28" xfId="3199"/>
    <cellStyle name="Normal 41 28 2" xfId="18105"/>
    <cellStyle name="Normal 41 28 2 2" xfId="45113"/>
    <cellStyle name="Normal 41 28 3" xfId="31609"/>
    <cellStyle name="Normal 41 29" xfId="3305"/>
    <cellStyle name="Normal 41 29 2" xfId="18197"/>
    <cellStyle name="Normal 41 29 2 2" xfId="45205"/>
    <cellStyle name="Normal 41 29 3" xfId="31701"/>
    <cellStyle name="Normal 41 3" xfId="550"/>
    <cellStyle name="Normal 41 3 2" xfId="15806"/>
    <cellStyle name="Normal 41 3 2 2" xfId="42814"/>
    <cellStyle name="Normal 41 3 3" xfId="29310"/>
    <cellStyle name="Normal 41 30" xfId="3411"/>
    <cellStyle name="Normal 41 30 2" xfId="18289"/>
    <cellStyle name="Normal 41 30 2 2" xfId="45297"/>
    <cellStyle name="Normal 41 30 3" xfId="31793"/>
    <cellStyle name="Normal 41 31" xfId="3517"/>
    <cellStyle name="Normal 41 31 2" xfId="18381"/>
    <cellStyle name="Normal 41 31 2 2" xfId="45389"/>
    <cellStyle name="Normal 41 31 3" xfId="31885"/>
    <cellStyle name="Normal 41 32" xfId="3623"/>
    <cellStyle name="Normal 41 32 2" xfId="18473"/>
    <cellStyle name="Normal 41 32 2 2" xfId="45481"/>
    <cellStyle name="Normal 41 32 3" xfId="31977"/>
    <cellStyle name="Normal 41 33" xfId="3729"/>
    <cellStyle name="Normal 41 33 2" xfId="18565"/>
    <cellStyle name="Normal 41 33 2 2" xfId="45573"/>
    <cellStyle name="Normal 41 33 3" xfId="32069"/>
    <cellStyle name="Normal 41 34" xfId="3835"/>
    <cellStyle name="Normal 41 34 2" xfId="18657"/>
    <cellStyle name="Normal 41 34 2 2" xfId="45665"/>
    <cellStyle name="Normal 41 34 3" xfId="32161"/>
    <cellStyle name="Normal 41 35" xfId="3941"/>
    <cellStyle name="Normal 41 35 2" xfId="18749"/>
    <cellStyle name="Normal 41 35 2 2" xfId="45757"/>
    <cellStyle name="Normal 41 35 3" xfId="32253"/>
    <cellStyle name="Normal 41 36" xfId="4047"/>
    <cellStyle name="Normal 41 36 2" xfId="18841"/>
    <cellStyle name="Normal 41 36 2 2" xfId="45849"/>
    <cellStyle name="Normal 41 36 3" xfId="32345"/>
    <cellStyle name="Normal 41 37" xfId="4153"/>
    <cellStyle name="Normal 41 37 2" xfId="18933"/>
    <cellStyle name="Normal 41 37 2 2" xfId="45941"/>
    <cellStyle name="Normal 41 37 3" xfId="32437"/>
    <cellStyle name="Normal 41 38" xfId="4259"/>
    <cellStyle name="Normal 41 38 2" xfId="19025"/>
    <cellStyle name="Normal 41 38 2 2" xfId="46033"/>
    <cellStyle name="Normal 41 38 3" xfId="32529"/>
    <cellStyle name="Normal 41 39" xfId="4365"/>
    <cellStyle name="Normal 41 39 2" xfId="19117"/>
    <cellStyle name="Normal 41 39 2 2" xfId="46125"/>
    <cellStyle name="Normal 41 39 3" xfId="32621"/>
    <cellStyle name="Normal 41 4" xfId="655"/>
    <cellStyle name="Normal 41 4 2" xfId="15897"/>
    <cellStyle name="Normal 41 4 2 2" xfId="42905"/>
    <cellStyle name="Normal 41 4 3" xfId="29401"/>
    <cellStyle name="Normal 41 40" xfId="4471"/>
    <cellStyle name="Normal 41 40 2" xfId="19209"/>
    <cellStyle name="Normal 41 40 2 2" xfId="46217"/>
    <cellStyle name="Normal 41 40 3" xfId="32713"/>
    <cellStyle name="Normal 41 41" xfId="4577"/>
    <cellStyle name="Normal 41 41 2" xfId="19301"/>
    <cellStyle name="Normal 41 41 2 2" xfId="46309"/>
    <cellStyle name="Normal 41 41 3" xfId="32805"/>
    <cellStyle name="Normal 41 42" xfId="4683"/>
    <cellStyle name="Normal 41 42 2" xfId="19393"/>
    <cellStyle name="Normal 41 42 2 2" xfId="46401"/>
    <cellStyle name="Normal 41 42 3" xfId="32897"/>
    <cellStyle name="Normal 41 43" xfId="4789"/>
    <cellStyle name="Normal 41 43 2" xfId="19485"/>
    <cellStyle name="Normal 41 43 2 2" xfId="46493"/>
    <cellStyle name="Normal 41 43 3" xfId="32989"/>
    <cellStyle name="Normal 41 44" xfId="4895"/>
    <cellStyle name="Normal 41 44 2" xfId="19577"/>
    <cellStyle name="Normal 41 44 2 2" xfId="46585"/>
    <cellStyle name="Normal 41 44 3" xfId="33081"/>
    <cellStyle name="Normal 41 45" xfId="5001"/>
    <cellStyle name="Normal 41 45 2" xfId="19669"/>
    <cellStyle name="Normal 41 45 2 2" xfId="46677"/>
    <cellStyle name="Normal 41 45 3" xfId="33173"/>
    <cellStyle name="Normal 41 46" xfId="5107"/>
    <cellStyle name="Normal 41 46 2" xfId="19761"/>
    <cellStyle name="Normal 41 46 2 2" xfId="46769"/>
    <cellStyle name="Normal 41 46 3" xfId="33265"/>
    <cellStyle name="Normal 41 47" xfId="5213"/>
    <cellStyle name="Normal 41 47 2" xfId="19853"/>
    <cellStyle name="Normal 41 47 2 2" xfId="46861"/>
    <cellStyle name="Normal 41 47 3" xfId="33357"/>
    <cellStyle name="Normal 41 48" xfId="5319"/>
    <cellStyle name="Normal 41 48 2" xfId="19945"/>
    <cellStyle name="Normal 41 48 2 2" xfId="46953"/>
    <cellStyle name="Normal 41 48 3" xfId="33449"/>
    <cellStyle name="Normal 41 49" xfId="5425"/>
    <cellStyle name="Normal 41 49 2" xfId="20037"/>
    <cellStyle name="Normal 41 49 2 2" xfId="47045"/>
    <cellStyle name="Normal 41 49 3" xfId="33541"/>
    <cellStyle name="Normal 41 5" xfId="761"/>
    <cellStyle name="Normal 41 5 2" xfId="15989"/>
    <cellStyle name="Normal 41 5 2 2" xfId="42997"/>
    <cellStyle name="Normal 41 5 3" xfId="29493"/>
    <cellStyle name="Normal 41 50" xfId="5531"/>
    <cellStyle name="Normal 41 50 2" xfId="20129"/>
    <cellStyle name="Normal 41 50 2 2" xfId="47137"/>
    <cellStyle name="Normal 41 50 3" xfId="33633"/>
    <cellStyle name="Normal 41 51" xfId="5637"/>
    <cellStyle name="Normal 41 51 2" xfId="20221"/>
    <cellStyle name="Normal 41 51 2 2" xfId="47229"/>
    <cellStyle name="Normal 41 51 3" xfId="33725"/>
    <cellStyle name="Normal 41 52" xfId="5743"/>
    <cellStyle name="Normal 41 52 2" xfId="20313"/>
    <cellStyle name="Normal 41 52 2 2" xfId="47321"/>
    <cellStyle name="Normal 41 52 3" xfId="33817"/>
    <cellStyle name="Normal 41 53" xfId="5849"/>
    <cellStyle name="Normal 41 53 2" xfId="20405"/>
    <cellStyle name="Normal 41 53 2 2" xfId="47413"/>
    <cellStyle name="Normal 41 53 3" xfId="33909"/>
    <cellStyle name="Normal 41 54" xfId="5955"/>
    <cellStyle name="Normal 41 54 2" xfId="20497"/>
    <cellStyle name="Normal 41 54 2 2" xfId="47505"/>
    <cellStyle name="Normal 41 54 3" xfId="34001"/>
    <cellStyle name="Normal 41 55" xfId="6061"/>
    <cellStyle name="Normal 41 55 2" xfId="20589"/>
    <cellStyle name="Normal 41 55 2 2" xfId="47597"/>
    <cellStyle name="Normal 41 55 3" xfId="34093"/>
    <cellStyle name="Normal 41 56" xfId="6167"/>
    <cellStyle name="Normal 41 56 2" xfId="20681"/>
    <cellStyle name="Normal 41 56 2 2" xfId="47689"/>
    <cellStyle name="Normal 41 56 3" xfId="34185"/>
    <cellStyle name="Normal 41 57" xfId="6273"/>
    <cellStyle name="Normal 41 57 2" xfId="20773"/>
    <cellStyle name="Normal 41 57 2 2" xfId="47781"/>
    <cellStyle name="Normal 41 57 3" xfId="34277"/>
    <cellStyle name="Normal 41 58" xfId="6379"/>
    <cellStyle name="Normal 41 58 2" xfId="20865"/>
    <cellStyle name="Normal 41 58 2 2" xfId="47873"/>
    <cellStyle name="Normal 41 58 3" xfId="34369"/>
    <cellStyle name="Normal 41 59" xfId="6485"/>
    <cellStyle name="Normal 41 59 2" xfId="20957"/>
    <cellStyle name="Normal 41 59 2 2" xfId="47965"/>
    <cellStyle name="Normal 41 59 3" xfId="34461"/>
    <cellStyle name="Normal 41 6" xfId="867"/>
    <cellStyle name="Normal 41 6 2" xfId="16081"/>
    <cellStyle name="Normal 41 6 2 2" xfId="43089"/>
    <cellStyle name="Normal 41 6 3" xfId="29585"/>
    <cellStyle name="Normal 41 60" xfId="6591"/>
    <cellStyle name="Normal 41 60 2" xfId="21049"/>
    <cellStyle name="Normal 41 60 2 2" xfId="48057"/>
    <cellStyle name="Normal 41 60 3" xfId="34553"/>
    <cellStyle name="Normal 41 61" xfId="6696"/>
    <cellStyle name="Normal 41 61 2" xfId="21140"/>
    <cellStyle name="Normal 41 61 2 2" xfId="48148"/>
    <cellStyle name="Normal 41 61 3" xfId="34644"/>
    <cellStyle name="Normal 41 62" xfId="6801"/>
    <cellStyle name="Normal 41 62 2" xfId="21231"/>
    <cellStyle name="Normal 41 62 2 2" xfId="48239"/>
    <cellStyle name="Normal 41 62 3" xfId="34735"/>
    <cellStyle name="Normal 41 63" xfId="6906"/>
    <cellStyle name="Normal 41 63 2" xfId="21322"/>
    <cellStyle name="Normal 41 63 2 2" xfId="48330"/>
    <cellStyle name="Normal 41 63 3" xfId="34826"/>
    <cellStyle name="Normal 41 64" xfId="7011"/>
    <cellStyle name="Normal 41 64 2" xfId="21413"/>
    <cellStyle name="Normal 41 64 2 2" xfId="48421"/>
    <cellStyle name="Normal 41 64 3" xfId="34917"/>
    <cellStyle name="Normal 41 65" xfId="7115"/>
    <cellStyle name="Normal 41 65 2" xfId="21503"/>
    <cellStyle name="Normal 41 65 2 2" xfId="48511"/>
    <cellStyle name="Normal 41 65 3" xfId="35007"/>
    <cellStyle name="Normal 41 66" xfId="7219"/>
    <cellStyle name="Normal 41 66 2" xfId="21593"/>
    <cellStyle name="Normal 41 66 2 2" xfId="48601"/>
    <cellStyle name="Normal 41 66 3" xfId="35097"/>
    <cellStyle name="Normal 41 67" xfId="7322"/>
    <cellStyle name="Normal 41 67 2" xfId="21682"/>
    <cellStyle name="Normal 41 67 2 2" xfId="48690"/>
    <cellStyle name="Normal 41 67 3" xfId="35186"/>
    <cellStyle name="Normal 41 68" xfId="7422"/>
    <cellStyle name="Normal 41 68 2" xfId="21769"/>
    <cellStyle name="Normal 41 68 2 2" xfId="48777"/>
    <cellStyle name="Normal 41 68 3" xfId="35273"/>
    <cellStyle name="Normal 41 69" xfId="7520"/>
    <cellStyle name="Normal 41 69 2" xfId="21854"/>
    <cellStyle name="Normal 41 69 2 2" xfId="48862"/>
    <cellStyle name="Normal 41 69 3" xfId="35358"/>
    <cellStyle name="Normal 41 7" xfId="973"/>
    <cellStyle name="Normal 41 7 2" xfId="16173"/>
    <cellStyle name="Normal 41 7 2 2" xfId="43181"/>
    <cellStyle name="Normal 41 7 3" xfId="29677"/>
    <cellStyle name="Normal 41 70" xfId="7609"/>
    <cellStyle name="Normal 41 70 2" xfId="21932"/>
    <cellStyle name="Normal 41 70 2 2" xfId="48940"/>
    <cellStyle name="Normal 41 70 3" xfId="35436"/>
    <cellStyle name="Normal 41 71" xfId="7685"/>
    <cellStyle name="Normal 41 71 2" xfId="22001"/>
    <cellStyle name="Normal 41 71 2 2" xfId="49009"/>
    <cellStyle name="Normal 41 71 3" xfId="35505"/>
    <cellStyle name="Normal 41 72" xfId="7864"/>
    <cellStyle name="Normal 41 72 2" xfId="22154"/>
    <cellStyle name="Normal 41 72 2 2" xfId="49162"/>
    <cellStyle name="Normal 41 72 3" xfId="35658"/>
    <cellStyle name="Normal 41 73" xfId="8006"/>
    <cellStyle name="Normal 41 73 2" xfId="22282"/>
    <cellStyle name="Normal 41 73 2 2" xfId="49290"/>
    <cellStyle name="Normal 41 73 3" xfId="35786"/>
    <cellStyle name="Normal 41 74" xfId="8148"/>
    <cellStyle name="Normal 41 74 2" xfId="22410"/>
    <cellStyle name="Normal 41 74 2 2" xfId="49418"/>
    <cellStyle name="Normal 41 74 3" xfId="35914"/>
    <cellStyle name="Normal 41 75" xfId="8290"/>
    <cellStyle name="Normal 41 75 2" xfId="22538"/>
    <cellStyle name="Normal 41 75 2 2" xfId="49546"/>
    <cellStyle name="Normal 41 75 3" xfId="36042"/>
    <cellStyle name="Normal 41 76" xfId="8432"/>
    <cellStyle name="Normal 41 76 2" xfId="22666"/>
    <cellStyle name="Normal 41 76 2 2" xfId="49674"/>
    <cellStyle name="Normal 41 76 3" xfId="36170"/>
    <cellStyle name="Normal 41 77" xfId="8574"/>
    <cellStyle name="Normal 41 77 2" xfId="22794"/>
    <cellStyle name="Normal 41 77 2 2" xfId="49802"/>
    <cellStyle name="Normal 41 77 3" xfId="36298"/>
    <cellStyle name="Normal 41 78" xfId="8716"/>
    <cellStyle name="Normal 41 78 2" xfId="22922"/>
    <cellStyle name="Normal 41 78 2 2" xfId="49930"/>
    <cellStyle name="Normal 41 78 3" xfId="36426"/>
    <cellStyle name="Normal 41 79" xfId="8858"/>
    <cellStyle name="Normal 41 79 2" xfId="23050"/>
    <cellStyle name="Normal 41 79 2 2" xfId="50058"/>
    <cellStyle name="Normal 41 79 3" xfId="36554"/>
    <cellStyle name="Normal 41 8" xfId="1079"/>
    <cellStyle name="Normal 41 8 2" xfId="16265"/>
    <cellStyle name="Normal 41 8 2 2" xfId="43273"/>
    <cellStyle name="Normal 41 8 3" xfId="29769"/>
    <cellStyle name="Normal 41 80" xfId="9000"/>
    <cellStyle name="Normal 41 80 2" xfId="23178"/>
    <cellStyle name="Normal 41 80 2 2" xfId="50186"/>
    <cellStyle name="Normal 41 80 3" xfId="36682"/>
    <cellStyle name="Normal 41 81" xfId="9142"/>
    <cellStyle name="Normal 41 81 2" xfId="23306"/>
    <cellStyle name="Normal 41 81 2 2" xfId="50314"/>
    <cellStyle name="Normal 41 81 3" xfId="36810"/>
    <cellStyle name="Normal 41 82" xfId="9284"/>
    <cellStyle name="Normal 41 82 2" xfId="23434"/>
    <cellStyle name="Normal 41 82 2 2" xfId="50442"/>
    <cellStyle name="Normal 41 82 3" xfId="36938"/>
    <cellStyle name="Normal 41 83" xfId="9426"/>
    <cellStyle name="Normal 41 83 2" xfId="23562"/>
    <cellStyle name="Normal 41 83 2 2" xfId="50570"/>
    <cellStyle name="Normal 41 83 3" xfId="37066"/>
    <cellStyle name="Normal 41 84" xfId="9568"/>
    <cellStyle name="Normal 41 84 2" xfId="23690"/>
    <cellStyle name="Normal 41 84 2 2" xfId="50698"/>
    <cellStyle name="Normal 41 84 3" xfId="37194"/>
    <cellStyle name="Normal 41 85" xfId="9710"/>
    <cellStyle name="Normal 41 85 2" xfId="23818"/>
    <cellStyle name="Normal 41 85 2 2" xfId="50826"/>
    <cellStyle name="Normal 41 85 3" xfId="37322"/>
    <cellStyle name="Normal 41 86" xfId="9852"/>
    <cellStyle name="Normal 41 86 2" xfId="23946"/>
    <cellStyle name="Normal 41 86 2 2" xfId="50954"/>
    <cellStyle name="Normal 41 86 3" xfId="37450"/>
    <cellStyle name="Normal 41 87" xfId="9994"/>
    <cellStyle name="Normal 41 87 2" xfId="24074"/>
    <cellStyle name="Normal 41 87 2 2" xfId="51082"/>
    <cellStyle name="Normal 41 87 3" xfId="37578"/>
    <cellStyle name="Normal 41 88" xfId="10136"/>
    <cellStyle name="Normal 41 88 2" xfId="24202"/>
    <cellStyle name="Normal 41 88 2 2" xfId="51210"/>
    <cellStyle name="Normal 41 88 3" xfId="37706"/>
    <cellStyle name="Normal 41 89" xfId="10278"/>
    <cellStyle name="Normal 41 89 2" xfId="24330"/>
    <cellStyle name="Normal 41 89 2 2" xfId="51338"/>
    <cellStyle name="Normal 41 89 3" xfId="37834"/>
    <cellStyle name="Normal 41 9" xfId="1185"/>
    <cellStyle name="Normal 41 9 2" xfId="16357"/>
    <cellStyle name="Normal 41 9 2 2" xfId="43365"/>
    <cellStyle name="Normal 41 9 3" xfId="29861"/>
    <cellStyle name="Normal 41 90" xfId="10420"/>
    <cellStyle name="Normal 41 90 2" xfId="24458"/>
    <cellStyle name="Normal 41 90 2 2" xfId="51466"/>
    <cellStyle name="Normal 41 90 3" xfId="37962"/>
    <cellStyle name="Normal 41 91" xfId="10562"/>
    <cellStyle name="Normal 41 91 2" xfId="24586"/>
    <cellStyle name="Normal 41 91 2 2" xfId="51594"/>
    <cellStyle name="Normal 41 91 3" xfId="38090"/>
    <cellStyle name="Normal 41 92" xfId="10704"/>
    <cellStyle name="Normal 41 92 2" xfId="24714"/>
    <cellStyle name="Normal 41 92 2 2" xfId="51722"/>
    <cellStyle name="Normal 41 92 3" xfId="38218"/>
    <cellStyle name="Normal 41 93" xfId="10846"/>
    <cellStyle name="Normal 41 93 2" xfId="24842"/>
    <cellStyle name="Normal 41 93 2 2" xfId="51850"/>
    <cellStyle name="Normal 41 93 3" xfId="38346"/>
    <cellStyle name="Normal 41 94" xfId="10988"/>
    <cellStyle name="Normal 41 94 2" xfId="24970"/>
    <cellStyle name="Normal 41 94 2 2" xfId="51978"/>
    <cellStyle name="Normal 41 94 3" xfId="38474"/>
    <cellStyle name="Normal 41 95" xfId="11130"/>
    <cellStyle name="Normal 41 95 2" xfId="25098"/>
    <cellStyle name="Normal 41 95 2 2" xfId="52106"/>
    <cellStyle name="Normal 41 95 3" xfId="38602"/>
    <cellStyle name="Normal 41 96" xfId="11272"/>
    <cellStyle name="Normal 41 96 2" xfId="25226"/>
    <cellStyle name="Normal 41 96 2 2" xfId="52234"/>
    <cellStyle name="Normal 41 96 3" xfId="38730"/>
    <cellStyle name="Normal 41 97" xfId="11414"/>
    <cellStyle name="Normal 41 97 2" xfId="25354"/>
    <cellStyle name="Normal 41 97 2 2" xfId="52362"/>
    <cellStyle name="Normal 41 97 3" xfId="38858"/>
    <cellStyle name="Normal 41 98" xfId="11556"/>
    <cellStyle name="Normal 41 98 2" xfId="25482"/>
    <cellStyle name="Normal 41 98 2 2" xfId="52490"/>
    <cellStyle name="Normal 41 98 3" xfId="38986"/>
    <cellStyle name="Normal 41 99" xfId="11698"/>
    <cellStyle name="Normal 41 99 2" xfId="25610"/>
    <cellStyle name="Normal 41 99 2 2" xfId="52618"/>
    <cellStyle name="Normal 41 99 3" xfId="39114"/>
    <cellStyle name="Normal 410" xfId="56719"/>
    <cellStyle name="Normal 411" xfId="56722"/>
    <cellStyle name="Normal 412" xfId="56725"/>
    <cellStyle name="Normal 413" xfId="56728"/>
    <cellStyle name="Normal 414" xfId="56731"/>
    <cellStyle name="Normal 415" xfId="56734"/>
    <cellStyle name="Normal 416" xfId="56737"/>
    <cellStyle name="Normal 417" xfId="56740"/>
    <cellStyle name="Normal 418" xfId="56743"/>
    <cellStyle name="Normal 419" xfId="56746"/>
    <cellStyle name="Normal 42" xfId="187"/>
    <cellStyle name="Normal 42 10" xfId="1292"/>
    <cellStyle name="Normal 42 10 2" xfId="16450"/>
    <cellStyle name="Normal 42 10 2 2" xfId="43458"/>
    <cellStyle name="Normal 42 10 3" xfId="29954"/>
    <cellStyle name="Normal 42 100" xfId="11841"/>
    <cellStyle name="Normal 42 100 2" xfId="25739"/>
    <cellStyle name="Normal 42 100 2 2" xfId="52747"/>
    <cellStyle name="Normal 42 100 3" xfId="39243"/>
    <cellStyle name="Normal 42 101" xfId="11983"/>
    <cellStyle name="Normal 42 101 2" xfId="25867"/>
    <cellStyle name="Normal 42 101 2 2" xfId="52875"/>
    <cellStyle name="Normal 42 101 3" xfId="39371"/>
    <cellStyle name="Normal 42 102" xfId="12125"/>
    <cellStyle name="Normal 42 102 2" xfId="25995"/>
    <cellStyle name="Normal 42 102 2 2" xfId="53003"/>
    <cellStyle name="Normal 42 102 3" xfId="39499"/>
    <cellStyle name="Normal 42 103" xfId="12267"/>
    <cellStyle name="Normal 42 103 2" xfId="26123"/>
    <cellStyle name="Normal 42 103 2 2" xfId="53131"/>
    <cellStyle name="Normal 42 103 3" xfId="39627"/>
    <cellStyle name="Normal 42 104" xfId="12409"/>
    <cellStyle name="Normal 42 104 2" xfId="26251"/>
    <cellStyle name="Normal 42 104 2 2" xfId="53259"/>
    <cellStyle name="Normal 42 104 3" xfId="39755"/>
    <cellStyle name="Normal 42 105" xfId="12551"/>
    <cellStyle name="Normal 42 105 2" xfId="26379"/>
    <cellStyle name="Normal 42 105 2 2" xfId="53387"/>
    <cellStyle name="Normal 42 105 3" xfId="39883"/>
    <cellStyle name="Normal 42 106" xfId="12693"/>
    <cellStyle name="Normal 42 106 2" xfId="26507"/>
    <cellStyle name="Normal 42 106 2 2" xfId="53515"/>
    <cellStyle name="Normal 42 106 3" xfId="40011"/>
    <cellStyle name="Normal 42 107" xfId="12835"/>
    <cellStyle name="Normal 42 107 2" xfId="26635"/>
    <cellStyle name="Normal 42 107 2 2" xfId="53643"/>
    <cellStyle name="Normal 42 107 3" xfId="40139"/>
    <cellStyle name="Normal 42 108" xfId="12977"/>
    <cellStyle name="Normal 42 108 2" xfId="26763"/>
    <cellStyle name="Normal 42 108 2 2" xfId="53771"/>
    <cellStyle name="Normal 42 108 3" xfId="40267"/>
    <cellStyle name="Normal 42 109" xfId="13119"/>
    <cellStyle name="Normal 42 109 2" xfId="26891"/>
    <cellStyle name="Normal 42 109 2 2" xfId="53899"/>
    <cellStyle name="Normal 42 109 3" xfId="40395"/>
    <cellStyle name="Normal 42 11" xfId="1398"/>
    <cellStyle name="Normal 42 11 2" xfId="16542"/>
    <cellStyle name="Normal 42 11 2 2" xfId="43550"/>
    <cellStyle name="Normal 42 11 3" xfId="30046"/>
    <cellStyle name="Normal 42 110" xfId="13261"/>
    <cellStyle name="Normal 42 110 2" xfId="27019"/>
    <cellStyle name="Normal 42 110 2 2" xfId="54027"/>
    <cellStyle name="Normal 42 110 3" xfId="40523"/>
    <cellStyle name="Normal 42 111" xfId="13403"/>
    <cellStyle name="Normal 42 111 2" xfId="27147"/>
    <cellStyle name="Normal 42 111 2 2" xfId="54155"/>
    <cellStyle name="Normal 42 111 3" xfId="40651"/>
    <cellStyle name="Normal 42 112" xfId="13545"/>
    <cellStyle name="Normal 42 112 2" xfId="27275"/>
    <cellStyle name="Normal 42 112 2 2" xfId="54283"/>
    <cellStyle name="Normal 42 112 3" xfId="40779"/>
    <cellStyle name="Normal 42 113" xfId="13687"/>
    <cellStyle name="Normal 42 113 2" xfId="27403"/>
    <cellStyle name="Normal 42 113 2 2" xfId="54411"/>
    <cellStyle name="Normal 42 113 3" xfId="40907"/>
    <cellStyle name="Normal 42 114" xfId="13829"/>
    <cellStyle name="Normal 42 114 2" xfId="27531"/>
    <cellStyle name="Normal 42 114 2 2" xfId="54539"/>
    <cellStyle name="Normal 42 114 3" xfId="41035"/>
    <cellStyle name="Normal 42 115" xfId="13970"/>
    <cellStyle name="Normal 42 115 2" xfId="27658"/>
    <cellStyle name="Normal 42 115 2 2" xfId="54666"/>
    <cellStyle name="Normal 42 115 3" xfId="41162"/>
    <cellStyle name="Normal 42 116" xfId="14111"/>
    <cellStyle name="Normal 42 116 2" xfId="27785"/>
    <cellStyle name="Normal 42 116 2 2" xfId="54793"/>
    <cellStyle name="Normal 42 116 3" xfId="41289"/>
    <cellStyle name="Normal 42 117" xfId="14252"/>
    <cellStyle name="Normal 42 117 2" xfId="27912"/>
    <cellStyle name="Normal 42 117 2 2" xfId="54920"/>
    <cellStyle name="Normal 42 117 3" xfId="41416"/>
    <cellStyle name="Normal 42 118" xfId="14393"/>
    <cellStyle name="Normal 42 118 2" xfId="28039"/>
    <cellStyle name="Normal 42 118 2 2" xfId="55047"/>
    <cellStyle name="Normal 42 118 3" xfId="41543"/>
    <cellStyle name="Normal 42 119" xfId="14533"/>
    <cellStyle name="Normal 42 119 2" xfId="28165"/>
    <cellStyle name="Normal 42 119 2 2" xfId="55173"/>
    <cellStyle name="Normal 42 119 3" xfId="41669"/>
    <cellStyle name="Normal 42 12" xfId="1504"/>
    <cellStyle name="Normal 42 12 2" xfId="16634"/>
    <cellStyle name="Normal 42 12 2 2" xfId="43642"/>
    <cellStyle name="Normal 42 12 3" xfId="30138"/>
    <cellStyle name="Normal 42 120" xfId="14673"/>
    <cellStyle name="Normal 42 120 2" xfId="28291"/>
    <cellStyle name="Normal 42 120 2 2" xfId="55299"/>
    <cellStyle name="Normal 42 120 3" xfId="41795"/>
    <cellStyle name="Normal 42 121" xfId="14812"/>
    <cellStyle name="Normal 42 121 2" xfId="28416"/>
    <cellStyle name="Normal 42 121 2 2" xfId="55424"/>
    <cellStyle name="Normal 42 121 3" xfId="41920"/>
    <cellStyle name="Normal 42 122" xfId="14947"/>
    <cellStyle name="Normal 42 122 2" xfId="28538"/>
    <cellStyle name="Normal 42 122 2 2" xfId="55546"/>
    <cellStyle name="Normal 42 122 3" xfId="42042"/>
    <cellStyle name="Normal 42 123" xfId="15081"/>
    <cellStyle name="Normal 42 123 2" xfId="28659"/>
    <cellStyle name="Normal 42 123 2 2" xfId="55667"/>
    <cellStyle name="Normal 42 123 3" xfId="42163"/>
    <cellStyle name="Normal 42 124" xfId="15208"/>
    <cellStyle name="Normal 42 124 2" xfId="28775"/>
    <cellStyle name="Normal 42 124 2 2" xfId="55783"/>
    <cellStyle name="Normal 42 124 3" xfId="42279"/>
    <cellStyle name="Normal 42 125" xfId="15328"/>
    <cellStyle name="Normal 42 125 2" xfId="28888"/>
    <cellStyle name="Normal 42 125 2 2" xfId="55896"/>
    <cellStyle name="Normal 42 125 3" xfId="42392"/>
    <cellStyle name="Normal 42 126" xfId="15543"/>
    <cellStyle name="Normal 42 126 2" xfId="42551"/>
    <cellStyle name="Normal 42 127" xfId="29047"/>
    <cellStyle name="Normal 42 13" xfId="1610"/>
    <cellStyle name="Normal 42 13 2" xfId="16726"/>
    <cellStyle name="Normal 42 13 2 2" xfId="43734"/>
    <cellStyle name="Normal 42 13 3" xfId="30230"/>
    <cellStyle name="Normal 42 14" xfId="1716"/>
    <cellStyle name="Normal 42 14 2" xfId="16818"/>
    <cellStyle name="Normal 42 14 2 2" xfId="43826"/>
    <cellStyle name="Normal 42 14 3" xfId="30322"/>
    <cellStyle name="Normal 42 15" xfId="1822"/>
    <cellStyle name="Normal 42 15 2" xfId="16910"/>
    <cellStyle name="Normal 42 15 2 2" xfId="43918"/>
    <cellStyle name="Normal 42 15 3" xfId="30414"/>
    <cellStyle name="Normal 42 16" xfId="1928"/>
    <cellStyle name="Normal 42 16 2" xfId="17002"/>
    <cellStyle name="Normal 42 16 2 2" xfId="44010"/>
    <cellStyle name="Normal 42 16 3" xfId="30506"/>
    <cellStyle name="Normal 42 17" xfId="2034"/>
    <cellStyle name="Normal 42 17 2" xfId="17094"/>
    <cellStyle name="Normal 42 17 2 2" xfId="44102"/>
    <cellStyle name="Normal 42 17 3" xfId="30598"/>
    <cellStyle name="Normal 42 18" xfId="2140"/>
    <cellStyle name="Normal 42 18 2" xfId="17186"/>
    <cellStyle name="Normal 42 18 2 2" xfId="44194"/>
    <cellStyle name="Normal 42 18 3" xfId="30690"/>
    <cellStyle name="Normal 42 19" xfId="2246"/>
    <cellStyle name="Normal 42 19 2" xfId="17278"/>
    <cellStyle name="Normal 42 19 2 2" xfId="44286"/>
    <cellStyle name="Normal 42 19 3" xfId="30782"/>
    <cellStyle name="Normal 42 2" xfId="364"/>
    <cellStyle name="Normal 42 2 2" xfId="15666"/>
    <cellStyle name="Normal 42 2 2 2" xfId="42674"/>
    <cellStyle name="Normal 42 2 3" xfId="29170"/>
    <cellStyle name="Normal 42 20" xfId="2352"/>
    <cellStyle name="Normal 42 20 2" xfId="17370"/>
    <cellStyle name="Normal 42 20 2 2" xfId="44378"/>
    <cellStyle name="Normal 42 20 3" xfId="30874"/>
    <cellStyle name="Normal 42 21" xfId="2458"/>
    <cellStyle name="Normal 42 21 2" xfId="17462"/>
    <cellStyle name="Normal 42 21 2 2" xfId="44470"/>
    <cellStyle name="Normal 42 21 3" xfId="30966"/>
    <cellStyle name="Normal 42 22" xfId="2564"/>
    <cellStyle name="Normal 42 22 2" xfId="17554"/>
    <cellStyle name="Normal 42 22 2 2" xfId="44562"/>
    <cellStyle name="Normal 42 22 3" xfId="31058"/>
    <cellStyle name="Normal 42 23" xfId="2670"/>
    <cellStyle name="Normal 42 23 2" xfId="17646"/>
    <cellStyle name="Normal 42 23 2 2" xfId="44654"/>
    <cellStyle name="Normal 42 23 3" xfId="31150"/>
    <cellStyle name="Normal 42 24" xfId="2776"/>
    <cellStyle name="Normal 42 24 2" xfId="17738"/>
    <cellStyle name="Normal 42 24 2 2" xfId="44746"/>
    <cellStyle name="Normal 42 24 3" xfId="31242"/>
    <cellStyle name="Normal 42 25" xfId="2882"/>
    <cellStyle name="Normal 42 25 2" xfId="17830"/>
    <cellStyle name="Normal 42 25 2 2" xfId="44838"/>
    <cellStyle name="Normal 42 25 3" xfId="31334"/>
    <cellStyle name="Normal 42 26" xfId="2988"/>
    <cellStyle name="Normal 42 26 2" xfId="17922"/>
    <cellStyle name="Normal 42 26 2 2" xfId="44930"/>
    <cellStyle name="Normal 42 26 3" xfId="31426"/>
    <cellStyle name="Normal 42 27" xfId="3094"/>
    <cellStyle name="Normal 42 27 2" xfId="18014"/>
    <cellStyle name="Normal 42 27 2 2" xfId="45022"/>
    <cellStyle name="Normal 42 27 3" xfId="31518"/>
    <cellStyle name="Normal 42 28" xfId="3200"/>
    <cellStyle name="Normal 42 28 2" xfId="18106"/>
    <cellStyle name="Normal 42 28 2 2" xfId="45114"/>
    <cellStyle name="Normal 42 28 3" xfId="31610"/>
    <cellStyle name="Normal 42 29" xfId="3306"/>
    <cellStyle name="Normal 42 29 2" xfId="18198"/>
    <cellStyle name="Normal 42 29 2 2" xfId="45206"/>
    <cellStyle name="Normal 42 29 3" xfId="31702"/>
    <cellStyle name="Normal 42 3" xfId="551"/>
    <cellStyle name="Normal 42 3 2" xfId="15807"/>
    <cellStyle name="Normal 42 3 2 2" xfId="42815"/>
    <cellStyle name="Normal 42 3 3" xfId="29311"/>
    <cellStyle name="Normal 42 30" xfId="3412"/>
    <cellStyle name="Normal 42 30 2" xfId="18290"/>
    <cellStyle name="Normal 42 30 2 2" xfId="45298"/>
    <cellStyle name="Normal 42 30 3" xfId="31794"/>
    <cellStyle name="Normal 42 31" xfId="3518"/>
    <cellStyle name="Normal 42 31 2" xfId="18382"/>
    <cellStyle name="Normal 42 31 2 2" xfId="45390"/>
    <cellStyle name="Normal 42 31 3" xfId="31886"/>
    <cellStyle name="Normal 42 32" xfId="3624"/>
    <cellStyle name="Normal 42 32 2" xfId="18474"/>
    <cellStyle name="Normal 42 32 2 2" xfId="45482"/>
    <cellStyle name="Normal 42 32 3" xfId="31978"/>
    <cellStyle name="Normal 42 33" xfId="3730"/>
    <cellStyle name="Normal 42 33 2" xfId="18566"/>
    <cellStyle name="Normal 42 33 2 2" xfId="45574"/>
    <cellStyle name="Normal 42 33 3" xfId="32070"/>
    <cellStyle name="Normal 42 34" xfId="3836"/>
    <cellStyle name="Normal 42 34 2" xfId="18658"/>
    <cellStyle name="Normal 42 34 2 2" xfId="45666"/>
    <cellStyle name="Normal 42 34 3" xfId="32162"/>
    <cellStyle name="Normal 42 35" xfId="3942"/>
    <cellStyle name="Normal 42 35 2" xfId="18750"/>
    <cellStyle name="Normal 42 35 2 2" xfId="45758"/>
    <cellStyle name="Normal 42 35 3" xfId="32254"/>
    <cellStyle name="Normal 42 36" xfId="4048"/>
    <cellStyle name="Normal 42 36 2" xfId="18842"/>
    <cellStyle name="Normal 42 36 2 2" xfId="45850"/>
    <cellStyle name="Normal 42 36 3" xfId="32346"/>
    <cellStyle name="Normal 42 37" xfId="4154"/>
    <cellStyle name="Normal 42 37 2" xfId="18934"/>
    <cellStyle name="Normal 42 37 2 2" xfId="45942"/>
    <cellStyle name="Normal 42 37 3" xfId="32438"/>
    <cellStyle name="Normal 42 38" xfId="4260"/>
    <cellStyle name="Normal 42 38 2" xfId="19026"/>
    <cellStyle name="Normal 42 38 2 2" xfId="46034"/>
    <cellStyle name="Normal 42 38 3" xfId="32530"/>
    <cellStyle name="Normal 42 39" xfId="4366"/>
    <cellStyle name="Normal 42 39 2" xfId="19118"/>
    <cellStyle name="Normal 42 39 2 2" xfId="46126"/>
    <cellStyle name="Normal 42 39 3" xfId="32622"/>
    <cellStyle name="Normal 42 4" xfId="656"/>
    <cellStyle name="Normal 42 4 2" xfId="15898"/>
    <cellStyle name="Normal 42 4 2 2" xfId="42906"/>
    <cellStyle name="Normal 42 4 3" xfId="29402"/>
    <cellStyle name="Normal 42 40" xfId="4472"/>
    <cellStyle name="Normal 42 40 2" xfId="19210"/>
    <cellStyle name="Normal 42 40 2 2" xfId="46218"/>
    <cellStyle name="Normal 42 40 3" xfId="32714"/>
    <cellStyle name="Normal 42 41" xfId="4578"/>
    <cellStyle name="Normal 42 41 2" xfId="19302"/>
    <cellStyle name="Normal 42 41 2 2" xfId="46310"/>
    <cellStyle name="Normal 42 41 3" xfId="32806"/>
    <cellStyle name="Normal 42 42" xfId="4684"/>
    <cellStyle name="Normal 42 42 2" xfId="19394"/>
    <cellStyle name="Normal 42 42 2 2" xfId="46402"/>
    <cellStyle name="Normal 42 42 3" xfId="32898"/>
    <cellStyle name="Normal 42 43" xfId="4790"/>
    <cellStyle name="Normal 42 43 2" xfId="19486"/>
    <cellStyle name="Normal 42 43 2 2" xfId="46494"/>
    <cellStyle name="Normal 42 43 3" xfId="32990"/>
    <cellStyle name="Normal 42 44" xfId="4896"/>
    <cellStyle name="Normal 42 44 2" xfId="19578"/>
    <cellStyle name="Normal 42 44 2 2" xfId="46586"/>
    <cellStyle name="Normal 42 44 3" xfId="33082"/>
    <cellStyle name="Normal 42 45" xfId="5002"/>
    <cellStyle name="Normal 42 45 2" xfId="19670"/>
    <cellStyle name="Normal 42 45 2 2" xfId="46678"/>
    <cellStyle name="Normal 42 45 3" xfId="33174"/>
    <cellStyle name="Normal 42 46" xfId="5108"/>
    <cellStyle name="Normal 42 46 2" xfId="19762"/>
    <cellStyle name="Normal 42 46 2 2" xfId="46770"/>
    <cellStyle name="Normal 42 46 3" xfId="33266"/>
    <cellStyle name="Normal 42 47" xfId="5214"/>
    <cellStyle name="Normal 42 47 2" xfId="19854"/>
    <cellStyle name="Normal 42 47 2 2" xfId="46862"/>
    <cellStyle name="Normal 42 47 3" xfId="33358"/>
    <cellStyle name="Normal 42 48" xfId="5320"/>
    <cellStyle name="Normal 42 48 2" xfId="19946"/>
    <cellStyle name="Normal 42 48 2 2" xfId="46954"/>
    <cellStyle name="Normal 42 48 3" xfId="33450"/>
    <cellStyle name="Normal 42 49" xfId="5426"/>
    <cellStyle name="Normal 42 49 2" xfId="20038"/>
    <cellStyle name="Normal 42 49 2 2" xfId="47046"/>
    <cellStyle name="Normal 42 49 3" xfId="33542"/>
    <cellStyle name="Normal 42 5" xfId="762"/>
    <cellStyle name="Normal 42 5 2" xfId="15990"/>
    <cellStyle name="Normal 42 5 2 2" xfId="42998"/>
    <cellStyle name="Normal 42 5 3" xfId="29494"/>
    <cellStyle name="Normal 42 50" xfId="5532"/>
    <cellStyle name="Normal 42 50 2" xfId="20130"/>
    <cellStyle name="Normal 42 50 2 2" xfId="47138"/>
    <cellStyle name="Normal 42 50 3" xfId="33634"/>
    <cellStyle name="Normal 42 51" xfId="5638"/>
    <cellStyle name="Normal 42 51 2" xfId="20222"/>
    <cellStyle name="Normal 42 51 2 2" xfId="47230"/>
    <cellStyle name="Normal 42 51 3" xfId="33726"/>
    <cellStyle name="Normal 42 52" xfId="5744"/>
    <cellStyle name="Normal 42 52 2" xfId="20314"/>
    <cellStyle name="Normal 42 52 2 2" xfId="47322"/>
    <cellStyle name="Normal 42 52 3" xfId="33818"/>
    <cellStyle name="Normal 42 53" xfId="5850"/>
    <cellStyle name="Normal 42 53 2" xfId="20406"/>
    <cellStyle name="Normal 42 53 2 2" xfId="47414"/>
    <cellStyle name="Normal 42 53 3" xfId="33910"/>
    <cellStyle name="Normal 42 54" xfId="5956"/>
    <cellStyle name="Normal 42 54 2" xfId="20498"/>
    <cellStyle name="Normal 42 54 2 2" xfId="47506"/>
    <cellStyle name="Normal 42 54 3" xfId="34002"/>
    <cellStyle name="Normal 42 55" xfId="6062"/>
    <cellStyle name="Normal 42 55 2" xfId="20590"/>
    <cellStyle name="Normal 42 55 2 2" xfId="47598"/>
    <cellStyle name="Normal 42 55 3" xfId="34094"/>
    <cellStyle name="Normal 42 56" xfId="6168"/>
    <cellStyle name="Normal 42 56 2" xfId="20682"/>
    <cellStyle name="Normal 42 56 2 2" xfId="47690"/>
    <cellStyle name="Normal 42 56 3" xfId="34186"/>
    <cellStyle name="Normal 42 57" xfId="6274"/>
    <cellStyle name="Normal 42 57 2" xfId="20774"/>
    <cellStyle name="Normal 42 57 2 2" xfId="47782"/>
    <cellStyle name="Normal 42 57 3" xfId="34278"/>
    <cellStyle name="Normal 42 58" xfId="6380"/>
    <cellStyle name="Normal 42 58 2" xfId="20866"/>
    <cellStyle name="Normal 42 58 2 2" xfId="47874"/>
    <cellStyle name="Normal 42 58 3" xfId="34370"/>
    <cellStyle name="Normal 42 59" xfId="6486"/>
    <cellStyle name="Normal 42 59 2" xfId="20958"/>
    <cellStyle name="Normal 42 59 2 2" xfId="47966"/>
    <cellStyle name="Normal 42 59 3" xfId="34462"/>
    <cellStyle name="Normal 42 6" xfId="868"/>
    <cellStyle name="Normal 42 6 2" xfId="16082"/>
    <cellStyle name="Normal 42 6 2 2" xfId="43090"/>
    <cellStyle name="Normal 42 6 3" xfId="29586"/>
    <cellStyle name="Normal 42 60" xfId="6592"/>
    <cellStyle name="Normal 42 60 2" xfId="21050"/>
    <cellStyle name="Normal 42 60 2 2" xfId="48058"/>
    <cellStyle name="Normal 42 60 3" xfId="34554"/>
    <cellStyle name="Normal 42 61" xfId="6697"/>
    <cellStyle name="Normal 42 61 2" xfId="21141"/>
    <cellStyle name="Normal 42 61 2 2" xfId="48149"/>
    <cellStyle name="Normal 42 61 3" xfId="34645"/>
    <cellStyle name="Normal 42 62" xfId="6802"/>
    <cellStyle name="Normal 42 62 2" xfId="21232"/>
    <cellStyle name="Normal 42 62 2 2" xfId="48240"/>
    <cellStyle name="Normal 42 62 3" xfId="34736"/>
    <cellStyle name="Normal 42 63" xfId="6907"/>
    <cellStyle name="Normal 42 63 2" xfId="21323"/>
    <cellStyle name="Normal 42 63 2 2" xfId="48331"/>
    <cellStyle name="Normal 42 63 3" xfId="34827"/>
    <cellStyle name="Normal 42 64" xfId="7012"/>
    <cellStyle name="Normal 42 64 2" xfId="21414"/>
    <cellStyle name="Normal 42 64 2 2" xfId="48422"/>
    <cellStyle name="Normal 42 64 3" xfId="34918"/>
    <cellStyle name="Normal 42 65" xfId="7116"/>
    <cellStyle name="Normal 42 65 2" xfId="21504"/>
    <cellStyle name="Normal 42 65 2 2" xfId="48512"/>
    <cellStyle name="Normal 42 65 3" xfId="35008"/>
    <cellStyle name="Normal 42 66" xfId="7220"/>
    <cellStyle name="Normal 42 66 2" xfId="21594"/>
    <cellStyle name="Normal 42 66 2 2" xfId="48602"/>
    <cellStyle name="Normal 42 66 3" xfId="35098"/>
    <cellStyle name="Normal 42 67" xfId="7323"/>
    <cellStyle name="Normal 42 67 2" xfId="21683"/>
    <cellStyle name="Normal 42 67 2 2" xfId="48691"/>
    <cellStyle name="Normal 42 67 3" xfId="35187"/>
    <cellStyle name="Normal 42 68" xfId="7423"/>
    <cellStyle name="Normal 42 68 2" xfId="21770"/>
    <cellStyle name="Normal 42 68 2 2" xfId="48778"/>
    <cellStyle name="Normal 42 68 3" xfId="35274"/>
    <cellStyle name="Normal 42 69" xfId="7521"/>
    <cellStyle name="Normal 42 69 2" xfId="21855"/>
    <cellStyle name="Normal 42 69 2 2" xfId="48863"/>
    <cellStyle name="Normal 42 69 3" xfId="35359"/>
    <cellStyle name="Normal 42 7" xfId="974"/>
    <cellStyle name="Normal 42 7 2" xfId="16174"/>
    <cellStyle name="Normal 42 7 2 2" xfId="43182"/>
    <cellStyle name="Normal 42 7 3" xfId="29678"/>
    <cellStyle name="Normal 42 70" xfId="7610"/>
    <cellStyle name="Normal 42 70 2" xfId="21933"/>
    <cellStyle name="Normal 42 70 2 2" xfId="48941"/>
    <cellStyle name="Normal 42 70 3" xfId="35437"/>
    <cellStyle name="Normal 42 71" xfId="7686"/>
    <cellStyle name="Normal 42 71 2" xfId="22002"/>
    <cellStyle name="Normal 42 71 2 2" xfId="49010"/>
    <cellStyle name="Normal 42 71 3" xfId="35506"/>
    <cellStyle name="Normal 42 72" xfId="7865"/>
    <cellStyle name="Normal 42 72 2" xfId="22155"/>
    <cellStyle name="Normal 42 72 2 2" xfId="49163"/>
    <cellStyle name="Normal 42 72 3" xfId="35659"/>
    <cellStyle name="Normal 42 73" xfId="8007"/>
    <cellStyle name="Normal 42 73 2" xfId="22283"/>
    <cellStyle name="Normal 42 73 2 2" xfId="49291"/>
    <cellStyle name="Normal 42 73 3" xfId="35787"/>
    <cellStyle name="Normal 42 74" xfId="8149"/>
    <cellStyle name="Normal 42 74 2" xfId="22411"/>
    <cellStyle name="Normal 42 74 2 2" xfId="49419"/>
    <cellStyle name="Normal 42 74 3" xfId="35915"/>
    <cellStyle name="Normal 42 75" xfId="8291"/>
    <cellStyle name="Normal 42 75 2" xfId="22539"/>
    <cellStyle name="Normal 42 75 2 2" xfId="49547"/>
    <cellStyle name="Normal 42 75 3" xfId="36043"/>
    <cellStyle name="Normal 42 76" xfId="8433"/>
    <cellStyle name="Normal 42 76 2" xfId="22667"/>
    <cellStyle name="Normal 42 76 2 2" xfId="49675"/>
    <cellStyle name="Normal 42 76 3" xfId="36171"/>
    <cellStyle name="Normal 42 77" xfId="8575"/>
    <cellStyle name="Normal 42 77 2" xfId="22795"/>
    <cellStyle name="Normal 42 77 2 2" xfId="49803"/>
    <cellStyle name="Normal 42 77 3" xfId="36299"/>
    <cellStyle name="Normal 42 78" xfId="8717"/>
    <cellStyle name="Normal 42 78 2" xfId="22923"/>
    <cellStyle name="Normal 42 78 2 2" xfId="49931"/>
    <cellStyle name="Normal 42 78 3" xfId="36427"/>
    <cellStyle name="Normal 42 79" xfId="8859"/>
    <cellStyle name="Normal 42 79 2" xfId="23051"/>
    <cellStyle name="Normal 42 79 2 2" xfId="50059"/>
    <cellStyle name="Normal 42 79 3" xfId="36555"/>
    <cellStyle name="Normal 42 8" xfId="1080"/>
    <cellStyle name="Normal 42 8 2" xfId="16266"/>
    <cellStyle name="Normal 42 8 2 2" xfId="43274"/>
    <cellStyle name="Normal 42 8 3" xfId="29770"/>
    <cellStyle name="Normal 42 80" xfId="9001"/>
    <cellStyle name="Normal 42 80 2" xfId="23179"/>
    <cellStyle name="Normal 42 80 2 2" xfId="50187"/>
    <cellStyle name="Normal 42 80 3" xfId="36683"/>
    <cellStyle name="Normal 42 81" xfId="9143"/>
    <cellStyle name="Normal 42 81 2" xfId="23307"/>
    <cellStyle name="Normal 42 81 2 2" xfId="50315"/>
    <cellStyle name="Normal 42 81 3" xfId="36811"/>
    <cellStyle name="Normal 42 82" xfId="9285"/>
    <cellStyle name="Normal 42 82 2" xfId="23435"/>
    <cellStyle name="Normal 42 82 2 2" xfId="50443"/>
    <cellStyle name="Normal 42 82 3" xfId="36939"/>
    <cellStyle name="Normal 42 83" xfId="9427"/>
    <cellStyle name="Normal 42 83 2" xfId="23563"/>
    <cellStyle name="Normal 42 83 2 2" xfId="50571"/>
    <cellStyle name="Normal 42 83 3" xfId="37067"/>
    <cellStyle name="Normal 42 84" xfId="9569"/>
    <cellStyle name="Normal 42 84 2" xfId="23691"/>
    <cellStyle name="Normal 42 84 2 2" xfId="50699"/>
    <cellStyle name="Normal 42 84 3" xfId="37195"/>
    <cellStyle name="Normal 42 85" xfId="9711"/>
    <cellStyle name="Normal 42 85 2" xfId="23819"/>
    <cellStyle name="Normal 42 85 2 2" xfId="50827"/>
    <cellStyle name="Normal 42 85 3" xfId="37323"/>
    <cellStyle name="Normal 42 86" xfId="9853"/>
    <cellStyle name="Normal 42 86 2" xfId="23947"/>
    <cellStyle name="Normal 42 86 2 2" xfId="50955"/>
    <cellStyle name="Normal 42 86 3" xfId="37451"/>
    <cellStyle name="Normal 42 87" xfId="9995"/>
    <cellStyle name="Normal 42 87 2" xfId="24075"/>
    <cellStyle name="Normal 42 87 2 2" xfId="51083"/>
    <cellStyle name="Normal 42 87 3" xfId="37579"/>
    <cellStyle name="Normal 42 88" xfId="10137"/>
    <cellStyle name="Normal 42 88 2" xfId="24203"/>
    <cellStyle name="Normal 42 88 2 2" xfId="51211"/>
    <cellStyle name="Normal 42 88 3" xfId="37707"/>
    <cellStyle name="Normal 42 89" xfId="10279"/>
    <cellStyle name="Normal 42 89 2" xfId="24331"/>
    <cellStyle name="Normal 42 89 2 2" xfId="51339"/>
    <cellStyle name="Normal 42 89 3" xfId="37835"/>
    <cellStyle name="Normal 42 9" xfId="1186"/>
    <cellStyle name="Normal 42 9 2" xfId="16358"/>
    <cellStyle name="Normal 42 9 2 2" xfId="43366"/>
    <cellStyle name="Normal 42 9 3" xfId="29862"/>
    <cellStyle name="Normal 42 90" xfId="10421"/>
    <cellStyle name="Normal 42 90 2" xfId="24459"/>
    <cellStyle name="Normal 42 90 2 2" xfId="51467"/>
    <cellStyle name="Normal 42 90 3" xfId="37963"/>
    <cellStyle name="Normal 42 91" xfId="10563"/>
    <cellStyle name="Normal 42 91 2" xfId="24587"/>
    <cellStyle name="Normal 42 91 2 2" xfId="51595"/>
    <cellStyle name="Normal 42 91 3" xfId="38091"/>
    <cellStyle name="Normal 42 92" xfId="10705"/>
    <cellStyle name="Normal 42 92 2" xfId="24715"/>
    <cellStyle name="Normal 42 92 2 2" xfId="51723"/>
    <cellStyle name="Normal 42 92 3" xfId="38219"/>
    <cellStyle name="Normal 42 93" xfId="10847"/>
    <cellStyle name="Normal 42 93 2" xfId="24843"/>
    <cellStyle name="Normal 42 93 2 2" xfId="51851"/>
    <cellStyle name="Normal 42 93 3" xfId="38347"/>
    <cellStyle name="Normal 42 94" xfId="10989"/>
    <cellStyle name="Normal 42 94 2" xfId="24971"/>
    <cellStyle name="Normal 42 94 2 2" xfId="51979"/>
    <cellStyle name="Normal 42 94 3" xfId="38475"/>
    <cellStyle name="Normal 42 95" xfId="11131"/>
    <cellStyle name="Normal 42 95 2" xfId="25099"/>
    <cellStyle name="Normal 42 95 2 2" xfId="52107"/>
    <cellStyle name="Normal 42 95 3" xfId="38603"/>
    <cellStyle name="Normal 42 96" xfId="11273"/>
    <cellStyle name="Normal 42 96 2" xfId="25227"/>
    <cellStyle name="Normal 42 96 2 2" xfId="52235"/>
    <cellStyle name="Normal 42 96 3" xfId="38731"/>
    <cellStyle name="Normal 42 97" xfId="11415"/>
    <cellStyle name="Normal 42 97 2" xfId="25355"/>
    <cellStyle name="Normal 42 97 2 2" xfId="52363"/>
    <cellStyle name="Normal 42 97 3" xfId="38859"/>
    <cellStyle name="Normal 42 98" xfId="11557"/>
    <cellStyle name="Normal 42 98 2" xfId="25483"/>
    <cellStyle name="Normal 42 98 2 2" xfId="52491"/>
    <cellStyle name="Normal 42 98 3" xfId="38987"/>
    <cellStyle name="Normal 42 99" xfId="11699"/>
    <cellStyle name="Normal 42 99 2" xfId="25611"/>
    <cellStyle name="Normal 42 99 2 2" xfId="52619"/>
    <cellStyle name="Normal 42 99 3" xfId="39115"/>
    <cellStyle name="Normal 420" xfId="56749"/>
    <cellStyle name="Normal 421" xfId="56752"/>
    <cellStyle name="Normal 422" xfId="56755"/>
    <cellStyle name="Normal 423" xfId="56758"/>
    <cellStyle name="Normal 424" xfId="56761"/>
    <cellStyle name="Normal 425" xfId="56764"/>
    <cellStyle name="Normal 426" xfId="56767"/>
    <cellStyle name="Normal 427" xfId="56770"/>
    <cellStyle name="Normal 428" xfId="56773"/>
    <cellStyle name="Normal 429" xfId="56776"/>
    <cellStyle name="Normal 43" xfId="188"/>
    <cellStyle name="Normal 43 10" xfId="1293"/>
    <cellStyle name="Normal 43 10 2" xfId="16451"/>
    <cellStyle name="Normal 43 10 2 2" xfId="43459"/>
    <cellStyle name="Normal 43 10 3" xfId="29955"/>
    <cellStyle name="Normal 43 100" xfId="11842"/>
    <cellStyle name="Normal 43 100 2" xfId="25740"/>
    <cellStyle name="Normal 43 100 2 2" xfId="52748"/>
    <cellStyle name="Normal 43 100 3" xfId="39244"/>
    <cellStyle name="Normal 43 101" xfId="11984"/>
    <cellStyle name="Normal 43 101 2" xfId="25868"/>
    <cellStyle name="Normal 43 101 2 2" xfId="52876"/>
    <cellStyle name="Normal 43 101 3" xfId="39372"/>
    <cellStyle name="Normal 43 102" xfId="12126"/>
    <cellStyle name="Normal 43 102 2" xfId="25996"/>
    <cellStyle name="Normal 43 102 2 2" xfId="53004"/>
    <cellStyle name="Normal 43 102 3" xfId="39500"/>
    <cellStyle name="Normal 43 103" xfId="12268"/>
    <cellStyle name="Normal 43 103 2" xfId="26124"/>
    <cellStyle name="Normal 43 103 2 2" xfId="53132"/>
    <cellStyle name="Normal 43 103 3" xfId="39628"/>
    <cellStyle name="Normal 43 104" xfId="12410"/>
    <cellStyle name="Normal 43 104 2" xfId="26252"/>
    <cellStyle name="Normal 43 104 2 2" xfId="53260"/>
    <cellStyle name="Normal 43 104 3" xfId="39756"/>
    <cellStyle name="Normal 43 105" xfId="12552"/>
    <cellStyle name="Normal 43 105 2" xfId="26380"/>
    <cellStyle name="Normal 43 105 2 2" xfId="53388"/>
    <cellStyle name="Normal 43 105 3" xfId="39884"/>
    <cellStyle name="Normal 43 106" xfId="12694"/>
    <cellStyle name="Normal 43 106 2" xfId="26508"/>
    <cellStyle name="Normal 43 106 2 2" xfId="53516"/>
    <cellStyle name="Normal 43 106 3" xfId="40012"/>
    <cellStyle name="Normal 43 107" xfId="12836"/>
    <cellStyle name="Normal 43 107 2" xfId="26636"/>
    <cellStyle name="Normal 43 107 2 2" xfId="53644"/>
    <cellStyle name="Normal 43 107 3" xfId="40140"/>
    <cellStyle name="Normal 43 108" xfId="12978"/>
    <cellStyle name="Normal 43 108 2" xfId="26764"/>
    <cellStyle name="Normal 43 108 2 2" xfId="53772"/>
    <cellStyle name="Normal 43 108 3" xfId="40268"/>
    <cellStyle name="Normal 43 109" xfId="13120"/>
    <cellStyle name="Normal 43 109 2" xfId="26892"/>
    <cellStyle name="Normal 43 109 2 2" xfId="53900"/>
    <cellStyle name="Normal 43 109 3" xfId="40396"/>
    <cellStyle name="Normal 43 11" xfId="1399"/>
    <cellStyle name="Normal 43 11 2" xfId="16543"/>
    <cellStyle name="Normal 43 11 2 2" xfId="43551"/>
    <cellStyle name="Normal 43 11 3" xfId="30047"/>
    <cellStyle name="Normal 43 110" xfId="13262"/>
    <cellStyle name="Normal 43 110 2" xfId="27020"/>
    <cellStyle name="Normal 43 110 2 2" xfId="54028"/>
    <cellStyle name="Normal 43 110 3" xfId="40524"/>
    <cellStyle name="Normal 43 111" xfId="13404"/>
    <cellStyle name="Normal 43 111 2" xfId="27148"/>
    <cellStyle name="Normal 43 111 2 2" xfId="54156"/>
    <cellStyle name="Normal 43 111 3" xfId="40652"/>
    <cellStyle name="Normal 43 112" xfId="13546"/>
    <cellStyle name="Normal 43 112 2" xfId="27276"/>
    <cellStyle name="Normal 43 112 2 2" xfId="54284"/>
    <cellStyle name="Normal 43 112 3" xfId="40780"/>
    <cellStyle name="Normal 43 113" xfId="13688"/>
    <cellStyle name="Normal 43 113 2" xfId="27404"/>
    <cellStyle name="Normal 43 113 2 2" xfId="54412"/>
    <cellStyle name="Normal 43 113 3" xfId="40908"/>
    <cellStyle name="Normal 43 114" xfId="13830"/>
    <cellStyle name="Normal 43 114 2" xfId="27532"/>
    <cellStyle name="Normal 43 114 2 2" xfId="54540"/>
    <cellStyle name="Normal 43 114 3" xfId="41036"/>
    <cellStyle name="Normal 43 115" xfId="13971"/>
    <cellStyle name="Normal 43 115 2" xfId="27659"/>
    <cellStyle name="Normal 43 115 2 2" xfId="54667"/>
    <cellStyle name="Normal 43 115 3" xfId="41163"/>
    <cellStyle name="Normal 43 116" xfId="14112"/>
    <cellStyle name="Normal 43 116 2" xfId="27786"/>
    <cellStyle name="Normal 43 116 2 2" xfId="54794"/>
    <cellStyle name="Normal 43 116 3" xfId="41290"/>
    <cellStyle name="Normal 43 117" xfId="14253"/>
    <cellStyle name="Normal 43 117 2" xfId="27913"/>
    <cellStyle name="Normal 43 117 2 2" xfId="54921"/>
    <cellStyle name="Normal 43 117 3" xfId="41417"/>
    <cellStyle name="Normal 43 118" xfId="14394"/>
    <cellStyle name="Normal 43 118 2" xfId="28040"/>
    <cellStyle name="Normal 43 118 2 2" xfId="55048"/>
    <cellStyle name="Normal 43 118 3" xfId="41544"/>
    <cellStyle name="Normal 43 119" xfId="14534"/>
    <cellStyle name="Normal 43 119 2" xfId="28166"/>
    <cellStyle name="Normal 43 119 2 2" xfId="55174"/>
    <cellStyle name="Normal 43 119 3" xfId="41670"/>
    <cellStyle name="Normal 43 12" xfId="1505"/>
    <cellStyle name="Normal 43 12 2" xfId="16635"/>
    <cellStyle name="Normal 43 12 2 2" xfId="43643"/>
    <cellStyle name="Normal 43 12 3" xfId="30139"/>
    <cellStyle name="Normal 43 120" xfId="14674"/>
    <cellStyle name="Normal 43 120 2" xfId="28292"/>
    <cellStyle name="Normal 43 120 2 2" xfId="55300"/>
    <cellStyle name="Normal 43 120 3" xfId="41796"/>
    <cellStyle name="Normal 43 121" xfId="14813"/>
    <cellStyle name="Normal 43 121 2" xfId="28417"/>
    <cellStyle name="Normal 43 121 2 2" xfId="55425"/>
    <cellStyle name="Normal 43 121 3" xfId="41921"/>
    <cellStyle name="Normal 43 122" xfId="14948"/>
    <cellStyle name="Normal 43 122 2" xfId="28539"/>
    <cellStyle name="Normal 43 122 2 2" xfId="55547"/>
    <cellStyle name="Normal 43 122 3" xfId="42043"/>
    <cellStyle name="Normal 43 123" xfId="15082"/>
    <cellStyle name="Normal 43 123 2" xfId="28660"/>
    <cellStyle name="Normal 43 123 2 2" xfId="55668"/>
    <cellStyle name="Normal 43 123 3" xfId="42164"/>
    <cellStyle name="Normal 43 124" xfId="15209"/>
    <cellStyle name="Normal 43 124 2" xfId="28776"/>
    <cellStyle name="Normal 43 124 2 2" xfId="55784"/>
    <cellStyle name="Normal 43 124 3" xfId="42280"/>
    <cellStyle name="Normal 43 125" xfId="15329"/>
    <cellStyle name="Normal 43 125 2" xfId="28889"/>
    <cellStyle name="Normal 43 125 2 2" xfId="55897"/>
    <cellStyle name="Normal 43 125 3" xfId="42393"/>
    <cellStyle name="Normal 43 126" xfId="15544"/>
    <cellStyle name="Normal 43 126 2" xfId="42552"/>
    <cellStyle name="Normal 43 127" xfId="29048"/>
    <cellStyle name="Normal 43 13" xfId="1611"/>
    <cellStyle name="Normal 43 13 2" xfId="16727"/>
    <cellStyle name="Normal 43 13 2 2" xfId="43735"/>
    <cellStyle name="Normal 43 13 3" xfId="30231"/>
    <cellStyle name="Normal 43 14" xfId="1717"/>
    <cellStyle name="Normal 43 14 2" xfId="16819"/>
    <cellStyle name="Normal 43 14 2 2" xfId="43827"/>
    <cellStyle name="Normal 43 14 3" xfId="30323"/>
    <cellStyle name="Normal 43 15" xfId="1823"/>
    <cellStyle name="Normal 43 15 2" xfId="16911"/>
    <cellStyle name="Normal 43 15 2 2" xfId="43919"/>
    <cellStyle name="Normal 43 15 3" xfId="30415"/>
    <cellStyle name="Normal 43 16" xfId="1929"/>
    <cellStyle name="Normal 43 16 2" xfId="17003"/>
    <cellStyle name="Normal 43 16 2 2" xfId="44011"/>
    <cellStyle name="Normal 43 16 3" xfId="30507"/>
    <cellStyle name="Normal 43 17" xfId="2035"/>
    <cellStyle name="Normal 43 17 2" xfId="17095"/>
    <cellStyle name="Normal 43 17 2 2" xfId="44103"/>
    <cellStyle name="Normal 43 17 3" xfId="30599"/>
    <cellStyle name="Normal 43 18" xfId="2141"/>
    <cellStyle name="Normal 43 18 2" xfId="17187"/>
    <cellStyle name="Normal 43 18 2 2" xfId="44195"/>
    <cellStyle name="Normal 43 18 3" xfId="30691"/>
    <cellStyle name="Normal 43 19" xfId="2247"/>
    <cellStyle name="Normal 43 19 2" xfId="17279"/>
    <cellStyle name="Normal 43 19 2 2" xfId="44287"/>
    <cellStyle name="Normal 43 19 3" xfId="30783"/>
    <cellStyle name="Normal 43 2" xfId="365"/>
    <cellStyle name="Normal 43 2 2" xfId="15667"/>
    <cellStyle name="Normal 43 2 2 2" xfId="42675"/>
    <cellStyle name="Normal 43 2 3" xfId="29171"/>
    <cellStyle name="Normal 43 20" xfId="2353"/>
    <cellStyle name="Normal 43 20 2" xfId="17371"/>
    <cellStyle name="Normal 43 20 2 2" xfId="44379"/>
    <cellStyle name="Normal 43 20 3" xfId="30875"/>
    <cellStyle name="Normal 43 21" xfId="2459"/>
    <cellStyle name="Normal 43 21 2" xfId="17463"/>
    <cellStyle name="Normal 43 21 2 2" xfId="44471"/>
    <cellStyle name="Normal 43 21 3" xfId="30967"/>
    <cellStyle name="Normal 43 22" xfId="2565"/>
    <cellStyle name="Normal 43 22 2" xfId="17555"/>
    <cellStyle name="Normal 43 22 2 2" xfId="44563"/>
    <cellStyle name="Normal 43 22 3" xfId="31059"/>
    <cellStyle name="Normal 43 23" xfId="2671"/>
    <cellStyle name="Normal 43 23 2" xfId="17647"/>
    <cellStyle name="Normal 43 23 2 2" xfId="44655"/>
    <cellStyle name="Normal 43 23 3" xfId="31151"/>
    <cellStyle name="Normal 43 24" xfId="2777"/>
    <cellStyle name="Normal 43 24 2" xfId="17739"/>
    <cellStyle name="Normal 43 24 2 2" xfId="44747"/>
    <cellStyle name="Normal 43 24 3" xfId="31243"/>
    <cellStyle name="Normal 43 25" xfId="2883"/>
    <cellStyle name="Normal 43 25 2" xfId="17831"/>
    <cellStyle name="Normal 43 25 2 2" xfId="44839"/>
    <cellStyle name="Normal 43 25 3" xfId="31335"/>
    <cellStyle name="Normal 43 26" xfId="2989"/>
    <cellStyle name="Normal 43 26 2" xfId="17923"/>
    <cellStyle name="Normal 43 26 2 2" xfId="44931"/>
    <cellStyle name="Normal 43 26 3" xfId="31427"/>
    <cellStyle name="Normal 43 27" xfId="3095"/>
    <cellStyle name="Normal 43 27 2" xfId="18015"/>
    <cellStyle name="Normal 43 27 2 2" xfId="45023"/>
    <cellStyle name="Normal 43 27 3" xfId="31519"/>
    <cellStyle name="Normal 43 28" xfId="3201"/>
    <cellStyle name="Normal 43 28 2" xfId="18107"/>
    <cellStyle name="Normal 43 28 2 2" xfId="45115"/>
    <cellStyle name="Normal 43 28 3" xfId="31611"/>
    <cellStyle name="Normal 43 29" xfId="3307"/>
    <cellStyle name="Normal 43 29 2" xfId="18199"/>
    <cellStyle name="Normal 43 29 2 2" xfId="45207"/>
    <cellStyle name="Normal 43 29 3" xfId="31703"/>
    <cellStyle name="Normal 43 3" xfId="552"/>
    <cellStyle name="Normal 43 3 2" xfId="15808"/>
    <cellStyle name="Normal 43 3 2 2" xfId="42816"/>
    <cellStyle name="Normal 43 3 3" xfId="29312"/>
    <cellStyle name="Normal 43 30" xfId="3413"/>
    <cellStyle name="Normal 43 30 2" xfId="18291"/>
    <cellStyle name="Normal 43 30 2 2" xfId="45299"/>
    <cellStyle name="Normal 43 30 3" xfId="31795"/>
    <cellStyle name="Normal 43 31" xfId="3519"/>
    <cellStyle name="Normal 43 31 2" xfId="18383"/>
    <cellStyle name="Normal 43 31 2 2" xfId="45391"/>
    <cellStyle name="Normal 43 31 3" xfId="31887"/>
    <cellStyle name="Normal 43 32" xfId="3625"/>
    <cellStyle name="Normal 43 32 2" xfId="18475"/>
    <cellStyle name="Normal 43 32 2 2" xfId="45483"/>
    <cellStyle name="Normal 43 32 3" xfId="31979"/>
    <cellStyle name="Normal 43 33" xfId="3731"/>
    <cellStyle name="Normal 43 33 2" xfId="18567"/>
    <cellStyle name="Normal 43 33 2 2" xfId="45575"/>
    <cellStyle name="Normal 43 33 3" xfId="32071"/>
    <cellStyle name="Normal 43 34" xfId="3837"/>
    <cellStyle name="Normal 43 34 2" xfId="18659"/>
    <cellStyle name="Normal 43 34 2 2" xfId="45667"/>
    <cellStyle name="Normal 43 34 3" xfId="32163"/>
    <cellStyle name="Normal 43 35" xfId="3943"/>
    <cellStyle name="Normal 43 35 2" xfId="18751"/>
    <cellStyle name="Normal 43 35 2 2" xfId="45759"/>
    <cellStyle name="Normal 43 35 3" xfId="32255"/>
    <cellStyle name="Normal 43 36" xfId="4049"/>
    <cellStyle name="Normal 43 36 2" xfId="18843"/>
    <cellStyle name="Normal 43 36 2 2" xfId="45851"/>
    <cellStyle name="Normal 43 36 3" xfId="32347"/>
    <cellStyle name="Normal 43 37" xfId="4155"/>
    <cellStyle name="Normal 43 37 2" xfId="18935"/>
    <cellStyle name="Normal 43 37 2 2" xfId="45943"/>
    <cellStyle name="Normal 43 37 3" xfId="32439"/>
    <cellStyle name="Normal 43 38" xfId="4261"/>
    <cellStyle name="Normal 43 38 2" xfId="19027"/>
    <cellStyle name="Normal 43 38 2 2" xfId="46035"/>
    <cellStyle name="Normal 43 38 3" xfId="32531"/>
    <cellStyle name="Normal 43 39" xfId="4367"/>
    <cellStyle name="Normal 43 39 2" xfId="19119"/>
    <cellStyle name="Normal 43 39 2 2" xfId="46127"/>
    <cellStyle name="Normal 43 39 3" xfId="32623"/>
    <cellStyle name="Normal 43 4" xfId="657"/>
    <cellStyle name="Normal 43 4 2" xfId="15899"/>
    <cellStyle name="Normal 43 4 2 2" xfId="42907"/>
    <cellStyle name="Normal 43 4 3" xfId="29403"/>
    <cellStyle name="Normal 43 40" xfId="4473"/>
    <cellStyle name="Normal 43 40 2" xfId="19211"/>
    <cellStyle name="Normal 43 40 2 2" xfId="46219"/>
    <cellStyle name="Normal 43 40 3" xfId="32715"/>
    <cellStyle name="Normal 43 41" xfId="4579"/>
    <cellStyle name="Normal 43 41 2" xfId="19303"/>
    <cellStyle name="Normal 43 41 2 2" xfId="46311"/>
    <cellStyle name="Normal 43 41 3" xfId="32807"/>
    <cellStyle name="Normal 43 42" xfId="4685"/>
    <cellStyle name="Normal 43 42 2" xfId="19395"/>
    <cellStyle name="Normal 43 42 2 2" xfId="46403"/>
    <cellStyle name="Normal 43 42 3" xfId="32899"/>
    <cellStyle name="Normal 43 43" xfId="4791"/>
    <cellStyle name="Normal 43 43 2" xfId="19487"/>
    <cellStyle name="Normal 43 43 2 2" xfId="46495"/>
    <cellStyle name="Normal 43 43 3" xfId="32991"/>
    <cellStyle name="Normal 43 44" xfId="4897"/>
    <cellStyle name="Normal 43 44 2" xfId="19579"/>
    <cellStyle name="Normal 43 44 2 2" xfId="46587"/>
    <cellStyle name="Normal 43 44 3" xfId="33083"/>
    <cellStyle name="Normal 43 45" xfId="5003"/>
    <cellStyle name="Normal 43 45 2" xfId="19671"/>
    <cellStyle name="Normal 43 45 2 2" xfId="46679"/>
    <cellStyle name="Normal 43 45 3" xfId="33175"/>
    <cellStyle name="Normal 43 46" xfId="5109"/>
    <cellStyle name="Normal 43 46 2" xfId="19763"/>
    <cellStyle name="Normal 43 46 2 2" xfId="46771"/>
    <cellStyle name="Normal 43 46 3" xfId="33267"/>
    <cellStyle name="Normal 43 47" xfId="5215"/>
    <cellStyle name="Normal 43 47 2" xfId="19855"/>
    <cellStyle name="Normal 43 47 2 2" xfId="46863"/>
    <cellStyle name="Normal 43 47 3" xfId="33359"/>
    <cellStyle name="Normal 43 48" xfId="5321"/>
    <cellStyle name="Normal 43 48 2" xfId="19947"/>
    <cellStyle name="Normal 43 48 2 2" xfId="46955"/>
    <cellStyle name="Normal 43 48 3" xfId="33451"/>
    <cellStyle name="Normal 43 49" xfId="5427"/>
    <cellStyle name="Normal 43 49 2" xfId="20039"/>
    <cellStyle name="Normal 43 49 2 2" xfId="47047"/>
    <cellStyle name="Normal 43 49 3" xfId="33543"/>
    <cellStyle name="Normal 43 5" xfId="763"/>
    <cellStyle name="Normal 43 5 2" xfId="15991"/>
    <cellStyle name="Normal 43 5 2 2" xfId="42999"/>
    <cellStyle name="Normal 43 5 3" xfId="29495"/>
    <cellStyle name="Normal 43 50" xfId="5533"/>
    <cellStyle name="Normal 43 50 2" xfId="20131"/>
    <cellStyle name="Normal 43 50 2 2" xfId="47139"/>
    <cellStyle name="Normal 43 50 3" xfId="33635"/>
    <cellStyle name="Normal 43 51" xfId="5639"/>
    <cellStyle name="Normal 43 51 2" xfId="20223"/>
    <cellStyle name="Normal 43 51 2 2" xfId="47231"/>
    <cellStyle name="Normal 43 51 3" xfId="33727"/>
    <cellStyle name="Normal 43 52" xfId="5745"/>
    <cellStyle name="Normal 43 52 2" xfId="20315"/>
    <cellStyle name="Normal 43 52 2 2" xfId="47323"/>
    <cellStyle name="Normal 43 52 3" xfId="33819"/>
    <cellStyle name="Normal 43 53" xfId="5851"/>
    <cellStyle name="Normal 43 53 2" xfId="20407"/>
    <cellStyle name="Normal 43 53 2 2" xfId="47415"/>
    <cellStyle name="Normal 43 53 3" xfId="33911"/>
    <cellStyle name="Normal 43 54" xfId="5957"/>
    <cellStyle name="Normal 43 54 2" xfId="20499"/>
    <cellStyle name="Normal 43 54 2 2" xfId="47507"/>
    <cellStyle name="Normal 43 54 3" xfId="34003"/>
    <cellStyle name="Normal 43 55" xfId="6063"/>
    <cellStyle name="Normal 43 55 2" xfId="20591"/>
    <cellStyle name="Normal 43 55 2 2" xfId="47599"/>
    <cellStyle name="Normal 43 55 3" xfId="34095"/>
    <cellStyle name="Normal 43 56" xfId="6169"/>
    <cellStyle name="Normal 43 56 2" xfId="20683"/>
    <cellStyle name="Normal 43 56 2 2" xfId="47691"/>
    <cellStyle name="Normal 43 56 3" xfId="34187"/>
    <cellStyle name="Normal 43 57" xfId="6275"/>
    <cellStyle name="Normal 43 57 2" xfId="20775"/>
    <cellStyle name="Normal 43 57 2 2" xfId="47783"/>
    <cellStyle name="Normal 43 57 3" xfId="34279"/>
    <cellStyle name="Normal 43 58" xfId="6381"/>
    <cellStyle name="Normal 43 58 2" xfId="20867"/>
    <cellStyle name="Normal 43 58 2 2" xfId="47875"/>
    <cellStyle name="Normal 43 58 3" xfId="34371"/>
    <cellStyle name="Normal 43 59" xfId="6487"/>
    <cellStyle name="Normal 43 59 2" xfId="20959"/>
    <cellStyle name="Normal 43 59 2 2" xfId="47967"/>
    <cellStyle name="Normal 43 59 3" xfId="34463"/>
    <cellStyle name="Normal 43 6" xfId="869"/>
    <cellStyle name="Normal 43 6 2" xfId="16083"/>
    <cellStyle name="Normal 43 6 2 2" xfId="43091"/>
    <cellStyle name="Normal 43 6 3" xfId="29587"/>
    <cellStyle name="Normal 43 60" xfId="6593"/>
    <cellStyle name="Normal 43 60 2" xfId="21051"/>
    <cellStyle name="Normal 43 60 2 2" xfId="48059"/>
    <cellStyle name="Normal 43 60 3" xfId="34555"/>
    <cellStyle name="Normal 43 61" xfId="6698"/>
    <cellStyle name="Normal 43 61 2" xfId="21142"/>
    <cellStyle name="Normal 43 61 2 2" xfId="48150"/>
    <cellStyle name="Normal 43 61 3" xfId="34646"/>
    <cellStyle name="Normal 43 62" xfId="6803"/>
    <cellStyle name="Normal 43 62 2" xfId="21233"/>
    <cellStyle name="Normal 43 62 2 2" xfId="48241"/>
    <cellStyle name="Normal 43 62 3" xfId="34737"/>
    <cellStyle name="Normal 43 63" xfId="6908"/>
    <cellStyle name="Normal 43 63 2" xfId="21324"/>
    <cellStyle name="Normal 43 63 2 2" xfId="48332"/>
    <cellStyle name="Normal 43 63 3" xfId="34828"/>
    <cellStyle name="Normal 43 64" xfId="7013"/>
    <cellStyle name="Normal 43 64 2" xfId="21415"/>
    <cellStyle name="Normal 43 64 2 2" xfId="48423"/>
    <cellStyle name="Normal 43 64 3" xfId="34919"/>
    <cellStyle name="Normal 43 65" xfId="7117"/>
    <cellStyle name="Normal 43 65 2" xfId="21505"/>
    <cellStyle name="Normal 43 65 2 2" xfId="48513"/>
    <cellStyle name="Normal 43 65 3" xfId="35009"/>
    <cellStyle name="Normal 43 66" xfId="7221"/>
    <cellStyle name="Normal 43 66 2" xfId="21595"/>
    <cellStyle name="Normal 43 66 2 2" xfId="48603"/>
    <cellStyle name="Normal 43 66 3" xfId="35099"/>
    <cellStyle name="Normal 43 67" xfId="7324"/>
    <cellStyle name="Normal 43 67 2" xfId="21684"/>
    <cellStyle name="Normal 43 67 2 2" xfId="48692"/>
    <cellStyle name="Normal 43 67 3" xfId="35188"/>
    <cellStyle name="Normal 43 68" xfId="7424"/>
    <cellStyle name="Normal 43 68 2" xfId="21771"/>
    <cellStyle name="Normal 43 68 2 2" xfId="48779"/>
    <cellStyle name="Normal 43 68 3" xfId="35275"/>
    <cellStyle name="Normal 43 69" xfId="7522"/>
    <cellStyle name="Normal 43 69 2" xfId="21856"/>
    <cellStyle name="Normal 43 69 2 2" xfId="48864"/>
    <cellStyle name="Normal 43 69 3" xfId="35360"/>
    <cellStyle name="Normal 43 7" xfId="975"/>
    <cellStyle name="Normal 43 7 2" xfId="16175"/>
    <cellStyle name="Normal 43 7 2 2" xfId="43183"/>
    <cellStyle name="Normal 43 7 3" xfId="29679"/>
    <cellStyle name="Normal 43 70" xfId="7611"/>
    <cellStyle name="Normal 43 70 2" xfId="21934"/>
    <cellStyle name="Normal 43 70 2 2" xfId="48942"/>
    <cellStyle name="Normal 43 70 3" xfId="35438"/>
    <cellStyle name="Normal 43 71" xfId="7687"/>
    <cellStyle name="Normal 43 71 2" xfId="22003"/>
    <cellStyle name="Normal 43 71 2 2" xfId="49011"/>
    <cellStyle name="Normal 43 71 3" xfId="35507"/>
    <cellStyle name="Normal 43 72" xfId="7866"/>
    <cellStyle name="Normal 43 72 2" xfId="22156"/>
    <cellStyle name="Normal 43 72 2 2" xfId="49164"/>
    <cellStyle name="Normal 43 72 3" xfId="35660"/>
    <cellStyle name="Normal 43 73" xfId="8008"/>
    <cellStyle name="Normal 43 73 2" xfId="22284"/>
    <cellStyle name="Normal 43 73 2 2" xfId="49292"/>
    <cellStyle name="Normal 43 73 3" xfId="35788"/>
    <cellStyle name="Normal 43 74" xfId="8150"/>
    <cellStyle name="Normal 43 74 2" xfId="22412"/>
    <cellStyle name="Normal 43 74 2 2" xfId="49420"/>
    <cellStyle name="Normal 43 74 3" xfId="35916"/>
    <cellStyle name="Normal 43 75" xfId="8292"/>
    <cellStyle name="Normal 43 75 2" xfId="22540"/>
    <cellStyle name="Normal 43 75 2 2" xfId="49548"/>
    <cellStyle name="Normal 43 75 3" xfId="36044"/>
    <cellStyle name="Normal 43 76" xfId="8434"/>
    <cellStyle name="Normal 43 76 2" xfId="22668"/>
    <cellStyle name="Normal 43 76 2 2" xfId="49676"/>
    <cellStyle name="Normal 43 76 3" xfId="36172"/>
    <cellStyle name="Normal 43 77" xfId="8576"/>
    <cellStyle name="Normal 43 77 2" xfId="22796"/>
    <cellStyle name="Normal 43 77 2 2" xfId="49804"/>
    <cellStyle name="Normal 43 77 3" xfId="36300"/>
    <cellStyle name="Normal 43 78" xfId="8718"/>
    <cellStyle name="Normal 43 78 2" xfId="22924"/>
    <cellStyle name="Normal 43 78 2 2" xfId="49932"/>
    <cellStyle name="Normal 43 78 3" xfId="36428"/>
    <cellStyle name="Normal 43 79" xfId="8860"/>
    <cellStyle name="Normal 43 79 2" xfId="23052"/>
    <cellStyle name="Normal 43 79 2 2" xfId="50060"/>
    <cellStyle name="Normal 43 79 3" xfId="36556"/>
    <cellStyle name="Normal 43 8" xfId="1081"/>
    <cellStyle name="Normal 43 8 2" xfId="16267"/>
    <cellStyle name="Normal 43 8 2 2" xfId="43275"/>
    <cellStyle name="Normal 43 8 3" xfId="29771"/>
    <cellStyle name="Normal 43 80" xfId="9002"/>
    <cellStyle name="Normal 43 80 2" xfId="23180"/>
    <cellStyle name="Normal 43 80 2 2" xfId="50188"/>
    <cellStyle name="Normal 43 80 3" xfId="36684"/>
    <cellStyle name="Normal 43 81" xfId="9144"/>
    <cellStyle name="Normal 43 81 2" xfId="23308"/>
    <cellStyle name="Normal 43 81 2 2" xfId="50316"/>
    <cellStyle name="Normal 43 81 3" xfId="36812"/>
    <cellStyle name="Normal 43 82" xfId="9286"/>
    <cellStyle name="Normal 43 82 2" xfId="23436"/>
    <cellStyle name="Normal 43 82 2 2" xfId="50444"/>
    <cellStyle name="Normal 43 82 3" xfId="36940"/>
    <cellStyle name="Normal 43 83" xfId="9428"/>
    <cellStyle name="Normal 43 83 2" xfId="23564"/>
    <cellStyle name="Normal 43 83 2 2" xfId="50572"/>
    <cellStyle name="Normal 43 83 3" xfId="37068"/>
    <cellStyle name="Normal 43 84" xfId="9570"/>
    <cellStyle name="Normal 43 84 2" xfId="23692"/>
    <cellStyle name="Normal 43 84 2 2" xfId="50700"/>
    <cellStyle name="Normal 43 84 3" xfId="37196"/>
    <cellStyle name="Normal 43 85" xfId="9712"/>
    <cellStyle name="Normal 43 85 2" xfId="23820"/>
    <cellStyle name="Normal 43 85 2 2" xfId="50828"/>
    <cellStyle name="Normal 43 85 3" xfId="37324"/>
    <cellStyle name="Normal 43 86" xfId="9854"/>
    <cellStyle name="Normal 43 86 2" xfId="23948"/>
    <cellStyle name="Normal 43 86 2 2" xfId="50956"/>
    <cellStyle name="Normal 43 86 3" xfId="37452"/>
    <cellStyle name="Normal 43 87" xfId="9996"/>
    <cellStyle name="Normal 43 87 2" xfId="24076"/>
    <cellStyle name="Normal 43 87 2 2" xfId="51084"/>
    <cellStyle name="Normal 43 87 3" xfId="37580"/>
    <cellStyle name="Normal 43 88" xfId="10138"/>
    <cellStyle name="Normal 43 88 2" xfId="24204"/>
    <cellStyle name="Normal 43 88 2 2" xfId="51212"/>
    <cellStyle name="Normal 43 88 3" xfId="37708"/>
    <cellStyle name="Normal 43 89" xfId="10280"/>
    <cellStyle name="Normal 43 89 2" xfId="24332"/>
    <cellStyle name="Normal 43 89 2 2" xfId="51340"/>
    <cellStyle name="Normal 43 89 3" xfId="37836"/>
    <cellStyle name="Normal 43 9" xfId="1187"/>
    <cellStyle name="Normal 43 9 2" xfId="16359"/>
    <cellStyle name="Normal 43 9 2 2" xfId="43367"/>
    <cellStyle name="Normal 43 9 3" xfId="29863"/>
    <cellStyle name="Normal 43 90" xfId="10422"/>
    <cellStyle name="Normal 43 90 2" xfId="24460"/>
    <cellStyle name="Normal 43 90 2 2" xfId="51468"/>
    <cellStyle name="Normal 43 90 3" xfId="37964"/>
    <cellStyle name="Normal 43 91" xfId="10564"/>
    <cellStyle name="Normal 43 91 2" xfId="24588"/>
    <cellStyle name="Normal 43 91 2 2" xfId="51596"/>
    <cellStyle name="Normal 43 91 3" xfId="38092"/>
    <cellStyle name="Normal 43 92" xfId="10706"/>
    <cellStyle name="Normal 43 92 2" xfId="24716"/>
    <cellStyle name="Normal 43 92 2 2" xfId="51724"/>
    <cellStyle name="Normal 43 92 3" xfId="38220"/>
    <cellStyle name="Normal 43 93" xfId="10848"/>
    <cellStyle name="Normal 43 93 2" xfId="24844"/>
    <cellStyle name="Normal 43 93 2 2" xfId="51852"/>
    <cellStyle name="Normal 43 93 3" xfId="38348"/>
    <cellStyle name="Normal 43 94" xfId="10990"/>
    <cellStyle name="Normal 43 94 2" xfId="24972"/>
    <cellStyle name="Normal 43 94 2 2" xfId="51980"/>
    <cellStyle name="Normal 43 94 3" xfId="38476"/>
    <cellStyle name="Normal 43 95" xfId="11132"/>
    <cellStyle name="Normal 43 95 2" xfId="25100"/>
    <cellStyle name="Normal 43 95 2 2" xfId="52108"/>
    <cellStyle name="Normal 43 95 3" xfId="38604"/>
    <cellStyle name="Normal 43 96" xfId="11274"/>
    <cellStyle name="Normal 43 96 2" xfId="25228"/>
    <cellStyle name="Normal 43 96 2 2" xfId="52236"/>
    <cellStyle name="Normal 43 96 3" xfId="38732"/>
    <cellStyle name="Normal 43 97" xfId="11416"/>
    <cellStyle name="Normal 43 97 2" xfId="25356"/>
    <cellStyle name="Normal 43 97 2 2" xfId="52364"/>
    <cellStyle name="Normal 43 97 3" xfId="38860"/>
    <cellStyle name="Normal 43 98" xfId="11558"/>
    <cellStyle name="Normal 43 98 2" xfId="25484"/>
    <cellStyle name="Normal 43 98 2 2" xfId="52492"/>
    <cellStyle name="Normal 43 98 3" xfId="38988"/>
    <cellStyle name="Normal 43 99" xfId="11700"/>
    <cellStyle name="Normal 43 99 2" xfId="25612"/>
    <cellStyle name="Normal 43 99 2 2" xfId="52620"/>
    <cellStyle name="Normal 43 99 3" xfId="39116"/>
    <cellStyle name="Normal 430" xfId="56779"/>
    <cellStyle name="Normal 431" xfId="56782"/>
    <cellStyle name="Normal 432" xfId="56785"/>
    <cellStyle name="Normal 433" xfId="56788"/>
    <cellStyle name="Normal 434" xfId="56791"/>
    <cellStyle name="Normal 435" xfId="56794"/>
    <cellStyle name="Normal 436" xfId="56797"/>
    <cellStyle name="Normal 437" xfId="56800"/>
    <cellStyle name="Normal 438" xfId="56803"/>
    <cellStyle name="Normal 439" xfId="56806"/>
    <cellStyle name="Normal 44" xfId="189"/>
    <cellStyle name="Normal 44 10" xfId="1294"/>
    <cellStyle name="Normal 44 10 2" xfId="16452"/>
    <cellStyle name="Normal 44 10 2 2" xfId="43460"/>
    <cellStyle name="Normal 44 10 3" xfId="29956"/>
    <cellStyle name="Normal 44 100" xfId="11843"/>
    <cellStyle name="Normal 44 100 2" xfId="25741"/>
    <cellStyle name="Normal 44 100 2 2" xfId="52749"/>
    <cellStyle name="Normal 44 100 3" xfId="39245"/>
    <cellStyle name="Normal 44 101" xfId="11985"/>
    <cellStyle name="Normal 44 101 2" xfId="25869"/>
    <cellStyle name="Normal 44 101 2 2" xfId="52877"/>
    <cellStyle name="Normal 44 101 3" xfId="39373"/>
    <cellStyle name="Normal 44 102" xfId="12127"/>
    <cellStyle name="Normal 44 102 2" xfId="25997"/>
    <cellStyle name="Normal 44 102 2 2" xfId="53005"/>
    <cellStyle name="Normal 44 102 3" xfId="39501"/>
    <cellStyle name="Normal 44 103" xfId="12269"/>
    <cellStyle name="Normal 44 103 2" xfId="26125"/>
    <cellStyle name="Normal 44 103 2 2" xfId="53133"/>
    <cellStyle name="Normal 44 103 3" xfId="39629"/>
    <cellStyle name="Normal 44 104" xfId="12411"/>
    <cellStyle name="Normal 44 104 2" xfId="26253"/>
    <cellStyle name="Normal 44 104 2 2" xfId="53261"/>
    <cellStyle name="Normal 44 104 3" xfId="39757"/>
    <cellStyle name="Normal 44 105" xfId="12553"/>
    <cellStyle name="Normal 44 105 2" xfId="26381"/>
    <cellStyle name="Normal 44 105 2 2" xfId="53389"/>
    <cellStyle name="Normal 44 105 3" xfId="39885"/>
    <cellStyle name="Normal 44 106" xfId="12695"/>
    <cellStyle name="Normal 44 106 2" xfId="26509"/>
    <cellStyle name="Normal 44 106 2 2" xfId="53517"/>
    <cellStyle name="Normal 44 106 3" xfId="40013"/>
    <cellStyle name="Normal 44 107" xfId="12837"/>
    <cellStyle name="Normal 44 107 2" xfId="26637"/>
    <cellStyle name="Normal 44 107 2 2" xfId="53645"/>
    <cellStyle name="Normal 44 107 3" xfId="40141"/>
    <cellStyle name="Normal 44 108" xfId="12979"/>
    <cellStyle name="Normal 44 108 2" xfId="26765"/>
    <cellStyle name="Normal 44 108 2 2" xfId="53773"/>
    <cellStyle name="Normal 44 108 3" xfId="40269"/>
    <cellStyle name="Normal 44 109" xfId="13121"/>
    <cellStyle name="Normal 44 109 2" xfId="26893"/>
    <cellStyle name="Normal 44 109 2 2" xfId="53901"/>
    <cellStyle name="Normal 44 109 3" xfId="40397"/>
    <cellStyle name="Normal 44 11" xfId="1400"/>
    <cellStyle name="Normal 44 11 2" xfId="16544"/>
    <cellStyle name="Normal 44 11 2 2" xfId="43552"/>
    <cellStyle name="Normal 44 11 3" xfId="30048"/>
    <cellStyle name="Normal 44 110" xfId="13263"/>
    <cellStyle name="Normal 44 110 2" xfId="27021"/>
    <cellStyle name="Normal 44 110 2 2" xfId="54029"/>
    <cellStyle name="Normal 44 110 3" xfId="40525"/>
    <cellStyle name="Normal 44 111" xfId="13405"/>
    <cellStyle name="Normal 44 111 2" xfId="27149"/>
    <cellStyle name="Normal 44 111 2 2" xfId="54157"/>
    <cellStyle name="Normal 44 111 3" xfId="40653"/>
    <cellStyle name="Normal 44 112" xfId="13547"/>
    <cellStyle name="Normal 44 112 2" xfId="27277"/>
    <cellStyle name="Normal 44 112 2 2" xfId="54285"/>
    <cellStyle name="Normal 44 112 3" xfId="40781"/>
    <cellStyle name="Normal 44 113" xfId="13689"/>
    <cellStyle name="Normal 44 113 2" xfId="27405"/>
    <cellStyle name="Normal 44 113 2 2" xfId="54413"/>
    <cellStyle name="Normal 44 113 3" xfId="40909"/>
    <cellStyle name="Normal 44 114" xfId="13831"/>
    <cellStyle name="Normal 44 114 2" xfId="27533"/>
    <cellStyle name="Normal 44 114 2 2" xfId="54541"/>
    <cellStyle name="Normal 44 114 3" xfId="41037"/>
    <cellStyle name="Normal 44 115" xfId="13972"/>
    <cellStyle name="Normal 44 115 2" xfId="27660"/>
    <cellStyle name="Normal 44 115 2 2" xfId="54668"/>
    <cellStyle name="Normal 44 115 3" xfId="41164"/>
    <cellStyle name="Normal 44 116" xfId="14113"/>
    <cellStyle name="Normal 44 116 2" xfId="27787"/>
    <cellStyle name="Normal 44 116 2 2" xfId="54795"/>
    <cellStyle name="Normal 44 116 3" xfId="41291"/>
    <cellStyle name="Normal 44 117" xfId="14254"/>
    <cellStyle name="Normal 44 117 2" xfId="27914"/>
    <cellStyle name="Normal 44 117 2 2" xfId="54922"/>
    <cellStyle name="Normal 44 117 3" xfId="41418"/>
    <cellStyle name="Normal 44 118" xfId="14395"/>
    <cellStyle name="Normal 44 118 2" xfId="28041"/>
    <cellStyle name="Normal 44 118 2 2" xfId="55049"/>
    <cellStyle name="Normal 44 118 3" xfId="41545"/>
    <cellStyle name="Normal 44 119" xfId="14535"/>
    <cellStyle name="Normal 44 119 2" xfId="28167"/>
    <cellStyle name="Normal 44 119 2 2" xfId="55175"/>
    <cellStyle name="Normal 44 119 3" xfId="41671"/>
    <cellStyle name="Normal 44 12" xfId="1506"/>
    <cellStyle name="Normal 44 12 2" xfId="16636"/>
    <cellStyle name="Normal 44 12 2 2" xfId="43644"/>
    <cellStyle name="Normal 44 12 3" xfId="30140"/>
    <cellStyle name="Normal 44 120" xfId="14675"/>
    <cellStyle name="Normal 44 120 2" xfId="28293"/>
    <cellStyle name="Normal 44 120 2 2" xfId="55301"/>
    <cellStyle name="Normal 44 120 3" xfId="41797"/>
    <cellStyle name="Normal 44 121" xfId="14814"/>
    <cellStyle name="Normal 44 121 2" xfId="28418"/>
    <cellStyle name="Normal 44 121 2 2" xfId="55426"/>
    <cellStyle name="Normal 44 121 3" xfId="41922"/>
    <cellStyle name="Normal 44 122" xfId="14949"/>
    <cellStyle name="Normal 44 122 2" xfId="28540"/>
    <cellStyle name="Normal 44 122 2 2" xfId="55548"/>
    <cellStyle name="Normal 44 122 3" xfId="42044"/>
    <cellStyle name="Normal 44 123" xfId="15083"/>
    <cellStyle name="Normal 44 123 2" xfId="28661"/>
    <cellStyle name="Normal 44 123 2 2" xfId="55669"/>
    <cellStyle name="Normal 44 123 3" xfId="42165"/>
    <cellStyle name="Normal 44 124" xfId="15210"/>
    <cellStyle name="Normal 44 124 2" xfId="28777"/>
    <cellStyle name="Normal 44 124 2 2" xfId="55785"/>
    <cellStyle name="Normal 44 124 3" xfId="42281"/>
    <cellStyle name="Normal 44 125" xfId="15330"/>
    <cellStyle name="Normal 44 125 2" xfId="28890"/>
    <cellStyle name="Normal 44 125 2 2" xfId="55898"/>
    <cellStyle name="Normal 44 125 3" xfId="42394"/>
    <cellStyle name="Normal 44 126" xfId="15545"/>
    <cellStyle name="Normal 44 126 2" xfId="42553"/>
    <cellStyle name="Normal 44 127" xfId="29049"/>
    <cellStyle name="Normal 44 13" xfId="1612"/>
    <cellStyle name="Normal 44 13 2" xfId="16728"/>
    <cellStyle name="Normal 44 13 2 2" xfId="43736"/>
    <cellStyle name="Normal 44 13 3" xfId="30232"/>
    <cellStyle name="Normal 44 14" xfId="1718"/>
    <cellStyle name="Normal 44 14 2" xfId="16820"/>
    <cellStyle name="Normal 44 14 2 2" xfId="43828"/>
    <cellStyle name="Normal 44 14 3" xfId="30324"/>
    <cellStyle name="Normal 44 15" xfId="1824"/>
    <cellStyle name="Normal 44 15 2" xfId="16912"/>
    <cellStyle name="Normal 44 15 2 2" xfId="43920"/>
    <cellStyle name="Normal 44 15 3" xfId="30416"/>
    <cellStyle name="Normal 44 16" xfId="1930"/>
    <cellStyle name="Normal 44 16 2" xfId="17004"/>
    <cellStyle name="Normal 44 16 2 2" xfId="44012"/>
    <cellStyle name="Normal 44 16 3" xfId="30508"/>
    <cellStyle name="Normal 44 17" xfId="2036"/>
    <cellStyle name="Normal 44 17 2" xfId="17096"/>
    <cellStyle name="Normal 44 17 2 2" xfId="44104"/>
    <cellStyle name="Normal 44 17 3" xfId="30600"/>
    <cellStyle name="Normal 44 18" xfId="2142"/>
    <cellStyle name="Normal 44 18 2" xfId="17188"/>
    <cellStyle name="Normal 44 18 2 2" xfId="44196"/>
    <cellStyle name="Normal 44 18 3" xfId="30692"/>
    <cellStyle name="Normal 44 19" xfId="2248"/>
    <cellStyle name="Normal 44 19 2" xfId="17280"/>
    <cellStyle name="Normal 44 19 2 2" xfId="44288"/>
    <cellStyle name="Normal 44 19 3" xfId="30784"/>
    <cellStyle name="Normal 44 2" xfId="366"/>
    <cellStyle name="Normal 44 2 2" xfId="15668"/>
    <cellStyle name="Normal 44 2 2 2" xfId="42676"/>
    <cellStyle name="Normal 44 2 3" xfId="29172"/>
    <cellStyle name="Normal 44 20" xfId="2354"/>
    <cellStyle name="Normal 44 20 2" xfId="17372"/>
    <cellStyle name="Normal 44 20 2 2" xfId="44380"/>
    <cellStyle name="Normal 44 20 3" xfId="30876"/>
    <cellStyle name="Normal 44 21" xfId="2460"/>
    <cellStyle name="Normal 44 21 2" xfId="17464"/>
    <cellStyle name="Normal 44 21 2 2" xfId="44472"/>
    <cellStyle name="Normal 44 21 3" xfId="30968"/>
    <cellStyle name="Normal 44 22" xfId="2566"/>
    <cellStyle name="Normal 44 22 2" xfId="17556"/>
    <cellStyle name="Normal 44 22 2 2" xfId="44564"/>
    <cellStyle name="Normal 44 22 3" xfId="31060"/>
    <cellStyle name="Normal 44 23" xfId="2672"/>
    <cellStyle name="Normal 44 23 2" xfId="17648"/>
    <cellStyle name="Normal 44 23 2 2" xfId="44656"/>
    <cellStyle name="Normal 44 23 3" xfId="31152"/>
    <cellStyle name="Normal 44 24" xfId="2778"/>
    <cellStyle name="Normal 44 24 2" xfId="17740"/>
    <cellStyle name="Normal 44 24 2 2" xfId="44748"/>
    <cellStyle name="Normal 44 24 3" xfId="31244"/>
    <cellStyle name="Normal 44 25" xfId="2884"/>
    <cellStyle name="Normal 44 25 2" xfId="17832"/>
    <cellStyle name="Normal 44 25 2 2" xfId="44840"/>
    <cellStyle name="Normal 44 25 3" xfId="31336"/>
    <cellStyle name="Normal 44 26" xfId="2990"/>
    <cellStyle name="Normal 44 26 2" xfId="17924"/>
    <cellStyle name="Normal 44 26 2 2" xfId="44932"/>
    <cellStyle name="Normal 44 26 3" xfId="31428"/>
    <cellStyle name="Normal 44 27" xfId="3096"/>
    <cellStyle name="Normal 44 27 2" xfId="18016"/>
    <cellStyle name="Normal 44 27 2 2" xfId="45024"/>
    <cellStyle name="Normal 44 27 3" xfId="31520"/>
    <cellStyle name="Normal 44 28" xfId="3202"/>
    <cellStyle name="Normal 44 28 2" xfId="18108"/>
    <cellStyle name="Normal 44 28 2 2" xfId="45116"/>
    <cellStyle name="Normal 44 28 3" xfId="31612"/>
    <cellStyle name="Normal 44 29" xfId="3308"/>
    <cellStyle name="Normal 44 29 2" xfId="18200"/>
    <cellStyle name="Normal 44 29 2 2" xfId="45208"/>
    <cellStyle name="Normal 44 29 3" xfId="31704"/>
    <cellStyle name="Normal 44 3" xfId="553"/>
    <cellStyle name="Normal 44 3 2" xfId="15809"/>
    <cellStyle name="Normal 44 3 2 2" xfId="42817"/>
    <cellStyle name="Normal 44 3 3" xfId="29313"/>
    <cellStyle name="Normal 44 30" xfId="3414"/>
    <cellStyle name="Normal 44 30 2" xfId="18292"/>
    <cellStyle name="Normal 44 30 2 2" xfId="45300"/>
    <cellStyle name="Normal 44 30 3" xfId="31796"/>
    <cellStyle name="Normal 44 31" xfId="3520"/>
    <cellStyle name="Normal 44 31 2" xfId="18384"/>
    <cellStyle name="Normal 44 31 2 2" xfId="45392"/>
    <cellStyle name="Normal 44 31 3" xfId="31888"/>
    <cellStyle name="Normal 44 32" xfId="3626"/>
    <cellStyle name="Normal 44 32 2" xfId="18476"/>
    <cellStyle name="Normal 44 32 2 2" xfId="45484"/>
    <cellStyle name="Normal 44 32 3" xfId="31980"/>
    <cellStyle name="Normal 44 33" xfId="3732"/>
    <cellStyle name="Normal 44 33 2" xfId="18568"/>
    <cellStyle name="Normal 44 33 2 2" xfId="45576"/>
    <cellStyle name="Normal 44 33 3" xfId="32072"/>
    <cellStyle name="Normal 44 34" xfId="3838"/>
    <cellStyle name="Normal 44 34 2" xfId="18660"/>
    <cellStyle name="Normal 44 34 2 2" xfId="45668"/>
    <cellStyle name="Normal 44 34 3" xfId="32164"/>
    <cellStyle name="Normal 44 35" xfId="3944"/>
    <cellStyle name="Normal 44 35 2" xfId="18752"/>
    <cellStyle name="Normal 44 35 2 2" xfId="45760"/>
    <cellStyle name="Normal 44 35 3" xfId="32256"/>
    <cellStyle name="Normal 44 36" xfId="4050"/>
    <cellStyle name="Normal 44 36 2" xfId="18844"/>
    <cellStyle name="Normal 44 36 2 2" xfId="45852"/>
    <cellStyle name="Normal 44 36 3" xfId="32348"/>
    <cellStyle name="Normal 44 37" xfId="4156"/>
    <cellStyle name="Normal 44 37 2" xfId="18936"/>
    <cellStyle name="Normal 44 37 2 2" xfId="45944"/>
    <cellStyle name="Normal 44 37 3" xfId="32440"/>
    <cellStyle name="Normal 44 38" xfId="4262"/>
    <cellStyle name="Normal 44 38 2" xfId="19028"/>
    <cellStyle name="Normal 44 38 2 2" xfId="46036"/>
    <cellStyle name="Normal 44 38 3" xfId="32532"/>
    <cellStyle name="Normal 44 39" xfId="4368"/>
    <cellStyle name="Normal 44 39 2" xfId="19120"/>
    <cellStyle name="Normal 44 39 2 2" xfId="46128"/>
    <cellStyle name="Normal 44 39 3" xfId="32624"/>
    <cellStyle name="Normal 44 4" xfId="658"/>
    <cellStyle name="Normal 44 4 2" xfId="15900"/>
    <cellStyle name="Normal 44 4 2 2" xfId="42908"/>
    <cellStyle name="Normal 44 4 3" xfId="29404"/>
    <cellStyle name="Normal 44 40" xfId="4474"/>
    <cellStyle name="Normal 44 40 2" xfId="19212"/>
    <cellStyle name="Normal 44 40 2 2" xfId="46220"/>
    <cellStyle name="Normal 44 40 3" xfId="32716"/>
    <cellStyle name="Normal 44 41" xfId="4580"/>
    <cellStyle name="Normal 44 41 2" xfId="19304"/>
    <cellStyle name="Normal 44 41 2 2" xfId="46312"/>
    <cellStyle name="Normal 44 41 3" xfId="32808"/>
    <cellStyle name="Normal 44 42" xfId="4686"/>
    <cellStyle name="Normal 44 42 2" xfId="19396"/>
    <cellStyle name="Normal 44 42 2 2" xfId="46404"/>
    <cellStyle name="Normal 44 42 3" xfId="32900"/>
    <cellStyle name="Normal 44 43" xfId="4792"/>
    <cellStyle name="Normal 44 43 2" xfId="19488"/>
    <cellStyle name="Normal 44 43 2 2" xfId="46496"/>
    <cellStyle name="Normal 44 43 3" xfId="32992"/>
    <cellStyle name="Normal 44 44" xfId="4898"/>
    <cellStyle name="Normal 44 44 2" xfId="19580"/>
    <cellStyle name="Normal 44 44 2 2" xfId="46588"/>
    <cellStyle name="Normal 44 44 3" xfId="33084"/>
    <cellStyle name="Normal 44 45" xfId="5004"/>
    <cellStyle name="Normal 44 45 2" xfId="19672"/>
    <cellStyle name="Normal 44 45 2 2" xfId="46680"/>
    <cellStyle name="Normal 44 45 3" xfId="33176"/>
    <cellStyle name="Normal 44 46" xfId="5110"/>
    <cellStyle name="Normal 44 46 2" xfId="19764"/>
    <cellStyle name="Normal 44 46 2 2" xfId="46772"/>
    <cellStyle name="Normal 44 46 3" xfId="33268"/>
    <cellStyle name="Normal 44 47" xfId="5216"/>
    <cellStyle name="Normal 44 47 2" xfId="19856"/>
    <cellStyle name="Normal 44 47 2 2" xfId="46864"/>
    <cellStyle name="Normal 44 47 3" xfId="33360"/>
    <cellStyle name="Normal 44 48" xfId="5322"/>
    <cellStyle name="Normal 44 48 2" xfId="19948"/>
    <cellStyle name="Normal 44 48 2 2" xfId="46956"/>
    <cellStyle name="Normal 44 48 3" xfId="33452"/>
    <cellStyle name="Normal 44 49" xfId="5428"/>
    <cellStyle name="Normal 44 49 2" xfId="20040"/>
    <cellStyle name="Normal 44 49 2 2" xfId="47048"/>
    <cellStyle name="Normal 44 49 3" xfId="33544"/>
    <cellStyle name="Normal 44 5" xfId="764"/>
    <cellStyle name="Normal 44 5 2" xfId="15992"/>
    <cellStyle name="Normal 44 5 2 2" xfId="43000"/>
    <cellStyle name="Normal 44 5 3" xfId="29496"/>
    <cellStyle name="Normal 44 50" xfId="5534"/>
    <cellStyle name="Normal 44 50 2" xfId="20132"/>
    <cellStyle name="Normal 44 50 2 2" xfId="47140"/>
    <cellStyle name="Normal 44 50 3" xfId="33636"/>
    <cellStyle name="Normal 44 51" xfId="5640"/>
    <cellStyle name="Normal 44 51 2" xfId="20224"/>
    <cellStyle name="Normal 44 51 2 2" xfId="47232"/>
    <cellStyle name="Normal 44 51 3" xfId="33728"/>
    <cellStyle name="Normal 44 52" xfId="5746"/>
    <cellStyle name="Normal 44 52 2" xfId="20316"/>
    <cellStyle name="Normal 44 52 2 2" xfId="47324"/>
    <cellStyle name="Normal 44 52 3" xfId="33820"/>
    <cellStyle name="Normal 44 53" xfId="5852"/>
    <cellStyle name="Normal 44 53 2" xfId="20408"/>
    <cellStyle name="Normal 44 53 2 2" xfId="47416"/>
    <cellStyle name="Normal 44 53 3" xfId="33912"/>
    <cellStyle name="Normal 44 54" xfId="5958"/>
    <cellStyle name="Normal 44 54 2" xfId="20500"/>
    <cellStyle name="Normal 44 54 2 2" xfId="47508"/>
    <cellStyle name="Normal 44 54 3" xfId="34004"/>
    <cellStyle name="Normal 44 55" xfId="6064"/>
    <cellStyle name="Normal 44 55 2" xfId="20592"/>
    <cellStyle name="Normal 44 55 2 2" xfId="47600"/>
    <cellStyle name="Normal 44 55 3" xfId="34096"/>
    <cellStyle name="Normal 44 56" xfId="6170"/>
    <cellStyle name="Normal 44 56 2" xfId="20684"/>
    <cellStyle name="Normal 44 56 2 2" xfId="47692"/>
    <cellStyle name="Normal 44 56 3" xfId="34188"/>
    <cellStyle name="Normal 44 57" xfId="6276"/>
    <cellStyle name="Normal 44 57 2" xfId="20776"/>
    <cellStyle name="Normal 44 57 2 2" xfId="47784"/>
    <cellStyle name="Normal 44 57 3" xfId="34280"/>
    <cellStyle name="Normal 44 58" xfId="6382"/>
    <cellStyle name="Normal 44 58 2" xfId="20868"/>
    <cellStyle name="Normal 44 58 2 2" xfId="47876"/>
    <cellStyle name="Normal 44 58 3" xfId="34372"/>
    <cellStyle name="Normal 44 59" xfId="6488"/>
    <cellStyle name="Normal 44 59 2" xfId="20960"/>
    <cellStyle name="Normal 44 59 2 2" xfId="47968"/>
    <cellStyle name="Normal 44 59 3" xfId="34464"/>
    <cellStyle name="Normal 44 6" xfId="870"/>
    <cellStyle name="Normal 44 6 2" xfId="16084"/>
    <cellStyle name="Normal 44 6 2 2" xfId="43092"/>
    <cellStyle name="Normal 44 6 3" xfId="29588"/>
    <cellStyle name="Normal 44 60" xfId="6594"/>
    <cellStyle name="Normal 44 60 2" xfId="21052"/>
    <cellStyle name="Normal 44 60 2 2" xfId="48060"/>
    <cellStyle name="Normal 44 60 3" xfId="34556"/>
    <cellStyle name="Normal 44 61" xfId="6699"/>
    <cellStyle name="Normal 44 61 2" xfId="21143"/>
    <cellStyle name="Normal 44 61 2 2" xfId="48151"/>
    <cellStyle name="Normal 44 61 3" xfId="34647"/>
    <cellStyle name="Normal 44 62" xfId="6804"/>
    <cellStyle name="Normal 44 62 2" xfId="21234"/>
    <cellStyle name="Normal 44 62 2 2" xfId="48242"/>
    <cellStyle name="Normal 44 62 3" xfId="34738"/>
    <cellStyle name="Normal 44 63" xfId="6909"/>
    <cellStyle name="Normal 44 63 2" xfId="21325"/>
    <cellStyle name="Normal 44 63 2 2" xfId="48333"/>
    <cellStyle name="Normal 44 63 3" xfId="34829"/>
    <cellStyle name="Normal 44 64" xfId="7014"/>
    <cellStyle name="Normal 44 64 2" xfId="21416"/>
    <cellStyle name="Normal 44 64 2 2" xfId="48424"/>
    <cellStyle name="Normal 44 64 3" xfId="34920"/>
    <cellStyle name="Normal 44 65" xfId="7118"/>
    <cellStyle name="Normal 44 65 2" xfId="21506"/>
    <cellStyle name="Normal 44 65 2 2" xfId="48514"/>
    <cellStyle name="Normal 44 65 3" xfId="35010"/>
    <cellStyle name="Normal 44 66" xfId="7222"/>
    <cellStyle name="Normal 44 66 2" xfId="21596"/>
    <cellStyle name="Normal 44 66 2 2" xfId="48604"/>
    <cellStyle name="Normal 44 66 3" xfId="35100"/>
    <cellStyle name="Normal 44 67" xfId="7325"/>
    <cellStyle name="Normal 44 67 2" xfId="21685"/>
    <cellStyle name="Normal 44 67 2 2" xfId="48693"/>
    <cellStyle name="Normal 44 67 3" xfId="35189"/>
    <cellStyle name="Normal 44 68" xfId="7425"/>
    <cellStyle name="Normal 44 68 2" xfId="21772"/>
    <cellStyle name="Normal 44 68 2 2" xfId="48780"/>
    <cellStyle name="Normal 44 68 3" xfId="35276"/>
    <cellStyle name="Normal 44 69" xfId="7523"/>
    <cellStyle name="Normal 44 69 2" xfId="21857"/>
    <cellStyle name="Normal 44 69 2 2" xfId="48865"/>
    <cellStyle name="Normal 44 69 3" xfId="35361"/>
    <cellStyle name="Normal 44 7" xfId="976"/>
    <cellStyle name="Normal 44 7 2" xfId="16176"/>
    <cellStyle name="Normal 44 7 2 2" xfId="43184"/>
    <cellStyle name="Normal 44 7 3" xfId="29680"/>
    <cellStyle name="Normal 44 70" xfId="7612"/>
    <cellStyle name="Normal 44 70 2" xfId="21935"/>
    <cellStyle name="Normal 44 70 2 2" xfId="48943"/>
    <cellStyle name="Normal 44 70 3" xfId="35439"/>
    <cellStyle name="Normal 44 71" xfId="7688"/>
    <cellStyle name="Normal 44 71 2" xfId="22004"/>
    <cellStyle name="Normal 44 71 2 2" xfId="49012"/>
    <cellStyle name="Normal 44 71 3" xfId="35508"/>
    <cellStyle name="Normal 44 72" xfId="7867"/>
    <cellStyle name="Normal 44 72 2" xfId="22157"/>
    <cellStyle name="Normal 44 72 2 2" xfId="49165"/>
    <cellStyle name="Normal 44 72 3" xfId="35661"/>
    <cellStyle name="Normal 44 73" xfId="8009"/>
    <cellStyle name="Normal 44 73 2" xfId="22285"/>
    <cellStyle name="Normal 44 73 2 2" xfId="49293"/>
    <cellStyle name="Normal 44 73 3" xfId="35789"/>
    <cellStyle name="Normal 44 74" xfId="8151"/>
    <cellStyle name="Normal 44 74 2" xfId="22413"/>
    <cellStyle name="Normal 44 74 2 2" xfId="49421"/>
    <cellStyle name="Normal 44 74 3" xfId="35917"/>
    <cellStyle name="Normal 44 75" xfId="8293"/>
    <cellStyle name="Normal 44 75 2" xfId="22541"/>
    <cellStyle name="Normal 44 75 2 2" xfId="49549"/>
    <cellStyle name="Normal 44 75 3" xfId="36045"/>
    <cellStyle name="Normal 44 76" xfId="8435"/>
    <cellStyle name="Normal 44 76 2" xfId="22669"/>
    <cellStyle name="Normal 44 76 2 2" xfId="49677"/>
    <cellStyle name="Normal 44 76 3" xfId="36173"/>
    <cellStyle name="Normal 44 77" xfId="8577"/>
    <cellStyle name="Normal 44 77 2" xfId="22797"/>
    <cellStyle name="Normal 44 77 2 2" xfId="49805"/>
    <cellStyle name="Normal 44 77 3" xfId="36301"/>
    <cellStyle name="Normal 44 78" xfId="8719"/>
    <cellStyle name="Normal 44 78 2" xfId="22925"/>
    <cellStyle name="Normal 44 78 2 2" xfId="49933"/>
    <cellStyle name="Normal 44 78 3" xfId="36429"/>
    <cellStyle name="Normal 44 79" xfId="8861"/>
    <cellStyle name="Normal 44 79 2" xfId="23053"/>
    <cellStyle name="Normal 44 79 2 2" xfId="50061"/>
    <cellStyle name="Normal 44 79 3" xfId="36557"/>
    <cellStyle name="Normal 44 8" xfId="1082"/>
    <cellStyle name="Normal 44 8 2" xfId="16268"/>
    <cellStyle name="Normal 44 8 2 2" xfId="43276"/>
    <cellStyle name="Normal 44 8 3" xfId="29772"/>
    <cellStyle name="Normal 44 80" xfId="9003"/>
    <cellStyle name="Normal 44 80 2" xfId="23181"/>
    <cellStyle name="Normal 44 80 2 2" xfId="50189"/>
    <cellStyle name="Normal 44 80 3" xfId="36685"/>
    <cellStyle name="Normal 44 81" xfId="9145"/>
    <cellStyle name="Normal 44 81 2" xfId="23309"/>
    <cellStyle name="Normal 44 81 2 2" xfId="50317"/>
    <cellStyle name="Normal 44 81 3" xfId="36813"/>
    <cellStyle name="Normal 44 82" xfId="9287"/>
    <cellStyle name="Normal 44 82 2" xfId="23437"/>
    <cellStyle name="Normal 44 82 2 2" xfId="50445"/>
    <cellStyle name="Normal 44 82 3" xfId="36941"/>
    <cellStyle name="Normal 44 83" xfId="9429"/>
    <cellStyle name="Normal 44 83 2" xfId="23565"/>
    <cellStyle name="Normal 44 83 2 2" xfId="50573"/>
    <cellStyle name="Normal 44 83 3" xfId="37069"/>
    <cellStyle name="Normal 44 84" xfId="9571"/>
    <cellStyle name="Normal 44 84 2" xfId="23693"/>
    <cellStyle name="Normal 44 84 2 2" xfId="50701"/>
    <cellStyle name="Normal 44 84 3" xfId="37197"/>
    <cellStyle name="Normal 44 85" xfId="9713"/>
    <cellStyle name="Normal 44 85 2" xfId="23821"/>
    <cellStyle name="Normal 44 85 2 2" xfId="50829"/>
    <cellStyle name="Normal 44 85 3" xfId="37325"/>
    <cellStyle name="Normal 44 86" xfId="9855"/>
    <cellStyle name="Normal 44 86 2" xfId="23949"/>
    <cellStyle name="Normal 44 86 2 2" xfId="50957"/>
    <cellStyle name="Normal 44 86 3" xfId="37453"/>
    <cellStyle name="Normal 44 87" xfId="9997"/>
    <cellStyle name="Normal 44 87 2" xfId="24077"/>
    <cellStyle name="Normal 44 87 2 2" xfId="51085"/>
    <cellStyle name="Normal 44 87 3" xfId="37581"/>
    <cellStyle name="Normal 44 88" xfId="10139"/>
    <cellStyle name="Normal 44 88 2" xfId="24205"/>
    <cellStyle name="Normal 44 88 2 2" xfId="51213"/>
    <cellStyle name="Normal 44 88 3" xfId="37709"/>
    <cellStyle name="Normal 44 89" xfId="10281"/>
    <cellStyle name="Normal 44 89 2" xfId="24333"/>
    <cellStyle name="Normal 44 89 2 2" xfId="51341"/>
    <cellStyle name="Normal 44 89 3" xfId="37837"/>
    <cellStyle name="Normal 44 9" xfId="1188"/>
    <cellStyle name="Normal 44 9 2" xfId="16360"/>
    <cellStyle name="Normal 44 9 2 2" xfId="43368"/>
    <cellStyle name="Normal 44 9 3" xfId="29864"/>
    <cellStyle name="Normal 44 90" xfId="10423"/>
    <cellStyle name="Normal 44 90 2" xfId="24461"/>
    <cellStyle name="Normal 44 90 2 2" xfId="51469"/>
    <cellStyle name="Normal 44 90 3" xfId="37965"/>
    <cellStyle name="Normal 44 91" xfId="10565"/>
    <cellStyle name="Normal 44 91 2" xfId="24589"/>
    <cellStyle name="Normal 44 91 2 2" xfId="51597"/>
    <cellStyle name="Normal 44 91 3" xfId="38093"/>
    <cellStyle name="Normal 44 92" xfId="10707"/>
    <cellStyle name="Normal 44 92 2" xfId="24717"/>
    <cellStyle name="Normal 44 92 2 2" xfId="51725"/>
    <cellStyle name="Normal 44 92 3" xfId="38221"/>
    <cellStyle name="Normal 44 93" xfId="10849"/>
    <cellStyle name="Normal 44 93 2" xfId="24845"/>
    <cellStyle name="Normal 44 93 2 2" xfId="51853"/>
    <cellStyle name="Normal 44 93 3" xfId="38349"/>
    <cellStyle name="Normal 44 94" xfId="10991"/>
    <cellStyle name="Normal 44 94 2" xfId="24973"/>
    <cellStyle name="Normal 44 94 2 2" xfId="51981"/>
    <cellStyle name="Normal 44 94 3" xfId="38477"/>
    <cellStyle name="Normal 44 95" xfId="11133"/>
    <cellStyle name="Normal 44 95 2" xfId="25101"/>
    <cellStyle name="Normal 44 95 2 2" xfId="52109"/>
    <cellStyle name="Normal 44 95 3" xfId="38605"/>
    <cellStyle name="Normal 44 96" xfId="11275"/>
    <cellStyle name="Normal 44 96 2" xfId="25229"/>
    <cellStyle name="Normal 44 96 2 2" xfId="52237"/>
    <cellStyle name="Normal 44 96 3" xfId="38733"/>
    <cellStyle name="Normal 44 97" xfId="11417"/>
    <cellStyle name="Normal 44 97 2" xfId="25357"/>
    <cellStyle name="Normal 44 97 2 2" xfId="52365"/>
    <cellStyle name="Normal 44 97 3" xfId="38861"/>
    <cellStyle name="Normal 44 98" xfId="11559"/>
    <cellStyle name="Normal 44 98 2" xfId="25485"/>
    <cellStyle name="Normal 44 98 2 2" xfId="52493"/>
    <cellStyle name="Normal 44 98 3" xfId="38989"/>
    <cellStyle name="Normal 44 99" xfId="11701"/>
    <cellStyle name="Normal 44 99 2" xfId="25613"/>
    <cellStyle name="Normal 44 99 2 2" xfId="52621"/>
    <cellStyle name="Normal 44 99 3" xfId="39117"/>
    <cellStyle name="Normal 440" xfId="56809"/>
    <cellStyle name="Normal 441" xfId="56812"/>
    <cellStyle name="Normal 442" xfId="56815"/>
    <cellStyle name="Normal 443" xfId="56818"/>
    <cellStyle name="Normal 444" xfId="56821"/>
    <cellStyle name="Normal 445" xfId="56826"/>
    <cellStyle name="Normal 446" xfId="56827"/>
    <cellStyle name="Normal 447" xfId="56830"/>
    <cellStyle name="Normal 448" xfId="56833"/>
    <cellStyle name="Normal 449" xfId="56836"/>
    <cellStyle name="Normal 45" xfId="7689"/>
    <cellStyle name="Normal 45 10" xfId="1229"/>
    <cellStyle name="Normal 45 100" xfId="11759"/>
    <cellStyle name="Normal 45 101" xfId="11901"/>
    <cellStyle name="Normal 45 102" xfId="12043"/>
    <cellStyle name="Normal 45 103" xfId="12185"/>
    <cellStyle name="Normal 45 104" xfId="12327"/>
    <cellStyle name="Normal 45 105" xfId="12469"/>
    <cellStyle name="Normal 45 106" xfId="12611"/>
    <cellStyle name="Normal 45 107" xfId="12753"/>
    <cellStyle name="Normal 45 108" xfId="12895"/>
    <cellStyle name="Normal 45 109" xfId="13037"/>
    <cellStyle name="Normal 45 11" xfId="1335"/>
    <cellStyle name="Normal 45 110" xfId="13179"/>
    <cellStyle name="Normal 45 111" xfId="13321"/>
    <cellStyle name="Normal 45 112" xfId="13463"/>
    <cellStyle name="Normal 45 113" xfId="13605"/>
    <cellStyle name="Normal 45 114" xfId="13747"/>
    <cellStyle name="Normal 45 115" xfId="13888"/>
    <cellStyle name="Normal 45 116" xfId="14029"/>
    <cellStyle name="Normal 45 117" xfId="14170"/>
    <cellStyle name="Normal 45 118" xfId="14311"/>
    <cellStyle name="Normal 45 119" xfId="14451"/>
    <cellStyle name="Normal 45 12" xfId="1441"/>
    <cellStyle name="Normal 45 120" xfId="14591"/>
    <cellStyle name="Normal 45 121" xfId="14730"/>
    <cellStyle name="Normal 45 122" xfId="14865"/>
    <cellStyle name="Normal 45 123" xfId="14999"/>
    <cellStyle name="Normal 45 124" xfId="15128"/>
    <cellStyle name="Normal 45 125" xfId="15250"/>
    <cellStyle name="Normal 45 126" xfId="22005"/>
    <cellStyle name="Normal 45 126 2" xfId="49013"/>
    <cellStyle name="Normal 45 127" xfId="35509"/>
    <cellStyle name="Normal 45 13" xfId="1547"/>
    <cellStyle name="Normal 45 14" xfId="1653"/>
    <cellStyle name="Normal 45 15" xfId="1759"/>
    <cellStyle name="Normal 45 16" xfId="1865"/>
    <cellStyle name="Normal 45 17" xfId="1971"/>
    <cellStyle name="Normal 45 18" xfId="2077"/>
    <cellStyle name="Normal 45 19" xfId="2183"/>
    <cellStyle name="Normal 45 2" xfId="281"/>
    <cellStyle name="Normal 45 20" xfId="2289"/>
    <cellStyle name="Normal 45 21" xfId="2395"/>
    <cellStyle name="Normal 45 22" xfId="2501"/>
    <cellStyle name="Normal 45 23" xfId="2607"/>
    <cellStyle name="Normal 45 24" xfId="2713"/>
    <cellStyle name="Normal 45 25" xfId="2819"/>
    <cellStyle name="Normal 45 26" xfId="2925"/>
    <cellStyle name="Normal 45 27" xfId="3031"/>
    <cellStyle name="Normal 45 28" xfId="3137"/>
    <cellStyle name="Normal 45 29" xfId="3243"/>
    <cellStyle name="Normal 45 3" xfId="472"/>
    <cellStyle name="Normal 45 30" xfId="3349"/>
    <cellStyle name="Normal 45 31" xfId="3455"/>
    <cellStyle name="Normal 45 32" xfId="3561"/>
    <cellStyle name="Normal 45 33" xfId="3667"/>
    <cellStyle name="Normal 45 34" xfId="3773"/>
    <cellStyle name="Normal 45 35" xfId="3879"/>
    <cellStyle name="Normal 45 36" xfId="3985"/>
    <cellStyle name="Normal 45 37" xfId="4091"/>
    <cellStyle name="Normal 45 38" xfId="4197"/>
    <cellStyle name="Normal 45 39" xfId="4303"/>
    <cellStyle name="Normal 45 4" xfId="593"/>
    <cellStyle name="Normal 45 40" xfId="4409"/>
    <cellStyle name="Normal 45 41" xfId="4515"/>
    <cellStyle name="Normal 45 42" xfId="4621"/>
    <cellStyle name="Normal 45 43" xfId="4727"/>
    <cellStyle name="Normal 45 44" xfId="4833"/>
    <cellStyle name="Normal 45 45" xfId="4939"/>
    <cellStyle name="Normal 45 46" xfId="5045"/>
    <cellStyle name="Normal 45 47" xfId="5151"/>
    <cellStyle name="Normal 45 48" xfId="5257"/>
    <cellStyle name="Normal 45 49" xfId="5363"/>
    <cellStyle name="Normal 45 5" xfId="699"/>
    <cellStyle name="Normal 45 50" xfId="5469"/>
    <cellStyle name="Normal 45 51" xfId="5575"/>
    <cellStyle name="Normal 45 52" xfId="5681"/>
    <cellStyle name="Normal 45 53" xfId="5787"/>
    <cellStyle name="Normal 45 54" xfId="5893"/>
    <cellStyle name="Normal 45 55" xfId="5999"/>
    <cellStyle name="Normal 45 56" xfId="6105"/>
    <cellStyle name="Normal 45 57" xfId="6211"/>
    <cellStyle name="Normal 45 58" xfId="6317"/>
    <cellStyle name="Normal 45 59" xfId="6423"/>
    <cellStyle name="Normal 45 6" xfId="805"/>
    <cellStyle name="Normal 45 60" xfId="6529"/>
    <cellStyle name="Normal 45 61" xfId="6634"/>
    <cellStyle name="Normal 45 62" xfId="6739"/>
    <cellStyle name="Normal 45 63" xfId="6844"/>
    <cellStyle name="Normal 45 64" xfId="6949"/>
    <cellStyle name="Normal 45 65" xfId="7053"/>
    <cellStyle name="Normal 45 66" xfId="7157"/>
    <cellStyle name="Normal 45 67" xfId="7260"/>
    <cellStyle name="Normal 45 68" xfId="7360"/>
    <cellStyle name="Normal 45 69" xfId="7458"/>
    <cellStyle name="Normal 45 7" xfId="911"/>
    <cellStyle name="Normal 45 70" xfId="7550"/>
    <cellStyle name="Normal 45 71" xfId="7632"/>
    <cellStyle name="Normal 45 72" xfId="7783"/>
    <cellStyle name="Normal 45 73" xfId="7925"/>
    <cellStyle name="Normal 45 74" xfId="8067"/>
    <cellStyle name="Normal 45 75" xfId="8209"/>
    <cellStyle name="Normal 45 76" xfId="8351"/>
    <cellStyle name="Normal 45 77" xfId="8493"/>
    <cellStyle name="Normal 45 78" xfId="8635"/>
    <cellStyle name="Normal 45 79" xfId="8777"/>
    <cellStyle name="Normal 45 8" xfId="1017"/>
    <cellStyle name="Normal 45 80" xfId="8919"/>
    <cellStyle name="Normal 45 81" xfId="9061"/>
    <cellStyle name="Normal 45 82" xfId="9203"/>
    <cellStyle name="Normal 45 83" xfId="9345"/>
    <cellStyle name="Normal 45 84" xfId="9487"/>
    <cellStyle name="Normal 45 85" xfId="9629"/>
    <cellStyle name="Normal 45 86" xfId="9771"/>
    <cellStyle name="Normal 45 87" xfId="9913"/>
    <cellStyle name="Normal 45 88" xfId="10055"/>
    <cellStyle name="Normal 45 89" xfId="10197"/>
    <cellStyle name="Normal 45 9" xfId="1123"/>
    <cellStyle name="Normal 45 90" xfId="10339"/>
    <cellStyle name="Normal 45 91" xfId="10481"/>
    <cellStyle name="Normal 45 92" xfId="10623"/>
    <cellStyle name="Normal 45 93" xfId="10765"/>
    <cellStyle name="Normal 45 94" xfId="10907"/>
    <cellStyle name="Normal 45 95" xfId="11049"/>
    <cellStyle name="Normal 45 96" xfId="11191"/>
    <cellStyle name="Normal 45 97" xfId="11333"/>
    <cellStyle name="Normal 45 98" xfId="11475"/>
    <cellStyle name="Normal 45 99" xfId="11617"/>
    <cellStyle name="Normal 450" xfId="56839"/>
    <cellStyle name="Normal 451" xfId="56842"/>
    <cellStyle name="Normal 452" xfId="56845"/>
    <cellStyle name="Normal 453" xfId="56848"/>
    <cellStyle name="Normal 454" xfId="56851"/>
    <cellStyle name="Normal 455" xfId="56854"/>
    <cellStyle name="Normal 456" xfId="56857"/>
    <cellStyle name="Normal 457" xfId="56860"/>
    <cellStyle name="Normal 458" xfId="56863"/>
    <cellStyle name="Normal 459" xfId="56866"/>
    <cellStyle name="Normal 46" xfId="7884"/>
    <cellStyle name="Normal 46 2" xfId="22170"/>
    <cellStyle name="Normal 46 2 2" xfId="49178"/>
    <cellStyle name="Normal 46 3" xfId="35674"/>
    <cellStyle name="Normal 460" xfId="56869"/>
    <cellStyle name="Normal 461" xfId="56872"/>
    <cellStyle name="Normal 462" xfId="56875"/>
    <cellStyle name="Normal 463" xfId="56878"/>
    <cellStyle name="Normal 464" xfId="56881"/>
    <cellStyle name="Normal 465" xfId="56884"/>
    <cellStyle name="Normal 466" xfId="56887"/>
    <cellStyle name="Normal 467" xfId="56890"/>
    <cellStyle name="Normal 468" xfId="56893"/>
    <cellStyle name="Normal 469" xfId="56896"/>
    <cellStyle name="Normal 47" xfId="8026"/>
    <cellStyle name="Normal 47 2" xfId="22298"/>
    <cellStyle name="Normal 47 2 2" xfId="49306"/>
    <cellStyle name="Normal 47 3" xfId="35802"/>
    <cellStyle name="Normal 470" xfId="56899"/>
    <cellStyle name="Normal 471" xfId="56902"/>
    <cellStyle name="Normal 472" xfId="56905"/>
    <cellStyle name="Normal 473" xfId="56908"/>
    <cellStyle name="Normal 474" xfId="56911"/>
    <cellStyle name="Normal 475" xfId="56914"/>
    <cellStyle name="Normal 476" xfId="56917"/>
    <cellStyle name="Normal 477" xfId="56920"/>
    <cellStyle name="Normal 478" xfId="56923"/>
    <cellStyle name="Normal 479" xfId="56926"/>
    <cellStyle name="Normal 48" xfId="675"/>
    <cellStyle name="Normal 48 2" xfId="15913"/>
    <cellStyle name="Normal 48 2 2" xfId="42921"/>
    <cellStyle name="Normal 48 3" xfId="29417"/>
    <cellStyle name="Normal 480" xfId="56929"/>
    <cellStyle name="Normal 481" xfId="56932"/>
    <cellStyle name="Normal 482" xfId="56935"/>
    <cellStyle name="Normal 483" xfId="56938"/>
    <cellStyle name="Normal 484" xfId="56941"/>
    <cellStyle name="Normal 485" xfId="56944"/>
    <cellStyle name="Normal 486" xfId="56947"/>
    <cellStyle name="Normal 487" xfId="56950"/>
    <cellStyle name="Normal 488" xfId="56953"/>
    <cellStyle name="Normal 489" xfId="56956"/>
    <cellStyle name="Normal 49" xfId="781"/>
    <cellStyle name="Normal 49 2" xfId="16005"/>
    <cellStyle name="Normal 49 2 2" xfId="43013"/>
    <cellStyle name="Normal 49 3" xfId="29509"/>
    <cellStyle name="Normal 490" xfId="56959"/>
    <cellStyle name="Normal 491" xfId="56962"/>
    <cellStyle name="Normal 492" xfId="56965"/>
    <cellStyle name="Normal 493" xfId="56968"/>
    <cellStyle name="Normal 494" xfId="56971"/>
    <cellStyle name="Normal 495" xfId="56974"/>
    <cellStyle name="Normal 496" xfId="56977"/>
    <cellStyle name="Normal 497" xfId="56980"/>
    <cellStyle name="Normal 498" xfId="56983"/>
    <cellStyle name="Normal 499" xfId="56986"/>
    <cellStyle name="Normal 5" xfId="151"/>
    <cellStyle name="Normal 5 10" xfId="1256"/>
    <cellStyle name="Normal 5 10 2" xfId="16414"/>
    <cellStyle name="Normal 5 10 2 2" xfId="43422"/>
    <cellStyle name="Normal 5 10 3" xfId="29918"/>
    <cellStyle name="Normal 5 100" xfId="11805"/>
    <cellStyle name="Normal 5 100 2" xfId="25703"/>
    <cellStyle name="Normal 5 100 2 2" xfId="52711"/>
    <cellStyle name="Normal 5 100 3" xfId="39207"/>
    <cellStyle name="Normal 5 101" xfId="11947"/>
    <cellStyle name="Normal 5 101 2" xfId="25831"/>
    <cellStyle name="Normal 5 101 2 2" xfId="52839"/>
    <cellStyle name="Normal 5 101 3" xfId="39335"/>
    <cellStyle name="Normal 5 102" xfId="12089"/>
    <cellStyle name="Normal 5 102 2" xfId="25959"/>
    <cellStyle name="Normal 5 102 2 2" xfId="52967"/>
    <cellStyle name="Normal 5 102 3" xfId="39463"/>
    <cellStyle name="Normal 5 103" xfId="12231"/>
    <cellStyle name="Normal 5 103 2" xfId="26087"/>
    <cellStyle name="Normal 5 103 2 2" xfId="53095"/>
    <cellStyle name="Normal 5 103 3" xfId="39591"/>
    <cellStyle name="Normal 5 104" xfId="12373"/>
    <cellStyle name="Normal 5 104 2" xfId="26215"/>
    <cellStyle name="Normal 5 104 2 2" xfId="53223"/>
    <cellStyle name="Normal 5 104 3" xfId="39719"/>
    <cellStyle name="Normal 5 105" xfId="12515"/>
    <cellStyle name="Normal 5 105 2" xfId="26343"/>
    <cellStyle name="Normal 5 105 2 2" xfId="53351"/>
    <cellStyle name="Normal 5 105 3" xfId="39847"/>
    <cellStyle name="Normal 5 106" xfId="12657"/>
    <cellStyle name="Normal 5 106 2" xfId="26471"/>
    <cellStyle name="Normal 5 106 2 2" xfId="53479"/>
    <cellStyle name="Normal 5 106 3" xfId="39975"/>
    <cellStyle name="Normal 5 107" xfId="12799"/>
    <cellStyle name="Normal 5 107 2" xfId="26599"/>
    <cellStyle name="Normal 5 107 2 2" xfId="53607"/>
    <cellStyle name="Normal 5 107 3" xfId="40103"/>
    <cellStyle name="Normal 5 108" xfId="12941"/>
    <cellStyle name="Normal 5 108 2" xfId="26727"/>
    <cellStyle name="Normal 5 108 2 2" xfId="53735"/>
    <cellStyle name="Normal 5 108 3" xfId="40231"/>
    <cellStyle name="Normal 5 109" xfId="13083"/>
    <cellStyle name="Normal 5 109 2" xfId="26855"/>
    <cellStyle name="Normal 5 109 2 2" xfId="53863"/>
    <cellStyle name="Normal 5 109 3" xfId="40359"/>
    <cellStyle name="Normal 5 11" xfId="1362"/>
    <cellStyle name="Normal 5 11 2" xfId="16506"/>
    <cellStyle name="Normal 5 11 2 2" xfId="43514"/>
    <cellStyle name="Normal 5 11 3" xfId="30010"/>
    <cellStyle name="Normal 5 110" xfId="13225"/>
    <cellStyle name="Normal 5 110 2" xfId="26983"/>
    <cellStyle name="Normal 5 110 2 2" xfId="53991"/>
    <cellStyle name="Normal 5 110 3" xfId="40487"/>
    <cellStyle name="Normal 5 111" xfId="13367"/>
    <cellStyle name="Normal 5 111 2" xfId="27111"/>
    <cellStyle name="Normal 5 111 2 2" xfId="54119"/>
    <cellStyle name="Normal 5 111 3" xfId="40615"/>
    <cellStyle name="Normal 5 112" xfId="13509"/>
    <cellStyle name="Normal 5 112 2" xfId="27239"/>
    <cellStyle name="Normal 5 112 2 2" xfId="54247"/>
    <cellStyle name="Normal 5 112 3" xfId="40743"/>
    <cellStyle name="Normal 5 113" xfId="13651"/>
    <cellStyle name="Normal 5 113 2" xfId="27367"/>
    <cellStyle name="Normal 5 113 2 2" xfId="54375"/>
    <cellStyle name="Normal 5 113 3" xfId="40871"/>
    <cellStyle name="Normal 5 114" xfId="13793"/>
    <cellStyle name="Normal 5 114 2" xfId="27495"/>
    <cellStyle name="Normal 5 114 2 2" xfId="54503"/>
    <cellStyle name="Normal 5 114 3" xfId="40999"/>
    <cellStyle name="Normal 5 115" xfId="13934"/>
    <cellStyle name="Normal 5 115 2" xfId="27622"/>
    <cellStyle name="Normal 5 115 2 2" xfId="54630"/>
    <cellStyle name="Normal 5 115 3" xfId="41126"/>
    <cellStyle name="Normal 5 116" xfId="14075"/>
    <cellStyle name="Normal 5 116 2" xfId="27749"/>
    <cellStyle name="Normal 5 116 2 2" xfId="54757"/>
    <cellStyle name="Normal 5 116 3" xfId="41253"/>
    <cellStyle name="Normal 5 117" xfId="14216"/>
    <cellStyle name="Normal 5 117 2" xfId="27876"/>
    <cellStyle name="Normal 5 117 2 2" xfId="54884"/>
    <cellStyle name="Normal 5 117 3" xfId="41380"/>
    <cellStyle name="Normal 5 118" xfId="14357"/>
    <cellStyle name="Normal 5 118 2" xfId="28003"/>
    <cellStyle name="Normal 5 118 2 2" xfId="55011"/>
    <cellStyle name="Normal 5 118 3" xfId="41507"/>
    <cellStyle name="Normal 5 119" xfId="14497"/>
    <cellStyle name="Normal 5 119 2" xfId="28129"/>
    <cellStyle name="Normal 5 119 2 2" xfId="55137"/>
    <cellStyle name="Normal 5 119 3" xfId="41633"/>
    <cellStyle name="Normal 5 12" xfId="1468"/>
    <cellStyle name="Normal 5 12 2" xfId="16598"/>
    <cellStyle name="Normal 5 12 2 2" xfId="43606"/>
    <cellStyle name="Normal 5 12 3" xfId="30102"/>
    <cellStyle name="Normal 5 120" xfId="14637"/>
    <cellStyle name="Normal 5 120 2" xfId="28255"/>
    <cellStyle name="Normal 5 120 2 2" xfId="55263"/>
    <cellStyle name="Normal 5 120 3" xfId="41759"/>
    <cellStyle name="Normal 5 121" xfId="14776"/>
    <cellStyle name="Normal 5 121 2" xfId="28380"/>
    <cellStyle name="Normal 5 121 2 2" xfId="55388"/>
    <cellStyle name="Normal 5 121 3" xfId="41884"/>
    <cellStyle name="Normal 5 122" xfId="14911"/>
    <cellStyle name="Normal 5 122 2" xfId="28502"/>
    <cellStyle name="Normal 5 122 2 2" xfId="55510"/>
    <cellStyle name="Normal 5 122 3" xfId="42006"/>
    <cellStyle name="Normal 5 123" xfId="15045"/>
    <cellStyle name="Normal 5 123 2" xfId="28623"/>
    <cellStyle name="Normal 5 123 2 2" xfId="55631"/>
    <cellStyle name="Normal 5 123 3" xfId="42127"/>
    <cellStyle name="Normal 5 124" xfId="15172"/>
    <cellStyle name="Normal 5 124 2" xfId="28739"/>
    <cellStyle name="Normal 5 124 2 2" xfId="55747"/>
    <cellStyle name="Normal 5 124 3" xfId="42243"/>
    <cellStyle name="Normal 5 125" xfId="15292"/>
    <cellStyle name="Normal 5 125 2" xfId="28852"/>
    <cellStyle name="Normal 5 125 2 2" xfId="55860"/>
    <cellStyle name="Normal 5 125 3" xfId="42356"/>
    <cellStyle name="Normal 5 126" xfId="15507"/>
    <cellStyle name="Normal 5 126 2" xfId="42515"/>
    <cellStyle name="Normal 5 127" xfId="29011"/>
    <cellStyle name="Normal 5 13" xfId="1574"/>
    <cellStyle name="Normal 5 13 2" xfId="16690"/>
    <cellStyle name="Normal 5 13 2 2" xfId="43698"/>
    <cellStyle name="Normal 5 13 3" xfId="30194"/>
    <cellStyle name="Normal 5 14" xfId="1680"/>
    <cellStyle name="Normal 5 14 2" xfId="16782"/>
    <cellStyle name="Normal 5 14 2 2" xfId="43790"/>
    <cellStyle name="Normal 5 14 3" xfId="30286"/>
    <cellStyle name="Normal 5 15" xfId="1786"/>
    <cellStyle name="Normal 5 15 2" xfId="16874"/>
    <cellStyle name="Normal 5 15 2 2" xfId="43882"/>
    <cellStyle name="Normal 5 15 3" xfId="30378"/>
    <cellStyle name="Normal 5 16" xfId="1892"/>
    <cellStyle name="Normal 5 16 2" xfId="16966"/>
    <cellStyle name="Normal 5 16 2 2" xfId="43974"/>
    <cellStyle name="Normal 5 16 3" xfId="30470"/>
    <cellStyle name="Normal 5 17" xfId="1998"/>
    <cellStyle name="Normal 5 17 2" xfId="17058"/>
    <cellStyle name="Normal 5 17 2 2" xfId="44066"/>
    <cellStyle name="Normal 5 17 3" xfId="30562"/>
    <cellStyle name="Normal 5 18" xfId="2104"/>
    <cellStyle name="Normal 5 18 2" xfId="17150"/>
    <cellStyle name="Normal 5 18 2 2" xfId="44158"/>
    <cellStyle name="Normal 5 18 3" xfId="30654"/>
    <cellStyle name="Normal 5 19" xfId="2210"/>
    <cellStyle name="Normal 5 19 2" xfId="17242"/>
    <cellStyle name="Normal 5 19 2 2" xfId="44250"/>
    <cellStyle name="Normal 5 19 3" xfId="30746"/>
    <cellStyle name="Normal 5 2" xfId="328"/>
    <cellStyle name="Normal 5 2 2" xfId="15630"/>
    <cellStyle name="Normal 5 2 2 2" xfId="42638"/>
    <cellStyle name="Normal 5 2 3" xfId="29134"/>
    <cellStyle name="Normal 5 20" xfId="2316"/>
    <cellStyle name="Normal 5 20 2" xfId="17334"/>
    <cellStyle name="Normal 5 20 2 2" xfId="44342"/>
    <cellStyle name="Normal 5 20 3" xfId="30838"/>
    <cellStyle name="Normal 5 21" xfId="2422"/>
    <cellStyle name="Normal 5 21 2" xfId="17426"/>
    <cellStyle name="Normal 5 21 2 2" xfId="44434"/>
    <cellStyle name="Normal 5 21 3" xfId="30930"/>
    <cellStyle name="Normal 5 22" xfId="2528"/>
    <cellStyle name="Normal 5 22 2" xfId="17518"/>
    <cellStyle name="Normal 5 22 2 2" xfId="44526"/>
    <cellStyle name="Normal 5 22 3" xfId="31022"/>
    <cellStyle name="Normal 5 23" xfId="2634"/>
    <cellStyle name="Normal 5 23 2" xfId="17610"/>
    <cellStyle name="Normal 5 23 2 2" xfId="44618"/>
    <cellStyle name="Normal 5 23 3" xfId="31114"/>
    <cellStyle name="Normal 5 24" xfId="2740"/>
    <cellStyle name="Normal 5 24 2" xfId="17702"/>
    <cellStyle name="Normal 5 24 2 2" xfId="44710"/>
    <cellStyle name="Normal 5 24 3" xfId="31206"/>
    <cellStyle name="Normal 5 25" xfId="2846"/>
    <cellStyle name="Normal 5 25 2" xfId="17794"/>
    <cellStyle name="Normal 5 25 2 2" xfId="44802"/>
    <cellStyle name="Normal 5 25 3" xfId="31298"/>
    <cellStyle name="Normal 5 26" xfId="2952"/>
    <cellStyle name="Normal 5 26 2" xfId="17886"/>
    <cellStyle name="Normal 5 26 2 2" xfId="44894"/>
    <cellStyle name="Normal 5 26 3" xfId="31390"/>
    <cellStyle name="Normal 5 27" xfId="3058"/>
    <cellStyle name="Normal 5 27 2" xfId="17978"/>
    <cellStyle name="Normal 5 27 2 2" xfId="44986"/>
    <cellStyle name="Normal 5 27 3" xfId="31482"/>
    <cellStyle name="Normal 5 28" xfId="3164"/>
    <cellStyle name="Normal 5 28 2" xfId="18070"/>
    <cellStyle name="Normal 5 28 2 2" xfId="45078"/>
    <cellStyle name="Normal 5 28 3" xfId="31574"/>
    <cellStyle name="Normal 5 29" xfId="3270"/>
    <cellStyle name="Normal 5 29 2" xfId="18162"/>
    <cellStyle name="Normal 5 29 2 2" xfId="45170"/>
    <cellStyle name="Normal 5 29 3" xfId="31666"/>
    <cellStyle name="Normal 5 3" xfId="515"/>
    <cellStyle name="Normal 5 3 2" xfId="15771"/>
    <cellStyle name="Normal 5 3 2 2" xfId="42779"/>
    <cellStyle name="Normal 5 3 3" xfId="29275"/>
    <cellStyle name="Normal 5 30" xfId="3376"/>
    <cellStyle name="Normal 5 30 2" xfId="18254"/>
    <cellStyle name="Normal 5 30 2 2" xfId="45262"/>
    <cellStyle name="Normal 5 30 3" xfId="31758"/>
    <cellStyle name="Normal 5 31" xfId="3482"/>
    <cellStyle name="Normal 5 31 2" xfId="18346"/>
    <cellStyle name="Normal 5 31 2 2" xfId="45354"/>
    <cellStyle name="Normal 5 31 3" xfId="31850"/>
    <cellStyle name="Normal 5 32" xfId="3588"/>
    <cellStyle name="Normal 5 32 2" xfId="18438"/>
    <cellStyle name="Normal 5 32 2 2" xfId="45446"/>
    <cellStyle name="Normal 5 32 3" xfId="31942"/>
    <cellStyle name="Normal 5 33" xfId="3694"/>
    <cellStyle name="Normal 5 33 2" xfId="18530"/>
    <cellStyle name="Normal 5 33 2 2" xfId="45538"/>
    <cellStyle name="Normal 5 33 3" xfId="32034"/>
    <cellStyle name="Normal 5 34" xfId="3800"/>
    <cellStyle name="Normal 5 34 2" xfId="18622"/>
    <cellStyle name="Normal 5 34 2 2" xfId="45630"/>
    <cellStyle name="Normal 5 34 3" xfId="32126"/>
    <cellStyle name="Normal 5 35" xfId="3906"/>
    <cellStyle name="Normal 5 35 2" xfId="18714"/>
    <cellStyle name="Normal 5 35 2 2" xfId="45722"/>
    <cellStyle name="Normal 5 35 3" xfId="32218"/>
    <cellStyle name="Normal 5 36" xfId="4012"/>
    <cellStyle name="Normal 5 36 2" xfId="18806"/>
    <cellStyle name="Normal 5 36 2 2" xfId="45814"/>
    <cellStyle name="Normal 5 36 3" xfId="32310"/>
    <cellStyle name="Normal 5 37" xfId="4118"/>
    <cellStyle name="Normal 5 37 2" xfId="18898"/>
    <cellStyle name="Normal 5 37 2 2" xfId="45906"/>
    <cellStyle name="Normal 5 37 3" xfId="32402"/>
    <cellStyle name="Normal 5 38" xfId="4224"/>
    <cellStyle name="Normal 5 38 2" xfId="18990"/>
    <cellStyle name="Normal 5 38 2 2" xfId="45998"/>
    <cellStyle name="Normal 5 38 3" xfId="32494"/>
    <cellStyle name="Normal 5 39" xfId="4330"/>
    <cellStyle name="Normal 5 39 2" xfId="19082"/>
    <cellStyle name="Normal 5 39 2 2" xfId="46090"/>
    <cellStyle name="Normal 5 39 3" xfId="32586"/>
    <cellStyle name="Normal 5 4" xfId="620"/>
    <cellStyle name="Normal 5 4 2" xfId="15862"/>
    <cellStyle name="Normal 5 4 2 2" xfId="42870"/>
    <cellStyle name="Normal 5 4 3" xfId="29366"/>
    <cellStyle name="Normal 5 40" xfId="4436"/>
    <cellStyle name="Normal 5 40 2" xfId="19174"/>
    <cellStyle name="Normal 5 40 2 2" xfId="46182"/>
    <cellStyle name="Normal 5 40 3" xfId="32678"/>
    <cellStyle name="Normal 5 41" xfId="4542"/>
    <cellStyle name="Normal 5 41 2" xfId="19266"/>
    <cellStyle name="Normal 5 41 2 2" xfId="46274"/>
    <cellStyle name="Normal 5 41 3" xfId="32770"/>
    <cellStyle name="Normal 5 42" xfId="4648"/>
    <cellStyle name="Normal 5 42 2" xfId="19358"/>
    <cellStyle name="Normal 5 42 2 2" xfId="46366"/>
    <cellStyle name="Normal 5 42 3" xfId="32862"/>
    <cellStyle name="Normal 5 43" xfId="4754"/>
    <cellStyle name="Normal 5 43 2" xfId="19450"/>
    <cellStyle name="Normal 5 43 2 2" xfId="46458"/>
    <cellStyle name="Normal 5 43 3" xfId="32954"/>
    <cellStyle name="Normal 5 44" xfId="4860"/>
    <cellStyle name="Normal 5 44 2" xfId="19542"/>
    <cellStyle name="Normal 5 44 2 2" xfId="46550"/>
    <cellStyle name="Normal 5 44 3" xfId="33046"/>
    <cellStyle name="Normal 5 45" xfId="4966"/>
    <cellStyle name="Normal 5 45 2" xfId="19634"/>
    <cellStyle name="Normal 5 45 2 2" xfId="46642"/>
    <cellStyle name="Normal 5 45 3" xfId="33138"/>
    <cellStyle name="Normal 5 46" xfId="5072"/>
    <cellStyle name="Normal 5 46 2" xfId="19726"/>
    <cellStyle name="Normal 5 46 2 2" xfId="46734"/>
    <cellStyle name="Normal 5 46 3" xfId="33230"/>
    <cellStyle name="Normal 5 47" xfId="5178"/>
    <cellStyle name="Normal 5 47 2" xfId="19818"/>
    <cellStyle name="Normal 5 47 2 2" xfId="46826"/>
    <cellStyle name="Normal 5 47 3" xfId="33322"/>
    <cellStyle name="Normal 5 48" xfId="5284"/>
    <cellStyle name="Normal 5 48 2" xfId="19910"/>
    <cellStyle name="Normal 5 48 2 2" xfId="46918"/>
    <cellStyle name="Normal 5 48 3" xfId="33414"/>
    <cellStyle name="Normal 5 49" xfId="5390"/>
    <cellStyle name="Normal 5 49 2" xfId="20002"/>
    <cellStyle name="Normal 5 49 2 2" xfId="47010"/>
    <cellStyle name="Normal 5 49 3" xfId="33506"/>
    <cellStyle name="Normal 5 5" xfId="726"/>
    <cellStyle name="Normal 5 5 2" xfId="15954"/>
    <cellStyle name="Normal 5 5 2 2" xfId="42962"/>
    <cellStyle name="Normal 5 5 3" xfId="29458"/>
    <cellStyle name="Normal 5 50" xfId="5496"/>
    <cellStyle name="Normal 5 50 2" xfId="20094"/>
    <cellStyle name="Normal 5 50 2 2" xfId="47102"/>
    <cellStyle name="Normal 5 50 3" xfId="33598"/>
    <cellStyle name="Normal 5 51" xfId="5602"/>
    <cellStyle name="Normal 5 51 2" xfId="20186"/>
    <cellStyle name="Normal 5 51 2 2" xfId="47194"/>
    <cellStyle name="Normal 5 51 3" xfId="33690"/>
    <cellStyle name="Normal 5 52" xfId="5708"/>
    <cellStyle name="Normal 5 52 2" xfId="20278"/>
    <cellStyle name="Normal 5 52 2 2" xfId="47286"/>
    <cellStyle name="Normal 5 52 3" xfId="33782"/>
    <cellStyle name="Normal 5 53" xfId="5814"/>
    <cellStyle name="Normal 5 53 2" xfId="20370"/>
    <cellStyle name="Normal 5 53 2 2" xfId="47378"/>
    <cellStyle name="Normal 5 53 3" xfId="33874"/>
    <cellStyle name="Normal 5 54" xfId="5920"/>
    <cellStyle name="Normal 5 54 2" xfId="20462"/>
    <cellStyle name="Normal 5 54 2 2" xfId="47470"/>
    <cellStyle name="Normal 5 54 3" xfId="33966"/>
    <cellStyle name="Normal 5 55" xfId="6026"/>
    <cellStyle name="Normal 5 55 2" xfId="20554"/>
    <cellStyle name="Normal 5 55 2 2" xfId="47562"/>
    <cellStyle name="Normal 5 55 3" xfId="34058"/>
    <cellStyle name="Normal 5 56" xfId="6132"/>
    <cellStyle name="Normal 5 56 2" xfId="20646"/>
    <cellStyle name="Normal 5 56 2 2" xfId="47654"/>
    <cellStyle name="Normal 5 56 3" xfId="34150"/>
    <cellStyle name="Normal 5 57" xfId="6238"/>
    <cellStyle name="Normal 5 57 2" xfId="20738"/>
    <cellStyle name="Normal 5 57 2 2" xfId="47746"/>
    <cellStyle name="Normal 5 57 3" xfId="34242"/>
    <cellStyle name="Normal 5 58" xfId="6344"/>
    <cellStyle name="Normal 5 58 2" xfId="20830"/>
    <cellStyle name="Normal 5 58 2 2" xfId="47838"/>
    <cellStyle name="Normal 5 58 3" xfId="34334"/>
    <cellStyle name="Normal 5 59" xfId="6450"/>
    <cellStyle name="Normal 5 59 2" xfId="20922"/>
    <cellStyle name="Normal 5 59 2 2" xfId="47930"/>
    <cellStyle name="Normal 5 59 3" xfId="34426"/>
    <cellStyle name="Normal 5 6" xfId="832"/>
    <cellStyle name="Normal 5 6 2" xfId="16046"/>
    <cellStyle name="Normal 5 6 2 2" xfId="43054"/>
    <cellStyle name="Normal 5 6 3" xfId="29550"/>
    <cellStyle name="Normal 5 60" xfId="6556"/>
    <cellStyle name="Normal 5 60 2" xfId="21014"/>
    <cellStyle name="Normal 5 60 2 2" xfId="48022"/>
    <cellStyle name="Normal 5 60 3" xfId="34518"/>
    <cellStyle name="Normal 5 61" xfId="6661"/>
    <cellStyle name="Normal 5 61 2" xfId="21105"/>
    <cellStyle name="Normal 5 61 2 2" xfId="48113"/>
    <cellStyle name="Normal 5 61 3" xfId="34609"/>
    <cellStyle name="Normal 5 62" xfId="6766"/>
    <cellStyle name="Normal 5 62 2" xfId="21196"/>
    <cellStyle name="Normal 5 62 2 2" xfId="48204"/>
    <cellStyle name="Normal 5 62 3" xfId="34700"/>
    <cellStyle name="Normal 5 63" xfId="6871"/>
    <cellStyle name="Normal 5 63 2" xfId="21287"/>
    <cellStyle name="Normal 5 63 2 2" xfId="48295"/>
    <cellStyle name="Normal 5 63 3" xfId="34791"/>
    <cellStyle name="Normal 5 64" xfId="6976"/>
    <cellStyle name="Normal 5 64 2" xfId="21378"/>
    <cellStyle name="Normal 5 64 2 2" xfId="48386"/>
    <cellStyle name="Normal 5 64 3" xfId="34882"/>
    <cellStyle name="Normal 5 65" xfId="7080"/>
    <cellStyle name="Normal 5 65 2" xfId="21468"/>
    <cellStyle name="Normal 5 65 2 2" xfId="48476"/>
    <cellStyle name="Normal 5 65 3" xfId="34972"/>
    <cellStyle name="Normal 5 66" xfId="7184"/>
    <cellStyle name="Normal 5 66 2" xfId="21558"/>
    <cellStyle name="Normal 5 66 2 2" xfId="48566"/>
    <cellStyle name="Normal 5 66 3" xfId="35062"/>
    <cellStyle name="Normal 5 67" xfId="7287"/>
    <cellStyle name="Normal 5 67 2" xfId="21647"/>
    <cellStyle name="Normal 5 67 2 2" xfId="48655"/>
    <cellStyle name="Normal 5 67 3" xfId="35151"/>
    <cellStyle name="Normal 5 68" xfId="7387"/>
    <cellStyle name="Normal 5 68 2" xfId="21734"/>
    <cellStyle name="Normal 5 68 2 2" xfId="48742"/>
    <cellStyle name="Normal 5 68 3" xfId="35238"/>
    <cellStyle name="Normal 5 69" xfId="7485"/>
    <cellStyle name="Normal 5 69 2" xfId="21819"/>
    <cellStyle name="Normal 5 69 2 2" xfId="48827"/>
    <cellStyle name="Normal 5 69 3" xfId="35323"/>
    <cellStyle name="Normal 5 7" xfId="938"/>
    <cellStyle name="Normal 5 7 2" xfId="16138"/>
    <cellStyle name="Normal 5 7 2 2" xfId="43146"/>
    <cellStyle name="Normal 5 7 3" xfId="29642"/>
    <cellStyle name="Normal 5 70" xfId="7574"/>
    <cellStyle name="Normal 5 70 2" xfId="21897"/>
    <cellStyle name="Normal 5 70 2 2" xfId="48905"/>
    <cellStyle name="Normal 5 70 3" xfId="35401"/>
    <cellStyle name="Normal 5 71" xfId="7650"/>
    <cellStyle name="Normal 5 71 2" xfId="21966"/>
    <cellStyle name="Normal 5 71 2 2" xfId="48974"/>
    <cellStyle name="Normal 5 71 3" xfId="35470"/>
    <cellStyle name="Normal 5 72" xfId="7829"/>
    <cellStyle name="Normal 5 72 2" xfId="22119"/>
    <cellStyle name="Normal 5 72 2 2" xfId="49127"/>
    <cellStyle name="Normal 5 72 3" xfId="35623"/>
    <cellStyle name="Normal 5 73" xfId="7971"/>
    <cellStyle name="Normal 5 73 2" xfId="22247"/>
    <cellStyle name="Normal 5 73 2 2" xfId="49255"/>
    <cellStyle name="Normal 5 73 3" xfId="35751"/>
    <cellStyle name="Normal 5 74" xfId="8113"/>
    <cellStyle name="Normal 5 74 2" xfId="22375"/>
    <cellStyle name="Normal 5 74 2 2" xfId="49383"/>
    <cellStyle name="Normal 5 74 3" xfId="35879"/>
    <cellStyle name="Normal 5 75" xfId="8255"/>
    <cellStyle name="Normal 5 75 2" xfId="22503"/>
    <cellStyle name="Normal 5 75 2 2" xfId="49511"/>
    <cellStyle name="Normal 5 75 3" xfId="36007"/>
    <cellStyle name="Normal 5 76" xfId="8397"/>
    <cellStyle name="Normal 5 76 2" xfId="22631"/>
    <cellStyle name="Normal 5 76 2 2" xfId="49639"/>
    <cellStyle name="Normal 5 76 3" xfId="36135"/>
    <cellStyle name="Normal 5 77" xfId="8539"/>
    <cellStyle name="Normal 5 77 2" xfId="22759"/>
    <cellStyle name="Normal 5 77 2 2" xfId="49767"/>
    <cellStyle name="Normal 5 77 3" xfId="36263"/>
    <cellStyle name="Normal 5 78" xfId="8681"/>
    <cellStyle name="Normal 5 78 2" xfId="22887"/>
    <cellStyle name="Normal 5 78 2 2" xfId="49895"/>
    <cellStyle name="Normal 5 78 3" xfId="36391"/>
    <cellStyle name="Normal 5 79" xfId="8823"/>
    <cellStyle name="Normal 5 79 2" xfId="23015"/>
    <cellStyle name="Normal 5 79 2 2" xfId="50023"/>
    <cellStyle name="Normal 5 79 3" xfId="36519"/>
    <cellStyle name="Normal 5 8" xfId="1044"/>
    <cellStyle name="Normal 5 8 2" xfId="16230"/>
    <cellStyle name="Normal 5 8 2 2" xfId="43238"/>
    <cellStyle name="Normal 5 8 3" xfId="29734"/>
    <cellStyle name="Normal 5 80" xfId="8965"/>
    <cellStyle name="Normal 5 80 2" xfId="23143"/>
    <cellStyle name="Normal 5 80 2 2" xfId="50151"/>
    <cellStyle name="Normal 5 80 3" xfId="36647"/>
    <cellStyle name="Normal 5 81" xfId="9107"/>
    <cellStyle name="Normal 5 81 2" xfId="23271"/>
    <cellStyle name="Normal 5 81 2 2" xfId="50279"/>
    <cellStyle name="Normal 5 81 3" xfId="36775"/>
    <cellStyle name="Normal 5 82" xfId="9249"/>
    <cellStyle name="Normal 5 82 2" xfId="23399"/>
    <cellStyle name="Normal 5 82 2 2" xfId="50407"/>
    <cellStyle name="Normal 5 82 3" xfId="36903"/>
    <cellStyle name="Normal 5 83" xfId="9391"/>
    <cellStyle name="Normal 5 83 2" xfId="23527"/>
    <cellStyle name="Normal 5 83 2 2" xfId="50535"/>
    <cellStyle name="Normal 5 83 3" xfId="37031"/>
    <cellStyle name="Normal 5 84" xfId="9533"/>
    <cellStyle name="Normal 5 84 2" xfId="23655"/>
    <cellStyle name="Normal 5 84 2 2" xfId="50663"/>
    <cellStyle name="Normal 5 84 3" xfId="37159"/>
    <cellStyle name="Normal 5 85" xfId="9675"/>
    <cellStyle name="Normal 5 85 2" xfId="23783"/>
    <cellStyle name="Normal 5 85 2 2" xfId="50791"/>
    <cellStyle name="Normal 5 85 3" xfId="37287"/>
    <cellStyle name="Normal 5 86" xfId="9817"/>
    <cellStyle name="Normal 5 86 2" xfId="23911"/>
    <cellStyle name="Normal 5 86 2 2" xfId="50919"/>
    <cellStyle name="Normal 5 86 3" xfId="37415"/>
    <cellStyle name="Normal 5 87" xfId="9959"/>
    <cellStyle name="Normal 5 87 2" xfId="24039"/>
    <cellStyle name="Normal 5 87 2 2" xfId="51047"/>
    <cellStyle name="Normal 5 87 3" xfId="37543"/>
    <cellStyle name="Normal 5 88" xfId="10101"/>
    <cellStyle name="Normal 5 88 2" xfId="24167"/>
    <cellStyle name="Normal 5 88 2 2" xfId="51175"/>
    <cellStyle name="Normal 5 88 3" xfId="37671"/>
    <cellStyle name="Normal 5 89" xfId="10243"/>
    <cellStyle name="Normal 5 89 2" xfId="24295"/>
    <cellStyle name="Normal 5 89 2 2" xfId="51303"/>
    <cellStyle name="Normal 5 89 3" xfId="37799"/>
    <cellStyle name="Normal 5 9" xfId="1150"/>
    <cellStyle name="Normal 5 9 2" xfId="16322"/>
    <cellStyle name="Normal 5 9 2 2" xfId="43330"/>
    <cellStyle name="Normal 5 9 3" xfId="29826"/>
    <cellStyle name="Normal 5 90" xfId="10385"/>
    <cellStyle name="Normal 5 90 2" xfId="24423"/>
    <cellStyle name="Normal 5 90 2 2" xfId="51431"/>
    <cellStyle name="Normal 5 90 3" xfId="37927"/>
    <cellStyle name="Normal 5 91" xfId="10527"/>
    <cellStyle name="Normal 5 91 2" xfId="24551"/>
    <cellStyle name="Normal 5 91 2 2" xfId="51559"/>
    <cellStyle name="Normal 5 91 3" xfId="38055"/>
    <cellStyle name="Normal 5 92" xfId="10669"/>
    <cellStyle name="Normal 5 92 2" xfId="24679"/>
    <cellStyle name="Normal 5 92 2 2" xfId="51687"/>
    <cellStyle name="Normal 5 92 3" xfId="38183"/>
    <cellStyle name="Normal 5 93" xfId="10811"/>
    <cellStyle name="Normal 5 93 2" xfId="24807"/>
    <cellStyle name="Normal 5 93 2 2" xfId="51815"/>
    <cellStyle name="Normal 5 93 3" xfId="38311"/>
    <cellStyle name="Normal 5 94" xfId="10953"/>
    <cellStyle name="Normal 5 94 2" xfId="24935"/>
    <cellStyle name="Normal 5 94 2 2" xfId="51943"/>
    <cellStyle name="Normal 5 94 3" xfId="38439"/>
    <cellStyle name="Normal 5 95" xfId="11095"/>
    <cellStyle name="Normal 5 95 2" xfId="25063"/>
    <cellStyle name="Normal 5 95 2 2" xfId="52071"/>
    <cellStyle name="Normal 5 95 3" xfId="38567"/>
    <cellStyle name="Normal 5 96" xfId="11237"/>
    <cellStyle name="Normal 5 96 2" xfId="25191"/>
    <cellStyle name="Normal 5 96 2 2" xfId="52199"/>
    <cellStyle name="Normal 5 96 3" xfId="38695"/>
    <cellStyle name="Normal 5 97" xfId="11379"/>
    <cellStyle name="Normal 5 97 2" xfId="25319"/>
    <cellStyle name="Normal 5 97 2 2" xfId="52327"/>
    <cellStyle name="Normal 5 97 3" xfId="38823"/>
    <cellStyle name="Normal 5 98" xfId="11521"/>
    <cellStyle name="Normal 5 98 2" xfId="25447"/>
    <cellStyle name="Normal 5 98 2 2" xfId="52455"/>
    <cellStyle name="Normal 5 98 3" xfId="38951"/>
    <cellStyle name="Normal 5 99" xfId="11663"/>
    <cellStyle name="Normal 5 99 2" xfId="25575"/>
    <cellStyle name="Normal 5 99 2 2" xfId="52583"/>
    <cellStyle name="Normal 5 99 3" xfId="39079"/>
    <cellStyle name="Normal 50" xfId="887"/>
    <cellStyle name="Normal 50 2" xfId="16097"/>
    <cellStyle name="Normal 50 2 2" xfId="43105"/>
    <cellStyle name="Normal 50 3" xfId="29601"/>
    <cellStyle name="Normal 500" xfId="56989"/>
    <cellStyle name="Normal 501" xfId="56992"/>
    <cellStyle name="Normal 502" xfId="56995"/>
    <cellStyle name="Normal 503" xfId="56998"/>
    <cellStyle name="Normal 504" xfId="57001"/>
    <cellStyle name="Normal 505" xfId="57004"/>
    <cellStyle name="Normal 506" xfId="57007"/>
    <cellStyle name="Normal 507" xfId="57010"/>
    <cellStyle name="Normal 508" xfId="57013"/>
    <cellStyle name="Normal 509" xfId="57016"/>
    <cellStyle name="Normal 51" xfId="993"/>
    <cellStyle name="Normal 51 2" xfId="16189"/>
    <cellStyle name="Normal 51 2 2" xfId="43197"/>
    <cellStyle name="Normal 51 3" xfId="29693"/>
    <cellStyle name="Normal 510" xfId="57021"/>
    <cellStyle name="Normal 511" xfId="57022"/>
    <cellStyle name="Normal 512" xfId="57025"/>
    <cellStyle name="Normal 513" xfId="57028"/>
    <cellStyle name="Normal 514" xfId="57031"/>
    <cellStyle name="Normal 515" xfId="57034"/>
    <cellStyle name="Normal 516" xfId="57037"/>
    <cellStyle name="Normal 517" xfId="57040"/>
    <cellStyle name="Normal 518" xfId="57043"/>
    <cellStyle name="Normal 519" xfId="57046"/>
    <cellStyle name="Normal 52" xfId="1099"/>
    <cellStyle name="Normal 52 2" xfId="16281"/>
    <cellStyle name="Normal 52 2 2" xfId="43289"/>
    <cellStyle name="Normal 52 3" xfId="29785"/>
    <cellStyle name="Normal 520" xfId="57049"/>
    <cellStyle name="Normal 521" xfId="57052"/>
    <cellStyle name="Normal 522" xfId="57055"/>
    <cellStyle name="Normal 523" xfId="57058"/>
    <cellStyle name="Normal 524" xfId="57061"/>
    <cellStyle name="Normal 525" xfId="57064"/>
    <cellStyle name="Normal 526" xfId="57067"/>
    <cellStyle name="Normal 527" xfId="57070"/>
    <cellStyle name="Normal 528" xfId="57073"/>
    <cellStyle name="Normal 529" xfId="57076"/>
    <cellStyle name="Normal 53" xfId="1205"/>
    <cellStyle name="Normal 53 2" xfId="16373"/>
    <cellStyle name="Normal 53 2 2" xfId="43381"/>
    <cellStyle name="Normal 53 3" xfId="29877"/>
    <cellStyle name="Normal 530" xfId="57079"/>
    <cellStyle name="Normal 531" xfId="57082"/>
    <cellStyle name="Normal 532" xfId="57085"/>
    <cellStyle name="Normal 533" xfId="57088"/>
    <cellStyle name="Normal 534" xfId="57091"/>
    <cellStyle name="Normal 535" xfId="57094"/>
    <cellStyle name="Normal 536" xfId="57097"/>
    <cellStyle name="Normal 537" xfId="57100"/>
    <cellStyle name="Normal 538" xfId="57103"/>
    <cellStyle name="Normal 539" xfId="57106"/>
    <cellStyle name="Normal 54" xfId="1311"/>
    <cellStyle name="Normal 54 2" xfId="16465"/>
    <cellStyle name="Normal 54 2 2" xfId="43473"/>
    <cellStyle name="Normal 54 3" xfId="29969"/>
    <cellStyle name="Normal 540" xfId="57109"/>
    <cellStyle name="Normal 541" xfId="57112"/>
    <cellStyle name="Normal 542" xfId="57115"/>
    <cellStyle name="Normal 543" xfId="57118"/>
    <cellStyle name="Normal 544" xfId="57121"/>
    <cellStyle name="Normal 545" xfId="57124"/>
    <cellStyle name="Normal 546" xfId="57127"/>
    <cellStyle name="Normal 547" xfId="57130"/>
    <cellStyle name="Normal 548" xfId="57133"/>
    <cellStyle name="Normal 549" xfId="57136"/>
    <cellStyle name="Normal 55" xfId="1417"/>
    <cellStyle name="Normal 55 2" xfId="16557"/>
    <cellStyle name="Normal 55 2 2" xfId="43565"/>
    <cellStyle name="Normal 55 3" xfId="30061"/>
    <cellStyle name="Normal 550" xfId="57139"/>
    <cellStyle name="Normal 551" xfId="57142"/>
    <cellStyle name="Normal 552" xfId="57145"/>
    <cellStyle name="Normal 553" xfId="57148"/>
    <cellStyle name="Normal 554" xfId="57151"/>
    <cellStyle name="Normal 555" xfId="57154"/>
    <cellStyle name="Normal 556" xfId="57157"/>
    <cellStyle name="Normal 557" xfId="57160"/>
    <cellStyle name="Normal 558" xfId="57163"/>
    <cellStyle name="Normal 559" xfId="57166"/>
    <cellStyle name="Normal 56" xfId="1523"/>
    <cellStyle name="Normal 56 2" xfId="16649"/>
    <cellStyle name="Normal 56 2 2" xfId="43657"/>
    <cellStyle name="Normal 56 3" xfId="30153"/>
    <cellStyle name="Normal 560" xfId="57169"/>
    <cellStyle name="Normal 561" xfId="57172"/>
    <cellStyle name="Normal 562" xfId="57175"/>
    <cellStyle name="Normal 563" xfId="57178"/>
    <cellStyle name="Normal 564" xfId="57181"/>
    <cellStyle name="Normal 565" xfId="57184"/>
    <cellStyle name="Normal 566" xfId="57187"/>
    <cellStyle name="Normal 567" xfId="57190"/>
    <cellStyle name="Normal 568" xfId="57193"/>
    <cellStyle name="Normal 569" xfId="57196"/>
    <cellStyle name="Normal 57" xfId="1629"/>
    <cellStyle name="Normal 57 2" xfId="16741"/>
    <cellStyle name="Normal 57 2 2" xfId="43749"/>
    <cellStyle name="Normal 57 3" xfId="30245"/>
    <cellStyle name="Normal 570" xfId="57199"/>
    <cellStyle name="Normal 571" xfId="57202"/>
    <cellStyle name="Normal 572" xfId="57205"/>
    <cellStyle name="Normal 573" xfId="57208"/>
    <cellStyle name="Normal 574" xfId="57211"/>
    <cellStyle name="Normal 575" xfId="57214"/>
    <cellStyle name="Normal 576" xfId="57217"/>
    <cellStyle name="Normal 577" xfId="57220"/>
    <cellStyle name="Normal 578" xfId="57223"/>
    <cellStyle name="Normal 579" xfId="57226"/>
    <cellStyle name="Normal 58" xfId="1735"/>
    <cellStyle name="Normal 58 2" xfId="16833"/>
    <cellStyle name="Normal 58 2 2" xfId="43841"/>
    <cellStyle name="Normal 58 3" xfId="30337"/>
    <cellStyle name="Normal 580" xfId="57229"/>
    <cellStyle name="Normal 581" xfId="57232"/>
    <cellStyle name="Normal 582" xfId="57235"/>
    <cellStyle name="Normal 583" xfId="57238"/>
    <cellStyle name="Normal 584" xfId="57241"/>
    <cellStyle name="Normal 585" xfId="57244"/>
    <cellStyle name="Normal 586" xfId="57247"/>
    <cellStyle name="Normal 587" xfId="57250"/>
    <cellStyle name="Normal 588" xfId="57253"/>
    <cellStyle name="Normal 589" xfId="57256"/>
    <cellStyle name="Normal 59" xfId="1841"/>
    <cellStyle name="Normal 59 2" xfId="16925"/>
    <cellStyle name="Normal 59 2 2" xfId="43933"/>
    <cellStyle name="Normal 59 3" xfId="30429"/>
    <cellStyle name="Normal 590" xfId="57259"/>
    <cellStyle name="Normal 591" xfId="57262"/>
    <cellStyle name="Normal 592" xfId="57265"/>
    <cellStyle name="Normal 593" xfId="57268"/>
    <cellStyle name="Normal 594" xfId="57271"/>
    <cellStyle name="Normal 595" xfId="57274"/>
    <cellStyle name="Normal 596" xfId="57277"/>
    <cellStyle name="Normal 597" xfId="57280"/>
    <cellStyle name="Normal 598" xfId="57283"/>
    <cellStyle name="Normal 599" xfId="57286"/>
    <cellStyle name="Normal 6" xfId="152"/>
    <cellStyle name="Normal 6 10" xfId="1257"/>
    <cellStyle name="Normal 6 10 2" xfId="16415"/>
    <cellStyle name="Normal 6 10 2 2" xfId="43423"/>
    <cellStyle name="Normal 6 10 3" xfId="29919"/>
    <cellStyle name="Normal 6 100" xfId="11806"/>
    <cellStyle name="Normal 6 100 2" xfId="25704"/>
    <cellStyle name="Normal 6 100 2 2" xfId="52712"/>
    <cellStyle name="Normal 6 100 3" xfId="39208"/>
    <cellStyle name="Normal 6 101" xfId="11948"/>
    <cellStyle name="Normal 6 101 2" xfId="25832"/>
    <cellStyle name="Normal 6 101 2 2" xfId="52840"/>
    <cellStyle name="Normal 6 101 3" xfId="39336"/>
    <cellStyle name="Normal 6 102" xfId="12090"/>
    <cellStyle name="Normal 6 102 2" xfId="25960"/>
    <cellStyle name="Normal 6 102 2 2" xfId="52968"/>
    <cellStyle name="Normal 6 102 3" xfId="39464"/>
    <cellStyle name="Normal 6 103" xfId="12232"/>
    <cellStyle name="Normal 6 103 2" xfId="26088"/>
    <cellStyle name="Normal 6 103 2 2" xfId="53096"/>
    <cellStyle name="Normal 6 103 3" xfId="39592"/>
    <cellStyle name="Normal 6 104" xfId="12374"/>
    <cellStyle name="Normal 6 104 2" xfId="26216"/>
    <cellStyle name="Normal 6 104 2 2" xfId="53224"/>
    <cellStyle name="Normal 6 104 3" xfId="39720"/>
    <cellStyle name="Normal 6 105" xfId="12516"/>
    <cellStyle name="Normal 6 105 2" xfId="26344"/>
    <cellStyle name="Normal 6 105 2 2" xfId="53352"/>
    <cellStyle name="Normal 6 105 3" xfId="39848"/>
    <cellStyle name="Normal 6 106" xfId="12658"/>
    <cellStyle name="Normal 6 106 2" xfId="26472"/>
    <cellStyle name="Normal 6 106 2 2" xfId="53480"/>
    <cellStyle name="Normal 6 106 3" xfId="39976"/>
    <cellStyle name="Normal 6 107" xfId="12800"/>
    <cellStyle name="Normal 6 107 2" xfId="26600"/>
    <cellStyle name="Normal 6 107 2 2" xfId="53608"/>
    <cellStyle name="Normal 6 107 3" xfId="40104"/>
    <cellStyle name="Normal 6 108" xfId="12942"/>
    <cellStyle name="Normal 6 108 2" xfId="26728"/>
    <cellStyle name="Normal 6 108 2 2" xfId="53736"/>
    <cellStyle name="Normal 6 108 3" xfId="40232"/>
    <cellStyle name="Normal 6 109" xfId="13084"/>
    <cellStyle name="Normal 6 109 2" xfId="26856"/>
    <cellStyle name="Normal 6 109 2 2" xfId="53864"/>
    <cellStyle name="Normal 6 109 3" xfId="40360"/>
    <cellStyle name="Normal 6 11" xfId="1363"/>
    <cellStyle name="Normal 6 11 2" xfId="16507"/>
    <cellStyle name="Normal 6 11 2 2" xfId="43515"/>
    <cellStyle name="Normal 6 11 3" xfId="30011"/>
    <cellStyle name="Normal 6 110" xfId="13226"/>
    <cellStyle name="Normal 6 110 2" xfId="26984"/>
    <cellStyle name="Normal 6 110 2 2" xfId="53992"/>
    <cellStyle name="Normal 6 110 3" xfId="40488"/>
    <cellStyle name="Normal 6 111" xfId="13368"/>
    <cellStyle name="Normal 6 111 2" xfId="27112"/>
    <cellStyle name="Normal 6 111 2 2" xfId="54120"/>
    <cellStyle name="Normal 6 111 3" xfId="40616"/>
    <cellStyle name="Normal 6 112" xfId="13510"/>
    <cellStyle name="Normal 6 112 2" xfId="27240"/>
    <cellStyle name="Normal 6 112 2 2" xfId="54248"/>
    <cellStyle name="Normal 6 112 3" xfId="40744"/>
    <cellStyle name="Normal 6 113" xfId="13652"/>
    <cellStyle name="Normal 6 113 2" xfId="27368"/>
    <cellStyle name="Normal 6 113 2 2" xfId="54376"/>
    <cellStyle name="Normal 6 113 3" xfId="40872"/>
    <cellStyle name="Normal 6 114" xfId="13794"/>
    <cellStyle name="Normal 6 114 2" xfId="27496"/>
    <cellStyle name="Normal 6 114 2 2" xfId="54504"/>
    <cellStyle name="Normal 6 114 3" xfId="41000"/>
    <cellStyle name="Normal 6 115" xfId="13935"/>
    <cellStyle name="Normal 6 115 2" xfId="27623"/>
    <cellStyle name="Normal 6 115 2 2" xfId="54631"/>
    <cellStyle name="Normal 6 115 3" xfId="41127"/>
    <cellStyle name="Normal 6 116" xfId="14076"/>
    <cellStyle name="Normal 6 116 2" xfId="27750"/>
    <cellStyle name="Normal 6 116 2 2" xfId="54758"/>
    <cellStyle name="Normal 6 116 3" xfId="41254"/>
    <cellStyle name="Normal 6 117" xfId="14217"/>
    <cellStyle name="Normal 6 117 2" xfId="27877"/>
    <cellStyle name="Normal 6 117 2 2" xfId="54885"/>
    <cellStyle name="Normal 6 117 3" xfId="41381"/>
    <cellStyle name="Normal 6 118" xfId="14358"/>
    <cellStyle name="Normal 6 118 2" xfId="28004"/>
    <cellStyle name="Normal 6 118 2 2" xfId="55012"/>
    <cellStyle name="Normal 6 118 3" xfId="41508"/>
    <cellStyle name="Normal 6 119" xfId="14498"/>
    <cellStyle name="Normal 6 119 2" xfId="28130"/>
    <cellStyle name="Normal 6 119 2 2" xfId="55138"/>
    <cellStyle name="Normal 6 119 3" xfId="41634"/>
    <cellStyle name="Normal 6 12" xfId="1469"/>
    <cellStyle name="Normal 6 12 2" xfId="16599"/>
    <cellStyle name="Normal 6 12 2 2" xfId="43607"/>
    <cellStyle name="Normal 6 12 3" xfId="30103"/>
    <cellStyle name="Normal 6 120" xfId="14638"/>
    <cellStyle name="Normal 6 120 2" xfId="28256"/>
    <cellStyle name="Normal 6 120 2 2" xfId="55264"/>
    <cellStyle name="Normal 6 120 3" xfId="41760"/>
    <cellStyle name="Normal 6 121" xfId="14777"/>
    <cellStyle name="Normal 6 121 2" xfId="28381"/>
    <cellStyle name="Normal 6 121 2 2" xfId="55389"/>
    <cellStyle name="Normal 6 121 3" xfId="41885"/>
    <cellStyle name="Normal 6 122" xfId="14912"/>
    <cellStyle name="Normal 6 122 2" xfId="28503"/>
    <cellStyle name="Normal 6 122 2 2" xfId="55511"/>
    <cellStyle name="Normal 6 122 3" xfId="42007"/>
    <cellStyle name="Normal 6 123" xfId="15046"/>
    <cellStyle name="Normal 6 123 2" xfId="28624"/>
    <cellStyle name="Normal 6 123 2 2" xfId="55632"/>
    <cellStyle name="Normal 6 123 3" xfId="42128"/>
    <cellStyle name="Normal 6 124" xfId="15173"/>
    <cellStyle name="Normal 6 124 2" xfId="28740"/>
    <cellStyle name="Normal 6 124 2 2" xfId="55748"/>
    <cellStyle name="Normal 6 124 3" xfId="42244"/>
    <cellStyle name="Normal 6 125" xfId="15293"/>
    <cellStyle name="Normal 6 125 2" xfId="28853"/>
    <cellStyle name="Normal 6 125 2 2" xfId="55861"/>
    <cellStyle name="Normal 6 125 3" xfId="42357"/>
    <cellStyle name="Normal 6 126" xfId="15508"/>
    <cellStyle name="Normal 6 126 2" xfId="42516"/>
    <cellStyle name="Normal 6 127" xfId="29012"/>
    <cellStyle name="Normal 6 13" xfId="1575"/>
    <cellStyle name="Normal 6 13 2" xfId="16691"/>
    <cellStyle name="Normal 6 13 2 2" xfId="43699"/>
    <cellStyle name="Normal 6 13 3" xfId="30195"/>
    <cellStyle name="Normal 6 14" xfId="1681"/>
    <cellStyle name="Normal 6 14 2" xfId="16783"/>
    <cellStyle name="Normal 6 14 2 2" xfId="43791"/>
    <cellStyle name="Normal 6 14 3" xfId="30287"/>
    <cellStyle name="Normal 6 15" xfId="1787"/>
    <cellStyle name="Normal 6 15 2" xfId="16875"/>
    <cellStyle name="Normal 6 15 2 2" xfId="43883"/>
    <cellStyle name="Normal 6 15 3" xfId="30379"/>
    <cellStyle name="Normal 6 16" xfId="1893"/>
    <cellStyle name="Normal 6 16 2" xfId="16967"/>
    <cellStyle name="Normal 6 16 2 2" xfId="43975"/>
    <cellStyle name="Normal 6 16 3" xfId="30471"/>
    <cellStyle name="Normal 6 17" xfId="1999"/>
    <cellStyle name="Normal 6 17 2" xfId="17059"/>
    <cellStyle name="Normal 6 17 2 2" xfId="44067"/>
    <cellStyle name="Normal 6 17 3" xfId="30563"/>
    <cellStyle name="Normal 6 18" xfId="2105"/>
    <cellStyle name="Normal 6 18 2" xfId="17151"/>
    <cellStyle name="Normal 6 18 2 2" xfId="44159"/>
    <cellStyle name="Normal 6 18 3" xfId="30655"/>
    <cellStyle name="Normal 6 19" xfId="2211"/>
    <cellStyle name="Normal 6 19 2" xfId="17243"/>
    <cellStyle name="Normal 6 19 2 2" xfId="44251"/>
    <cellStyle name="Normal 6 19 3" xfId="30747"/>
    <cellStyle name="Normal 6 2" xfId="329"/>
    <cellStyle name="Normal 6 2 2" xfId="15631"/>
    <cellStyle name="Normal 6 2 2 2" xfId="42639"/>
    <cellStyle name="Normal 6 2 3" xfId="29135"/>
    <cellStyle name="Normal 6 20" xfId="2317"/>
    <cellStyle name="Normal 6 20 2" xfId="17335"/>
    <cellStyle name="Normal 6 20 2 2" xfId="44343"/>
    <cellStyle name="Normal 6 20 3" xfId="30839"/>
    <cellStyle name="Normal 6 21" xfId="2423"/>
    <cellStyle name="Normal 6 21 2" xfId="17427"/>
    <cellStyle name="Normal 6 21 2 2" xfId="44435"/>
    <cellStyle name="Normal 6 21 3" xfId="30931"/>
    <cellStyle name="Normal 6 22" xfId="2529"/>
    <cellStyle name="Normal 6 22 2" xfId="17519"/>
    <cellStyle name="Normal 6 22 2 2" xfId="44527"/>
    <cellStyle name="Normal 6 22 3" xfId="31023"/>
    <cellStyle name="Normal 6 23" xfId="2635"/>
    <cellStyle name="Normal 6 23 2" xfId="17611"/>
    <cellStyle name="Normal 6 23 2 2" xfId="44619"/>
    <cellStyle name="Normal 6 23 3" xfId="31115"/>
    <cellStyle name="Normal 6 24" xfId="2741"/>
    <cellStyle name="Normal 6 24 2" xfId="17703"/>
    <cellStyle name="Normal 6 24 2 2" xfId="44711"/>
    <cellStyle name="Normal 6 24 3" xfId="31207"/>
    <cellStyle name="Normal 6 25" xfId="2847"/>
    <cellStyle name="Normal 6 25 2" xfId="17795"/>
    <cellStyle name="Normal 6 25 2 2" xfId="44803"/>
    <cellStyle name="Normal 6 25 3" xfId="31299"/>
    <cellStyle name="Normal 6 26" xfId="2953"/>
    <cellStyle name="Normal 6 26 2" xfId="17887"/>
    <cellStyle name="Normal 6 26 2 2" xfId="44895"/>
    <cellStyle name="Normal 6 26 3" xfId="31391"/>
    <cellStyle name="Normal 6 27" xfId="3059"/>
    <cellStyle name="Normal 6 27 2" xfId="17979"/>
    <cellStyle name="Normal 6 27 2 2" xfId="44987"/>
    <cellStyle name="Normal 6 27 3" xfId="31483"/>
    <cellStyle name="Normal 6 28" xfId="3165"/>
    <cellStyle name="Normal 6 28 2" xfId="18071"/>
    <cellStyle name="Normal 6 28 2 2" xfId="45079"/>
    <cellStyle name="Normal 6 28 3" xfId="31575"/>
    <cellStyle name="Normal 6 29" xfId="3271"/>
    <cellStyle name="Normal 6 29 2" xfId="18163"/>
    <cellStyle name="Normal 6 29 2 2" xfId="45171"/>
    <cellStyle name="Normal 6 29 3" xfId="31667"/>
    <cellStyle name="Normal 6 3" xfId="516"/>
    <cellStyle name="Normal 6 3 2" xfId="15772"/>
    <cellStyle name="Normal 6 3 2 2" xfId="42780"/>
    <cellStyle name="Normal 6 3 3" xfId="29276"/>
    <cellStyle name="Normal 6 30" xfId="3377"/>
    <cellStyle name="Normal 6 30 2" xfId="18255"/>
    <cellStyle name="Normal 6 30 2 2" xfId="45263"/>
    <cellStyle name="Normal 6 30 3" xfId="31759"/>
    <cellStyle name="Normal 6 31" xfId="3483"/>
    <cellStyle name="Normal 6 31 2" xfId="18347"/>
    <cellStyle name="Normal 6 31 2 2" xfId="45355"/>
    <cellStyle name="Normal 6 31 3" xfId="31851"/>
    <cellStyle name="Normal 6 32" xfId="3589"/>
    <cellStyle name="Normal 6 32 2" xfId="18439"/>
    <cellStyle name="Normal 6 32 2 2" xfId="45447"/>
    <cellStyle name="Normal 6 32 3" xfId="31943"/>
    <cellStyle name="Normal 6 33" xfId="3695"/>
    <cellStyle name="Normal 6 33 2" xfId="18531"/>
    <cellStyle name="Normal 6 33 2 2" xfId="45539"/>
    <cellStyle name="Normal 6 33 3" xfId="32035"/>
    <cellStyle name="Normal 6 34" xfId="3801"/>
    <cellStyle name="Normal 6 34 2" xfId="18623"/>
    <cellStyle name="Normal 6 34 2 2" xfId="45631"/>
    <cellStyle name="Normal 6 34 3" xfId="32127"/>
    <cellStyle name="Normal 6 35" xfId="3907"/>
    <cellStyle name="Normal 6 35 2" xfId="18715"/>
    <cellStyle name="Normal 6 35 2 2" xfId="45723"/>
    <cellStyle name="Normal 6 35 3" xfId="32219"/>
    <cellStyle name="Normal 6 36" xfId="4013"/>
    <cellStyle name="Normal 6 36 2" xfId="18807"/>
    <cellStyle name="Normal 6 36 2 2" xfId="45815"/>
    <cellStyle name="Normal 6 36 3" xfId="32311"/>
    <cellStyle name="Normal 6 37" xfId="4119"/>
    <cellStyle name="Normal 6 37 2" xfId="18899"/>
    <cellStyle name="Normal 6 37 2 2" xfId="45907"/>
    <cellStyle name="Normal 6 37 3" xfId="32403"/>
    <cellStyle name="Normal 6 38" xfId="4225"/>
    <cellStyle name="Normal 6 38 2" xfId="18991"/>
    <cellStyle name="Normal 6 38 2 2" xfId="45999"/>
    <cellStyle name="Normal 6 38 3" xfId="32495"/>
    <cellStyle name="Normal 6 39" xfId="4331"/>
    <cellStyle name="Normal 6 39 2" xfId="19083"/>
    <cellStyle name="Normal 6 39 2 2" xfId="46091"/>
    <cellStyle name="Normal 6 39 3" xfId="32587"/>
    <cellStyle name="Normal 6 4" xfId="621"/>
    <cellStyle name="Normal 6 4 2" xfId="15863"/>
    <cellStyle name="Normal 6 4 2 2" xfId="42871"/>
    <cellStyle name="Normal 6 4 3" xfId="29367"/>
    <cellStyle name="Normal 6 40" xfId="4437"/>
    <cellStyle name="Normal 6 40 2" xfId="19175"/>
    <cellStyle name="Normal 6 40 2 2" xfId="46183"/>
    <cellStyle name="Normal 6 40 3" xfId="32679"/>
    <cellStyle name="Normal 6 41" xfId="4543"/>
    <cellStyle name="Normal 6 41 2" xfId="19267"/>
    <cellStyle name="Normal 6 41 2 2" xfId="46275"/>
    <cellStyle name="Normal 6 41 3" xfId="32771"/>
    <cellStyle name="Normal 6 42" xfId="4649"/>
    <cellStyle name="Normal 6 42 2" xfId="19359"/>
    <cellStyle name="Normal 6 42 2 2" xfId="46367"/>
    <cellStyle name="Normal 6 42 3" xfId="32863"/>
    <cellStyle name="Normal 6 43" xfId="4755"/>
    <cellStyle name="Normal 6 43 2" xfId="19451"/>
    <cellStyle name="Normal 6 43 2 2" xfId="46459"/>
    <cellStyle name="Normal 6 43 3" xfId="32955"/>
    <cellStyle name="Normal 6 44" xfId="4861"/>
    <cellStyle name="Normal 6 44 2" xfId="19543"/>
    <cellStyle name="Normal 6 44 2 2" xfId="46551"/>
    <cellStyle name="Normal 6 44 3" xfId="33047"/>
    <cellStyle name="Normal 6 45" xfId="4967"/>
    <cellStyle name="Normal 6 45 2" xfId="19635"/>
    <cellStyle name="Normal 6 45 2 2" xfId="46643"/>
    <cellStyle name="Normal 6 45 3" xfId="33139"/>
    <cellStyle name="Normal 6 46" xfId="5073"/>
    <cellStyle name="Normal 6 46 2" xfId="19727"/>
    <cellStyle name="Normal 6 46 2 2" xfId="46735"/>
    <cellStyle name="Normal 6 46 3" xfId="33231"/>
    <cellStyle name="Normal 6 47" xfId="5179"/>
    <cellStyle name="Normal 6 47 2" xfId="19819"/>
    <cellStyle name="Normal 6 47 2 2" xfId="46827"/>
    <cellStyle name="Normal 6 47 3" xfId="33323"/>
    <cellStyle name="Normal 6 48" xfId="5285"/>
    <cellStyle name="Normal 6 48 2" xfId="19911"/>
    <cellStyle name="Normal 6 48 2 2" xfId="46919"/>
    <cellStyle name="Normal 6 48 3" xfId="33415"/>
    <cellStyle name="Normal 6 49" xfId="5391"/>
    <cellStyle name="Normal 6 49 2" xfId="20003"/>
    <cellStyle name="Normal 6 49 2 2" xfId="47011"/>
    <cellStyle name="Normal 6 49 3" xfId="33507"/>
    <cellStyle name="Normal 6 5" xfId="727"/>
    <cellStyle name="Normal 6 5 2" xfId="15955"/>
    <cellStyle name="Normal 6 5 2 2" xfId="42963"/>
    <cellStyle name="Normal 6 5 3" xfId="29459"/>
    <cellStyle name="Normal 6 50" xfId="5497"/>
    <cellStyle name="Normal 6 50 2" xfId="20095"/>
    <cellStyle name="Normal 6 50 2 2" xfId="47103"/>
    <cellStyle name="Normal 6 50 3" xfId="33599"/>
    <cellStyle name="Normal 6 51" xfId="5603"/>
    <cellStyle name="Normal 6 51 2" xfId="20187"/>
    <cellStyle name="Normal 6 51 2 2" xfId="47195"/>
    <cellStyle name="Normal 6 51 3" xfId="33691"/>
    <cellStyle name="Normal 6 52" xfId="5709"/>
    <cellStyle name="Normal 6 52 2" xfId="20279"/>
    <cellStyle name="Normal 6 52 2 2" xfId="47287"/>
    <cellStyle name="Normal 6 52 3" xfId="33783"/>
    <cellStyle name="Normal 6 53" xfId="5815"/>
    <cellStyle name="Normal 6 53 2" xfId="20371"/>
    <cellStyle name="Normal 6 53 2 2" xfId="47379"/>
    <cellStyle name="Normal 6 53 3" xfId="33875"/>
    <cellStyle name="Normal 6 54" xfId="5921"/>
    <cellStyle name="Normal 6 54 2" xfId="20463"/>
    <cellStyle name="Normal 6 54 2 2" xfId="47471"/>
    <cellStyle name="Normal 6 54 3" xfId="33967"/>
    <cellStyle name="Normal 6 55" xfId="6027"/>
    <cellStyle name="Normal 6 55 2" xfId="20555"/>
    <cellStyle name="Normal 6 55 2 2" xfId="47563"/>
    <cellStyle name="Normal 6 55 3" xfId="34059"/>
    <cellStyle name="Normal 6 56" xfId="6133"/>
    <cellStyle name="Normal 6 56 2" xfId="20647"/>
    <cellStyle name="Normal 6 56 2 2" xfId="47655"/>
    <cellStyle name="Normal 6 56 3" xfId="34151"/>
    <cellStyle name="Normal 6 57" xfId="6239"/>
    <cellStyle name="Normal 6 57 2" xfId="20739"/>
    <cellStyle name="Normal 6 57 2 2" xfId="47747"/>
    <cellStyle name="Normal 6 57 3" xfId="34243"/>
    <cellStyle name="Normal 6 58" xfId="6345"/>
    <cellStyle name="Normal 6 58 2" xfId="20831"/>
    <cellStyle name="Normal 6 58 2 2" xfId="47839"/>
    <cellStyle name="Normal 6 58 3" xfId="34335"/>
    <cellStyle name="Normal 6 59" xfId="6451"/>
    <cellStyle name="Normal 6 59 2" xfId="20923"/>
    <cellStyle name="Normal 6 59 2 2" xfId="47931"/>
    <cellStyle name="Normal 6 59 3" xfId="34427"/>
    <cellStyle name="Normal 6 6" xfId="833"/>
    <cellStyle name="Normal 6 6 2" xfId="16047"/>
    <cellStyle name="Normal 6 6 2 2" xfId="43055"/>
    <cellStyle name="Normal 6 6 3" xfId="29551"/>
    <cellStyle name="Normal 6 60" xfId="6557"/>
    <cellStyle name="Normal 6 60 2" xfId="21015"/>
    <cellStyle name="Normal 6 60 2 2" xfId="48023"/>
    <cellStyle name="Normal 6 60 3" xfId="34519"/>
    <cellStyle name="Normal 6 61" xfId="6662"/>
    <cellStyle name="Normal 6 61 2" xfId="21106"/>
    <cellStyle name="Normal 6 61 2 2" xfId="48114"/>
    <cellStyle name="Normal 6 61 3" xfId="34610"/>
    <cellStyle name="Normal 6 62" xfId="6767"/>
    <cellStyle name="Normal 6 62 2" xfId="21197"/>
    <cellStyle name="Normal 6 62 2 2" xfId="48205"/>
    <cellStyle name="Normal 6 62 3" xfId="34701"/>
    <cellStyle name="Normal 6 63" xfId="6872"/>
    <cellStyle name="Normal 6 63 2" xfId="21288"/>
    <cellStyle name="Normal 6 63 2 2" xfId="48296"/>
    <cellStyle name="Normal 6 63 3" xfId="34792"/>
    <cellStyle name="Normal 6 64" xfId="6977"/>
    <cellStyle name="Normal 6 64 2" xfId="21379"/>
    <cellStyle name="Normal 6 64 2 2" xfId="48387"/>
    <cellStyle name="Normal 6 64 3" xfId="34883"/>
    <cellStyle name="Normal 6 65" xfId="7081"/>
    <cellStyle name="Normal 6 65 2" xfId="21469"/>
    <cellStyle name="Normal 6 65 2 2" xfId="48477"/>
    <cellStyle name="Normal 6 65 3" xfId="34973"/>
    <cellStyle name="Normal 6 66" xfId="7185"/>
    <cellStyle name="Normal 6 66 2" xfId="21559"/>
    <cellStyle name="Normal 6 66 2 2" xfId="48567"/>
    <cellStyle name="Normal 6 66 3" xfId="35063"/>
    <cellStyle name="Normal 6 67" xfId="7288"/>
    <cellStyle name="Normal 6 67 2" xfId="21648"/>
    <cellStyle name="Normal 6 67 2 2" xfId="48656"/>
    <cellStyle name="Normal 6 67 3" xfId="35152"/>
    <cellStyle name="Normal 6 68" xfId="7388"/>
    <cellStyle name="Normal 6 68 2" xfId="21735"/>
    <cellStyle name="Normal 6 68 2 2" xfId="48743"/>
    <cellStyle name="Normal 6 68 3" xfId="35239"/>
    <cellStyle name="Normal 6 69" xfId="7486"/>
    <cellStyle name="Normal 6 69 2" xfId="21820"/>
    <cellStyle name="Normal 6 69 2 2" xfId="48828"/>
    <cellStyle name="Normal 6 69 3" xfId="35324"/>
    <cellStyle name="Normal 6 7" xfId="939"/>
    <cellStyle name="Normal 6 7 2" xfId="16139"/>
    <cellStyle name="Normal 6 7 2 2" xfId="43147"/>
    <cellStyle name="Normal 6 7 3" xfId="29643"/>
    <cellStyle name="Normal 6 70" xfId="7575"/>
    <cellStyle name="Normal 6 70 2" xfId="21898"/>
    <cellStyle name="Normal 6 70 2 2" xfId="48906"/>
    <cellStyle name="Normal 6 70 3" xfId="35402"/>
    <cellStyle name="Normal 6 71" xfId="7651"/>
    <cellStyle name="Normal 6 71 2" xfId="21967"/>
    <cellStyle name="Normal 6 71 2 2" xfId="48975"/>
    <cellStyle name="Normal 6 71 3" xfId="35471"/>
    <cellStyle name="Normal 6 72" xfId="7830"/>
    <cellStyle name="Normal 6 72 2" xfId="22120"/>
    <cellStyle name="Normal 6 72 2 2" xfId="49128"/>
    <cellStyle name="Normal 6 72 3" xfId="35624"/>
    <cellStyle name="Normal 6 73" xfId="7972"/>
    <cellStyle name="Normal 6 73 2" xfId="22248"/>
    <cellStyle name="Normal 6 73 2 2" xfId="49256"/>
    <cellStyle name="Normal 6 73 3" xfId="35752"/>
    <cellStyle name="Normal 6 74" xfId="8114"/>
    <cellStyle name="Normal 6 74 2" xfId="22376"/>
    <cellStyle name="Normal 6 74 2 2" xfId="49384"/>
    <cellStyle name="Normal 6 74 3" xfId="35880"/>
    <cellStyle name="Normal 6 75" xfId="8256"/>
    <cellStyle name="Normal 6 75 2" xfId="22504"/>
    <cellStyle name="Normal 6 75 2 2" xfId="49512"/>
    <cellStyle name="Normal 6 75 3" xfId="36008"/>
    <cellStyle name="Normal 6 76" xfId="8398"/>
    <cellStyle name="Normal 6 76 2" xfId="22632"/>
    <cellStyle name="Normal 6 76 2 2" xfId="49640"/>
    <cellStyle name="Normal 6 76 3" xfId="36136"/>
    <cellStyle name="Normal 6 77" xfId="8540"/>
    <cellStyle name="Normal 6 77 2" xfId="22760"/>
    <cellStyle name="Normal 6 77 2 2" xfId="49768"/>
    <cellStyle name="Normal 6 77 3" xfId="36264"/>
    <cellStyle name="Normal 6 78" xfId="8682"/>
    <cellStyle name="Normal 6 78 2" xfId="22888"/>
    <cellStyle name="Normal 6 78 2 2" xfId="49896"/>
    <cellStyle name="Normal 6 78 3" xfId="36392"/>
    <cellStyle name="Normal 6 79" xfId="8824"/>
    <cellStyle name="Normal 6 79 2" xfId="23016"/>
    <cellStyle name="Normal 6 79 2 2" xfId="50024"/>
    <cellStyle name="Normal 6 79 3" xfId="36520"/>
    <cellStyle name="Normal 6 8" xfId="1045"/>
    <cellStyle name="Normal 6 8 2" xfId="16231"/>
    <cellStyle name="Normal 6 8 2 2" xfId="43239"/>
    <cellStyle name="Normal 6 8 3" xfId="29735"/>
    <cellStyle name="Normal 6 80" xfId="8966"/>
    <cellStyle name="Normal 6 80 2" xfId="23144"/>
    <cellStyle name="Normal 6 80 2 2" xfId="50152"/>
    <cellStyle name="Normal 6 80 3" xfId="36648"/>
    <cellStyle name="Normal 6 81" xfId="9108"/>
    <cellStyle name="Normal 6 81 2" xfId="23272"/>
    <cellStyle name="Normal 6 81 2 2" xfId="50280"/>
    <cellStyle name="Normal 6 81 3" xfId="36776"/>
    <cellStyle name="Normal 6 82" xfId="9250"/>
    <cellStyle name="Normal 6 82 2" xfId="23400"/>
    <cellStyle name="Normal 6 82 2 2" xfId="50408"/>
    <cellStyle name="Normal 6 82 3" xfId="36904"/>
    <cellStyle name="Normal 6 83" xfId="9392"/>
    <cellStyle name="Normal 6 83 2" xfId="23528"/>
    <cellStyle name="Normal 6 83 2 2" xfId="50536"/>
    <cellStyle name="Normal 6 83 3" xfId="37032"/>
    <cellStyle name="Normal 6 84" xfId="9534"/>
    <cellStyle name="Normal 6 84 2" xfId="23656"/>
    <cellStyle name="Normal 6 84 2 2" xfId="50664"/>
    <cellStyle name="Normal 6 84 3" xfId="37160"/>
    <cellStyle name="Normal 6 85" xfId="9676"/>
    <cellStyle name="Normal 6 85 2" xfId="23784"/>
    <cellStyle name="Normal 6 85 2 2" xfId="50792"/>
    <cellStyle name="Normal 6 85 3" xfId="37288"/>
    <cellStyle name="Normal 6 86" xfId="9818"/>
    <cellStyle name="Normal 6 86 2" xfId="23912"/>
    <cellStyle name="Normal 6 86 2 2" xfId="50920"/>
    <cellStyle name="Normal 6 86 3" xfId="37416"/>
    <cellStyle name="Normal 6 87" xfId="9960"/>
    <cellStyle name="Normal 6 87 2" xfId="24040"/>
    <cellStyle name="Normal 6 87 2 2" xfId="51048"/>
    <cellStyle name="Normal 6 87 3" xfId="37544"/>
    <cellStyle name="Normal 6 88" xfId="10102"/>
    <cellStyle name="Normal 6 88 2" xfId="24168"/>
    <cellStyle name="Normal 6 88 2 2" xfId="51176"/>
    <cellStyle name="Normal 6 88 3" xfId="37672"/>
    <cellStyle name="Normal 6 89" xfId="10244"/>
    <cellStyle name="Normal 6 89 2" xfId="24296"/>
    <cellStyle name="Normal 6 89 2 2" xfId="51304"/>
    <cellStyle name="Normal 6 89 3" xfId="37800"/>
    <cellStyle name="Normal 6 9" xfId="1151"/>
    <cellStyle name="Normal 6 9 2" xfId="16323"/>
    <cellStyle name="Normal 6 9 2 2" xfId="43331"/>
    <cellStyle name="Normal 6 9 3" xfId="29827"/>
    <cellStyle name="Normal 6 90" xfId="10386"/>
    <cellStyle name="Normal 6 90 2" xfId="24424"/>
    <cellStyle name="Normal 6 90 2 2" xfId="51432"/>
    <cellStyle name="Normal 6 90 3" xfId="37928"/>
    <cellStyle name="Normal 6 91" xfId="10528"/>
    <cellStyle name="Normal 6 91 2" xfId="24552"/>
    <cellStyle name="Normal 6 91 2 2" xfId="51560"/>
    <cellStyle name="Normal 6 91 3" xfId="38056"/>
    <cellStyle name="Normal 6 92" xfId="10670"/>
    <cellStyle name="Normal 6 92 2" xfId="24680"/>
    <cellStyle name="Normal 6 92 2 2" xfId="51688"/>
    <cellStyle name="Normal 6 92 3" xfId="38184"/>
    <cellStyle name="Normal 6 93" xfId="10812"/>
    <cellStyle name="Normal 6 93 2" xfId="24808"/>
    <cellStyle name="Normal 6 93 2 2" xfId="51816"/>
    <cellStyle name="Normal 6 93 3" xfId="38312"/>
    <cellStyle name="Normal 6 94" xfId="10954"/>
    <cellStyle name="Normal 6 94 2" xfId="24936"/>
    <cellStyle name="Normal 6 94 2 2" xfId="51944"/>
    <cellStyle name="Normal 6 94 3" xfId="38440"/>
    <cellStyle name="Normal 6 95" xfId="11096"/>
    <cellStyle name="Normal 6 95 2" xfId="25064"/>
    <cellStyle name="Normal 6 95 2 2" xfId="52072"/>
    <cellStyle name="Normal 6 95 3" xfId="38568"/>
    <cellStyle name="Normal 6 96" xfId="11238"/>
    <cellStyle name="Normal 6 96 2" xfId="25192"/>
    <cellStyle name="Normal 6 96 2 2" xfId="52200"/>
    <cellStyle name="Normal 6 96 3" xfId="38696"/>
    <cellStyle name="Normal 6 97" xfId="11380"/>
    <cellStyle name="Normal 6 97 2" xfId="25320"/>
    <cellStyle name="Normal 6 97 2 2" xfId="52328"/>
    <cellStyle name="Normal 6 97 3" xfId="38824"/>
    <cellStyle name="Normal 6 98" xfId="11522"/>
    <cellStyle name="Normal 6 98 2" xfId="25448"/>
    <cellStyle name="Normal 6 98 2 2" xfId="52456"/>
    <cellStyle name="Normal 6 98 3" xfId="38952"/>
    <cellStyle name="Normal 6 99" xfId="11664"/>
    <cellStyle name="Normal 6 99 2" xfId="25576"/>
    <cellStyle name="Normal 6 99 2 2" xfId="52584"/>
    <cellStyle name="Normal 6 99 3" xfId="39080"/>
    <cellStyle name="Normal 60" xfId="1947"/>
    <cellStyle name="Normal 60 2" xfId="17017"/>
    <cellStyle name="Normal 60 2 2" xfId="44025"/>
    <cellStyle name="Normal 60 3" xfId="30521"/>
    <cellStyle name="Normal 600" xfId="57289"/>
    <cellStyle name="Normal 601" xfId="57292"/>
    <cellStyle name="Normal 602" xfId="57295"/>
    <cellStyle name="Normal 603" xfId="57298"/>
    <cellStyle name="Normal 604" xfId="57301"/>
    <cellStyle name="Normal 605" xfId="57304"/>
    <cellStyle name="Normal 606" xfId="57307"/>
    <cellStyle name="Normal 607" xfId="57310"/>
    <cellStyle name="Normal 608" xfId="57313"/>
    <cellStyle name="Normal 609" xfId="57316"/>
    <cellStyle name="Normal 61" xfId="2053"/>
    <cellStyle name="Normal 61 2" xfId="17109"/>
    <cellStyle name="Normal 61 2 2" xfId="44117"/>
    <cellStyle name="Normal 61 3" xfId="30613"/>
    <cellStyle name="Normal 610" xfId="57319"/>
    <cellStyle name="Normal 611" xfId="57322"/>
    <cellStyle name="Normal 612" xfId="57325"/>
    <cellStyle name="Normal 613" xfId="57328"/>
    <cellStyle name="Normal 614" xfId="57331"/>
    <cellStyle name="Normal 615" xfId="57334"/>
    <cellStyle name="Normal 616" xfId="57337"/>
    <cellStyle name="Normal 617" xfId="57340"/>
    <cellStyle name="Normal 618" xfId="57343"/>
    <cellStyle name="Normal 619" xfId="57346"/>
    <cellStyle name="Normal 62" xfId="2159"/>
    <cellStyle name="Normal 62 2" xfId="17201"/>
    <cellStyle name="Normal 62 2 2" xfId="44209"/>
    <cellStyle name="Normal 62 3" xfId="30705"/>
    <cellStyle name="Normal 620" xfId="57349"/>
    <cellStyle name="Normal 621" xfId="57352"/>
    <cellStyle name="Normal 622" xfId="57355"/>
    <cellStyle name="Normal 623" xfId="57358"/>
    <cellStyle name="Normal 624" xfId="57361"/>
    <cellStyle name="Normal 625" xfId="57364"/>
    <cellStyle name="Normal 626" xfId="57367"/>
    <cellStyle name="Normal 627" xfId="57370"/>
    <cellStyle name="Normal 628" xfId="57373"/>
    <cellStyle name="Normal 629" xfId="57376"/>
    <cellStyle name="Normal 63" xfId="2265"/>
    <cellStyle name="Normal 63 2" xfId="17293"/>
    <cellStyle name="Normal 63 2 2" xfId="44301"/>
    <cellStyle name="Normal 63 3" xfId="30797"/>
    <cellStyle name="Normal 630" xfId="57379"/>
    <cellStyle name="Normal 631" xfId="57382"/>
    <cellStyle name="Normal 632" xfId="57385"/>
    <cellStyle name="Normal 633" xfId="57388"/>
    <cellStyle name="Normal 634" xfId="57391"/>
    <cellStyle name="Normal 635" xfId="57394"/>
    <cellStyle name="Normal 636" xfId="57397"/>
    <cellStyle name="Normal 637" xfId="57400"/>
    <cellStyle name="Normal 638" xfId="57403"/>
    <cellStyle name="Normal 639" xfId="57406"/>
    <cellStyle name="Normal 64" xfId="2371"/>
    <cellStyle name="Normal 64 2" xfId="17385"/>
    <cellStyle name="Normal 64 2 2" xfId="44393"/>
    <cellStyle name="Normal 64 3" xfId="30889"/>
    <cellStyle name="Normal 640" xfId="57409"/>
    <cellStyle name="Normal 641" xfId="57412"/>
    <cellStyle name="Normal 642" xfId="57415"/>
    <cellStyle name="Normal 643" xfId="57418"/>
    <cellStyle name="Normal 644" xfId="57421"/>
    <cellStyle name="Normal 645" xfId="57424"/>
    <cellStyle name="Normal 646" xfId="57427"/>
    <cellStyle name="Normal 647" xfId="57430"/>
    <cellStyle name="Normal 648" xfId="57433"/>
    <cellStyle name="Normal 649" xfId="57436"/>
    <cellStyle name="Normal 65" xfId="2477"/>
    <cellStyle name="Normal 65 2" xfId="17477"/>
    <cellStyle name="Normal 65 2 2" xfId="44485"/>
    <cellStyle name="Normal 65 3" xfId="30981"/>
    <cellStyle name="Normal 650" xfId="57439"/>
    <cellStyle name="Normal 651" xfId="57442"/>
    <cellStyle name="Normal 652" xfId="57445"/>
    <cellStyle name="Normal 653" xfId="57448"/>
    <cellStyle name="Normal 654" xfId="57451"/>
    <cellStyle name="Normal 655" xfId="57454"/>
    <cellStyle name="Normal 656" xfId="57457"/>
    <cellStyle name="Normal 657" xfId="57460"/>
    <cellStyle name="Normal 658" xfId="57463"/>
    <cellStyle name="Normal 659" xfId="57466"/>
    <cellStyle name="Normal 66" xfId="2583"/>
    <cellStyle name="Normal 66 2" xfId="17569"/>
    <cellStyle name="Normal 66 2 2" xfId="44577"/>
    <cellStyle name="Normal 66 3" xfId="31073"/>
    <cellStyle name="Normal 660" xfId="57469"/>
    <cellStyle name="Normal 661" xfId="57472"/>
    <cellStyle name="Normal 662" xfId="57475"/>
    <cellStyle name="Normal 663" xfId="57478"/>
    <cellStyle name="Normal 664" xfId="57481"/>
    <cellStyle name="Normal 665" xfId="57484"/>
    <cellStyle name="Normal 666" xfId="57487"/>
    <cellStyle name="Normal 667" xfId="57490"/>
    <cellStyle name="Normal 668" xfId="57493"/>
    <cellStyle name="Normal 669" xfId="57496"/>
    <cellStyle name="Normal 67" xfId="2689"/>
    <cellStyle name="Normal 67 2" xfId="17661"/>
    <cellStyle name="Normal 67 2 2" xfId="44669"/>
    <cellStyle name="Normal 67 3" xfId="31165"/>
    <cellStyle name="Normal 670" xfId="57499"/>
    <cellStyle name="Normal 671" xfId="57502"/>
    <cellStyle name="Normal 672" xfId="57505"/>
    <cellStyle name="Normal 673" xfId="57508"/>
    <cellStyle name="Normal 674" xfId="57511"/>
    <cellStyle name="Normal 675" xfId="57514"/>
    <cellStyle name="Normal 676" xfId="57517"/>
    <cellStyle name="Normal 677" xfId="57520"/>
    <cellStyle name="Normal 678" xfId="57523"/>
    <cellStyle name="Normal 679" xfId="57526"/>
    <cellStyle name="Normal 68" xfId="2795"/>
    <cellStyle name="Normal 68 2" xfId="17753"/>
    <cellStyle name="Normal 68 2 2" xfId="44761"/>
    <cellStyle name="Normal 68 3" xfId="31257"/>
    <cellStyle name="Normal 680" xfId="57529"/>
    <cellStyle name="Normal 681" xfId="57532"/>
    <cellStyle name="Normal 682" xfId="57535"/>
    <cellStyle name="Normal 683" xfId="57538"/>
    <cellStyle name="Normal 684" xfId="57541"/>
    <cellStyle name="Normal 685" xfId="57544"/>
    <cellStyle name="Normal 686" xfId="57547"/>
    <cellStyle name="Normal 687" xfId="57550"/>
    <cellStyle name="Normal 688" xfId="57553"/>
    <cellStyle name="Normal 689" xfId="57556"/>
    <cellStyle name="Normal 69" xfId="2901"/>
    <cellStyle name="Normal 69 2" xfId="17845"/>
    <cellStyle name="Normal 69 2 2" xfId="44853"/>
    <cellStyle name="Normal 69 3" xfId="31349"/>
    <cellStyle name="Normal 690" xfId="57559"/>
    <cellStyle name="Normal 691" xfId="57562"/>
    <cellStyle name="Normal 692" xfId="57565"/>
    <cellStyle name="Normal 693" xfId="57568"/>
    <cellStyle name="Normal 694" xfId="57571"/>
    <cellStyle name="Normal 695" xfId="57574"/>
    <cellStyle name="Normal 696" xfId="57577"/>
    <cellStyle name="Normal 697" xfId="57580"/>
    <cellStyle name="Normal 698" xfId="57583"/>
    <cellStyle name="Normal 699" xfId="57586"/>
    <cellStyle name="Normal 7" xfId="153"/>
    <cellStyle name="Normal 7 10" xfId="1258"/>
    <cellStyle name="Normal 7 10 2" xfId="16416"/>
    <cellStyle name="Normal 7 10 2 2" xfId="43424"/>
    <cellStyle name="Normal 7 10 3" xfId="29920"/>
    <cellStyle name="Normal 7 100" xfId="11807"/>
    <cellStyle name="Normal 7 100 2" xfId="25705"/>
    <cellStyle name="Normal 7 100 2 2" xfId="52713"/>
    <cellStyle name="Normal 7 100 3" xfId="39209"/>
    <cellStyle name="Normal 7 101" xfId="11949"/>
    <cellStyle name="Normal 7 101 2" xfId="25833"/>
    <cellStyle name="Normal 7 101 2 2" xfId="52841"/>
    <cellStyle name="Normal 7 101 3" xfId="39337"/>
    <cellStyle name="Normal 7 102" xfId="12091"/>
    <cellStyle name="Normal 7 102 2" xfId="25961"/>
    <cellStyle name="Normal 7 102 2 2" xfId="52969"/>
    <cellStyle name="Normal 7 102 3" xfId="39465"/>
    <cellStyle name="Normal 7 103" xfId="12233"/>
    <cellStyle name="Normal 7 103 2" xfId="26089"/>
    <cellStyle name="Normal 7 103 2 2" xfId="53097"/>
    <cellStyle name="Normal 7 103 3" xfId="39593"/>
    <cellStyle name="Normal 7 104" xfId="12375"/>
    <cellStyle name="Normal 7 104 2" xfId="26217"/>
    <cellStyle name="Normal 7 104 2 2" xfId="53225"/>
    <cellStyle name="Normal 7 104 3" xfId="39721"/>
    <cellStyle name="Normal 7 105" xfId="12517"/>
    <cellStyle name="Normal 7 105 2" xfId="26345"/>
    <cellStyle name="Normal 7 105 2 2" xfId="53353"/>
    <cellStyle name="Normal 7 105 3" xfId="39849"/>
    <cellStyle name="Normal 7 106" xfId="12659"/>
    <cellStyle name="Normal 7 106 2" xfId="26473"/>
    <cellStyle name="Normal 7 106 2 2" xfId="53481"/>
    <cellStyle name="Normal 7 106 3" xfId="39977"/>
    <cellStyle name="Normal 7 107" xfId="12801"/>
    <cellStyle name="Normal 7 107 2" xfId="26601"/>
    <cellStyle name="Normal 7 107 2 2" xfId="53609"/>
    <cellStyle name="Normal 7 107 3" xfId="40105"/>
    <cellStyle name="Normal 7 108" xfId="12943"/>
    <cellStyle name="Normal 7 108 2" xfId="26729"/>
    <cellStyle name="Normal 7 108 2 2" xfId="53737"/>
    <cellStyle name="Normal 7 108 3" xfId="40233"/>
    <cellStyle name="Normal 7 109" xfId="13085"/>
    <cellStyle name="Normal 7 109 2" xfId="26857"/>
    <cellStyle name="Normal 7 109 2 2" xfId="53865"/>
    <cellStyle name="Normal 7 109 3" xfId="40361"/>
    <cellStyle name="Normal 7 11" xfId="1364"/>
    <cellStyle name="Normal 7 11 2" xfId="16508"/>
    <cellStyle name="Normal 7 11 2 2" xfId="43516"/>
    <cellStyle name="Normal 7 11 3" xfId="30012"/>
    <cellStyle name="Normal 7 110" xfId="13227"/>
    <cellStyle name="Normal 7 110 2" xfId="26985"/>
    <cellStyle name="Normal 7 110 2 2" xfId="53993"/>
    <cellStyle name="Normal 7 110 3" xfId="40489"/>
    <cellStyle name="Normal 7 111" xfId="13369"/>
    <cellStyle name="Normal 7 111 2" xfId="27113"/>
    <cellStyle name="Normal 7 111 2 2" xfId="54121"/>
    <cellStyle name="Normal 7 111 3" xfId="40617"/>
    <cellStyle name="Normal 7 112" xfId="13511"/>
    <cellStyle name="Normal 7 112 2" xfId="27241"/>
    <cellStyle name="Normal 7 112 2 2" xfId="54249"/>
    <cellStyle name="Normal 7 112 3" xfId="40745"/>
    <cellStyle name="Normal 7 113" xfId="13653"/>
    <cellStyle name="Normal 7 113 2" xfId="27369"/>
    <cellStyle name="Normal 7 113 2 2" xfId="54377"/>
    <cellStyle name="Normal 7 113 3" xfId="40873"/>
    <cellStyle name="Normal 7 114" xfId="13795"/>
    <cellStyle name="Normal 7 114 2" xfId="27497"/>
    <cellStyle name="Normal 7 114 2 2" xfId="54505"/>
    <cellStyle name="Normal 7 114 3" xfId="41001"/>
    <cellStyle name="Normal 7 115" xfId="13936"/>
    <cellStyle name="Normal 7 115 2" xfId="27624"/>
    <cellStyle name="Normal 7 115 2 2" xfId="54632"/>
    <cellStyle name="Normal 7 115 3" xfId="41128"/>
    <cellStyle name="Normal 7 116" xfId="14077"/>
    <cellStyle name="Normal 7 116 2" xfId="27751"/>
    <cellStyle name="Normal 7 116 2 2" xfId="54759"/>
    <cellStyle name="Normal 7 116 3" xfId="41255"/>
    <cellStyle name="Normal 7 117" xfId="14218"/>
    <cellStyle name="Normal 7 117 2" xfId="27878"/>
    <cellStyle name="Normal 7 117 2 2" xfId="54886"/>
    <cellStyle name="Normal 7 117 3" xfId="41382"/>
    <cellStyle name="Normal 7 118" xfId="14359"/>
    <cellStyle name="Normal 7 118 2" xfId="28005"/>
    <cellStyle name="Normal 7 118 2 2" xfId="55013"/>
    <cellStyle name="Normal 7 118 3" xfId="41509"/>
    <cellStyle name="Normal 7 119" xfId="14499"/>
    <cellStyle name="Normal 7 119 2" xfId="28131"/>
    <cellStyle name="Normal 7 119 2 2" xfId="55139"/>
    <cellStyle name="Normal 7 119 3" xfId="41635"/>
    <cellStyle name="Normal 7 12" xfId="1470"/>
    <cellStyle name="Normal 7 12 2" xfId="16600"/>
    <cellStyle name="Normal 7 12 2 2" xfId="43608"/>
    <cellStyle name="Normal 7 12 3" xfId="30104"/>
    <cellStyle name="Normal 7 120" xfId="14639"/>
    <cellStyle name="Normal 7 120 2" xfId="28257"/>
    <cellStyle name="Normal 7 120 2 2" xfId="55265"/>
    <cellStyle name="Normal 7 120 3" xfId="41761"/>
    <cellStyle name="Normal 7 121" xfId="14778"/>
    <cellStyle name="Normal 7 121 2" xfId="28382"/>
    <cellStyle name="Normal 7 121 2 2" xfId="55390"/>
    <cellStyle name="Normal 7 121 3" xfId="41886"/>
    <cellStyle name="Normal 7 122" xfId="14913"/>
    <cellStyle name="Normal 7 122 2" xfId="28504"/>
    <cellStyle name="Normal 7 122 2 2" xfId="55512"/>
    <cellStyle name="Normal 7 122 3" xfId="42008"/>
    <cellStyle name="Normal 7 123" xfId="15047"/>
    <cellStyle name="Normal 7 123 2" xfId="28625"/>
    <cellStyle name="Normal 7 123 2 2" xfId="55633"/>
    <cellStyle name="Normal 7 123 3" xfId="42129"/>
    <cellStyle name="Normal 7 124" xfId="15174"/>
    <cellStyle name="Normal 7 124 2" xfId="28741"/>
    <cellStyle name="Normal 7 124 2 2" xfId="55749"/>
    <cellStyle name="Normal 7 124 3" xfId="42245"/>
    <cellStyle name="Normal 7 125" xfId="15294"/>
    <cellStyle name="Normal 7 125 2" xfId="28854"/>
    <cellStyle name="Normal 7 125 2 2" xfId="55862"/>
    <cellStyle name="Normal 7 125 3" xfId="42358"/>
    <cellStyle name="Normal 7 126" xfId="15509"/>
    <cellStyle name="Normal 7 126 2" xfId="42517"/>
    <cellStyle name="Normal 7 127" xfId="29013"/>
    <cellStyle name="Normal 7 13" xfId="1576"/>
    <cellStyle name="Normal 7 13 2" xfId="16692"/>
    <cellStyle name="Normal 7 13 2 2" xfId="43700"/>
    <cellStyle name="Normal 7 13 3" xfId="30196"/>
    <cellStyle name="Normal 7 14" xfId="1682"/>
    <cellStyle name="Normal 7 14 2" xfId="16784"/>
    <cellStyle name="Normal 7 14 2 2" xfId="43792"/>
    <cellStyle name="Normal 7 14 3" xfId="30288"/>
    <cellStyle name="Normal 7 15" xfId="1788"/>
    <cellStyle name="Normal 7 15 2" xfId="16876"/>
    <cellStyle name="Normal 7 15 2 2" xfId="43884"/>
    <cellStyle name="Normal 7 15 3" xfId="30380"/>
    <cellStyle name="Normal 7 16" xfId="1894"/>
    <cellStyle name="Normal 7 16 2" xfId="16968"/>
    <cellStyle name="Normal 7 16 2 2" xfId="43976"/>
    <cellStyle name="Normal 7 16 3" xfId="30472"/>
    <cellStyle name="Normal 7 17" xfId="2000"/>
    <cellStyle name="Normal 7 17 2" xfId="17060"/>
    <cellStyle name="Normal 7 17 2 2" xfId="44068"/>
    <cellStyle name="Normal 7 17 3" xfId="30564"/>
    <cellStyle name="Normal 7 18" xfId="2106"/>
    <cellStyle name="Normal 7 18 2" xfId="17152"/>
    <cellStyle name="Normal 7 18 2 2" xfId="44160"/>
    <cellStyle name="Normal 7 18 3" xfId="30656"/>
    <cellStyle name="Normal 7 19" xfId="2212"/>
    <cellStyle name="Normal 7 19 2" xfId="17244"/>
    <cellStyle name="Normal 7 19 2 2" xfId="44252"/>
    <cellStyle name="Normal 7 19 3" xfId="30748"/>
    <cellStyle name="Normal 7 2" xfId="330"/>
    <cellStyle name="Normal 7 2 2" xfId="15632"/>
    <cellStyle name="Normal 7 2 2 2" xfId="42640"/>
    <cellStyle name="Normal 7 2 3" xfId="29136"/>
    <cellStyle name="Normal 7 20" xfId="2318"/>
    <cellStyle name="Normal 7 20 2" xfId="17336"/>
    <cellStyle name="Normal 7 20 2 2" xfId="44344"/>
    <cellStyle name="Normal 7 20 3" xfId="30840"/>
    <cellStyle name="Normal 7 21" xfId="2424"/>
    <cellStyle name="Normal 7 21 2" xfId="17428"/>
    <cellStyle name="Normal 7 21 2 2" xfId="44436"/>
    <cellStyle name="Normal 7 21 3" xfId="30932"/>
    <cellStyle name="Normal 7 22" xfId="2530"/>
    <cellStyle name="Normal 7 22 2" xfId="17520"/>
    <cellStyle name="Normal 7 22 2 2" xfId="44528"/>
    <cellStyle name="Normal 7 22 3" xfId="31024"/>
    <cellStyle name="Normal 7 23" xfId="2636"/>
    <cellStyle name="Normal 7 23 2" xfId="17612"/>
    <cellStyle name="Normal 7 23 2 2" xfId="44620"/>
    <cellStyle name="Normal 7 23 3" xfId="31116"/>
    <cellStyle name="Normal 7 24" xfId="2742"/>
    <cellStyle name="Normal 7 24 2" xfId="17704"/>
    <cellStyle name="Normal 7 24 2 2" xfId="44712"/>
    <cellStyle name="Normal 7 24 3" xfId="31208"/>
    <cellStyle name="Normal 7 25" xfId="2848"/>
    <cellStyle name="Normal 7 25 2" xfId="17796"/>
    <cellStyle name="Normal 7 25 2 2" xfId="44804"/>
    <cellStyle name="Normal 7 25 3" xfId="31300"/>
    <cellStyle name="Normal 7 26" xfId="2954"/>
    <cellStyle name="Normal 7 26 2" xfId="17888"/>
    <cellStyle name="Normal 7 26 2 2" xfId="44896"/>
    <cellStyle name="Normal 7 26 3" xfId="31392"/>
    <cellStyle name="Normal 7 27" xfId="3060"/>
    <cellStyle name="Normal 7 27 2" xfId="17980"/>
    <cellStyle name="Normal 7 27 2 2" xfId="44988"/>
    <cellStyle name="Normal 7 27 3" xfId="31484"/>
    <cellStyle name="Normal 7 28" xfId="3166"/>
    <cellStyle name="Normal 7 28 2" xfId="18072"/>
    <cellStyle name="Normal 7 28 2 2" xfId="45080"/>
    <cellStyle name="Normal 7 28 3" xfId="31576"/>
    <cellStyle name="Normal 7 29" xfId="3272"/>
    <cellStyle name="Normal 7 29 2" xfId="18164"/>
    <cellStyle name="Normal 7 29 2 2" xfId="45172"/>
    <cellStyle name="Normal 7 29 3" xfId="31668"/>
    <cellStyle name="Normal 7 3" xfId="517"/>
    <cellStyle name="Normal 7 3 2" xfId="15773"/>
    <cellStyle name="Normal 7 3 2 2" xfId="42781"/>
    <cellStyle name="Normal 7 3 3" xfId="29277"/>
    <cellStyle name="Normal 7 30" xfId="3378"/>
    <cellStyle name="Normal 7 30 2" xfId="18256"/>
    <cellStyle name="Normal 7 30 2 2" xfId="45264"/>
    <cellStyle name="Normal 7 30 3" xfId="31760"/>
    <cellStyle name="Normal 7 31" xfId="3484"/>
    <cellStyle name="Normal 7 31 2" xfId="18348"/>
    <cellStyle name="Normal 7 31 2 2" xfId="45356"/>
    <cellStyle name="Normal 7 31 3" xfId="31852"/>
    <cellStyle name="Normal 7 32" xfId="3590"/>
    <cellStyle name="Normal 7 32 2" xfId="18440"/>
    <cellStyle name="Normal 7 32 2 2" xfId="45448"/>
    <cellStyle name="Normal 7 32 3" xfId="31944"/>
    <cellStyle name="Normal 7 33" xfId="3696"/>
    <cellStyle name="Normal 7 33 2" xfId="18532"/>
    <cellStyle name="Normal 7 33 2 2" xfId="45540"/>
    <cellStyle name="Normal 7 33 3" xfId="32036"/>
    <cellStyle name="Normal 7 34" xfId="3802"/>
    <cellStyle name="Normal 7 34 2" xfId="18624"/>
    <cellStyle name="Normal 7 34 2 2" xfId="45632"/>
    <cellStyle name="Normal 7 34 3" xfId="32128"/>
    <cellStyle name="Normal 7 35" xfId="3908"/>
    <cellStyle name="Normal 7 35 2" xfId="18716"/>
    <cellStyle name="Normal 7 35 2 2" xfId="45724"/>
    <cellStyle name="Normal 7 35 3" xfId="32220"/>
    <cellStyle name="Normal 7 36" xfId="4014"/>
    <cellStyle name="Normal 7 36 2" xfId="18808"/>
    <cellStyle name="Normal 7 36 2 2" xfId="45816"/>
    <cellStyle name="Normal 7 36 3" xfId="32312"/>
    <cellStyle name="Normal 7 37" xfId="4120"/>
    <cellStyle name="Normal 7 37 2" xfId="18900"/>
    <cellStyle name="Normal 7 37 2 2" xfId="45908"/>
    <cellStyle name="Normal 7 37 3" xfId="32404"/>
    <cellStyle name="Normal 7 38" xfId="4226"/>
    <cellStyle name="Normal 7 38 2" xfId="18992"/>
    <cellStyle name="Normal 7 38 2 2" xfId="46000"/>
    <cellStyle name="Normal 7 38 3" xfId="32496"/>
    <cellStyle name="Normal 7 39" xfId="4332"/>
    <cellStyle name="Normal 7 39 2" xfId="19084"/>
    <cellStyle name="Normal 7 39 2 2" xfId="46092"/>
    <cellStyle name="Normal 7 39 3" xfId="32588"/>
    <cellStyle name="Normal 7 4" xfId="622"/>
    <cellStyle name="Normal 7 4 2" xfId="15864"/>
    <cellStyle name="Normal 7 4 2 2" xfId="42872"/>
    <cellStyle name="Normal 7 4 3" xfId="29368"/>
    <cellStyle name="Normal 7 40" xfId="4438"/>
    <cellStyle name="Normal 7 40 2" xfId="19176"/>
    <cellStyle name="Normal 7 40 2 2" xfId="46184"/>
    <cellStyle name="Normal 7 40 3" xfId="32680"/>
    <cellStyle name="Normal 7 41" xfId="4544"/>
    <cellStyle name="Normal 7 41 2" xfId="19268"/>
    <cellStyle name="Normal 7 41 2 2" xfId="46276"/>
    <cellStyle name="Normal 7 41 3" xfId="32772"/>
    <cellStyle name="Normal 7 42" xfId="4650"/>
    <cellStyle name="Normal 7 42 2" xfId="19360"/>
    <cellStyle name="Normal 7 42 2 2" xfId="46368"/>
    <cellStyle name="Normal 7 42 3" xfId="32864"/>
    <cellStyle name="Normal 7 43" xfId="4756"/>
    <cellStyle name="Normal 7 43 2" xfId="19452"/>
    <cellStyle name="Normal 7 43 2 2" xfId="46460"/>
    <cellStyle name="Normal 7 43 3" xfId="32956"/>
    <cellStyle name="Normal 7 44" xfId="4862"/>
    <cellStyle name="Normal 7 44 2" xfId="19544"/>
    <cellStyle name="Normal 7 44 2 2" xfId="46552"/>
    <cellStyle name="Normal 7 44 3" xfId="33048"/>
    <cellStyle name="Normal 7 45" xfId="4968"/>
    <cellStyle name="Normal 7 45 2" xfId="19636"/>
    <cellStyle name="Normal 7 45 2 2" xfId="46644"/>
    <cellStyle name="Normal 7 45 3" xfId="33140"/>
    <cellStyle name="Normal 7 46" xfId="5074"/>
    <cellStyle name="Normal 7 46 2" xfId="19728"/>
    <cellStyle name="Normal 7 46 2 2" xfId="46736"/>
    <cellStyle name="Normal 7 46 3" xfId="33232"/>
    <cellStyle name="Normal 7 47" xfId="5180"/>
    <cellStyle name="Normal 7 47 2" xfId="19820"/>
    <cellStyle name="Normal 7 47 2 2" xfId="46828"/>
    <cellStyle name="Normal 7 47 3" xfId="33324"/>
    <cellStyle name="Normal 7 48" xfId="5286"/>
    <cellStyle name="Normal 7 48 2" xfId="19912"/>
    <cellStyle name="Normal 7 48 2 2" xfId="46920"/>
    <cellStyle name="Normal 7 48 3" xfId="33416"/>
    <cellStyle name="Normal 7 49" xfId="5392"/>
    <cellStyle name="Normal 7 49 2" xfId="20004"/>
    <cellStyle name="Normal 7 49 2 2" xfId="47012"/>
    <cellStyle name="Normal 7 49 3" xfId="33508"/>
    <cellStyle name="Normal 7 5" xfId="728"/>
    <cellStyle name="Normal 7 5 2" xfId="15956"/>
    <cellStyle name="Normal 7 5 2 2" xfId="42964"/>
    <cellStyle name="Normal 7 5 3" xfId="29460"/>
    <cellStyle name="Normal 7 50" xfId="5498"/>
    <cellStyle name="Normal 7 50 2" xfId="20096"/>
    <cellStyle name="Normal 7 50 2 2" xfId="47104"/>
    <cellStyle name="Normal 7 50 3" xfId="33600"/>
    <cellStyle name="Normal 7 51" xfId="5604"/>
    <cellStyle name="Normal 7 51 2" xfId="20188"/>
    <cellStyle name="Normal 7 51 2 2" xfId="47196"/>
    <cellStyle name="Normal 7 51 3" xfId="33692"/>
    <cellStyle name="Normal 7 52" xfId="5710"/>
    <cellStyle name="Normal 7 52 2" xfId="20280"/>
    <cellStyle name="Normal 7 52 2 2" xfId="47288"/>
    <cellStyle name="Normal 7 52 3" xfId="33784"/>
    <cellStyle name="Normal 7 53" xfId="5816"/>
    <cellStyle name="Normal 7 53 2" xfId="20372"/>
    <cellStyle name="Normal 7 53 2 2" xfId="47380"/>
    <cellStyle name="Normal 7 53 3" xfId="33876"/>
    <cellStyle name="Normal 7 54" xfId="5922"/>
    <cellStyle name="Normal 7 54 2" xfId="20464"/>
    <cellStyle name="Normal 7 54 2 2" xfId="47472"/>
    <cellStyle name="Normal 7 54 3" xfId="33968"/>
    <cellStyle name="Normal 7 55" xfId="6028"/>
    <cellStyle name="Normal 7 55 2" xfId="20556"/>
    <cellStyle name="Normal 7 55 2 2" xfId="47564"/>
    <cellStyle name="Normal 7 55 3" xfId="34060"/>
    <cellStyle name="Normal 7 56" xfId="6134"/>
    <cellStyle name="Normal 7 56 2" xfId="20648"/>
    <cellStyle name="Normal 7 56 2 2" xfId="47656"/>
    <cellStyle name="Normal 7 56 3" xfId="34152"/>
    <cellStyle name="Normal 7 57" xfId="6240"/>
    <cellStyle name="Normal 7 57 2" xfId="20740"/>
    <cellStyle name="Normal 7 57 2 2" xfId="47748"/>
    <cellStyle name="Normal 7 57 3" xfId="34244"/>
    <cellStyle name="Normal 7 58" xfId="6346"/>
    <cellStyle name="Normal 7 58 2" xfId="20832"/>
    <cellStyle name="Normal 7 58 2 2" xfId="47840"/>
    <cellStyle name="Normal 7 58 3" xfId="34336"/>
    <cellStyle name="Normal 7 59" xfId="6452"/>
    <cellStyle name="Normal 7 59 2" xfId="20924"/>
    <cellStyle name="Normal 7 59 2 2" xfId="47932"/>
    <cellStyle name="Normal 7 59 3" xfId="34428"/>
    <cellStyle name="Normal 7 6" xfId="834"/>
    <cellStyle name="Normal 7 6 2" xfId="16048"/>
    <cellStyle name="Normal 7 6 2 2" xfId="43056"/>
    <cellStyle name="Normal 7 6 3" xfId="29552"/>
    <cellStyle name="Normal 7 60" xfId="6558"/>
    <cellStyle name="Normal 7 60 2" xfId="21016"/>
    <cellStyle name="Normal 7 60 2 2" xfId="48024"/>
    <cellStyle name="Normal 7 60 3" xfId="34520"/>
    <cellStyle name="Normal 7 61" xfId="6663"/>
    <cellStyle name="Normal 7 61 2" xfId="21107"/>
    <cellStyle name="Normal 7 61 2 2" xfId="48115"/>
    <cellStyle name="Normal 7 61 3" xfId="34611"/>
    <cellStyle name="Normal 7 62" xfId="6768"/>
    <cellStyle name="Normal 7 62 2" xfId="21198"/>
    <cellStyle name="Normal 7 62 2 2" xfId="48206"/>
    <cellStyle name="Normal 7 62 3" xfId="34702"/>
    <cellStyle name="Normal 7 63" xfId="6873"/>
    <cellStyle name="Normal 7 63 2" xfId="21289"/>
    <cellStyle name="Normal 7 63 2 2" xfId="48297"/>
    <cellStyle name="Normal 7 63 3" xfId="34793"/>
    <cellStyle name="Normal 7 64" xfId="6978"/>
    <cellStyle name="Normal 7 64 2" xfId="21380"/>
    <cellStyle name="Normal 7 64 2 2" xfId="48388"/>
    <cellStyle name="Normal 7 64 3" xfId="34884"/>
    <cellStyle name="Normal 7 65" xfId="7082"/>
    <cellStyle name="Normal 7 65 2" xfId="21470"/>
    <cellStyle name="Normal 7 65 2 2" xfId="48478"/>
    <cellStyle name="Normal 7 65 3" xfId="34974"/>
    <cellStyle name="Normal 7 66" xfId="7186"/>
    <cellStyle name="Normal 7 66 2" xfId="21560"/>
    <cellStyle name="Normal 7 66 2 2" xfId="48568"/>
    <cellStyle name="Normal 7 66 3" xfId="35064"/>
    <cellStyle name="Normal 7 67" xfId="7289"/>
    <cellStyle name="Normal 7 67 2" xfId="21649"/>
    <cellStyle name="Normal 7 67 2 2" xfId="48657"/>
    <cellStyle name="Normal 7 67 3" xfId="35153"/>
    <cellStyle name="Normal 7 68" xfId="7389"/>
    <cellStyle name="Normal 7 68 2" xfId="21736"/>
    <cellStyle name="Normal 7 68 2 2" xfId="48744"/>
    <cellStyle name="Normal 7 68 3" xfId="35240"/>
    <cellStyle name="Normal 7 69" xfId="7487"/>
    <cellStyle name="Normal 7 69 2" xfId="21821"/>
    <cellStyle name="Normal 7 69 2 2" xfId="48829"/>
    <cellStyle name="Normal 7 69 3" xfId="35325"/>
    <cellStyle name="Normal 7 7" xfId="940"/>
    <cellStyle name="Normal 7 7 2" xfId="16140"/>
    <cellStyle name="Normal 7 7 2 2" xfId="43148"/>
    <cellStyle name="Normal 7 7 3" xfId="29644"/>
    <cellStyle name="Normal 7 70" xfId="7576"/>
    <cellStyle name="Normal 7 70 2" xfId="21899"/>
    <cellStyle name="Normal 7 70 2 2" xfId="48907"/>
    <cellStyle name="Normal 7 70 3" xfId="35403"/>
    <cellStyle name="Normal 7 71" xfId="7652"/>
    <cellStyle name="Normal 7 71 2" xfId="21968"/>
    <cellStyle name="Normal 7 71 2 2" xfId="48976"/>
    <cellStyle name="Normal 7 71 3" xfId="35472"/>
    <cellStyle name="Normal 7 72" xfId="7831"/>
    <cellStyle name="Normal 7 72 2" xfId="22121"/>
    <cellStyle name="Normal 7 72 2 2" xfId="49129"/>
    <cellStyle name="Normal 7 72 3" xfId="35625"/>
    <cellStyle name="Normal 7 73" xfId="7973"/>
    <cellStyle name="Normal 7 73 2" xfId="22249"/>
    <cellStyle name="Normal 7 73 2 2" xfId="49257"/>
    <cellStyle name="Normal 7 73 3" xfId="35753"/>
    <cellStyle name="Normal 7 74" xfId="8115"/>
    <cellStyle name="Normal 7 74 2" xfId="22377"/>
    <cellStyle name="Normal 7 74 2 2" xfId="49385"/>
    <cellStyle name="Normal 7 74 3" xfId="35881"/>
    <cellStyle name="Normal 7 75" xfId="8257"/>
    <cellStyle name="Normal 7 75 2" xfId="22505"/>
    <cellStyle name="Normal 7 75 2 2" xfId="49513"/>
    <cellStyle name="Normal 7 75 3" xfId="36009"/>
    <cellStyle name="Normal 7 76" xfId="8399"/>
    <cellStyle name="Normal 7 76 2" xfId="22633"/>
    <cellStyle name="Normal 7 76 2 2" xfId="49641"/>
    <cellStyle name="Normal 7 76 3" xfId="36137"/>
    <cellStyle name="Normal 7 77" xfId="8541"/>
    <cellStyle name="Normal 7 77 2" xfId="22761"/>
    <cellStyle name="Normal 7 77 2 2" xfId="49769"/>
    <cellStyle name="Normal 7 77 3" xfId="36265"/>
    <cellStyle name="Normal 7 78" xfId="8683"/>
    <cellStyle name="Normal 7 78 2" xfId="22889"/>
    <cellStyle name="Normal 7 78 2 2" xfId="49897"/>
    <cellStyle name="Normal 7 78 3" xfId="36393"/>
    <cellStyle name="Normal 7 79" xfId="8825"/>
    <cellStyle name="Normal 7 79 2" xfId="23017"/>
    <cellStyle name="Normal 7 79 2 2" xfId="50025"/>
    <cellStyle name="Normal 7 79 3" xfId="36521"/>
    <cellStyle name="Normal 7 8" xfId="1046"/>
    <cellStyle name="Normal 7 8 2" xfId="16232"/>
    <cellStyle name="Normal 7 8 2 2" xfId="43240"/>
    <cellStyle name="Normal 7 8 3" xfId="29736"/>
    <cellStyle name="Normal 7 80" xfId="8967"/>
    <cellStyle name="Normal 7 80 2" xfId="23145"/>
    <cellStyle name="Normal 7 80 2 2" xfId="50153"/>
    <cellStyle name="Normal 7 80 3" xfId="36649"/>
    <cellStyle name="Normal 7 81" xfId="9109"/>
    <cellStyle name="Normal 7 81 2" xfId="23273"/>
    <cellStyle name="Normal 7 81 2 2" xfId="50281"/>
    <cellStyle name="Normal 7 81 3" xfId="36777"/>
    <cellStyle name="Normal 7 82" xfId="9251"/>
    <cellStyle name="Normal 7 82 2" xfId="23401"/>
    <cellStyle name="Normal 7 82 2 2" xfId="50409"/>
    <cellStyle name="Normal 7 82 3" xfId="36905"/>
    <cellStyle name="Normal 7 83" xfId="9393"/>
    <cellStyle name="Normal 7 83 2" xfId="23529"/>
    <cellStyle name="Normal 7 83 2 2" xfId="50537"/>
    <cellStyle name="Normal 7 83 3" xfId="37033"/>
    <cellStyle name="Normal 7 84" xfId="9535"/>
    <cellStyle name="Normal 7 84 2" xfId="23657"/>
    <cellStyle name="Normal 7 84 2 2" xfId="50665"/>
    <cellStyle name="Normal 7 84 3" xfId="37161"/>
    <cellStyle name="Normal 7 85" xfId="9677"/>
    <cellStyle name="Normal 7 85 2" xfId="23785"/>
    <cellStyle name="Normal 7 85 2 2" xfId="50793"/>
    <cellStyle name="Normal 7 85 3" xfId="37289"/>
    <cellStyle name="Normal 7 86" xfId="9819"/>
    <cellStyle name="Normal 7 86 2" xfId="23913"/>
    <cellStyle name="Normal 7 86 2 2" xfId="50921"/>
    <cellStyle name="Normal 7 86 3" xfId="37417"/>
    <cellStyle name="Normal 7 87" xfId="9961"/>
    <cellStyle name="Normal 7 87 2" xfId="24041"/>
    <cellStyle name="Normal 7 87 2 2" xfId="51049"/>
    <cellStyle name="Normal 7 87 3" xfId="37545"/>
    <cellStyle name="Normal 7 88" xfId="10103"/>
    <cellStyle name="Normal 7 88 2" xfId="24169"/>
    <cellStyle name="Normal 7 88 2 2" xfId="51177"/>
    <cellStyle name="Normal 7 88 3" xfId="37673"/>
    <cellStyle name="Normal 7 89" xfId="10245"/>
    <cellStyle name="Normal 7 89 2" xfId="24297"/>
    <cellStyle name="Normal 7 89 2 2" xfId="51305"/>
    <cellStyle name="Normal 7 89 3" xfId="37801"/>
    <cellStyle name="Normal 7 9" xfId="1152"/>
    <cellStyle name="Normal 7 9 2" xfId="16324"/>
    <cellStyle name="Normal 7 9 2 2" xfId="43332"/>
    <cellStyle name="Normal 7 9 3" xfId="29828"/>
    <cellStyle name="Normal 7 90" xfId="10387"/>
    <cellStyle name="Normal 7 90 2" xfId="24425"/>
    <cellStyle name="Normal 7 90 2 2" xfId="51433"/>
    <cellStyle name="Normal 7 90 3" xfId="37929"/>
    <cellStyle name="Normal 7 91" xfId="10529"/>
    <cellStyle name="Normal 7 91 2" xfId="24553"/>
    <cellStyle name="Normal 7 91 2 2" xfId="51561"/>
    <cellStyle name="Normal 7 91 3" xfId="38057"/>
    <cellStyle name="Normal 7 92" xfId="10671"/>
    <cellStyle name="Normal 7 92 2" xfId="24681"/>
    <cellStyle name="Normal 7 92 2 2" xfId="51689"/>
    <cellStyle name="Normal 7 92 3" xfId="38185"/>
    <cellStyle name="Normal 7 93" xfId="10813"/>
    <cellStyle name="Normal 7 93 2" xfId="24809"/>
    <cellStyle name="Normal 7 93 2 2" xfId="51817"/>
    <cellStyle name="Normal 7 93 3" xfId="38313"/>
    <cellStyle name="Normal 7 94" xfId="10955"/>
    <cellStyle name="Normal 7 94 2" xfId="24937"/>
    <cellStyle name="Normal 7 94 2 2" xfId="51945"/>
    <cellStyle name="Normal 7 94 3" xfId="38441"/>
    <cellStyle name="Normal 7 95" xfId="11097"/>
    <cellStyle name="Normal 7 95 2" xfId="25065"/>
    <cellStyle name="Normal 7 95 2 2" xfId="52073"/>
    <cellStyle name="Normal 7 95 3" xfId="38569"/>
    <cellStyle name="Normal 7 96" xfId="11239"/>
    <cellStyle name="Normal 7 96 2" xfId="25193"/>
    <cellStyle name="Normal 7 96 2 2" xfId="52201"/>
    <cellStyle name="Normal 7 96 3" xfId="38697"/>
    <cellStyle name="Normal 7 97" xfId="11381"/>
    <cellStyle name="Normal 7 97 2" xfId="25321"/>
    <cellStyle name="Normal 7 97 2 2" xfId="52329"/>
    <cellStyle name="Normal 7 97 3" xfId="38825"/>
    <cellStyle name="Normal 7 98" xfId="11523"/>
    <cellStyle name="Normal 7 98 2" xfId="25449"/>
    <cellStyle name="Normal 7 98 2 2" xfId="52457"/>
    <cellStyle name="Normal 7 98 3" xfId="38953"/>
    <cellStyle name="Normal 7 99" xfId="11665"/>
    <cellStyle name="Normal 7 99 2" xfId="25577"/>
    <cellStyle name="Normal 7 99 2 2" xfId="52585"/>
    <cellStyle name="Normal 7 99 3" xfId="39081"/>
    <cellStyle name="Normal 70" xfId="3007"/>
    <cellStyle name="Normal 70 2" xfId="17937"/>
    <cellStyle name="Normal 70 2 2" xfId="44945"/>
    <cellStyle name="Normal 70 3" xfId="31441"/>
    <cellStyle name="Normal 700" xfId="57589"/>
    <cellStyle name="Normal 701" xfId="57592"/>
    <cellStyle name="Normal 702" xfId="57595"/>
    <cellStyle name="Normal 703" xfId="57598"/>
    <cellStyle name="Normal 704" xfId="57601"/>
    <cellStyle name="Normal 705" xfId="57604"/>
    <cellStyle name="Normal 706" xfId="57607"/>
    <cellStyle name="Normal 707" xfId="57610"/>
    <cellStyle name="Normal 708" xfId="57613"/>
    <cellStyle name="Normal 709" xfId="57616"/>
    <cellStyle name="Normal 71" xfId="3113"/>
    <cellStyle name="Normal 71 2" xfId="18029"/>
    <cellStyle name="Normal 71 2 2" xfId="45037"/>
    <cellStyle name="Normal 71 3" xfId="31533"/>
    <cellStyle name="Normal 72" xfId="3219"/>
    <cellStyle name="Normal 72 2" xfId="18121"/>
    <cellStyle name="Normal 72 2 2" xfId="45129"/>
    <cellStyle name="Normal 72 3" xfId="31625"/>
    <cellStyle name="Normal 73" xfId="3325"/>
    <cellStyle name="Normal 73 2" xfId="18213"/>
    <cellStyle name="Normal 73 2 2" xfId="45221"/>
    <cellStyle name="Normal 73 3" xfId="31717"/>
    <cellStyle name="Normal 74" xfId="3431"/>
    <cellStyle name="Normal 74 2" xfId="18305"/>
    <cellStyle name="Normal 74 2 2" xfId="45313"/>
    <cellStyle name="Normal 74 3" xfId="31809"/>
    <cellStyle name="Normal 75" xfId="3537"/>
    <cellStyle name="Normal 75 2" xfId="18397"/>
    <cellStyle name="Normal 75 2 2" xfId="45405"/>
    <cellStyle name="Normal 75 3" xfId="31901"/>
    <cellStyle name="Normal 76" xfId="3643"/>
    <cellStyle name="Normal 76 2" xfId="18489"/>
    <cellStyle name="Normal 76 2 2" xfId="45497"/>
    <cellStyle name="Normal 76 3" xfId="31993"/>
    <cellStyle name="Normal 77" xfId="3749"/>
    <cellStyle name="Normal 77 2" xfId="18581"/>
    <cellStyle name="Normal 77 2 2" xfId="45589"/>
    <cellStyle name="Normal 77 3" xfId="32085"/>
    <cellStyle name="Normal 78" xfId="3855"/>
    <cellStyle name="Normal 78 2" xfId="18673"/>
    <cellStyle name="Normal 78 2 2" xfId="45681"/>
    <cellStyle name="Normal 78 3" xfId="32177"/>
    <cellStyle name="Normal 79" xfId="3961"/>
    <cellStyle name="Normal 79 2" xfId="18765"/>
    <cellStyle name="Normal 79 2 2" xfId="45773"/>
    <cellStyle name="Normal 79 3" xfId="32269"/>
    <cellStyle name="Normal 8" xfId="154"/>
    <cellStyle name="Normal 8 10" xfId="1259"/>
    <cellStyle name="Normal 8 10 2" xfId="16417"/>
    <cellStyle name="Normal 8 10 2 2" xfId="43425"/>
    <cellStyle name="Normal 8 10 3" xfId="29921"/>
    <cellStyle name="Normal 8 100" xfId="11808"/>
    <cellStyle name="Normal 8 100 2" xfId="25706"/>
    <cellStyle name="Normal 8 100 2 2" xfId="52714"/>
    <cellStyle name="Normal 8 100 3" xfId="39210"/>
    <cellStyle name="Normal 8 101" xfId="11950"/>
    <cellStyle name="Normal 8 101 2" xfId="25834"/>
    <cellStyle name="Normal 8 101 2 2" xfId="52842"/>
    <cellStyle name="Normal 8 101 3" xfId="39338"/>
    <cellStyle name="Normal 8 102" xfId="12092"/>
    <cellStyle name="Normal 8 102 2" xfId="25962"/>
    <cellStyle name="Normal 8 102 2 2" xfId="52970"/>
    <cellStyle name="Normal 8 102 3" xfId="39466"/>
    <cellStyle name="Normal 8 103" xfId="12234"/>
    <cellStyle name="Normal 8 103 2" xfId="26090"/>
    <cellStyle name="Normal 8 103 2 2" xfId="53098"/>
    <cellStyle name="Normal 8 103 3" xfId="39594"/>
    <cellStyle name="Normal 8 104" xfId="12376"/>
    <cellStyle name="Normal 8 104 2" xfId="26218"/>
    <cellStyle name="Normal 8 104 2 2" xfId="53226"/>
    <cellStyle name="Normal 8 104 3" xfId="39722"/>
    <cellStyle name="Normal 8 105" xfId="12518"/>
    <cellStyle name="Normal 8 105 2" xfId="26346"/>
    <cellStyle name="Normal 8 105 2 2" xfId="53354"/>
    <cellStyle name="Normal 8 105 3" xfId="39850"/>
    <cellStyle name="Normal 8 106" xfId="12660"/>
    <cellStyle name="Normal 8 106 2" xfId="26474"/>
    <cellStyle name="Normal 8 106 2 2" xfId="53482"/>
    <cellStyle name="Normal 8 106 3" xfId="39978"/>
    <cellStyle name="Normal 8 107" xfId="12802"/>
    <cellStyle name="Normal 8 107 2" xfId="26602"/>
    <cellStyle name="Normal 8 107 2 2" xfId="53610"/>
    <cellStyle name="Normal 8 107 3" xfId="40106"/>
    <cellStyle name="Normal 8 108" xfId="12944"/>
    <cellStyle name="Normal 8 108 2" xfId="26730"/>
    <cellStyle name="Normal 8 108 2 2" xfId="53738"/>
    <cellStyle name="Normal 8 108 3" xfId="40234"/>
    <cellStyle name="Normal 8 109" xfId="13086"/>
    <cellStyle name="Normal 8 109 2" xfId="26858"/>
    <cellStyle name="Normal 8 109 2 2" xfId="53866"/>
    <cellStyle name="Normal 8 109 3" xfId="40362"/>
    <cellStyle name="Normal 8 11" xfId="1365"/>
    <cellStyle name="Normal 8 11 2" xfId="16509"/>
    <cellStyle name="Normal 8 11 2 2" xfId="43517"/>
    <cellStyle name="Normal 8 11 3" xfId="30013"/>
    <cellStyle name="Normal 8 110" xfId="13228"/>
    <cellStyle name="Normal 8 110 2" xfId="26986"/>
    <cellStyle name="Normal 8 110 2 2" xfId="53994"/>
    <cellStyle name="Normal 8 110 3" xfId="40490"/>
    <cellStyle name="Normal 8 111" xfId="13370"/>
    <cellStyle name="Normal 8 111 2" xfId="27114"/>
    <cellStyle name="Normal 8 111 2 2" xfId="54122"/>
    <cellStyle name="Normal 8 111 3" xfId="40618"/>
    <cellStyle name="Normal 8 112" xfId="13512"/>
    <cellStyle name="Normal 8 112 2" xfId="27242"/>
    <cellStyle name="Normal 8 112 2 2" xfId="54250"/>
    <cellStyle name="Normal 8 112 3" xfId="40746"/>
    <cellStyle name="Normal 8 113" xfId="13654"/>
    <cellStyle name="Normal 8 113 2" xfId="27370"/>
    <cellStyle name="Normal 8 113 2 2" xfId="54378"/>
    <cellStyle name="Normal 8 113 3" xfId="40874"/>
    <cellStyle name="Normal 8 114" xfId="13796"/>
    <cellStyle name="Normal 8 114 2" xfId="27498"/>
    <cellStyle name="Normal 8 114 2 2" xfId="54506"/>
    <cellStyle name="Normal 8 114 3" xfId="41002"/>
    <cellStyle name="Normal 8 115" xfId="13937"/>
    <cellStyle name="Normal 8 115 2" xfId="27625"/>
    <cellStyle name="Normal 8 115 2 2" xfId="54633"/>
    <cellStyle name="Normal 8 115 3" xfId="41129"/>
    <cellStyle name="Normal 8 116" xfId="14078"/>
    <cellStyle name="Normal 8 116 2" xfId="27752"/>
    <cellStyle name="Normal 8 116 2 2" xfId="54760"/>
    <cellStyle name="Normal 8 116 3" xfId="41256"/>
    <cellStyle name="Normal 8 117" xfId="14219"/>
    <cellStyle name="Normal 8 117 2" xfId="27879"/>
    <cellStyle name="Normal 8 117 2 2" xfId="54887"/>
    <cellStyle name="Normal 8 117 3" xfId="41383"/>
    <cellStyle name="Normal 8 118" xfId="14360"/>
    <cellStyle name="Normal 8 118 2" xfId="28006"/>
    <cellStyle name="Normal 8 118 2 2" xfId="55014"/>
    <cellStyle name="Normal 8 118 3" xfId="41510"/>
    <cellStyle name="Normal 8 119" xfId="14500"/>
    <cellStyle name="Normal 8 119 2" xfId="28132"/>
    <cellStyle name="Normal 8 119 2 2" xfId="55140"/>
    <cellStyle name="Normal 8 119 3" xfId="41636"/>
    <cellStyle name="Normal 8 12" xfId="1471"/>
    <cellStyle name="Normal 8 12 2" xfId="16601"/>
    <cellStyle name="Normal 8 12 2 2" xfId="43609"/>
    <cellStyle name="Normal 8 12 3" xfId="30105"/>
    <cellStyle name="Normal 8 120" xfId="14640"/>
    <cellStyle name="Normal 8 120 2" xfId="28258"/>
    <cellStyle name="Normal 8 120 2 2" xfId="55266"/>
    <cellStyle name="Normal 8 120 3" xfId="41762"/>
    <cellStyle name="Normal 8 121" xfId="14779"/>
    <cellStyle name="Normal 8 121 2" xfId="28383"/>
    <cellStyle name="Normal 8 121 2 2" xfId="55391"/>
    <cellStyle name="Normal 8 121 3" xfId="41887"/>
    <cellStyle name="Normal 8 122" xfId="14914"/>
    <cellStyle name="Normal 8 122 2" xfId="28505"/>
    <cellStyle name="Normal 8 122 2 2" xfId="55513"/>
    <cellStyle name="Normal 8 122 3" xfId="42009"/>
    <cellStyle name="Normal 8 123" xfId="15048"/>
    <cellStyle name="Normal 8 123 2" xfId="28626"/>
    <cellStyle name="Normal 8 123 2 2" xfId="55634"/>
    <cellStyle name="Normal 8 123 3" xfId="42130"/>
    <cellStyle name="Normal 8 124" xfId="15175"/>
    <cellStyle name="Normal 8 124 2" xfId="28742"/>
    <cellStyle name="Normal 8 124 2 2" xfId="55750"/>
    <cellStyle name="Normal 8 124 3" xfId="42246"/>
    <cellStyle name="Normal 8 125" xfId="15295"/>
    <cellStyle name="Normal 8 125 2" xfId="28855"/>
    <cellStyle name="Normal 8 125 2 2" xfId="55863"/>
    <cellStyle name="Normal 8 125 3" xfId="42359"/>
    <cellStyle name="Normal 8 126" xfId="15510"/>
    <cellStyle name="Normal 8 126 2" xfId="42518"/>
    <cellStyle name="Normal 8 127" xfId="29014"/>
    <cellStyle name="Normal 8 13" xfId="1577"/>
    <cellStyle name="Normal 8 13 2" xfId="16693"/>
    <cellStyle name="Normal 8 13 2 2" xfId="43701"/>
    <cellStyle name="Normal 8 13 3" xfId="30197"/>
    <cellStyle name="Normal 8 14" xfId="1683"/>
    <cellStyle name="Normal 8 14 2" xfId="16785"/>
    <cellStyle name="Normal 8 14 2 2" xfId="43793"/>
    <cellStyle name="Normal 8 14 3" xfId="30289"/>
    <cellStyle name="Normal 8 15" xfId="1789"/>
    <cellStyle name="Normal 8 15 2" xfId="16877"/>
    <cellStyle name="Normal 8 15 2 2" xfId="43885"/>
    <cellStyle name="Normal 8 15 3" xfId="30381"/>
    <cellStyle name="Normal 8 16" xfId="1895"/>
    <cellStyle name="Normal 8 16 2" xfId="16969"/>
    <cellStyle name="Normal 8 16 2 2" xfId="43977"/>
    <cellStyle name="Normal 8 16 3" xfId="30473"/>
    <cellStyle name="Normal 8 17" xfId="2001"/>
    <cellStyle name="Normal 8 17 2" xfId="17061"/>
    <cellStyle name="Normal 8 17 2 2" xfId="44069"/>
    <cellStyle name="Normal 8 17 3" xfId="30565"/>
    <cellStyle name="Normal 8 18" xfId="2107"/>
    <cellStyle name="Normal 8 18 2" xfId="17153"/>
    <cellStyle name="Normal 8 18 2 2" xfId="44161"/>
    <cellStyle name="Normal 8 18 3" xfId="30657"/>
    <cellStyle name="Normal 8 19" xfId="2213"/>
    <cellStyle name="Normal 8 19 2" xfId="17245"/>
    <cellStyle name="Normal 8 19 2 2" xfId="44253"/>
    <cellStyle name="Normal 8 19 3" xfId="30749"/>
    <cellStyle name="Normal 8 2" xfId="331"/>
    <cellStyle name="Normal 8 2 2" xfId="15633"/>
    <cellStyle name="Normal 8 2 2 2" xfId="42641"/>
    <cellStyle name="Normal 8 2 3" xfId="29137"/>
    <cellStyle name="Normal 8 20" xfId="2319"/>
    <cellStyle name="Normal 8 20 2" xfId="17337"/>
    <cellStyle name="Normal 8 20 2 2" xfId="44345"/>
    <cellStyle name="Normal 8 20 3" xfId="30841"/>
    <cellStyle name="Normal 8 21" xfId="2425"/>
    <cellStyle name="Normal 8 21 2" xfId="17429"/>
    <cellStyle name="Normal 8 21 2 2" xfId="44437"/>
    <cellStyle name="Normal 8 21 3" xfId="30933"/>
    <cellStyle name="Normal 8 22" xfId="2531"/>
    <cellStyle name="Normal 8 22 2" xfId="17521"/>
    <cellStyle name="Normal 8 22 2 2" xfId="44529"/>
    <cellStyle name="Normal 8 22 3" xfId="31025"/>
    <cellStyle name="Normal 8 23" xfId="2637"/>
    <cellStyle name="Normal 8 23 2" xfId="17613"/>
    <cellStyle name="Normal 8 23 2 2" xfId="44621"/>
    <cellStyle name="Normal 8 23 3" xfId="31117"/>
    <cellStyle name="Normal 8 24" xfId="2743"/>
    <cellStyle name="Normal 8 24 2" xfId="17705"/>
    <cellStyle name="Normal 8 24 2 2" xfId="44713"/>
    <cellStyle name="Normal 8 24 3" xfId="31209"/>
    <cellStyle name="Normal 8 25" xfId="2849"/>
    <cellStyle name="Normal 8 25 2" xfId="17797"/>
    <cellStyle name="Normal 8 25 2 2" xfId="44805"/>
    <cellStyle name="Normal 8 25 3" xfId="31301"/>
    <cellStyle name="Normal 8 26" xfId="2955"/>
    <cellStyle name="Normal 8 26 2" xfId="17889"/>
    <cellStyle name="Normal 8 26 2 2" xfId="44897"/>
    <cellStyle name="Normal 8 26 3" xfId="31393"/>
    <cellStyle name="Normal 8 27" xfId="3061"/>
    <cellStyle name="Normal 8 27 2" xfId="17981"/>
    <cellStyle name="Normal 8 27 2 2" xfId="44989"/>
    <cellStyle name="Normal 8 27 3" xfId="31485"/>
    <cellStyle name="Normal 8 28" xfId="3167"/>
    <cellStyle name="Normal 8 28 2" xfId="18073"/>
    <cellStyle name="Normal 8 28 2 2" xfId="45081"/>
    <cellStyle name="Normal 8 28 3" xfId="31577"/>
    <cellStyle name="Normal 8 29" xfId="3273"/>
    <cellStyle name="Normal 8 29 2" xfId="18165"/>
    <cellStyle name="Normal 8 29 2 2" xfId="45173"/>
    <cellStyle name="Normal 8 29 3" xfId="31669"/>
    <cellStyle name="Normal 8 3" xfId="518"/>
    <cellStyle name="Normal 8 3 2" xfId="15774"/>
    <cellStyle name="Normal 8 3 2 2" xfId="42782"/>
    <cellStyle name="Normal 8 3 3" xfId="29278"/>
    <cellStyle name="Normal 8 30" xfId="3379"/>
    <cellStyle name="Normal 8 30 2" xfId="18257"/>
    <cellStyle name="Normal 8 30 2 2" xfId="45265"/>
    <cellStyle name="Normal 8 30 3" xfId="31761"/>
    <cellStyle name="Normal 8 31" xfId="3485"/>
    <cellStyle name="Normal 8 31 2" xfId="18349"/>
    <cellStyle name="Normal 8 31 2 2" xfId="45357"/>
    <cellStyle name="Normal 8 31 3" xfId="31853"/>
    <cellStyle name="Normal 8 32" xfId="3591"/>
    <cellStyle name="Normal 8 32 2" xfId="18441"/>
    <cellStyle name="Normal 8 32 2 2" xfId="45449"/>
    <cellStyle name="Normal 8 32 3" xfId="31945"/>
    <cellStyle name="Normal 8 33" xfId="3697"/>
    <cellStyle name="Normal 8 33 2" xfId="18533"/>
    <cellStyle name="Normal 8 33 2 2" xfId="45541"/>
    <cellStyle name="Normal 8 33 3" xfId="32037"/>
    <cellStyle name="Normal 8 34" xfId="3803"/>
    <cellStyle name="Normal 8 34 2" xfId="18625"/>
    <cellStyle name="Normal 8 34 2 2" xfId="45633"/>
    <cellStyle name="Normal 8 34 3" xfId="32129"/>
    <cellStyle name="Normal 8 35" xfId="3909"/>
    <cellStyle name="Normal 8 35 2" xfId="18717"/>
    <cellStyle name="Normal 8 35 2 2" xfId="45725"/>
    <cellStyle name="Normal 8 35 3" xfId="32221"/>
    <cellStyle name="Normal 8 36" xfId="4015"/>
    <cellStyle name="Normal 8 36 2" xfId="18809"/>
    <cellStyle name="Normal 8 36 2 2" xfId="45817"/>
    <cellStyle name="Normal 8 36 3" xfId="32313"/>
    <cellStyle name="Normal 8 37" xfId="4121"/>
    <cellStyle name="Normal 8 37 2" xfId="18901"/>
    <cellStyle name="Normal 8 37 2 2" xfId="45909"/>
    <cellStyle name="Normal 8 37 3" xfId="32405"/>
    <cellStyle name="Normal 8 38" xfId="4227"/>
    <cellStyle name="Normal 8 38 2" xfId="18993"/>
    <cellStyle name="Normal 8 38 2 2" xfId="46001"/>
    <cellStyle name="Normal 8 38 3" xfId="32497"/>
    <cellStyle name="Normal 8 39" xfId="4333"/>
    <cellStyle name="Normal 8 39 2" xfId="19085"/>
    <cellStyle name="Normal 8 39 2 2" xfId="46093"/>
    <cellStyle name="Normal 8 39 3" xfId="32589"/>
    <cellStyle name="Normal 8 4" xfId="623"/>
    <cellStyle name="Normal 8 4 2" xfId="15865"/>
    <cellStyle name="Normal 8 4 2 2" xfId="42873"/>
    <cellStyle name="Normal 8 4 3" xfId="29369"/>
    <cellStyle name="Normal 8 40" xfId="4439"/>
    <cellStyle name="Normal 8 40 2" xfId="19177"/>
    <cellStyle name="Normal 8 40 2 2" xfId="46185"/>
    <cellStyle name="Normal 8 40 3" xfId="32681"/>
    <cellStyle name="Normal 8 41" xfId="4545"/>
    <cellStyle name="Normal 8 41 2" xfId="19269"/>
    <cellStyle name="Normal 8 41 2 2" xfId="46277"/>
    <cellStyle name="Normal 8 41 3" xfId="32773"/>
    <cellStyle name="Normal 8 42" xfId="4651"/>
    <cellStyle name="Normal 8 42 2" xfId="19361"/>
    <cellStyle name="Normal 8 42 2 2" xfId="46369"/>
    <cellStyle name="Normal 8 42 3" xfId="32865"/>
    <cellStyle name="Normal 8 43" xfId="4757"/>
    <cellStyle name="Normal 8 43 2" xfId="19453"/>
    <cellStyle name="Normal 8 43 2 2" xfId="46461"/>
    <cellStyle name="Normal 8 43 3" xfId="32957"/>
    <cellStyle name="Normal 8 44" xfId="4863"/>
    <cellStyle name="Normal 8 44 2" xfId="19545"/>
    <cellStyle name="Normal 8 44 2 2" xfId="46553"/>
    <cellStyle name="Normal 8 44 3" xfId="33049"/>
    <cellStyle name="Normal 8 45" xfId="4969"/>
    <cellStyle name="Normal 8 45 2" xfId="19637"/>
    <cellStyle name="Normal 8 45 2 2" xfId="46645"/>
    <cellStyle name="Normal 8 45 3" xfId="33141"/>
    <cellStyle name="Normal 8 46" xfId="5075"/>
    <cellStyle name="Normal 8 46 2" xfId="19729"/>
    <cellStyle name="Normal 8 46 2 2" xfId="46737"/>
    <cellStyle name="Normal 8 46 3" xfId="33233"/>
    <cellStyle name="Normal 8 47" xfId="5181"/>
    <cellStyle name="Normal 8 47 2" xfId="19821"/>
    <cellStyle name="Normal 8 47 2 2" xfId="46829"/>
    <cellStyle name="Normal 8 47 3" xfId="33325"/>
    <cellStyle name="Normal 8 48" xfId="5287"/>
    <cellStyle name="Normal 8 48 2" xfId="19913"/>
    <cellStyle name="Normal 8 48 2 2" xfId="46921"/>
    <cellStyle name="Normal 8 48 3" xfId="33417"/>
    <cellStyle name="Normal 8 49" xfId="5393"/>
    <cellStyle name="Normal 8 49 2" xfId="20005"/>
    <cellStyle name="Normal 8 49 2 2" xfId="47013"/>
    <cellStyle name="Normal 8 49 3" xfId="33509"/>
    <cellStyle name="Normal 8 5" xfId="729"/>
    <cellStyle name="Normal 8 5 2" xfId="15957"/>
    <cellStyle name="Normal 8 5 2 2" xfId="42965"/>
    <cellStyle name="Normal 8 5 3" xfId="29461"/>
    <cellStyle name="Normal 8 50" xfId="5499"/>
    <cellStyle name="Normal 8 50 2" xfId="20097"/>
    <cellStyle name="Normal 8 50 2 2" xfId="47105"/>
    <cellStyle name="Normal 8 50 3" xfId="33601"/>
    <cellStyle name="Normal 8 51" xfId="5605"/>
    <cellStyle name="Normal 8 51 2" xfId="20189"/>
    <cellStyle name="Normal 8 51 2 2" xfId="47197"/>
    <cellStyle name="Normal 8 51 3" xfId="33693"/>
    <cellStyle name="Normal 8 52" xfId="5711"/>
    <cellStyle name="Normal 8 52 2" xfId="20281"/>
    <cellStyle name="Normal 8 52 2 2" xfId="47289"/>
    <cellStyle name="Normal 8 52 3" xfId="33785"/>
    <cellStyle name="Normal 8 53" xfId="5817"/>
    <cellStyle name="Normal 8 53 2" xfId="20373"/>
    <cellStyle name="Normal 8 53 2 2" xfId="47381"/>
    <cellStyle name="Normal 8 53 3" xfId="33877"/>
    <cellStyle name="Normal 8 54" xfId="5923"/>
    <cellStyle name="Normal 8 54 2" xfId="20465"/>
    <cellStyle name="Normal 8 54 2 2" xfId="47473"/>
    <cellStyle name="Normal 8 54 3" xfId="33969"/>
    <cellStyle name="Normal 8 55" xfId="6029"/>
    <cellStyle name="Normal 8 55 2" xfId="20557"/>
    <cellStyle name="Normal 8 55 2 2" xfId="47565"/>
    <cellStyle name="Normal 8 55 3" xfId="34061"/>
    <cellStyle name="Normal 8 56" xfId="6135"/>
    <cellStyle name="Normal 8 56 2" xfId="20649"/>
    <cellStyle name="Normal 8 56 2 2" xfId="47657"/>
    <cellStyle name="Normal 8 56 3" xfId="34153"/>
    <cellStyle name="Normal 8 57" xfId="6241"/>
    <cellStyle name="Normal 8 57 2" xfId="20741"/>
    <cellStyle name="Normal 8 57 2 2" xfId="47749"/>
    <cellStyle name="Normal 8 57 3" xfId="34245"/>
    <cellStyle name="Normal 8 58" xfId="6347"/>
    <cellStyle name="Normal 8 58 2" xfId="20833"/>
    <cellStyle name="Normal 8 58 2 2" xfId="47841"/>
    <cellStyle name="Normal 8 58 3" xfId="34337"/>
    <cellStyle name="Normal 8 59" xfId="6453"/>
    <cellStyle name="Normal 8 59 2" xfId="20925"/>
    <cellStyle name="Normal 8 59 2 2" xfId="47933"/>
    <cellStyle name="Normal 8 59 3" xfId="34429"/>
    <cellStyle name="Normal 8 6" xfId="835"/>
    <cellStyle name="Normal 8 6 2" xfId="16049"/>
    <cellStyle name="Normal 8 6 2 2" xfId="43057"/>
    <cellStyle name="Normal 8 6 3" xfId="29553"/>
    <cellStyle name="Normal 8 60" xfId="6559"/>
    <cellStyle name="Normal 8 60 2" xfId="21017"/>
    <cellStyle name="Normal 8 60 2 2" xfId="48025"/>
    <cellStyle name="Normal 8 60 3" xfId="34521"/>
    <cellStyle name="Normal 8 61" xfId="6664"/>
    <cellStyle name="Normal 8 61 2" xfId="21108"/>
    <cellStyle name="Normal 8 61 2 2" xfId="48116"/>
    <cellStyle name="Normal 8 61 3" xfId="34612"/>
    <cellStyle name="Normal 8 62" xfId="6769"/>
    <cellStyle name="Normal 8 62 2" xfId="21199"/>
    <cellStyle name="Normal 8 62 2 2" xfId="48207"/>
    <cellStyle name="Normal 8 62 3" xfId="34703"/>
    <cellStyle name="Normal 8 63" xfId="6874"/>
    <cellStyle name="Normal 8 63 2" xfId="21290"/>
    <cellStyle name="Normal 8 63 2 2" xfId="48298"/>
    <cellStyle name="Normal 8 63 3" xfId="34794"/>
    <cellStyle name="Normal 8 64" xfId="6979"/>
    <cellStyle name="Normal 8 64 2" xfId="21381"/>
    <cellStyle name="Normal 8 64 2 2" xfId="48389"/>
    <cellStyle name="Normal 8 64 3" xfId="34885"/>
    <cellStyle name="Normal 8 65" xfId="7083"/>
    <cellStyle name="Normal 8 65 2" xfId="21471"/>
    <cellStyle name="Normal 8 65 2 2" xfId="48479"/>
    <cellStyle name="Normal 8 65 3" xfId="34975"/>
    <cellStyle name="Normal 8 66" xfId="7187"/>
    <cellStyle name="Normal 8 66 2" xfId="21561"/>
    <cellStyle name="Normal 8 66 2 2" xfId="48569"/>
    <cellStyle name="Normal 8 66 3" xfId="35065"/>
    <cellStyle name="Normal 8 67" xfId="7290"/>
    <cellStyle name="Normal 8 67 2" xfId="21650"/>
    <cellStyle name="Normal 8 67 2 2" xfId="48658"/>
    <cellStyle name="Normal 8 67 3" xfId="35154"/>
    <cellStyle name="Normal 8 68" xfId="7390"/>
    <cellStyle name="Normal 8 68 2" xfId="21737"/>
    <cellStyle name="Normal 8 68 2 2" xfId="48745"/>
    <cellStyle name="Normal 8 68 3" xfId="35241"/>
    <cellStyle name="Normal 8 69" xfId="7488"/>
    <cellStyle name="Normal 8 69 2" xfId="21822"/>
    <cellStyle name="Normal 8 69 2 2" xfId="48830"/>
    <cellStyle name="Normal 8 69 3" xfId="35326"/>
    <cellStyle name="Normal 8 7" xfId="941"/>
    <cellStyle name="Normal 8 7 2" xfId="16141"/>
    <cellStyle name="Normal 8 7 2 2" xfId="43149"/>
    <cellStyle name="Normal 8 7 3" xfId="29645"/>
    <cellStyle name="Normal 8 70" xfId="7577"/>
    <cellStyle name="Normal 8 70 2" xfId="21900"/>
    <cellStyle name="Normal 8 70 2 2" xfId="48908"/>
    <cellStyle name="Normal 8 70 3" xfId="35404"/>
    <cellStyle name="Normal 8 71" xfId="7653"/>
    <cellStyle name="Normal 8 71 2" xfId="21969"/>
    <cellStyle name="Normal 8 71 2 2" xfId="48977"/>
    <cellStyle name="Normal 8 71 3" xfId="35473"/>
    <cellStyle name="Normal 8 72" xfId="7832"/>
    <cellStyle name="Normal 8 72 2" xfId="22122"/>
    <cellStyle name="Normal 8 72 2 2" xfId="49130"/>
    <cellStyle name="Normal 8 72 3" xfId="35626"/>
    <cellStyle name="Normal 8 73" xfId="7974"/>
    <cellStyle name="Normal 8 73 2" xfId="22250"/>
    <cellStyle name="Normal 8 73 2 2" xfId="49258"/>
    <cellStyle name="Normal 8 73 3" xfId="35754"/>
    <cellStyle name="Normal 8 74" xfId="8116"/>
    <cellStyle name="Normal 8 74 2" xfId="22378"/>
    <cellStyle name="Normal 8 74 2 2" xfId="49386"/>
    <cellStyle name="Normal 8 74 3" xfId="35882"/>
    <cellStyle name="Normal 8 75" xfId="8258"/>
    <cellStyle name="Normal 8 75 2" xfId="22506"/>
    <cellStyle name="Normal 8 75 2 2" xfId="49514"/>
    <cellStyle name="Normal 8 75 3" xfId="36010"/>
    <cellStyle name="Normal 8 76" xfId="8400"/>
    <cellStyle name="Normal 8 76 2" xfId="22634"/>
    <cellStyle name="Normal 8 76 2 2" xfId="49642"/>
    <cellStyle name="Normal 8 76 3" xfId="36138"/>
    <cellStyle name="Normal 8 77" xfId="8542"/>
    <cellStyle name="Normal 8 77 2" xfId="22762"/>
    <cellStyle name="Normal 8 77 2 2" xfId="49770"/>
    <cellStyle name="Normal 8 77 3" xfId="36266"/>
    <cellStyle name="Normal 8 78" xfId="8684"/>
    <cellStyle name="Normal 8 78 2" xfId="22890"/>
    <cellStyle name="Normal 8 78 2 2" xfId="49898"/>
    <cellStyle name="Normal 8 78 3" xfId="36394"/>
    <cellStyle name="Normal 8 79" xfId="8826"/>
    <cellStyle name="Normal 8 79 2" xfId="23018"/>
    <cellStyle name="Normal 8 79 2 2" xfId="50026"/>
    <cellStyle name="Normal 8 79 3" xfId="36522"/>
    <cellStyle name="Normal 8 8" xfId="1047"/>
    <cellStyle name="Normal 8 8 2" xfId="16233"/>
    <cellStyle name="Normal 8 8 2 2" xfId="43241"/>
    <cellStyle name="Normal 8 8 3" xfId="29737"/>
    <cellStyle name="Normal 8 80" xfId="8968"/>
    <cellStyle name="Normal 8 80 2" xfId="23146"/>
    <cellStyle name="Normal 8 80 2 2" xfId="50154"/>
    <cellStyle name="Normal 8 80 3" xfId="36650"/>
    <cellStyle name="Normal 8 81" xfId="9110"/>
    <cellStyle name="Normal 8 81 2" xfId="23274"/>
    <cellStyle name="Normal 8 81 2 2" xfId="50282"/>
    <cellStyle name="Normal 8 81 3" xfId="36778"/>
    <cellStyle name="Normal 8 82" xfId="9252"/>
    <cellStyle name="Normal 8 82 2" xfId="23402"/>
    <cellStyle name="Normal 8 82 2 2" xfId="50410"/>
    <cellStyle name="Normal 8 82 3" xfId="36906"/>
    <cellStyle name="Normal 8 83" xfId="9394"/>
    <cellStyle name="Normal 8 83 2" xfId="23530"/>
    <cellStyle name="Normal 8 83 2 2" xfId="50538"/>
    <cellStyle name="Normal 8 83 3" xfId="37034"/>
    <cellStyle name="Normal 8 84" xfId="9536"/>
    <cellStyle name="Normal 8 84 2" xfId="23658"/>
    <cellStyle name="Normal 8 84 2 2" xfId="50666"/>
    <cellStyle name="Normal 8 84 3" xfId="37162"/>
    <cellStyle name="Normal 8 85" xfId="9678"/>
    <cellStyle name="Normal 8 85 2" xfId="23786"/>
    <cellStyle name="Normal 8 85 2 2" xfId="50794"/>
    <cellStyle name="Normal 8 85 3" xfId="37290"/>
    <cellStyle name="Normal 8 86" xfId="9820"/>
    <cellStyle name="Normal 8 86 2" xfId="23914"/>
    <cellStyle name="Normal 8 86 2 2" xfId="50922"/>
    <cellStyle name="Normal 8 86 3" xfId="37418"/>
    <cellStyle name="Normal 8 87" xfId="9962"/>
    <cellStyle name="Normal 8 87 2" xfId="24042"/>
    <cellStyle name="Normal 8 87 2 2" xfId="51050"/>
    <cellStyle name="Normal 8 87 3" xfId="37546"/>
    <cellStyle name="Normal 8 88" xfId="10104"/>
    <cellStyle name="Normal 8 88 2" xfId="24170"/>
    <cellStyle name="Normal 8 88 2 2" xfId="51178"/>
    <cellStyle name="Normal 8 88 3" xfId="37674"/>
    <cellStyle name="Normal 8 89" xfId="10246"/>
    <cellStyle name="Normal 8 89 2" xfId="24298"/>
    <cellStyle name="Normal 8 89 2 2" xfId="51306"/>
    <cellStyle name="Normal 8 89 3" xfId="37802"/>
    <cellStyle name="Normal 8 9" xfId="1153"/>
    <cellStyle name="Normal 8 9 2" xfId="16325"/>
    <cellStyle name="Normal 8 9 2 2" xfId="43333"/>
    <cellStyle name="Normal 8 9 3" xfId="29829"/>
    <cellStyle name="Normal 8 90" xfId="10388"/>
    <cellStyle name="Normal 8 90 2" xfId="24426"/>
    <cellStyle name="Normal 8 90 2 2" xfId="51434"/>
    <cellStyle name="Normal 8 90 3" xfId="37930"/>
    <cellStyle name="Normal 8 91" xfId="10530"/>
    <cellStyle name="Normal 8 91 2" xfId="24554"/>
    <cellStyle name="Normal 8 91 2 2" xfId="51562"/>
    <cellStyle name="Normal 8 91 3" xfId="38058"/>
    <cellStyle name="Normal 8 92" xfId="10672"/>
    <cellStyle name="Normal 8 92 2" xfId="24682"/>
    <cellStyle name="Normal 8 92 2 2" xfId="51690"/>
    <cellStyle name="Normal 8 92 3" xfId="38186"/>
    <cellStyle name="Normal 8 93" xfId="10814"/>
    <cellStyle name="Normal 8 93 2" xfId="24810"/>
    <cellStyle name="Normal 8 93 2 2" xfId="51818"/>
    <cellStyle name="Normal 8 93 3" xfId="38314"/>
    <cellStyle name="Normal 8 94" xfId="10956"/>
    <cellStyle name="Normal 8 94 2" xfId="24938"/>
    <cellStyle name="Normal 8 94 2 2" xfId="51946"/>
    <cellStyle name="Normal 8 94 3" xfId="38442"/>
    <cellStyle name="Normal 8 95" xfId="11098"/>
    <cellStyle name="Normal 8 95 2" xfId="25066"/>
    <cellStyle name="Normal 8 95 2 2" xfId="52074"/>
    <cellStyle name="Normal 8 95 3" xfId="38570"/>
    <cellStyle name="Normal 8 96" xfId="11240"/>
    <cellStyle name="Normal 8 96 2" xfId="25194"/>
    <cellStyle name="Normal 8 96 2 2" xfId="52202"/>
    <cellStyle name="Normal 8 96 3" xfId="38698"/>
    <cellStyle name="Normal 8 97" xfId="11382"/>
    <cellStyle name="Normal 8 97 2" xfId="25322"/>
    <cellStyle name="Normal 8 97 2 2" xfId="52330"/>
    <cellStyle name="Normal 8 97 3" xfId="38826"/>
    <cellStyle name="Normal 8 98" xfId="11524"/>
    <cellStyle name="Normal 8 98 2" xfId="25450"/>
    <cellStyle name="Normal 8 98 2 2" xfId="52458"/>
    <cellStyle name="Normal 8 98 3" xfId="38954"/>
    <cellStyle name="Normal 8 99" xfId="11666"/>
    <cellStyle name="Normal 8 99 2" xfId="25578"/>
    <cellStyle name="Normal 8 99 2 2" xfId="52586"/>
    <cellStyle name="Normal 8 99 3" xfId="39082"/>
    <cellStyle name="Normal 80" xfId="4067"/>
    <cellStyle name="Normal 80 2" xfId="18857"/>
    <cellStyle name="Normal 80 2 2" xfId="45865"/>
    <cellStyle name="Normal 80 3" xfId="32361"/>
    <cellStyle name="Normal 81" xfId="4173"/>
    <cellStyle name="Normal 81 2" xfId="18949"/>
    <cellStyle name="Normal 81 2 2" xfId="45957"/>
    <cellStyle name="Normal 81 3" xfId="32453"/>
    <cellStyle name="Normal 82" xfId="4279"/>
    <cellStyle name="Normal 82 2" xfId="19041"/>
    <cellStyle name="Normal 82 2 2" xfId="46049"/>
    <cellStyle name="Normal 82 3" xfId="32545"/>
    <cellStyle name="Normal 83" xfId="4385"/>
    <cellStyle name="Normal 83 2" xfId="19133"/>
    <cellStyle name="Normal 83 2 2" xfId="46141"/>
    <cellStyle name="Normal 83 3" xfId="32637"/>
    <cellStyle name="Normal 84" xfId="4491"/>
    <cellStyle name="Normal 84 2" xfId="19225"/>
    <cellStyle name="Normal 84 2 2" xfId="46233"/>
    <cellStyle name="Normal 84 3" xfId="32729"/>
    <cellStyle name="Normal 85" xfId="4597"/>
    <cellStyle name="Normal 85 2" xfId="19317"/>
    <cellStyle name="Normal 85 2 2" xfId="46325"/>
    <cellStyle name="Normal 85 3" xfId="32821"/>
    <cellStyle name="Normal 86" xfId="4703"/>
    <cellStyle name="Normal 86 2" xfId="19409"/>
    <cellStyle name="Normal 86 2 2" xfId="46417"/>
    <cellStyle name="Normal 86 3" xfId="32913"/>
    <cellStyle name="Normal 87" xfId="4809"/>
    <cellStyle name="Normal 87 2" xfId="19501"/>
    <cellStyle name="Normal 87 2 2" xfId="46509"/>
    <cellStyle name="Normal 87 3" xfId="33005"/>
    <cellStyle name="Normal 88" xfId="4915"/>
    <cellStyle name="Normal 88 2" xfId="19593"/>
    <cellStyle name="Normal 88 2 2" xfId="46601"/>
    <cellStyle name="Normal 88 3" xfId="33097"/>
    <cellStyle name="Normal 89" xfId="5021"/>
    <cellStyle name="Normal 89 2" xfId="19685"/>
    <cellStyle name="Normal 89 2 2" xfId="46693"/>
    <cellStyle name="Normal 89 3" xfId="33189"/>
    <cellStyle name="Normal 9" xfId="92"/>
    <cellStyle name="Normal 9 10" xfId="471"/>
    <cellStyle name="Normal 9 10 2" xfId="15731"/>
    <cellStyle name="Normal 9 10 2 2" xfId="42739"/>
    <cellStyle name="Normal 9 10 3" xfId="29235"/>
    <cellStyle name="Normal 9 100" xfId="10729"/>
    <cellStyle name="Normal 9 100 2" xfId="24733"/>
    <cellStyle name="Normal 9 100 2 2" xfId="51741"/>
    <cellStyle name="Normal 9 100 3" xfId="38237"/>
    <cellStyle name="Normal 9 101" xfId="10871"/>
    <cellStyle name="Normal 9 101 2" xfId="24861"/>
    <cellStyle name="Normal 9 101 2 2" xfId="51869"/>
    <cellStyle name="Normal 9 101 3" xfId="38365"/>
    <cellStyle name="Normal 9 102" xfId="11013"/>
    <cellStyle name="Normal 9 102 2" xfId="24989"/>
    <cellStyle name="Normal 9 102 2 2" xfId="51997"/>
    <cellStyle name="Normal 9 102 3" xfId="38493"/>
    <cellStyle name="Normal 9 103" xfId="11155"/>
    <cellStyle name="Normal 9 103 2" xfId="25117"/>
    <cellStyle name="Normal 9 103 2 2" xfId="52125"/>
    <cellStyle name="Normal 9 103 3" xfId="38621"/>
    <cellStyle name="Normal 9 104" xfId="11297"/>
    <cellStyle name="Normal 9 104 2" xfId="25245"/>
    <cellStyle name="Normal 9 104 2 2" xfId="52253"/>
    <cellStyle name="Normal 9 104 3" xfId="38749"/>
    <cellStyle name="Normal 9 105" xfId="11439"/>
    <cellStyle name="Normal 9 105 2" xfId="25373"/>
    <cellStyle name="Normal 9 105 2 2" xfId="52381"/>
    <cellStyle name="Normal 9 105 3" xfId="38877"/>
    <cellStyle name="Normal 9 106" xfId="11581"/>
    <cellStyle name="Normal 9 106 2" xfId="25501"/>
    <cellStyle name="Normal 9 106 2 2" xfId="52509"/>
    <cellStyle name="Normal 9 106 3" xfId="39005"/>
    <cellStyle name="Normal 9 107" xfId="11723"/>
    <cellStyle name="Normal 9 107 2" xfId="25629"/>
    <cellStyle name="Normal 9 107 2 2" xfId="52637"/>
    <cellStyle name="Normal 9 107 3" xfId="39133"/>
    <cellStyle name="Normal 9 108" xfId="11865"/>
    <cellStyle name="Normal 9 108 2" xfId="25757"/>
    <cellStyle name="Normal 9 108 2 2" xfId="52765"/>
    <cellStyle name="Normal 9 108 3" xfId="39261"/>
    <cellStyle name="Normal 9 109" xfId="12007"/>
    <cellStyle name="Normal 9 109 2" xfId="25885"/>
    <cellStyle name="Normal 9 109 2 2" xfId="52893"/>
    <cellStyle name="Normal 9 109 3" xfId="39389"/>
    <cellStyle name="Normal 9 11" xfId="574"/>
    <cellStyle name="Normal 9 11 2" xfId="15824"/>
    <cellStyle name="Normal 9 11 2 2" xfId="42832"/>
    <cellStyle name="Normal 9 11 3" xfId="29328"/>
    <cellStyle name="Normal 9 110" xfId="12149"/>
    <cellStyle name="Normal 9 110 2" xfId="26013"/>
    <cellStyle name="Normal 9 110 2 2" xfId="53021"/>
    <cellStyle name="Normal 9 110 3" xfId="39517"/>
    <cellStyle name="Normal 9 111" xfId="12291"/>
    <cellStyle name="Normal 9 111 2" xfId="26141"/>
    <cellStyle name="Normal 9 111 2 2" xfId="53149"/>
    <cellStyle name="Normal 9 111 3" xfId="39645"/>
    <cellStyle name="Normal 9 112" xfId="12433"/>
    <cellStyle name="Normal 9 112 2" xfId="26269"/>
    <cellStyle name="Normal 9 112 2 2" xfId="53277"/>
    <cellStyle name="Normal 9 112 3" xfId="39773"/>
    <cellStyle name="Normal 9 113" xfId="12575"/>
    <cellStyle name="Normal 9 113 2" xfId="26397"/>
    <cellStyle name="Normal 9 113 2 2" xfId="53405"/>
    <cellStyle name="Normal 9 113 3" xfId="39901"/>
    <cellStyle name="Normal 9 114" xfId="12717"/>
    <cellStyle name="Normal 9 114 2" xfId="26525"/>
    <cellStyle name="Normal 9 114 2 2" xfId="53533"/>
    <cellStyle name="Normal 9 114 3" xfId="40029"/>
    <cellStyle name="Normal 9 115" xfId="12859"/>
    <cellStyle name="Normal 9 115 2" xfId="26653"/>
    <cellStyle name="Normal 9 115 2 2" xfId="53661"/>
    <cellStyle name="Normal 9 115 3" xfId="40157"/>
    <cellStyle name="Normal 9 116" xfId="13001"/>
    <cellStyle name="Normal 9 116 2" xfId="26781"/>
    <cellStyle name="Normal 9 116 2 2" xfId="53789"/>
    <cellStyle name="Normal 9 116 3" xfId="40285"/>
    <cellStyle name="Normal 9 117" xfId="13143"/>
    <cellStyle name="Normal 9 117 2" xfId="26909"/>
    <cellStyle name="Normal 9 117 2 2" xfId="53917"/>
    <cellStyle name="Normal 9 117 3" xfId="40413"/>
    <cellStyle name="Normal 9 118" xfId="13285"/>
    <cellStyle name="Normal 9 118 2" xfId="27037"/>
    <cellStyle name="Normal 9 118 2 2" xfId="54045"/>
    <cellStyle name="Normal 9 118 3" xfId="40541"/>
    <cellStyle name="Normal 9 119" xfId="13427"/>
    <cellStyle name="Normal 9 119 2" xfId="27165"/>
    <cellStyle name="Normal 9 119 2 2" xfId="54173"/>
    <cellStyle name="Normal 9 119 3" xfId="40669"/>
    <cellStyle name="Normal 9 12" xfId="680"/>
    <cellStyle name="Normal 9 12 2" xfId="15916"/>
    <cellStyle name="Normal 9 12 2 2" xfId="42924"/>
    <cellStyle name="Normal 9 12 3" xfId="29420"/>
    <cellStyle name="Normal 9 120" xfId="13569"/>
    <cellStyle name="Normal 9 120 2" xfId="27293"/>
    <cellStyle name="Normal 9 120 2 2" xfId="54301"/>
    <cellStyle name="Normal 9 120 3" xfId="40797"/>
    <cellStyle name="Normal 9 121" xfId="13711"/>
    <cellStyle name="Normal 9 121 2" xfId="27421"/>
    <cellStyle name="Normal 9 121 2 2" xfId="54429"/>
    <cellStyle name="Normal 9 121 3" xfId="40925"/>
    <cellStyle name="Normal 9 122" xfId="13852"/>
    <cellStyle name="Normal 9 122 2" xfId="27548"/>
    <cellStyle name="Normal 9 122 2 2" xfId="54556"/>
    <cellStyle name="Normal 9 122 3" xfId="41052"/>
    <cellStyle name="Normal 9 123" xfId="13993"/>
    <cellStyle name="Normal 9 123 2" xfId="27675"/>
    <cellStyle name="Normal 9 123 2 2" xfId="54683"/>
    <cellStyle name="Normal 9 123 3" xfId="41179"/>
    <cellStyle name="Normal 9 124" xfId="14134"/>
    <cellStyle name="Normal 9 124 2" xfId="27802"/>
    <cellStyle name="Normal 9 124 2 2" xfId="54810"/>
    <cellStyle name="Normal 9 124 3" xfId="41306"/>
    <cellStyle name="Normal 9 125" xfId="14275"/>
    <cellStyle name="Normal 9 125 2" xfId="27929"/>
    <cellStyle name="Normal 9 125 2 2" xfId="54937"/>
    <cellStyle name="Normal 9 125 3" xfId="41433"/>
    <cellStyle name="Normal 9 126" xfId="14416"/>
    <cellStyle name="Normal 9 126 2" xfId="28056"/>
    <cellStyle name="Normal 9 126 2 2" xfId="55064"/>
    <cellStyle name="Normal 9 126 3" xfId="41560"/>
    <cellStyle name="Normal 9 127" xfId="14556"/>
    <cellStyle name="Normal 9 127 2" xfId="28182"/>
    <cellStyle name="Normal 9 127 2 2" xfId="55190"/>
    <cellStyle name="Normal 9 127 3" xfId="41686"/>
    <cellStyle name="Normal 9 128" xfId="15462"/>
    <cellStyle name="Normal 9 128 2" xfId="42470"/>
    <cellStyle name="Normal 9 129" xfId="28966"/>
    <cellStyle name="Normal 9 13" xfId="786"/>
    <cellStyle name="Normal 9 13 2" xfId="16008"/>
    <cellStyle name="Normal 9 13 2 2" xfId="43016"/>
    <cellStyle name="Normal 9 13 3" xfId="29512"/>
    <cellStyle name="Normal 9 14" xfId="892"/>
    <cellStyle name="Normal 9 14 2" xfId="16100"/>
    <cellStyle name="Normal 9 14 2 2" xfId="43108"/>
    <cellStyle name="Normal 9 14 3" xfId="29604"/>
    <cellStyle name="Normal 9 15" xfId="998"/>
    <cellStyle name="Normal 9 15 2" xfId="16192"/>
    <cellStyle name="Normal 9 15 2 2" xfId="43200"/>
    <cellStyle name="Normal 9 15 3" xfId="29696"/>
    <cellStyle name="Normal 9 16" xfId="1104"/>
    <cellStyle name="Normal 9 16 2" xfId="16284"/>
    <cellStyle name="Normal 9 16 2 2" xfId="43292"/>
    <cellStyle name="Normal 9 16 3" xfId="29788"/>
    <cellStyle name="Normal 9 17" xfId="1210"/>
    <cellStyle name="Normal 9 17 2" xfId="16376"/>
    <cellStyle name="Normal 9 17 2 2" xfId="43384"/>
    <cellStyle name="Normal 9 17 3" xfId="29880"/>
    <cellStyle name="Normal 9 18" xfId="1316"/>
    <cellStyle name="Normal 9 18 2" xfId="16468"/>
    <cellStyle name="Normal 9 18 2 2" xfId="43476"/>
    <cellStyle name="Normal 9 18 3" xfId="29972"/>
    <cellStyle name="Normal 9 19" xfId="1422"/>
    <cellStyle name="Normal 9 19 2" xfId="16560"/>
    <cellStyle name="Normal 9 19 2 2" xfId="43568"/>
    <cellStyle name="Normal 9 19 3" xfId="30064"/>
    <cellStyle name="Normal 9 2" xfId="139"/>
    <cellStyle name="Normal 9 2 10" xfId="899"/>
    <cellStyle name="Normal 9 2 10 2" xfId="16104"/>
    <cellStyle name="Normal 9 2 10 2 2" xfId="43112"/>
    <cellStyle name="Normal 9 2 10 3" xfId="29608"/>
    <cellStyle name="Normal 9 2 100" xfId="11793"/>
    <cellStyle name="Normal 9 2 100 2" xfId="25691"/>
    <cellStyle name="Normal 9 2 100 2 2" xfId="52699"/>
    <cellStyle name="Normal 9 2 100 3" xfId="39195"/>
    <cellStyle name="Normal 9 2 101" xfId="11935"/>
    <cellStyle name="Normal 9 2 101 2" xfId="25819"/>
    <cellStyle name="Normal 9 2 101 2 2" xfId="52827"/>
    <cellStyle name="Normal 9 2 101 3" xfId="39323"/>
    <cellStyle name="Normal 9 2 102" xfId="12077"/>
    <cellStyle name="Normal 9 2 102 2" xfId="25947"/>
    <cellStyle name="Normal 9 2 102 2 2" xfId="52955"/>
    <cellStyle name="Normal 9 2 102 3" xfId="39451"/>
    <cellStyle name="Normal 9 2 103" xfId="12219"/>
    <cellStyle name="Normal 9 2 103 2" xfId="26075"/>
    <cellStyle name="Normal 9 2 103 2 2" xfId="53083"/>
    <cellStyle name="Normal 9 2 103 3" xfId="39579"/>
    <cellStyle name="Normal 9 2 104" xfId="12361"/>
    <cellStyle name="Normal 9 2 104 2" xfId="26203"/>
    <cellStyle name="Normal 9 2 104 2 2" xfId="53211"/>
    <cellStyle name="Normal 9 2 104 3" xfId="39707"/>
    <cellStyle name="Normal 9 2 105" xfId="12503"/>
    <cellStyle name="Normal 9 2 105 2" xfId="26331"/>
    <cellStyle name="Normal 9 2 105 2 2" xfId="53339"/>
    <cellStyle name="Normal 9 2 105 3" xfId="39835"/>
    <cellStyle name="Normal 9 2 106" xfId="12645"/>
    <cellStyle name="Normal 9 2 106 2" xfId="26459"/>
    <cellStyle name="Normal 9 2 106 2 2" xfId="53467"/>
    <cellStyle name="Normal 9 2 106 3" xfId="39963"/>
    <cellStyle name="Normal 9 2 107" xfId="12787"/>
    <cellStyle name="Normal 9 2 107 2" xfId="26587"/>
    <cellStyle name="Normal 9 2 107 2 2" xfId="53595"/>
    <cellStyle name="Normal 9 2 107 3" xfId="40091"/>
    <cellStyle name="Normal 9 2 108" xfId="12929"/>
    <cellStyle name="Normal 9 2 108 2" xfId="26715"/>
    <cellStyle name="Normal 9 2 108 2 2" xfId="53723"/>
    <cellStyle name="Normal 9 2 108 3" xfId="40219"/>
    <cellStyle name="Normal 9 2 109" xfId="13071"/>
    <cellStyle name="Normal 9 2 109 2" xfId="26843"/>
    <cellStyle name="Normal 9 2 109 2 2" xfId="53851"/>
    <cellStyle name="Normal 9 2 109 3" xfId="40347"/>
    <cellStyle name="Normal 9 2 11" xfId="1005"/>
    <cellStyle name="Normal 9 2 11 2" xfId="16196"/>
    <cellStyle name="Normal 9 2 11 2 2" xfId="43204"/>
    <cellStyle name="Normal 9 2 11 3" xfId="29700"/>
    <cellStyle name="Normal 9 2 110" xfId="13213"/>
    <cellStyle name="Normal 9 2 110 2" xfId="26971"/>
    <cellStyle name="Normal 9 2 110 2 2" xfId="53979"/>
    <cellStyle name="Normal 9 2 110 3" xfId="40475"/>
    <cellStyle name="Normal 9 2 111" xfId="13355"/>
    <cellStyle name="Normal 9 2 111 2" xfId="27099"/>
    <cellStyle name="Normal 9 2 111 2 2" xfId="54107"/>
    <cellStyle name="Normal 9 2 111 3" xfId="40603"/>
    <cellStyle name="Normal 9 2 112" xfId="13497"/>
    <cellStyle name="Normal 9 2 112 2" xfId="27227"/>
    <cellStyle name="Normal 9 2 112 2 2" xfId="54235"/>
    <cellStyle name="Normal 9 2 112 3" xfId="40731"/>
    <cellStyle name="Normal 9 2 113" xfId="13639"/>
    <cellStyle name="Normal 9 2 113 2" xfId="27355"/>
    <cellStyle name="Normal 9 2 113 2 2" xfId="54363"/>
    <cellStyle name="Normal 9 2 113 3" xfId="40859"/>
    <cellStyle name="Normal 9 2 114" xfId="13781"/>
    <cellStyle name="Normal 9 2 114 2" xfId="27483"/>
    <cellStyle name="Normal 9 2 114 2 2" xfId="54491"/>
    <cellStyle name="Normal 9 2 114 3" xfId="40987"/>
    <cellStyle name="Normal 9 2 115" xfId="13922"/>
    <cellStyle name="Normal 9 2 115 2" xfId="27610"/>
    <cellStyle name="Normal 9 2 115 2 2" xfId="54618"/>
    <cellStyle name="Normal 9 2 115 3" xfId="41114"/>
    <cellStyle name="Normal 9 2 116" xfId="14063"/>
    <cellStyle name="Normal 9 2 116 2" xfId="27737"/>
    <cellStyle name="Normal 9 2 116 2 2" xfId="54745"/>
    <cellStyle name="Normal 9 2 116 3" xfId="41241"/>
    <cellStyle name="Normal 9 2 117" xfId="14204"/>
    <cellStyle name="Normal 9 2 117 2" xfId="27864"/>
    <cellStyle name="Normal 9 2 117 2 2" xfId="54872"/>
    <cellStyle name="Normal 9 2 117 3" xfId="41368"/>
    <cellStyle name="Normal 9 2 118" xfId="14345"/>
    <cellStyle name="Normal 9 2 118 2" xfId="27991"/>
    <cellStyle name="Normal 9 2 118 2 2" xfId="54999"/>
    <cellStyle name="Normal 9 2 118 3" xfId="41495"/>
    <cellStyle name="Normal 9 2 119" xfId="14485"/>
    <cellStyle name="Normal 9 2 119 2" xfId="28117"/>
    <cellStyle name="Normal 9 2 119 2 2" xfId="55125"/>
    <cellStyle name="Normal 9 2 119 3" xfId="41621"/>
    <cellStyle name="Normal 9 2 12" xfId="1111"/>
    <cellStyle name="Normal 9 2 12 2" xfId="16288"/>
    <cellStyle name="Normal 9 2 12 2 2" xfId="43296"/>
    <cellStyle name="Normal 9 2 12 3" xfId="29792"/>
    <cellStyle name="Normal 9 2 120" xfId="14625"/>
    <cellStyle name="Normal 9 2 120 2" xfId="28243"/>
    <cellStyle name="Normal 9 2 120 2 2" xfId="55251"/>
    <cellStyle name="Normal 9 2 120 3" xfId="41747"/>
    <cellStyle name="Normal 9 2 121" xfId="14764"/>
    <cellStyle name="Normal 9 2 121 2" xfId="28368"/>
    <cellStyle name="Normal 9 2 121 2 2" xfId="55376"/>
    <cellStyle name="Normal 9 2 121 3" xfId="41872"/>
    <cellStyle name="Normal 9 2 122" xfId="14899"/>
    <cellStyle name="Normal 9 2 122 2" xfId="28490"/>
    <cellStyle name="Normal 9 2 122 2 2" xfId="55498"/>
    <cellStyle name="Normal 9 2 122 3" xfId="41994"/>
    <cellStyle name="Normal 9 2 123" xfId="15033"/>
    <cellStyle name="Normal 9 2 123 2" xfId="28611"/>
    <cellStyle name="Normal 9 2 123 2 2" xfId="55619"/>
    <cellStyle name="Normal 9 2 123 3" xfId="42115"/>
    <cellStyle name="Normal 9 2 124" xfId="15160"/>
    <cellStyle name="Normal 9 2 124 2" xfId="28727"/>
    <cellStyle name="Normal 9 2 124 2 2" xfId="55735"/>
    <cellStyle name="Normal 9 2 124 3" xfId="42231"/>
    <cellStyle name="Normal 9 2 125" xfId="15280"/>
    <cellStyle name="Normal 9 2 125 2" xfId="28840"/>
    <cellStyle name="Normal 9 2 125 2 2" xfId="55848"/>
    <cellStyle name="Normal 9 2 125 3" xfId="42344"/>
    <cellStyle name="Normal 9 2 126" xfId="15495"/>
    <cellStyle name="Normal 9 2 126 2" xfId="42503"/>
    <cellStyle name="Normal 9 2 127" xfId="28999"/>
    <cellStyle name="Normal 9 2 13" xfId="1217"/>
    <cellStyle name="Normal 9 2 13 2" xfId="16380"/>
    <cellStyle name="Normal 9 2 13 2 2" xfId="43388"/>
    <cellStyle name="Normal 9 2 13 3" xfId="29884"/>
    <cellStyle name="Normal 9 2 14" xfId="1323"/>
    <cellStyle name="Normal 9 2 14 2" xfId="16472"/>
    <cellStyle name="Normal 9 2 14 2 2" xfId="43480"/>
    <cellStyle name="Normal 9 2 14 3" xfId="29976"/>
    <cellStyle name="Normal 9 2 15" xfId="1429"/>
    <cellStyle name="Normal 9 2 15 2" xfId="16564"/>
    <cellStyle name="Normal 9 2 15 2 2" xfId="43572"/>
    <cellStyle name="Normal 9 2 15 3" xfId="30068"/>
    <cellStyle name="Normal 9 2 16" xfId="1535"/>
    <cellStyle name="Normal 9 2 16 2" xfId="16656"/>
    <cellStyle name="Normal 9 2 16 2 2" xfId="43664"/>
    <cellStyle name="Normal 9 2 16 3" xfId="30160"/>
    <cellStyle name="Normal 9 2 17" xfId="1641"/>
    <cellStyle name="Normal 9 2 17 2" xfId="16748"/>
    <cellStyle name="Normal 9 2 17 2 2" xfId="43756"/>
    <cellStyle name="Normal 9 2 17 3" xfId="30252"/>
    <cellStyle name="Normal 9 2 18" xfId="1747"/>
    <cellStyle name="Normal 9 2 18 2" xfId="16840"/>
    <cellStyle name="Normal 9 2 18 2 2" xfId="43848"/>
    <cellStyle name="Normal 9 2 18 3" xfId="30344"/>
    <cellStyle name="Normal 9 2 19" xfId="1853"/>
    <cellStyle name="Normal 9 2 19 2" xfId="16932"/>
    <cellStyle name="Normal 9 2 19 2 2" xfId="43940"/>
    <cellStyle name="Normal 9 2 19 3" xfId="30436"/>
    <cellStyle name="Normal 9 2 2" xfId="316"/>
    <cellStyle name="Normal 9 2 2 2" xfId="15618"/>
    <cellStyle name="Normal 9 2 2 2 2" xfId="42626"/>
    <cellStyle name="Normal 9 2 2 3" xfId="29122"/>
    <cellStyle name="Normal 9 2 20" xfId="1959"/>
    <cellStyle name="Normal 9 2 20 2" xfId="17024"/>
    <cellStyle name="Normal 9 2 20 2 2" xfId="44032"/>
    <cellStyle name="Normal 9 2 20 3" xfId="30528"/>
    <cellStyle name="Normal 9 2 21" xfId="2065"/>
    <cellStyle name="Normal 9 2 21 2" xfId="17116"/>
    <cellStyle name="Normal 9 2 21 2 2" xfId="44124"/>
    <cellStyle name="Normal 9 2 21 3" xfId="30620"/>
    <cellStyle name="Normal 9 2 22" xfId="2171"/>
    <cellStyle name="Normal 9 2 22 2" xfId="17208"/>
    <cellStyle name="Normal 9 2 22 2 2" xfId="44216"/>
    <cellStyle name="Normal 9 2 22 3" xfId="30712"/>
    <cellStyle name="Normal 9 2 23" xfId="2277"/>
    <cellStyle name="Normal 9 2 23 2" xfId="17300"/>
    <cellStyle name="Normal 9 2 23 2 2" xfId="44308"/>
    <cellStyle name="Normal 9 2 23 3" xfId="30804"/>
    <cellStyle name="Normal 9 2 24" xfId="2383"/>
    <cellStyle name="Normal 9 2 24 2" xfId="17392"/>
    <cellStyle name="Normal 9 2 24 2 2" xfId="44400"/>
    <cellStyle name="Normal 9 2 24 3" xfId="30896"/>
    <cellStyle name="Normal 9 2 25" xfId="2489"/>
    <cellStyle name="Normal 9 2 25 2" xfId="17484"/>
    <cellStyle name="Normal 9 2 25 2 2" xfId="44492"/>
    <cellStyle name="Normal 9 2 25 3" xfId="30988"/>
    <cellStyle name="Normal 9 2 26" xfId="2595"/>
    <cellStyle name="Normal 9 2 26 2" xfId="17576"/>
    <cellStyle name="Normal 9 2 26 2 2" xfId="44584"/>
    <cellStyle name="Normal 9 2 26 3" xfId="31080"/>
    <cellStyle name="Normal 9 2 27" xfId="2701"/>
    <cellStyle name="Normal 9 2 27 2" xfId="17668"/>
    <cellStyle name="Normal 9 2 27 2 2" xfId="44676"/>
    <cellStyle name="Normal 9 2 27 3" xfId="31172"/>
    <cellStyle name="Normal 9 2 28" xfId="2807"/>
    <cellStyle name="Normal 9 2 28 2" xfId="17760"/>
    <cellStyle name="Normal 9 2 28 2 2" xfId="44768"/>
    <cellStyle name="Normal 9 2 28 3" xfId="31264"/>
    <cellStyle name="Normal 9 2 29" xfId="2913"/>
    <cellStyle name="Normal 9 2 29 2" xfId="17852"/>
    <cellStyle name="Normal 9 2 29 2 2" xfId="44860"/>
    <cellStyle name="Normal 9 2 29 3" xfId="31356"/>
    <cellStyle name="Normal 9 2 3" xfId="503"/>
    <cellStyle name="Normal 9 2 3 2" xfId="15759"/>
    <cellStyle name="Normal 9 2 3 2 2" xfId="42767"/>
    <cellStyle name="Normal 9 2 3 3" xfId="29263"/>
    <cellStyle name="Normal 9 2 30" xfId="3019"/>
    <cellStyle name="Normal 9 2 30 2" xfId="17944"/>
    <cellStyle name="Normal 9 2 30 2 2" xfId="44952"/>
    <cellStyle name="Normal 9 2 30 3" xfId="31448"/>
    <cellStyle name="Normal 9 2 31" xfId="3125"/>
    <cellStyle name="Normal 9 2 31 2" xfId="18036"/>
    <cellStyle name="Normal 9 2 31 2 2" xfId="45044"/>
    <cellStyle name="Normal 9 2 31 3" xfId="31540"/>
    <cellStyle name="Normal 9 2 32" xfId="3231"/>
    <cellStyle name="Normal 9 2 32 2" xfId="18128"/>
    <cellStyle name="Normal 9 2 32 2 2" xfId="45136"/>
    <cellStyle name="Normal 9 2 32 3" xfId="31632"/>
    <cellStyle name="Normal 9 2 33" xfId="3337"/>
    <cellStyle name="Normal 9 2 33 2" xfId="18220"/>
    <cellStyle name="Normal 9 2 33 2 2" xfId="45228"/>
    <cellStyle name="Normal 9 2 33 3" xfId="31724"/>
    <cellStyle name="Normal 9 2 34" xfId="3443"/>
    <cellStyle name="Normal 9 2 34 2" xfId="18312"/>
    <cellStyle name="Normal 9 2 34 2 2" xfId="45320"/>
    <cellStyle name="Normal 9 2 34 3" xfId="31816"/>
    <cellStyle name="Normal 9 2 35" xfId="3549"/>
    <cellStyle name="Normal 9 2 35 2" xfId="18404"/>
    <cellStyle name="Normal 9 2 35 2 2" xfId="45412"/>
    <cellStyle name="Normal 9 2 35 3" xfId="31908"/>
    <cellStyle name="Normal 9 2 36" xfId="3655"/>
    <cellStyle name="Normal 9 2 36 2" xfId="18496"/>
    <cellStyle name="Normal 9 2 36 2 2" xfId="45504"/>
    <cellStyle name="Normal 9 2 36 3" xfId="32000"/>
    <cellStyle name="Normal 9 2 37" xfId="3761"/>
    <cellStyle name="Normal 9 2 37 2" xfId="18588"/>
    <cellStyle name="Normal 9 2 37 2 2" xfId="45596"/>
    <cellStyle name="Normal 9 2 37 3" xfId="32092"/>
    <cellStyle name="Normal 9 2 38" xfId="3867"/>
    <cellStyle name="Normal 9 2 38 2" xfId="18680"/>
    <cellStyle name="Normal 9 2 38 2 2" xfId="45688"/>
    <cellStyle name="Normal 9 2 38 3" xfId="32184"/>
    <cellStyle name="Normal 9 2 39" xfId="3973"/>
    <cellStyle name="Normal 9 2 39 2" xfId="18772"/>
    <cellStyle name="Normal 9 2 39 2 2" xfId="45780"/>
    <cellStyle name="Normal 9 2 39 3" xfId="32276"/>
    <cellStyle name="Normal 9 2 4" xfId="479"/>
    <cellStyle name="Normal 9 2 4 2" xfId="15735"/>
    <cellStyle name="Normal 9 2 4 2 2" xfId="42743"/>
    <cellStyle name="Normal 9 2 4 3" xfId="29239"/>
    <cellStyle name="Normal 9 2 40" xfId="4079"/>
    <cellStyle name="Normal 9 2 40 2" xfId="18864"/>
    <cellStyle name="Normal 9 2 40 2 2" xfId="45872"/>
    <cellStyle name="Normal 9 2 40 3" xfId="32368"/>
    <cellStyle name="Normal 9 2 41" xfId="4185"/>
    <cellStyle name="Normal 9 2 41 2" xfId="18956"/>
    <cellStyle name="Normal 9 2 41 2 2" xfId="45964"/>
    <cellStyle name="Normal 9 2 41 3" xfId="32460"/>
    <cellStyle name="Normal 9 2 42" xfId="4291"/>
    <cellStyle name="Normal 9 2 42 2" xfId="19048"/>
    <cellStyle name="Normal 9 2 42 2 2" xfId="46056"/>
    <cellStyle name="Normal 9 2 42 3" xfId="32552"/>
    <cellStyle name="Normal 9 2 43" xfId="4397"/>
    <cellStyle name="Normal 9 2 43 2" xfId="19140"/>
    <cellStyle name="Normal 9 2 43 2 2" xfId="46148"/>
    <cellStyle name="Normal 9 2 43 3" xfId="32644"/>
    <cellStyle name="Normal 9 2 44" xfId="4503"/>
    <cellStyle name="Normal 9 2 44 2" xfId="19232"/>
    <cellStyle name="Normal 9 2 44 2 2" xfId="46240"/>
    <cellStyle name="Normal 9 2 44 3" xfId="32736"/>
    <cellStyle name="Normal 9 2 45" xfId="4609"/>
    <cellStyle name="Normal 9 2 45 2" xfId="19324"/>
    <cellStyle name="Normal 9 2 45 2 2" xfId="46332"/>
    <cellStyle name="Normal 9 2 45 3" xfId="32828"/>
    <cellStyle name="Normal 9 2 46" xfId="4715"/>
    <cellStyle name="Normal 9 2 46 2" xfId="19416"/>
    <cellStyle name="Normal 9 2 46 2 2" xfId="46424"/>
    <cellStyle name="Normal 9 2 46 3" xfId="32920"/>
    <cellStyle name="Normal 9 2 47" xfId="4821"/>
    <cellStyle name="Normal 9 2 47 2" xfId="19508"/>
    <cellStyle name="Normal 9 2 47 2 2" xfId="46516"/>
    <cellStyle name="Normal 9 2 47 3" xfId="33012"/>
    <cellStyle name="Normal 9 2 48" xfId="4927"/>
    <cellStyle name="Normal 9 2 48 2" xfId="19600"/>
    <cellStyle name="Normal 9 2 48 2 2" xfId="46608"/>
    <cellStyle name="Normal 9 2 48 3" xfId="33104"/>
    <cellStyle name="Normal 9 2 49" xfId="5033"/>
    <cellStyle name="Normal 9 2 49 2" xfId="19692"/>
    <cellStyle name="Normal 9 2 49 2 2" xfId="46700"/>
    <cellStyle name="Normal 9 2 49 3" xfId="33196"/>
    <cellStyle name="Normal 9 2 5" xfId="486"/>
    <cellStyle name="Normal 9 2 5 2" xfId="15742"/>
    <cellStyle name="Normal 9 2 5 2 2" xfId="42750"/>
    <cellStyle name="Normal 9 2 5 3" xfId="29246"/>
    <cellStyle name="Normal 9 2 50" xfId="5139"/>
    <cellStyle name="Normal 9 2 50 2" xfId="19784"/>
    <cellStyle name="Normal 9 2 50 2 2" xfId="46792"/>
    <cellStyle name="Normal 9 2 50 3" xfId="33288"/>
    <cellStyle name="Normal 9 2 51" xfId="5245"/>
    <cellStyle name="Normal 9 2 51 2" xfId="19876"/>
    <cellStyle name="Normal 9 2 51 2 2" xfId="46884"/>
    <cellStyle name="Normal 9 2 51 3" xfId="33380"/>
    <cellStyle name="Normal 9 2 52" xfId="5351"/>
    <cellStyle name="Normal 9 2 52 2" xfId="19968"/>
    <cellStyle name="Normal 9 2 52 2 2" xfId="46976"/>
    <cellStyle name="Normal 9 2 52 3" xfId="33472"/>
    <cellStyle name="Normal 9 2 53" xfId="5457"/>
    <cellStyle name="Normal 9 2 53 2" xfId="20060"/>
    <cellStyle name="Normal 9 2 53 2 2" xfId="47068"/>
    <cellStyle name="Normal 9 2 53 3" xfId="33564"/>
    <cellStyle name="Normal 9 2 54" xfId="5563"/>
    <cellStyle name="Normal 9 2 54 2" xfId="20152"/>
    <cellStyle name="Normal 9 2 54 2 2" xfId="47160"/>
    <cellStyle name="Normal 9 2 54 3" xfId="33656"/>
    <cellStyle name="Normal 9 2 55" xfId="5669"/>
    <cellStyle name="Normal 9 2 55 2" xfId="20244"/>
    <cellStyle name="Normal 9 2 55 2 2" xfId="47252"/>
    <cellStyle name="Normal 9 2 55 3" xfId="33748"/>
    <cellStyle name="Normal 9 2 56" xfId="5775"/>
    <cellStyle name="Normal 9 2 56 2" xfId="20336"/>
    <cellStyle name="Normal 9 2 56 2 2" xfId="47344"/>
    <cellStyle name="Normal 9 2 56 3" xfId="33840"/>
    <cellStyle name="Normal 9 2 57" xfId="5881"/>
    <cellStyle name="Normal 9 2 57 2" xfId="20428"/>
    <cellStyle name="Normal 9 2 57 2 2" xfId="47436"/>
    <cellStyle name="Normal 9 2 57 3" xfId="33932"/>
    <cellStyle name="Normal 9 2 58" xfId="5987"/>
    <cellStyle name="Normal 9 2 58 2" xfId="20520"/>
    <cellStyle name="Normal 9 2 58 2 2" xfId="47528"/>
    <cellStyle name="Normal 9 2 58 3" xfId="34024"/>
    <cellStyle name="Normal 9 2 59" xfId="6093"/>
    <cellStyle name="Normal 9 2 59 2" xfId="20612"/>
    <cellStyle name="Normal 9 2 59 2 2" xfId="47620"/>
    <cellStyle name="Normal 9 2 59 3" xfId="34116"/>
    <cellStyle name="Normal 9 2 6" xfId="480"/>
    <cellStyle name="Normal 9 2 6 2" xfId="15736"/>
    <cellStyle name="Normal 9 2 6 2 2" xfId="42744"/>
    <cellStyle name="Normal 9 2 6 3" xfId="29240"/>
    <cellStyle name="Normal 9 2 60" xfId="6199"/>
    <cellStyle name="Normal 9 2 60 2" xfId="20704"/>
    <cellStyle name="Normal 9 2 60 2 2" xfId="47712"/>
    <cellStyle name="Normal 9 2 60 3" xfId="34208"/>
    <cellStyle name="Normal 9 2 61" xfId="6305"/>
    <cellStyle name="Normal 9 2 61 2" xfId="20796"/>
    <cellStyle name="Normal 9 2 61 2 2" xfId="47804"/>
    <cellStyle name="Normal 9 2 61 3" xfId="34300"/>
    <cellStyle name="Normal 9 2 62" xfId="6411"/>
    <cellStyle name="Normal 9 2 62 2" xfId="20888"/>
    <cellStyle name="Normal 9 2 62 2 2" xfId="47896"/>
    <cellStyle name="Normal 9 2 62 3" xfId="34392"/>
    <cellStyle name="Normal 9 2 63" xfId="6517"/>
    <cellStyle name="Normal 9 2 63 2" xfId="20980"/>
    <cellStyle name="Normal 9 2 63 2 2" xfId="47988"/>
    <cellStyle name="Normal 9 2 63 3" xfId="34484"/>
    <cellStyle name="Normal 9 2 64" xfId="6622"/>
    <cellStyle name="Normal 9 2 64 2" xfId="21071"/>
    <cellStyle name="Normal 9 2 64 2 2" xfId="48079"/>
    <cellStyle name="Normal 9 2 64 3" xfId="34575"/>
    <cellStyle name="Normal 9 2 65" xfId="6727"/>
    <cellStyle name="Normal 9 2 65 2" xfId="21162"/>
    <cellStyle name="Normal 9 2 65 2 2" xfId="48170"/>
    <cellStyle name="Normal 9 2 65 3" xfId="34666"/>
    <cellStyle name="Normal 9 2 66" xfId="6832"/>
    <cellStyle name="Normal 9 2 66 2" xfId="21253"/>
    <cellStyle name="Normal 9 2 66 2 2" xfId="48261"/>
    <cellStyle name="Normal 9 2 66 3" xfId="34757"/>
    <cellStyle name="Normal 9 2 67" xfId="6937"/>
    <cellStyle name="Normal 9 2 67 2" xfId="21344"/>
    <cellStyle name="Normal 9 2 67 2 2" xfId="48352"/>
    <cellStyle name="Normal 9 2 67 3" xfId="34848"/>
    <cellStyle name="Normal 9 2 68" xfId="7042"/>
    <cellStyle name="Normal 9 2 68 2" xfId="21435"/>
    <cellStyle name="Normal 9 2 68 2 2" xfId="48443"/>
    <cellStyle name="Normal 9 2 68 3" xfId="34939"/>
    <cellStyle name="Normal 9 2 69" xfId="7146"/>
    <cellStyle name="Normal 9 2 69 2" xfId="21525"/>
    <cellStyle name="Normal 9 2 69 2 2" xfId="48533"/>
    <cellStyle name="Normal 9 2 69 3" xfId="35029"/>
    <cellStyle name="Normal 9 2 7" xfId="581"/>
    <cellStyle name="Normal 9 2 7 2" xfId="15828"/>
    <cellStyle name="Normal 9 2 7 2 2" xfId="42836"/>
    <cellStyle name="Normal 9 2 7 3" xfId="29332"/>
    <cellStyle name="Normal 9 2 70" xfId="7249"/>
    <cellStyle name="Normal 9 2 70 2" xfId="21614"/>
    <cellStyle name="Normal 9 2 70 2 2" xfId="48622"/>
    <cellStyle name="Normal 9 2 70 3" xfId="35118"/>
    <cellStyle name="Normal 9 2 71" xfId="7349"/>
    <cellStyle name="Normal 9 2 71 2" xfId="21701"/>
    <cellStyle name="Normal 9 2 71 2 2" xfId="48709"/>
    <cellStyle name="Normal 9 2 71 3" xfId="35205"/>
    <cellStyle name="Normal 9 2 72" xfId="7817"/>
    <cellStyle name="Normal 9 2 72 2" xfId="22107"/>
    <cellStyle name="Normal 9 2 72 2 2" xfId="49115"/>
    <cellStyle name="Normal 9 2 72 3" xfId="35611"/>
    <cellStyle name="Normal 9 2 73" xfId="7959"/>
    <cellStyle name="Normal 9 2 73 2" xfId="22235"/>
    <cellStyle name="Normal 9 2 73 2 2" xfId="49243"/>
    <cellStyle name="Normal 9 2 73 3" xfId="35739"/>
    <cellStyle name="Normal 9 2 74" xfId="8101"/>
    <cellStyle name="Normal 9 2 74 2" xfId="22363"/>
    <cellStyle name="Normal 9 2 74 2 2" xfId="49371"/>
    <cellStyle name="Normal 9 2 74 3" xfId="35867"/>
    <cellStyle name="Normal 9 2 75" xfId="8243"/>
    <cellStyle name="Normal 9 2 75 2" xfId="22491"/>
    <cellStyle name="Normal 9 2 75 2 2" xfId="49499"/>
    <cellStyle name="Normal 9 2 75 3" xfId="35995"/>
    <cellStyle name="Normal 9 2 76" xfId="8385"/>
    <cellStyle name="Normal 9 2 76 2" xfId="22619"/>
    <cellStyle name="Normal 9 2 76 2 2" xfId="49627"/>
    <cellStyle name="Normal 9 2 76 3" xfId="36123"/>
    <cellStyle name="Normal 9 2 77" xfId="8527"/>
    <cellStyle name="Normal 9 2 77 2" xfId="22747"/>
    <cellStyle name="Normal 9 2 77 2 2" xfId="49755"/>
    <cellStyle name="Normal 9 2 77 3" xfId="36251"/>
    <cellStyle name="Normal 9 2 78" xfId="8669"/>
    <cellStyle name="Normal 9 2 78 2" xfId="22875"/>
    <cellStyle name="Normal 9 2 78 2 2" xfId="49883"/>
    <cellStyle name="Normal 9 2 78 3" xfId="36379"/>
    <cellStyle name="Normal 9 2 79" xfId="8811"/>
    <cellStyle name="Normal 9 2 79 2" xfId="23003"/>
    <cellStyle name="Normal 9 2 79 2 2" xfId="50011"/>
    <cellStyle name="Normal 9 2 79 3" xfId="36507"/>
    <cellStyle name="Normal 9 2 8" xfId="687"/>
    <cellStyle name="Normal 9 2 8 2" xfId="15920"/>
    <cellStyle name="Normal 9 2 8 2 2" xfId="42928"/>
    <cellStyle name="Normal 9 2 8 3" xfId="29424"/>
    <cellStyle name="Normal 9 2 80" xfId="8953"/>
    <cellStyle name="Normal 9 2 80 2" xfId="23131"/>
    <cellStyle name="Normal 9 2 80 2 2" xfId="50139"/>
    <cellStyle name="Normal 9 2 80 3" xfId="36635"/>
    <cellStyle name="Normal 9 2 81" xfId="9095"/>
    <cellStyle name="Normal 9 2 81 2" xfId="23259"/>
    <cellStyle name="Normal 9 2 81 2 2" xfId="50267"/>
    <cellStyle name="Normal 9 2 81 3" xfId="36763"/>
    <cellStyle name="Normal 9 2 82" xfId="9237"/>
    <cellStyle name="Normal 9 2 82 2" xfId="23387"/>
    <cellStyle name="Normal 9 2 82 2 2" xfId="50395"/>
    <cellStyle name="Normal 9 2 82 3" xfId="36891"/>
    <cellStyle name="Normal 9 2 83" xfId="9379"/>
    <cellStyle name="Normal 9 2 83 2" xfId="23515"/>
    <cellStyle name="Normal 9 2 83 2 2" xfId="50523"/>
    <cellStyle name="Normal 9 2 83 3" xfId="37019"/>
    <cellStyle name="Normal 9 2 84" xfId="9521"/>
    <cellStyle name="Normal 9 2 84 2" xfId="23643"/>
    <cellStyle name="Normal 9 2 84 2 2" xfId="50651"/>
    <cellStyle name="Normal 9 2 84 3" xfId="37147"/>
    <cellStyle name="Normal 9 2 85" xfId="9663"/>
    <cellStyle name="Normal 9 2 85 2" xfId="23771"/>
    <cellStyle name="Normal 9 2 85 2 2" xfId="50779"/>
    <cellStyle name="Normal 9 2 85 3" xfId="37275"/>
    <cellStyle name="Normal 9 2 86" xfId="9805"/>
    <cellStyle name="Normal 9 2 86 2" xfId="23899"/>
    <cellStyle name="Normal 9 2 86 2 2" xfId="50907"/>
    <cellStyle name="Normal 9 2 86 3" xfId="37403"/>
    <cellStyle name="Normal 9 2 87" xfId="9947"/>
    <cellStyle name="Normal 9 2 87 2" xfId="24027"/>
    <cellStyle name="Normal 9 2 87 2 2" xfId="51035"/>
    <cellStyle name="Normal 9 2 87 3" xfId="37531"/>
    <cellStyle name="Normal 9 2 88" xfId="10089"/>
    <cellStyle name="Normal 9 2 88 2" xfId="24155"/>
    <cellStyle name="Normal 9 2 88 2 2" xfId="51163"/>
    <cellStyle name="Normal 9 2 88 3" xfId="37659"/>
    <cellStyle name="Normal 9 2 89" xfId="10231"/>
    <cellStyle name="Normal 9 2 89 2" xfId="24283"/>
    <cellStyle name="Normal 9 2 89 2 2" xfId="51291"/>
    <cellStyle name="Normal 9 2 89 3" xfId="37787"/>
    <cellStyle name="Normal 9 2 9" xfId="793"/>
    <cellStyle name="Normal 9 2 9 2" xfId="16012"/>
    <cellStyle name="Normal 9 2 9 2 2" xfId="43020"/>
    <cellStyle name="Normal 9 2 9 3" xfId="29516"/>
    <cellStyle name="Normal 9 2 90" xfId="10373"/>
    <cellStyle name="Normal 9 2 90 2" xfId="24411"/>
    <cellStyle name="Normal 9 2 90 2 2" xfId="51419"/>
    <cellStyle name="Normal 9 2 90 3" xfId="37915"/>
    <cellStyle name="Normal 9 2 91" xfId="10515"/>
    <cellStyle name="Normal 9 2 91 2" xfId="24539"/>
    <cellStyle name="Normal 9 2 91 2 2" xfId="51547"/>
    <cellStyle name="Normal 9 2 91 3" xfId="38043"/>
    <cellStyle name="Normal 9 2 92" xfId="10657"/>
    <cellStyle name="Normal 9 2 92 2" xfId="24667"/>
    <cellStyle name="Normal 9 2 92 2 2" xfId="51675"/>
    <cellStyle name="Normal 9 2 92 3" xfId="38171"/>
    <cellStyle name="Normal 9 2 93" xfId="10799"/>
    <cellStyle name="Normal 9 2 93 2" xfId="24795"/>
    <cellStyle name="Normal 9 2 93 2 2" xfId="51803"/>
    <cellStyle name="Normal 9 2 93 3" xfId="38299"/>
    <cellStyle name="Normal 9 2 94" xfId="10941"/>
    <cellStyle name="Normal 9 2 94 2" xfId="24923"/>
    <cellStyle name="Normal 9 2 94 2 2" xfId="51931"/>
    <cellStyle name="Normal 9 2 94 3" xfId="38427"/>
    <cellStyle name="Normal 9 2 95" xfId="11083"/>
    <cellStyle name="Normal 9 2 95 2" xfId="25051"/>
    <cellStyle name="Normal 9 2 95 2 2" xfId="52059"/>
    <cellStyle name="Normal 9 2 95 3" xfId="38555"/>
    <cellStyle name="Normal 9 2 96" xfId="11225"/>
    <cellStyle name="Normal 9 2 96 2" xfId="25179"/>
    <cellStyle name="Normal 9 2 96 2 2" xfId="52187"/>
    <cellStyle name="Normal 9 2 96 3" xfId="38683"/>
    <cellStyle name="Normal 9 2 97" xfId="11367"/>
    <cellStyle name="Normal 9 2 97 2" xfId="25307"/>
    <cellStyle name="Normal 9 2 97 2 2" xfId="52315"/>
    <cellStyle name="Normal 9 2 97 3" xfId="38811"/>
    <cellStyle name="Normal 9 2 98" xfId="11509"/>
    <cellStyle name="Normal 9 2 98 2" xfId="25435"/>
    <cellStyle name="Normal 9 2 98 2 2" xfId="52443"/>
    <cellStyle name="Normal 9 2 98 3" xfId="38939"/>
    <cellStyle name="Normal 9 2 99" xfId="11651"/>
    <cellStyle name="Normal 9 2 99 2" xfId="25563"/>
    <cellStyle name="Normal 9 2 99 2 2" xfId="52571"/>
    <cellStyle name="Normal 9 2 99 3" xfId="39067"/>
    <cellStyle name="Normal 9 20" xfId="1528"/>
    <cellStyle name="Normal 9 20 2" xfId="16652"/>
    <cellStyle name="Normal 9 20 2 2" xfId="43660"/>
    <cellStyle name="Normal 9 20 3" xfId="30156"/>
    <cellStyle name="Normal 9 21" xfId="1634"/>
    <cellStyle name="Normal 9 21 2" xfId="16744"/>
    <cellStyle name="Normal 9 21 2 2" xfId="43752"/>
    <cellStyle name="Normal 9 21 3" xfId="30248"/>
    <cellStyle name="Normal 9 22" xfId="1740"/>
    <cellStyle name="Normal 9 22 2" xfId="16836"/>
    <cellStyle name="Normal 9 22 2 2" xfId="43844"/>
    <cellStyle name="Normal 9 22 3" xfId="30340"/>
    <cellStyle name="Normal 9 23" xfId="1846"/>
    <cellStyle name="Normal 9 23 2" xfId="16928"/>
    <cellStyle name="Normal 9 23 2 2" xfId="43936"/>
    <cellStyle name="Normal 9 23 3" xfId="30432"/>
    <cellStyle name="Normal 9 24" xfId="1952"/>
    <cellStyle name="Normal 9 24 2" xfId="17020"/>
    <cellStyle name="Normal 9 24 2 2" xfId="44028"/>
    <cellStyle name="Normal 9 24 3" xfId="30524"/>
    <cellStyle name="Normal 9 25" xfId="2058"/>
    <cellStyle name="Normal 9 25 2" xfId="17112"/>
    <cellStyle name="Normal 9 25 2 2" xfId="44120"/>
    <cellStyle name="Normal 9 25 3" xfId="30616"/>
    <cellStyle name="Normal 9 26" xfId="2164"/>
    <cellStyle name="Normal 9 26 2" xfId="17204"/>
    <cellStyle name="Normal 9 26 2 2" xfId="44212"/>
    <cellStyle name="Normal 9 26 3" xfId="30708"/>
    <cellStyle name="Normal 9 27" xfId="2270"/>
    <cellStyle name="Normal 9 27 2" xfId="17296"/>
    <cellStyle name="Normal 9 27 2 2" xfId="44304"/>
    <cellStyle name="Normal 9 27 3" xfId="30800"/>
    <cellStyle name="Normal 9 28" xfId="2376"/>
    <cellStyle name="Normal 9 28 2" xfId="17388"/>
    <cellStyle name="Normal 9 28 2 2" xfId="44396"/>
    <cellStyle name="Normal 9 28 3" xfId="30892"/>
    <cellStyle name="Normal 9 29" xfId="2482"/>
    <cellStyle name="Normal 9 29 2" xfId="17480"/>
    <cellStyle name="Normal 9 29 2 2" xfId="44488"/>
    <cellStyle name="Normal 9 29 3" xfId="30984"/>
    <cellStyle name="Normal 9 3" xfId="148"/>
    <cellStyle name="Normal 9 3 10" xfId="1253"/>
    <cellStyle name="Normal 9 3 10 2" xfId="16411"/>
    <cellStyle name="Normal 9 3 10 2 2" xfId="43419"/>
    <cellStyle name="Normal 9 3 10 3" xfId="29915"/>
    <cellStyle name="Normal 9 3 100" xfId="11802"/>
    <cellStyle name="Normal 9 3 100 2" xfId="25700"/>
    <cellStyle name="Normal 9 3 100 2 2" xfId="52708"/>
    <cellStyle name="Normal 9 3 100 3" xfId="39204"/>
    <cellStyle name="Normal 9 3 101" xfId="11944"/>
    <cellStyle name="Normal 9 3 101 2" xfId="25828"/>
    <cellStyle name="Normal 9 3 101 2 2" xfId="52836"/>
    <cellStyle name="Normal 9 3 101 3" xfId="39332"/>
    <cellStyle name="Normal 9 3 102" xfId="12086"/>
    <cellStyle name="Normal 9 3 102 2" xfId="25956"/>
    <cellStyle name="Normal 9 3 102 2 2" xfId="52964"/>
    <cellStyle name="Normal 9 3 102 3" xfId="39460"/>
    <cellStyle name="Normal 9 3 103" xfId="12228"/>
    <cellStyle name="Normal 9 3 103 2" xfId="26084"/>
    <cellStyle name="Normal 9 3 103 2 2" xfId="53092"/>
    <cellStyle name="Normal 9 3 103 3" xfId="39588"/>
    <cellStyle name="Normal 9 3 104" xfId="12370"/>
    <cellStyle name="Normal 9 3 104 2" xfId="26212"/>
    <cellStyle name="Normal 9 3 104 2 2" xfId="53220"/>
    <cellStyle name="Normal 9 3 104 3" xfId="39716"/>
    <cellStyle name="Normal 9 3 105" xfId="12512"/>
    <cellStyle name="Normal 9 3 105 2" xfId="26340"/>
    <cellStyle name="Normal 9 3 105 2 2" xfId="53348"/>
    <cellStyle name="Normal 9 3 105 3" xfId="39844"/>
    <cellStyle name="Normal 9 3 106" xfId="12654"/>
    <cellStyle name="Normal 9 3 106 2" xfId="26468"/>
    <cellStyle name="Normal 9 3 106 2 2" xfId="53476"/>
    <cellStyle name="Normal 9 3 106 3" xfId="39972"/>
    <cellStyle name="Normal 9 3 107" xfId="12796"/>
    <cellStyle name="Normal 9 3 107 2" xfId="26596"/>
    <cellStyle name="Normal 9 3 107 2 2" xfId="53604"/>
    <cellStyle name="Normal 9 3 107 3" xfId="40100"/>
    <cellStyle name="Normal 9 3 108" xfId="12938"/>
    <cellStyle name="Normal 9 3 108 2" xfId="26724"/>
    <cellStyle name="Normal 9 3 108 2 2" xfId="53732"/>
    <cellStyle name="Normal 9 3 108 3" xfId="40228"/>
    <cellStyle name="Normal 9 3 109" xfId="13080"/>
    <cellStyle name="Normal 9 3 109 2" xfId="26852"/>
    <cellStyle name="Normal 9 3 109 2 2" xfId="53860"/>
    <cellStyle name="Normal 9 3 109 3" xfId="40356"/>
    <cellStyle name="Normal 9 3 11" xfId="1359"/>
    <cellStyle name="Normal 9 3 11 2" xfId="16503"/>
    <cellStyle name="Normal 9 3 11 2 2" xfId="43511"/>
    <cellStyle name="Normal 9 3 11 3" xfId="30007"/>
    <cellStyle name="Normal 9 3 110" xfId="13222"/>
    <cellStyle name="Normal 9 3 110 2" xfId="26980"/>
    <cellStyle name="Normal 9 3 110 2 2" xfId="53988"/>
    <cellStyle name="Normal 9 3 110 3" xfId="40484"/>
    <cellStyle name="Normal 9 3 111" xfId="13364"/>
    <cellStyle name="Normal 9 3 111 2" xfId="27108"/>
    <cellStyle name="Normal 9 3 111 2 2" xfId="54116"/>
    <cellStyle name="Normal 9 3 111 3" xfId="40612"/>
    <cellStyle name="Normal 9 3 112" xfId="13506"/>
    <cellStyle name="Normal 9 3 112 2" xfId="27236"/>
    <cellStyle name="Normal 9 3 112 2 2" xfId="54244"/>
    <cellStyle name="Normal 9 3 112 3" xfId="40740"/>
    <cellStyle name="Normal 9 3 113" xfId="13648"/>
    <cellStyle name="Normal 9 3 113 2" xfId="27364"/>
    <cellStyle name="Normal 9 3 113 2 2" xfId="54372"/>
    <cellStyle name="Normal 9 3 113 3" xfId="40868"/>
    <cellStyle name="Normal 9 3 114" xfId="13790"/>
    <cellStyle name="Normal 9 3 114 2" xfId="27492"/>
    <cellStyle name="Normal 9 3 114 2 2" xfId="54500"/>
    <cellStyle name="Normal 9 3 114 3" xfId="40996"/>
    <cellStyle name="Normal 9 3 115" xfId="13931"/>
    <cellStyle name="Normal 9 3 115 2" xfId="27619"/>
    <cellStyle name="Normal 9 3 115 2 2" xfId="54627"/>
    <cellStyle name="Normal 9 3 115 3" xfId="41123"/>
    <cellStyle name="Normal 9 3 116" xfId="14072"/>
    <cellStyle name="Normal 9 3 116 2" xfId="27746"/>
    <cellStyle name="Normal 9 3 116 2 2" xfId="54754"/>
    <cellStyle name="Normal 9 3 116 3" xfId="41250"/>
    <cellStyle name="Normal 9 3 117" xfId="14213"/>
    <cellStyle name="Normal 9 3 117 2" xfId="27873"/>
    <cellStyle name="Normal 9 3 117 2 2" xfId="54881"/>
    <cellStyle name="Normal 9 3 117 3" xfId="41377"/>
    <cellStyle name="Normal 9 3 118" xfId="14354"/>
    <cellStyle name="Normal 9 3 118 2" xfId="28000"/>
    <cellStyle name="Normal 9 3 118 2 2" xfId="55008"/>
    <cellStyle name="Normal 9 3 118 3" xfId="41504"/>
    <cellStyle name="Normal 9 3 119" xfId="14494"/>
    <cellStyle name="Normal 9 3 119 2" xfId="28126"/>
    <cellStyle name="Normal 9 3 119 2 2" xfId="55134"/>
    <cellStyle name="Normal 9 3 119 3" xfId="41630"/>
    <cellStyle name="Normal 9 3 12" xfId="1465"/>
    <cellStyle name="Normal 9 3 12 2" xfId="16595"/>
    <cellStyle name="Normal 9 3 12 2 2" xfId="43603"/>
    <cellStyle name="Normal 9 3 12 3" xfId="30099"/>
    <cellStyle name="Normal 9 3 120" xfId="14634"/>
    <cellStyle name="Normal 9 3 120 2" xfId="28252"/>
    <cellStyle name="Normal 9 3 120 2 2" xfId="55260"/>
    <cellStyle name="Normal 9 3 120 3" xfId="41756"/>
    <cellStyle name="Normal 9 3 121" xfId="14773"/>
    <cellStyle name="Normal 9 3 121 2" xfId="28377"/>
    <cellStyle name="Normal 9 3 121 2 2" xfId="55385"/>
    <cellStyle name="Normal 9 3 121 3" xfId="41881"/>
    <cellStyle name="Normal 9 3 122" xfId="14908"/>
    <cellStyle name="Normal 9 3 122 2" xfId="28499"/>
    <cellStyle name="Normal 9 3 122 2 2" xfId="55507"/>
    <cellStyle name="Normal 9 3 122 3" xfId="42003"/>
    <cellStyle name="Normal 9 3 123" xfId="15042"/>
    <cellStyle name="Normal 9 3 123 2" xfId="28620"/>
    <cellStyle name="Normal 9 3 123 2 2" xfId="55628"/>
    <cellStyle name="Normal 9 3 123 3" xfId="42124"/>
    <cellStyle name="Normal 9 3 124" xfId="15169"/>
    <cellStyle name="Normal 9 3 124 2" xfId="28736"/>
    <cellStyle name="Normal 9 3 124 2 2" xfId="55744"/>
    <cellStyle name="Normal 9 3 124 3" xfId="42240"/>
    <cellStyle name="Normal 9 3 125" xfId="15289"/>
    <cellStyle name="Normal 9 3 125 2" xfId="28849"/>
    <cellStyle name="Normal 9 3 125 2 2" xfId="55857"/>
    <cellStyle name="Normal 9 3 125 3" xfId="42353"/>
    <cellStyle name="Normal 9 3 126" xfId="15504"/>
    <cellStyle name="Normal 9 3 126 2" xfId="42512"/>
    <cellStyle name="Normal 9 3 127" xfId="29008"/>
    <cellStyle name="Normal 9 3 13" xfId="1571"/>
    <cellStyle name="Normal 9 3 13 2" xfId="16687"/>
    <cellStyle name="Normal 9 3 13 2 2" xfId="43695"/>
    <cellStyle name="Normal 9 3 13 3" xfId="30191"/>
    <cellStyle name="Normal 9 3 14" xfId="1677"/>
    <cellStyle name="Normal 9 3 14 2" xfId="16779"/>
    <cellStyle name="Normal 9 3 14 2 2" xfId="43787"/>
    <cellStyle name="Normal 9 3 14 3" xfId="30283"/>
    <cellStyle name="Normal 9 3 15" xfId="1783"/>
    <cellStyle name="Normal 9 3 15 2" xfId="16871"/>
    <cellStyle name="Normal 9 3 15 2 2" xfId="43879"/>
    <cellStyle name="Normal 9 3 15 3" xfId="30375"/>
    <cellStyle name="Normal 9 3 16" xfId="1889"/>
    <cellStyle name="Normal 9 3 16 2" xfId="16963"/>
    <cellStyle name="Normal 9 3 16 2 2" xfId="43971"/>
    <cellStyle name="Normal 9 3 16 3" xfId="30467"/>
    <cellStyle name="Normal 9 3 17" xfId="1995"/>
    <cellStyle name="Normal 9 3 17 2" xfId="17055"/>
    <cellStyle name="Normal 9 3 17 2 2" xfId="44063"/>
    <cellStyle name="Normal 9 3 17 3" xfId="30559"/>
    <cellStyle name="Normal 9 3 18" xfId="2101"/>
    <cellStyle name="Normal 9 3 18 2" xfId="17147"/>
    <cellStyle name="Normal 9 3 18 2 2" xfId="44155"/>
    <cellStyle name="Normal 9 3 18 3" xfId="30651"/>
    <cellStyle name="Normal 9 3 19" xfId="2207"/>
    <cellStyle name="Normal 9 3 19 2" xfId="17239"/>
    <cellStyle name="Normal 9 3 19 2 2" xfId="44247"/>
    <cellStyle name="Normal 9 3 19 3" xfId="30743"/>
    <cellStyle name="Normal 9 3 2" xfId="325"/>
    <cellStyle name="Normal 9 3 2 2" xfId="15627"/>
    <cellStyle name="Normal 9 3 2 2 2" xfId="42635"/>
    <cellStyle name="Normal 9 3 2 3" xfId="29131"/>
    <cellStyle name="Normal 9 3 20" xfId="2313"/>
    <cellStyle name="Normal 9 3 20 2" xfId="17331"/>
    <cellStyle name="Normal 9 3 20 2 2" xfId="44339"/>
    <cellStyle name="Normal 9 3 20 3" xfId="30835"/>
    <cellStyle name="Normal 9 3 21" xfId="2419"/>
    <cellStyle name="Normal 9 3 21 2" xfId="17423"/>
    <cellStyle name="Normal 9 3 21 2 2" xfId="44431"/>
    <cellStyle name="Normal 9 3 21 3" xfId="30927"/>
    <cellStyle name="Normal 9 3 22" xfId="2525"/>
    <cellStyle name="Normal 9 3 22 2" xfId="17515"/>
    <cellStyle name="Normal 9 3 22 2 2" xfId="44523"/>
    <cellStyle name="Normal 9 3 22 3" xfId="31019"/>
    <cellStyle name="Normal 9 3 23" xfId="2631"/>
    <cellStyle name="Normal 9 3 23 2" xfId="17607"/>
    <cellStyle name="Normal 9 3 23 2 2" xfId="44615"/>
    <cellStyle name="Normal 9 3 23 3" xfId="31111"/>
    <cellStyle name="Normal 9 3 24" xfId="2737"/>
    <cellStyle name="Normal 9 3 24 2" xfId="17699"/>
    <cellStyle name="Normal 9 3 24 2 2" xfId="44707"/>
    <cellStyle name="Normal 9 3 24 3" xfId="31203"/>
    <cellStyle name="Normal 9 3 25" xfId="2843"/>
    <cellStyle name="Normal 9 3 25 2" xfId="17791"/>
    <cellStyle name="Normal 9 3 25 2 2" xfId="44799"/>
    <cellStyle name="Normal 9 3 25 3" xfId="31295"/>
    <cellStyle name="Normal 9 3 26" xfId="2949"/>
    <cellStyle name="Normal 9 3 26 2" xfId="17883"/>
    <cellStyle name="Normal 9 3 26 2 2" xfId="44891"/>
    <cellStyle name="Normal 9 3 26 3" xfId="31387"/>
    <cellStyle name="Normal 9 3 27" xfId="3055"/>
    <cellStyle name="Normal 9 3 27 2" xfId="17975"/>
    <cellStyle name="Normal 9 3 27 2 2" xfId="44983"/>
    <cellStyle name="Normal 9 3 27 3" xfId="31479"/>
    <cellStyle name="Normal 9 3 28" xfId="3161"/>
    <cellStyle name="Normal 9 3 28 2" xfId="18067"/>
    <cellStyle name="Normal 9 3 28 2 2" xfId="45075"/>
    <cellStyle name="Normal 9 3 28 3" xfId="31571"/>
    <cellStyle name="Normal 9 3 29" xfId="3267"/>
    <cellStyle name="Normal 9 3 29 2" xfId="18159"/>
    <cellStyle name="Normal 9 3 29 2 2" xfId="45167"/>
    <cellStyle name="Normal 9 3 29 3" xfId="31663"/>
    <cellStyle name="Normal 9 3 3" xfId="512"/>
    <cellStyle name="Normal 9 3 3 2" xfId="15768"/>
    <cellStyle name="Normal 9 3 3 2 2" xfId="42776"/>
    <cellStyle name="Normal 9 3 3 3" xfId="29272"/>
    <cellStyle name="Normal 9 3 30" xfId="3373"/>
    <cellStyle name="Normal 9 3 30 2" xfId="18251"/>
    <cellStyle name="Normal 9 3 30 2 2" xfId="45259"/>
    <cellStyle name="Normal 9 3 30 3" xfId="31755"/>
    <cellStyle name="Normal 9 3 31" xfId="3479"/>
    <cellStyle name="Normal 9 3 31 2" xfId="18343"/>
    <cellStyle name="Normal 9 3 31 2 2" xfId="45351"/>
    <cellStyle name="Normal 9 3 31 3" xfId="31847"/>
    <cellStyle name="Normal 9 3 32" xfId="3585"/>
    <cellStyle name="Normal 9 3 32 2" xfId="18435"/>
    <cellStyle name="Normal 9 3 32 2 2" xfId="45443"/>
    <cellStyle name="Normal 9 3 32 3" xfId="31939"/>
    <cellStyle name="Normal 9 3 33" xfId="3691"/>
    <cellStyle name="Normal 9 3 33 2" xfId="18527"/>
    <cellStyle name="Normal 9 3 33 2 2" xfId="45535"/>
    <cellStyle name="Normal 9 3 33 3" xfId="32031"/>
    <cellStyle name="Normal 9 3 34" xfId="3797"/>
    <cellStyle name="Normal 9 3 34 2" xfId="18619"/>
    <cellStyle name="Normal 9 3 34 2 2" xfId="45627"/>
    <cellStyle name="Normal 9 3 34 3" xfId="32123"/>
    <cellStyle name="Normal 9 3 35" xfId="3903"/>
    <cellStyle name="Normal 9 3 35 2" xfId="18711"/>
    <cellStyle name="Normal 9 3 35 2 2" xfId="45719"/>
    <cellStyle name="Normal 9 3 35 3" xfId="32215"/>
    <cellStyle name="Normal 9 3 36" xfId="4009"/>
    <cellStyle name="Normal 9 3 36 2" xfId="18803"/>
    <cellStyle name="Normal 9 3 36 2 2" xfId="45811"/>
    <cellStyle name="Normal 9 3 36 3" xfId="32307"/>
    <cellStyle name="Normal 9 3 37" xfId="4115"/>
    <cellStyle name="Normal 9 3 37 2" xfId="18895"/>
    <cellStyle name="Normal 9 3 37 2 2" xfId="45903"/>
    <cellStyle name="Normal 9 3 37 3" xfId="32399"/>
    <cellStyle name="Normal 9 3 38" xfId="4221"/>
    <cellStyle name="Normal 9 3 38 2" xfId="18987"/>
    <cellStyle name="Normal 9 3 38 2 2" xfId="45995"/>
    <cellStyle name="Normal 9 3 38 3" xfId="32491"/>
    <cellStyle name="Normal 9 3 39" xfId="4327"/>
    <cellStyle name="Normal 9 3 39 2" xfId="19079"/>
    <cellStyle name="Normal 9 3 39 2 2" xfId="46087"/>
    <cellStyle name="Normal 9 3 39 3" xfId="32583"/>
    <cellStyle name="Normal 9 3 4" xfId="617"/>
    <cellStyle name="Normal 9 3 4 2" xfId="15859"/>
    <cellStyle name="Normal 9 3 4 2 2" xfId="42867"/>
    <cellStyle name="Normal 9 3 4 3" xfId="29363"/>
    <cellStyle name="Normal 9 3 40" xfId="4433"/>
    <cellStyle name="Normal 9 3 40 2" xfId="19171"/>
    <cellStyle name="Normal 9 3 40 2 2" xfId="46179"/>
    <cellStyle name="Normal 9 3 40 3" xfId="32675"/>
    <cellStyle name="Normal 9 3 41" xfId="4539"/>
    <cellStyle name="Normal 9 3 41 2" xfId="19263"/>
    <cellStyle name="Normal 9 3 41 2 2" xfId="46271"/>
    <cellStyle name="Normal 9 3 41 3" xfId="32767"/>
    <cellStyle name="Normal 9 3 42" xfId="4645"/>
    <cellStyle name="Normal 9 3 42 2" xfId="19355"/>
    <cellStyle name="Normal 9 3 42 2 2" xfId="46363"/>
    <cellStyle name="Normal 9 3 42 3" xfId="32859"/>
    <cellStyle name="Normal 9 3 43" xfId="4751"/>
    <cellStyle name="Normal 9 3 43 2" xfId="19447"/>
    <cellStyle name="Normal 9 3 43 2 2" xfId="46455"/>
    <cellStyle name="Normal 9 3 43 3" xfId="32951"/>
    <cellStyle name="Normal 9 3 44" xfId="4857"/>
    <cellStyle name="Normal 9 3 44 2" xfId="19539"/>
    <cellStyle name="Normal 9 3 44 2 2" xfId="46547"/>
    <cellStyle name="Normal 9 3 44 3" xfId="33043"/>
    <cellStyle name="Normal 9 3 45" xfId="4963"/>
    <cellStyle name="Normal 9 3 45 2" xfId="19631"/>
    <cellStyle name="Normal 9 3 45 2 2" xfId="46639"/>
    <cellStyle name="Normal 9 3 45 3" xfId="33135"/>
    <cellStyle name="Normal 9 3 46" xfId="5069"/>
    <cellStyle name="Normal 9 3 46 2" xfId="19723"/>
    <cellStyle name="Normal 9 3 46 2 2" xfId="46731"/>
    <cellStyle name="Normal 9 3 46 3" xfId="33227"/>
    <cellStyle name="Normal 9 3 47" xfId="5175"/>
    <cellStyle name="Normal 9 3 47 2" xfId="19815"/>
    <cellStyle name="Normal 9 3 47 2 2" xfId="46823"/>
    <cellStyle name="Normal 9 3 47 3" xfId="33319"/>
    <cellStyle name="Normal 9 3 48" xfId="5281"/>
    <cellStyle name="Normal 9 3 48 2" xfId="19907"/>
    <cellStyle name="Normal 9 3 48 2 2" xfId="46915"/>
    <cellStyle name="Normal 9 3 48 3" xfId="33411"/>
    <cellStyle name="Normal 9 3 49" xfId="5387"/>
    <cellStyle name="Normal 9 3 49 2" xfId="19999"/>
    <cellStyle name="Normal 9 3 49 2 2" xfId="47007"/>
    <cellStyle name="Normal 9 3 49 3" xfId="33503"/>
    <cellStyle name="Normal 9 3 5" xfId="723"/>
    <cellStyle name="Normal 9 3 5 2" xfId="15951"/>
    <cellStyle name="Normal 9 3 5 2 2" xfId="42959"/>
    <cellStyle name="Normal 9 3 5 3" xfId="29455"/>
    <cellStyle name="Normal 9 3 50" xfId="5493"/>
    <cellStyle name="Normal 9 3 50 2" xfId="20091"/>
    <cellStyle name="Normal 9 3 50 2 2" xfId="47099"/>
    <cellStyle name="Normal 9 3 50 3" xfId="33595"/>
    <cellStyle name="Normal 9 3 51" xfId="5599"/>
    <cellStyle name="Normal 9 3 51 2" xfId="20183"/>
    <cellStyle name="Normal 9 3 51 2 2" xfId="47191"/>
    <cellStyle name="Normal 9 3 51 3" xfId="33687"/>
    <cellStyle name="Normal 9 3 52" xfId="5705"/>
    <cellStyle name="Normal 9 3 52 2" xfId="20275"/>
    <cellStyle name="Normal 9 3 52 2 2" xfId="47283"/>
    <cellStyle name="Normal 9 3 52 3" xfId="33779"/>
    <cellStyle name="Normal 9 3 53" xfId="5811"/>
    <cellStyle name="Normal 9 3 53 2" xfId="20367"/>
    <cellStyle name="Normal 9 3 53 2 2" xfId="47375"/>
    <cellStyle name="Normal 9 3 53 3" xfId="33871"/>
    <cellStyle name="Normal 9 3 54" xfId="5917"/>
    <cellStyle name="Normal 9 3 54 2" xfId="20459"/>
    <cellStyle name="Normal 9 3 54 2 2" xfId="47467"/>
    <cellStyle name="Normal 9 3 54 3" xfId="33963"/>
    <cellStyle name="Normal 9 3 55" xfId="6023"/>
    <cellStyle name="Normal 9 3 55 2" xfId="20551"/>
    <cellStyle name="Normal 9 3 55 2 2" xfId="47559"/>
    <cellStyle name="Normal 9 3 55 3" xfId="34055"/>
    <cellStyle name="Normal 9 3 56" xfId="6129"/>
    <cellStyle name="Normal 9 3 56 2" xfId="20643"/>
    <cellStyle name="Normal 9 3 56 2 2" xfId="47651"/>
    <cellStyle name="Normal 9 3 56 3" xfId="34147"/>
    <cellStyle name="Normal 9 3 57" xfId="6235"/>
    <cellStyle name="Normal 9 3 57 2" xfId="20735"/>
    <cellStyle name="Normal 9 3 57 2 2" xfId="47743"/>
    <cellStyle name="Normal 9 3 57 3" xfId="34239"/>
    <cellStyle name="Normal 9 3 58" xfId="6341"/>
    <cellStyle name="Normal 9 3 58 2" xfId="20827"/>
    <cellStyle name="Normal 9 3 58 2 2" xfId="47835"/>
    <cellStyle name="Normal 9 3 58 3" xfId="34331"/>
    <cellStyle name="Normal 9 3 59" xfId="6447"/>
    <cellStyle name="Normal 9 3 59 2" xfId="20919"/>
    <cellStyle name="Normal 9 3 59 2 2" xfId="47927"/>
    <cellStyle name="Normal 9 3 59 3" xfId="34423"/>
    <cellStyle name="Normal 9 3 6" xfId="829"/>
    <cellStyle name="Normal 9 3 6 2" xfId="16043"/>
    <cellStyle name="Normal 9 3 6 2 2" xfId="43051"/>
    <cellStyle name="Normal 9 3 6 3" xfId="29547"/>
    <cellStyle name="Normal 9 3 60" xfId="6553"/>
    <cellStyle name="Normal 9 3 60 2" xfId="21011"/>
    <cellStyle name="Normal 9 3 60 2 2" xfId="48019"/>
    <cellStyle name="Normal 9 3 60 3" xfId="34515"/>
    <cellStyle name="Normal 9 3 61" xfId="6658"/>
    <cellStyle name="Normal 9 3 61 2" xfId="21102"/>
    <cellStyle name="Normal 9 3 61 2 2" xfId="48110"/>
    <cellStyle name="Normal 9 3 61 3" xfId="34606"/>
    <cellStyle name="Normal 9 3 62" xfId="6763"/>
    <cellStyle name="Normal 9 3 62 2" xfId="21193"/>
    <cellStyle name="Normal 9 3 62 2 2" xfId="48201"/>
    <cellStyle name="Normal 9 3 62 3" xfId="34697"/>
    <cellStyle name="Normal 9 3 63" xfId="6868"/>
    <cellStyle name="Normal 9 3 63 2" xfId="21284"/>
    <cellStyle name="Normal 9 3 63 2 2" xfId="48292"/>
    <cellStyle name="Normal 9 3 63 3" xfId="34788"/>
    <cellStyle name="Normal 9 3 64" xfId="6973"/>
    <cellStyle name="Normal 9 3 64 2" xfId="21375"/>
    <cellStyle name="Normal 9 3 64 2 2" xfId="48383"/>
    <cellStyle name="Normal 9 3 64 3" xfId="34879"/>
    <cellStyle name="Normal 9 3 65" xfId="7077"/>
    <cellStyle name="Normal 9 3 65 2" xfId="21465"/>
    <cellStyle name="Normal 9 3 65 2 2" xfId="48473"/>
    <cellStyle name="Normal 9 3 65 3" xfId="34969"/>
    <cellStyle name="Normal 9 3 66" xfId="7181"/>
    <cellStyle name="Normal 9 3 66 2" xfId="21555"/>
    <cellStyle name="Normal 9 3 66 2 2" xfId="48563"/>
    <cellStyle name="Normal 9 3 66 3" xfId="35059"/>
    <cellStyle name="Normal 9 3 67" xfId="7284"/>
    <cellStyle name="Normal 9 3 67 2" xfId="21644"/>
    <cellStyle name="Normal 9 3 67 2 2" xfId="48652"/>
    <cellStyle name="Normal 9 3 67 3" xfId="35148"/>
    <cellStyle name="Normal 9 3 68" xfId="7384"/>
    <cellStyle name="Normal 9 3 68 2" xfId="21731"/>
    <cellStyle name="Normal 9 3 68 2 2" xfId="48739"/>
    <cellStyle name="Normal 9 3 68 3" xfId="35235"/>
    <cellStyle name="Normal 9 3 69" xfId="7482"/>
    <cellStyle name="Normal 9 3 69 2" xfId="21816"/>
    <cellStyle name="Normal 9 3 69 2 2" xfId="48824"/>
    <cellStyle name="Normal 9 3 69 3" xfId="35320"/>
    <cellStyle name="Normal 9 3 7" xfId="935"/>
    <cellStyle name="Normal 9 3 7 2" xfId="16135"/>
    <cellStyle name="Normal 9 3 7 2 2" xfId="43143"/>
    <cellStyle name="Normal 9 3 7 3" xfId="29639"/>
    <cellStyle name="Normal 9 3 70" xfId="7571"/>
    <cellStyle name="Normal 9 3 70 2" xfId="21894"/>
    <cellStyle name="Normal 9 3 70 2 2" xfId="48902"/>
    <cellStyle name="Normal 9 3 70 3" xfId="35398"/>
    <cellStyle name="Normal 9 3 71" xfId="7647"/>
    <cellStyle name="Normal 9 3 71 2" xfId="21963"/>
    <cellStyle name="Normal 9 3 71 2 2" xfId="48971"/>
    <cellStyle name="Normal 9 3 71 3" xfId="35467"/>
    <cellStyle name="Normal 9 3 72" xfId="7826"/>
    <cellStyle name="Normal 9 3 72 2" xfId="22116"/>
    <cellStyle name="Normal 9 3 72 2 2" xfId="49124"/>
    <cellStyle name="Normal 9 3 72 3" xfId="35620"/>
    <cellStyle name="Normal 9 3 73" xfId="7968"/>
    <cellStyle name="Normal 9 3 73 2" xfId="22244"/>
    <cellStyle name="Normal 9 3 73 2 2" xfId="49252"/>
    <cellStyle name="Normal 9 3 73 3" xfId="35748"/>
    <cellStyle name="Normal 9 3 74" xfId="8110"/>
    <cellStyle name="Normal 9 3 74 2" xfId="22372"/>
    <cellStyle name="Normal 9 3 74 2 2" xfId="49380"/>
    <cellStyle name="Normal 9 3 74 3" xfId="35876"/>
    <cellStyle name="Normal 9 3 75" xfId="8252"/>
    <cellStyle name="Normal 9 3 75 2" xfId="22500"/>
    <cellStyle name="Normal 9 3 75 2 2" xfId="49508"/>
    <cellStyle name="Normal 9 3 75 3" xfId="36004"/>
    <cellStyle name="Normal 9 3 76" xfId="8394"/>
    <cellStyle name="Normal 9 3 76 2" xfId="22628"/>
    <cellStyle name="Normal 9 3 76 2 2" xfId="49636"/>
    <cellStyle name="Normal 9 3 76 3" xfId="36132"/>
    <cellStyle name="Normal 9 3 77" xfId="8536"/>
    <cellStyle name="Normal 9 3 77 2" xfId="22756"/>
    <cellStyle name="Normal 9 3 77 2 2" xfId="49764"/>
    <cellStyle name="Normal 9 3 77 3" xfId="36260"/>
    <cellStyle name="Normal 9 3 78" xfId="8678"/>
    <cellStyle name="Normal 9 3 78 2" xfId="22884"/>
    <cellStyle name="Normal 9 3 78 2 2" xfId="49892"/>
    <cellStyle name="Normal 9 3 78 3" xfId="36388"/>
    <cellStyle name="Normal 9 3 79" xfId="8820"/>
    <cellStyle name="Normal 9 3 79 2" xfId="23012"/>
    <cellStyle name="Normal 9 3 79 2 2" xfId="50020"/>
    <cellStyle name="Normal 9 3 79 3" xfId="36516"/>
    <cellStyle name="Normal 9 3 8" xfId="1041"/>
    <cellStyle name="Normal 9 3 8 2" xfId="16227"/>
    <cellStyle name="Normal 9 3 8 2 2" xfId="43235"/>
    <cellStyle name="Normal 9 3 8 3" xfId="29731"/>
    <cellStyle name="Normal 9 3 80" xfId="8962"/>
    <cellStyle name="Normal 9 3 80 2" xfId="23140"/>
    <cellStyle name="Normal 9 3 80 2 2" xfId="50148"/>
    <cellStyle name="Normal 9 3 80 3" xfId="36644"/>
    <cellStyle name="Normal 9 3 81" xfId="9104"/>
    <cellStyle name="Normal 9 3 81 2" xfId="23268"/>
    <cellStyle name="Normal 9 3 81 2 2" xfId="50276"/>
    <cellStyle name="Normal 9 3 81 3" xfId="36772"/>
    <cellStyle name="Normal 9 3 82" xfId="9246"/>
    <cellStyle name="Normal 9 3 82 2" xfId="23396"/>
    <cellStyle name="Normal 9 3 82 2 2" xfId="50404"/>
    <cellStyle name="Normal 9 3 82 3" xfId="36900"/>
    <cellStyle name="Normal 9 3 83" xfId="9388"/>
    <cellStyle name="Normal 9 3 83 2" xfId="23524"/>
    <cellStyle name="Normal 9 3 83 2 2" xfId="50532"/>
    <cellStyle name="Normal 9 3 83 3" xfId="37028"/>
    <cellStyle name="Normal 9 3 84" xfId="9530"/>
    <cellStyle name="Normal 9 3 84 2" xfId="23652"/>
    <cellStyle name="Normal 9 3 84 2 2" xfId="50660"/>
    <cellStyle name="Normal 9 3 84 3" xfId="37156"/>
    <cellStyle name="Normal 9 3 85" xfId="9672"/>
    <cellStyle name="Normal 9 3 85 2" xfId="23780"/>
    <cellStyle name="Normal 9 3 85 2 2" xfId="50788"/>
    <cellStyle name="Normal 9 3 85 3" xfId="37284"/>
    <cellStyle name="Normal 9 3 86" xfId="9814"/>
    <cellStyle name="Normal 9 3 86 2" xfId="23908"/>
    <cellStyle name="Normal 9 3 86 2 2" xfId="50916"/>
    <cellStyle name="Normal 9 3 86 3" xfId="37412"/>
    <cellStyle name="Normal 9 3 87" xfId="9956"/>
    <cellStyle name="Normal 9 3 87 2" xfId="24036"/>
    <cellStyle name="Normal 9 3 87 2 2" xfId="51044"/>
    <cellStyle name="Normal 9 3 87 3" xfId="37540"/>
    <cellStyle name="Normal 9 3 88" xfId="10098"/>
    <cellStyle name="Normal 9 3 88 2" xfId="24164"/>
    <cellStyle name="Normal 9 3 88 2 2" xfId="51172"/>
    <cellStyle name="Normal 9 3 88 3" xfId="37668"/>
    <cellStyle name="Normal 9 3 89" xfId="10240"/>
    <cellStyle name="Normal 9 3 89 2" xfId="24292"/>
    <cellStyle name="Normal 9 3 89 2 2" xfId="51300"/>
    <cellStyle name="Normal 9 3 89 3" xfId="37796"/>
    <cellStyle name="Normal 9 3 9" xfId="1147"/>
    <cellStyle name="Normal 9 3 9 2" xfId="16319"/>
    <cellStyle name="Normal 9 3 9 2 2" xfId="43327"/>
    <cellStyle name="Normal 9 3 9 3" xfId="29823"/>
    <cellStyle name="Normal 9 3 90" xfId="10382"/>
    <cellStyle name="Normal 9 3 90 2" xfId="24420"/>
    <cellStyle name="Normal 9 3 90 2 2" xfId="51428"/>
    <cellStyle name="Normal 9 3 90 3" xfId="37924"/>
    <cellStyle name="Normal 9 3 91" xfId="10524"/>
    <cellStyle name="Normal 9 3 91 2" xfId="24548"/>
    <cellStyle name="Normal 9 3 91 2 2" xfId="51556"/>
    <cellStyle name="Normal 9 3 91 3" xfId="38052"/>
    <cellStyle name="Normal 9 3 92" xfId="10666"/>
    <cellStyle name="Normal 9 3 92 2" xfId="24676"/>
    <cellStyle name="Normal 9 3 92 2 2" xfId="51684"/>
    <cellStyle name="Normal 9 3 92 3" xfId="38180"/>
    <cellStyle name="Normal 9 3 93" xfId="10808"/>
    <cellStyle name="Normal 9 3 93 2" xfId="24804"/>
    <cellStyle name="Normal 9 3 93 2 2" xfId="51812"/>
    <cellStyle name="Normal 9 3 93 3" xfId="38308"/>
    <cellStyle name="Normal 9 3 94" xfId="10950"/>
    <cellStyle name="Normal 9 3 94 2" xfId="24932"/>
    <cellStyle name="Normal 9 3 94 2 2" xfId="51940"/>
    <cellStyle name="Normal 9 3 94 3" xfId="38436"/>
    <cellStyle name="Normal 9 3 95" xfId="11092"/>
    <cellStyle name="Normal 9 3 95 2" xfId="25060"/>
    <cellStyle name="Normal 9 3 95 2 2" xfId="52068"/>
    <cellStyle name="Normal 9 3 95 3" xfId="38564"/>
    <cellStyle name="Normal 9 3 96" xfId="11234"/>
    <cellStyle name="Normal 9 3 96 2" xfId="25188"/>
    <cellStyle name="Normal 9 3 96 2 2" xfId="52196"/>
    <cellStyle name="Normal 9 3 96 3" xfId="38692"/>
    <cellStyle name="Normal 9 3 97" xfId="11376"/>
    <cellStyle name="Normal 9 3 97 2" xfId="25316"/>
    <cellStyle name="Normal 9 3 97 2 2" xfId="52324"/>
    <cellStyle name="Normal 9 3 97 3" xfId="38820"/>
    <cellStyle name="Normal 9 3 98" xfId="11518"/>
    <cellStyle name="Normal 9 3 98 2" xfId="25444"/>
    <cellStyle name="Normal 9 3 98 2 2" xfId="52452"/>
    <cellStyle name="Normal 9 3 98 3" xfId="38948"/>
    <cellStyle name="Normal 9 3 99" xfId="11660"/>
    <cellStyle name="Normal 9 3 99 2" xfId="25572"/>
    <cellStyle name="Normal 9 3 99 2 2" xfId="52580"/>
    <cellStyle name="Normal 9 3 99 3" xfId="39076"/>
    <cellStyle name="Normal 9 30" xfId="2588"/>
    <cellStyle name="Normal 9 30 2" xfId="17572"/>
    <cellStyle name="Normal 9 30 2 2" xfId="44580"/>
    <cellStyle name="Normal 9 30 3" xfId="31076"/>
    <cellStyle name="Normal 9 31" xfId="2694"/>
    <cellStyle name="Normal 9 31 2" xfId="17664"/>
    <cellStyle name="Normal 9 31 2 2" xfId="44672"/>
    <cellStyle name="Normal 9 31 3" xfId="31168"/>
    <cellStyle name="Normal 9 32" xfId="2800"/>
    <cellStyle name="Normal 9 32 2" xfId="17756"/>
    <cellStyle name="Normal 9 32 2 2" xfId="44764"/>
    <cellStyle name="Normal 9 32 3" xfId="31260"/>
    <cellStyle name="Normal 9 33" xfId="2906"/>
    <cellStyle name="Normal 9 33 2" xfId="17848"/>
    <cellStyle name="Normal 9 33 2 2" xfId="44856"/>
    <cellStyle name="Normal 9 33 3" xfId="31352"/>
    <cellStyle name="Normal 9 34" xfId="3012"/>
    <cellStyle name="Normal 9 34 2" xfId="17940"/>
    <cellStyle name="Normal 9 34 2 2" xfId="44948"/>
    <cellStyle name="Normal 9 34 3" xfId="31444"/>
    <cellStyle name="Normal 9 35" xfId="3118"/>
    <cellStyle name="Normal 9 35 2" xfId="18032"/>
    <cellStyle name="Normal 9 35 2 2" xfId="45040"/>
    <cellStyle name="Normal 9 35 3" xfId="31536"/>
    <cellStyle name="Normal 9 36" xfId="3224"/>
    <cellStyle name="Normal 9 36 2" xfId="18124"/>
    <cellStyle name="Normal 9 36 2 2" xfId="45132"/>
    <cellStyle name="Normal 9 36 3" xfId="31628"/>
    <cellStyle name="Normal 9 37" xfId="3330"/>
    <cellStyle name="Normal 9 37 2" xfId="18216"/>
    <cellStyle name="Normal 9 37 2 2" xfId="45224"/>
    <cellStyle name="Normal 9 37 3" xfId="31720"/>
    <cellStyle name="Normal 9 38" xfId="3436"/>
    <cellStyle name="Normal 9 38 2" xfId="18308"/>
    <cellStyle name="Normal 9 38 2 2" xfId="45316"/>
    <cellStyle name="Normal 9 38 3" xfId="31812"/>
    <cellStyle name="Normal 9 39" xfId="3542"/>
    <cellStyle name="Normal 9 39 2" xfId="18400"/>
    <cellStyle name="Normal 9 39 2 2" xfId="45408"/>
    <cellStyle name="Normal 9 39 3" xfId="31904"/>
    <cellStyle name="Normal 9 4" xfId="272"/>
    <cellStyle name="Normal 9 4 2" xfId="15582"/>
    <cellStyle name="Normal 9 4 2 2" xfId="42590"/>
    <cellStyle name="Normal 9 4 3" xfId="29086"/>
    <cellStyle name="Normal 9 40" xfId="3648"/>
    <cellStyle name="Normal 9 40 2" xfId="18492"/>
    <cellStyle name="Normal 9 40 2 2" xfId="45500"/>
    <cellStyle name="Normal 9 40 3" xfId="31996"/>
    <cellStyle name="Normal 9 41" xfId="3754"/>
    <cellStyle name="Normal 9 41 2" xfId="18584"/>
    <cellStyle name="Normal 9 41 2 2" xfId="45592"/>
    <cellStyle name="Normal 9 41 3" xfId="32088"/>
    <cellStyle name="Normal 9 42" xfId="3860"/>
    <cellStyle name="Normal 9 42 2" xfId="18676"/>
    <cellStyle name="Normal 9 42 2 2" xfId="45684"/>
    <cellStyle name="Normal 9 42 3" xfId="32180"/>
    <cellStyle name="Normal 9 43" xfId="3966"/>
    <cellStyle name="Normal 9 43 2" xfId="18768"/>
    <cellStyle name="Normal 9 43 2 2" xfId="45776"/>
    <cellStyle name="Normal 9 43 3" xfId="32272"/>
    <cellStyle name="Normal 9 44" xfId="4072"/>
    <cellStyle name="Normal 9 44 2" xfId="18860"/>
    <cellStyle name="Normal 9 44 2 2" xfId="45868"/>
    <cellStyle name="Normal 9 44 3" xfId="32364"/>
    <cellStyle name="Normal 9 45" xfId="4178"/>
    <cellStyle name="Normal 9 45 2" xfId="18952"/>
    <cellStyle name="Normal 9 45 2 2" xfId="45960"/>
    <cellStyle name="Normal 9 45 3" xfId="32456"/>
    <cellStyle name="Normal 9 46" xfId="4284"/>
    <cellStyle name="Normal 9 46 2" xfId="19044"/>
    <cellStyle name="Normal 9 46 2 2" xfId="46052"/>
    <cellStyle name="Normal 9 46 3" xfId="32548"/>
    <cellStyle name="Normal 9 47" xfId="4390"/>
    <cellStyle name="Normal 9 47 2" xfId="19136"/>
    <cellStyle name="Normal 9 47 2 2" xfId="46144"/>
    <cellStyle name="Normal 9 47 3" xfId="32640"/>
    <cellStyle name="Normal 9 48" xfId="4496"/>
    <cellStyle name="Normal 9 48 2" xfId="19228"/>
    <cellStyle name="Normal 9 48 2 2" xfId="46236"/>
    <cellStyle name="Normal 9 48 3" xfId="32732"/>
    <cellStyle name="Normal 9 49" xfId="4602"/>
    <cellStyle name="Normal 9 49 2" xfId="19320"/>
    <cellStyle name="Normal 9 49 2 2" xfId="46328"/>
    <cellStyle name="Normal 9 49 3" xfId="32824"/>
    <cellStyle name="Normal 9 5" xfId="462"/>
    <cellStyle name="Normal 9 5 2" xfId="15723"/>
    <cellStyle name="Normal 9 5 2 2" xfId="42731"/>
    <cellStyle name="Normal 9 5 3" xfId="29227"/>
    <cellStyle name="Normal 9 50" xfId="4708"/>
    <cellStyle name="Normal 9 50 2" xfId="19412"/>
    <cellStyle name="Normal 9 50 2 2" xfId="46420"/>
    <cellStyle name="Normal 9 50 3" xfId="32916"/>
    <cellStyle name="Normal 9 51" xfId="4814"/>
    <cellStyle name="Normal 9 51 2" xfId="19504"/>
    <cellStyle name="Normal 9 51 2 2" xfId="46512"/>
    <cellStyle name="Normal 9 51 3" xfId="33008"/>
    <cellStyle name="Normal 9 52" xfId="4920"/>
    <cellStyle name="Normal 9 52 2" xfId="19596"/>
    <cellStyle name="Normal 9 52 2 2" xfId="46604"/>
    <cellStyle name="Normal 9 52 3" xfId="33100"/>
    <cellStyle name="Normal 9 53" xfId="5026"/>
    <cellStyle name="Normal 9 53 2" xfId="19688"/>
    <cellStyle name="Normal 9 53 2 2" xfId="46696"/>
    <cellStyle name="Normal 9 53 3" xfId="33192"/>
    <cellStyle name="Normal 9 54" xfId="5132"/>
    <cellStyle name="Normal 9 54 2" xfId="19780"/>
    <cellStyle name="Normal 9 54 2 2" xfId="46788"/>
    <cellStyle name="Normal 9 54 3" xfId="33284"/>
    <cellStyle name="Normal 9 55" xfId="5238"/>
    <cellStyle name="Normal 9 55 2" xfId="19872"/>
    <cellStyle name="Normal 9 55 2 2" xfId="46880"/>
    <cellStyle name="Normal 9 55 3" xfId="33376"/>
    <cellStyle name="Normal 9 56" xfId="5344"/>
    <cellStyle name="Normal 9 56 2" xfId="19964"/>
    <cellStyle name="Normal 9 56 2 2" xfId="46972"/>
    <cellStyle name="Normal 9 56 3" xfId="33468"/>
    <cellStyle name="Normal 9 57" xfId="5450"/>
    <cellStyle name="Normal 9 57 2" xfId="20056"/>
    <cellStyle name="Normal 9 57 2 2" xfId="47064"/>
    <cellStyle name="Normal 9 57 3" xfId="33560"/>
    <cellStyle name="Normal 9 58" xfId="5556"/>
    <cellStyle name="Normal 9 58 2" xfId="20148"/>
    <cellStyle name="Normal 9 58 2 2" xfId="47156"/>
    <cellStyle name="Normal 9 58 3" xfId="33652"/>
    <cellStyle name="Normal 9 59" xfId="5662"/>
    <cellStyle name="Normal 9 59 2" xfId="20240"/>
    <cellStyle name="Normal 9 59 2 2" xfId="47248"/>
    <cellStyle name="Normal 9 59 3" xfId="33744"/>
    <cellStyle name="Normal 9 6" xfId="430"/>
    <cellStyle name="Normal 9 6 2" xfId="15698"/>
    <cellStyle name="Normal 9 6 2 2" xfId="42706"/>
    <cellStyle name="Normal 9 6 3" xfId="29202"/>
    <cellStyle name="Normal 9 60" xfId="5768"/>
    <cellStyle name="Normal 9 60 2" xfId="20332"/>
    <cellStyle name="Normal 9 60 2 2" xfId="47340"/>
    <cellStyle name="Normal 9 60 3" xfId="33836"/>
    <cellStyle name="Normal 9 61" xfId="5874"/>
    <cellStyle name="Normal 9 61 2" xfId="20424"/>
    <cellStyle name="Normal 9 61 2 2" xfId="47432"/>
    <cellStyle name="Normal 9 61 3" xfId="33928"/>
    <cellStyle name="Normal 9 62" xfId="5980"/>
    <cellStyle name="Normal 9 62 2" xfId="20516"/>
    <cellStyle name="Normal 9 62 2 2" xfId="47524"/>
    <cellStyle name="Normal 9 62 3" xfId="34020"/>
    <cellStyle name="Normal 9 63" xfId="6086"/>
    <cellStyle name="Normal 9 63 2" xfId="20608"/>
    <cellStyle name="Normal 9 63 2 2" xfId="47616"/>
    <cellStyle name="Normal 9 63 3" xfId="34112"/>
    <cellStyle name="Normal 9 64" xfId="6192"/>
    <cellStyle name="Normal 9 64 2" xfId="20700"/>
    <cellStyle name="Normal 9 64 2 2" xfId="47708"/>
    <cellStyle name="Normal 9 64 3" xfId="34204"/>
    <cellStyle name="Normal 9 65" xfId="6298"/>
    <cellStyle name="Normal 9 65 2" xfId="20792"/>
    <cellStyle name="Normal 9 65 2 2" xfId="47800"/>
    <cellStyle name="Normal 9 65 3" xfId="34296"/>
    <cellStyle name="Normal 9 66" xfId="6404"/>
    <cellStyle name="Normal 9 66 2" xfId="20884"/>
    <cellStyle name="Normal 9 66 2 2" xfId="47892"/>
    <cellStyle name="Normal 9 66 3" xfId="34388"/>
    <cellStyle name="Normal 9 67" xfId="6510"/>
    <cellStyle name="Normal 9 67 2" xfId="20976"/>
    <cellStyle name="Normal 9 67 2 2" xfId="47984"/>
    <cellStyle name="Normal 9 67 3" xfId="34480"/>
    <cellStyle name="Normal 9 68" xfId="6615"/>
    <cellStyle name="Normal 9 68 2" xfId="21067"/>
    <cellStyle name="Normal 9 68 2 2" xfId="48075"/>
    <cellStyle name="Normal 9 68 3" xfId="34571"/>
    <cellStyle name="Normal 9 69" xfId="6720"/>
    <cellStyle name="Normal 9 69 2" xfId="21158"/>
    <cellStyle name="Normal 9 69 2 2" xfId="48166"/>
    <cellStyle name="Normal 9 69 3" xfId="34662"/>
    <cellStyle name="Normal 9 7" xfId="257"/>
    <cellStyle name="Normal 9 7 2" xfId="15572"/>
    <cellStyle name="Normal 9 7 2 2" xfId="42580"/>
    <cellStyle name="Normal 9 7 3" xfId="29076"/>
    <cellStyle name="Normal 9 70" xfId="6825"/>
    <cellStyle name="Normal 9 70 2" xfId="21249"/>
    <cellStyle name="Normal 9 70 2 2" xfId="48257"/>
    <cellStyle name="Normal 9 70 3" xfId="34753"/>
    <cellStyle name="Normal 9 71" xfId="6930"/>
    <cellStyle name="Normal 9 71 2" xfId="21340"/>
    <cellStyle name="Normal 9 71 2 2" xfId="48348"/>
    <cellStyle name="Normal 9 71 3" xfId="34844"/>
    <cellStyle name="Normal 9 72" xfId="7035"/>
    <cellStyle name="Normal 9 72 2" xfId="21431"/>
    <cellStyle name="Normal 9 72 2 2" xfId="48439"/>
    <cellStyle name="Normal 9 72 3" xfId="34935"/>
    <cellStyle name="Normal 9 73" xfId="7139"/>
    <cellStyle name="Normal 9 73 2" xfId="21521"/>
    <cellStyle name="Normal 9 73 2 2" xfId="48529"/>
    <cellStyle name="Normal 9 73 3" xfId="35025"/>
    <cellStyle name="Normal 9 74" xfId="7773"/>
    <cellStyle name="Normal 9 74 2" xfId="22068"/>
    <cellStyle name="Normal 9 74 2 2" xfId="49076"/>
    <cellStyle name="Normal 9 74 3" xfId="35572"/>
    <cellStyle name="Normal 9 75" xfId="7741"/>
    <cellStyle name="Normal 9 75 2" xfId="22043"/>
    <cellStyle name="Normal 9 75 2 2" xfId="49051"/>
    <cellStyle name="Normal 9 75 3" xfId="35547"/>
    <cellStyle name="Normal 9 76" xfId="7709"/>
    <cellStyle name="Normal 9 76 2" xfId="22012"/>
    <cellStyle name="Normal 9 76 2 2" xfId="49020"/>
    <cellStyle name="Normal 9 76 3" xfId="35516"/>
    <cellStyle name="Normal 9 77" xfId="7690"/>
    <cellStyle name="Normal 9 77 2" xfId="22006"/>
    <cellStyle name="Normal 9 77 2 2" xfId="49014"/>
    <cellStyle name="Normal 9 77 3" xfId="35510"/>
    <cellStyle name="Normal 9 78" xfId="7717"/>
    <cellStyle name="Normal 9 78 2" xfId="22019"/>
    <cellStyle name="Normal 9 78 2 2" xfId="49027"/>
    <cellStyle name="Normal 9 78 3" xfId="35523"/>
    <cellStyle name="Normal 9 79" xfId="7782"/>
    <cellStyle name="Normal 9 79 2" xfId="22076"/>
    <cellStyle name="Normal 9 79 2 2" xfId="49084"/>
    <cellStyle name="Normal 9 79 3" xfId="35580"/>
    <cellStyle name="Normal 9 8" xfId="271"/>
    <cellStyle name="Normal 9 8 2" xfId="15581"/>
    <cellStyle name="Normal 9 8 2 2" xfId="42589"/>
    <cellStyle name="Normal 9 8 3" xfId="29085"/>
    <cellStyle name="Normal 9 80" xfId="7889"/>
    <cellStyle name="Normal 9 80 2" xfId="22173"/>
    <cellStyle name="Normal 9 80 2 2" xfId="49181"/>
    <cellStyle name="Normal 9 80 3" xfId="35677"/>
    <cellStyle name="Normal 9 81" xfId="8031"/>
    <cellStyle name="Normal 9 81 2" xfId="22301"/>
    <cellStyle name="Normal 9 81 2 2" xfId="49309"/>
    <cellStyle name="Normal 9 81 3" xfId="35805"/>
    <cellStyle name="Normal 9 82" xfId="8173"/>
    <cellStyle name="Normal 9 82 2" xfId="22429"/>
    <cellStyle name="Normal 9 82 2 2" xfId="49437"/>
    <cellStyle name="Normal 9 82 3" xfId="35933"/>
    <cellStyle name="Normal 9 83" xfId="8315"/>
    <cellStyle name="Normal 9 83 2" xfId="22557"/>
    <cellStyle name="Normal 9 83 2 2" xfId="49565"/>
    <cellStyle name="Normal 9 83 3" xfId="36061"/>
    <cellStyle name="Normal 9 84" xfId="8457"/>
    <cellStyle name="Normal 9 84 2" xfId="22685"/>
    <cellStyle name="Normal 9 84 2 2" xfId="49693"/>
    <cellStyle name="Normal 9 84 3" xfId="36189"/>
    <cellStyle name="Normal 9 85" xfId="8599"/>
    <cellStyle name="Normal 9 85 2" xfId="22813"/>
    <cellStyle name="Normal 9 85 2 2" xfId="49821"/>
    <cellStyle name="Normal 9 85 3" xfId="36317"/>
    <cellStyle name="Normal 9 86" xfId="8741"/>
    <cellStyle name="Normal 9 86 2" xfId="22941"/>
    <cellStyle name="Normal 9 86 2 2" xfId="49949"/>
    <cellStyle name="Normal 9 86 3" xfId="36445"/>
    <cellStyle name="Normal 9 87" xfId="8883"/>
    <cellStyle name="Normal 9 87 2" xfId="23069"/>
    <cellStyle name="Normal 9 87 2 2" xfId="50077"/>
    <cellStyle name="Normal 9 87 3" xfId="36573"/>
    <cellStyle name="Normal 9 88" xfId="9025"/>
    <cellStyle name="Normal 9 88 2" xfId="23197"/>
    <cellStyle name="Normal 9 88 2 2" xfId="50205"/>
    <cellStyle name="Normal 9 88 3" xfId="36701"/>
    <cellStyle name="Normal 9 89" xfId="9167"/>
    <cellStyle name="Normal 9 89 2" xfId="23325"/>
    <cellStyle name="Normal 9 89 2 2" xfId="50333"/>
    <cellStyle name="Normal 9 89 3" xfId="36829"/>
    <cellStyle name="Normal 9 9" xfId="195"/>
    <cellStyle name="Normal 9 9 2" xfId="15549"/>
    <cellStyle name="Normal 9 9 2 2" xfId="42557"/>
    <cellStyle name="Normal 9 9 3" xfId="29053"/>
    <cellStyle name="Normal 9 90" xfId="9309"/>
    <cellStyle name="Normal 9 90 2" xfId="23453"/>
    <cellStyle name="Normal 9 90 2 2" xfId="50461"/>
    <cellStyle name="Normal 9 90 3" xfId="36957"/>
    <cellStyle name="Normal 9 91" xfId="9451"/>
    <cellStyle name="Normal 9 91 2" xfId="23581"/>
    <cellStyle name="Normal 9 91 2 2" xfId="50589"/>
    <cellStyle name="Normal 9 91 3" xfId="37085"/>
    <cellStyle name="Normal 9 92" xfId="9593"/>
    <cellStyle name="Normal 9 92 2" xfId="23709"/>
    <cellStyle name="Normal 9 92 2 2" xfId="50717"/>
    <cellStyle name="Normal 9 92 3" xfId="37213"/>
    <cellStyle name="Normal 9 93" xfId="9735"/>
    <cellStyle name="Normal 9 93 2" xfId="23837"/>
    <cellStyle name="Normal 9 93 2 2" xfId="50845"/>
    <cellStyle name="Normal 9 93 3" xfId="37341"/>
    <cellStyle name="Normal 9 94" xfId="9877"/>
    <cellStyle name="Normal 9 94 2" xfId="23965"/>
    <cellStyle name="Normal 9 94 2 2" xfId="50973"/>
    <cellStyle name="Normal 9 94 3" xfId="37469"/>
    <cellStyle name="Normal 9 95" xfId="10019"/>
    <cellStyle name="Normal 9 95 2" xfId="24093"/>
    <cellStyle name="Normal 9 95 2 2" xfId="51101"/>
    <cellStyle name="Normal 9 95 3" xfId="37597"/>
    <cellStyle name="Normal 9 96" xfId="10161"/>
    <cellStyle name="Normal 9 96 2" xfId="24221"/>
    <cellStyle name="Normal 9 96 2 2" xfId="51229"/>
    <cellStyle name="Normal 9 96 3" xfId="37725"/>
    <cellStyle name="Normal 9 97" xfId="10303"/>
    <cellStyle name="Normal 9 97 2" xfId="24349"/>
    <cellStyle name="Normal 9 97 2 2" xfId="51357"/>
    <cellStyle name="Normal 9 97 3" xfId="37853"/>
    <cellStyle name="Normal 9 98" xfId="10445"/>
    <cellStyle name="Normal 9 98 2" xfId="24477"/>
    <cellStyle name="Normal 9 98 2 2" xfId="51485"/>
    <cellStyle name="Normal 9 98 3" xfId="37981"/>
    <cellStyle name="Normal 9 99" xfId="10587"/>
    <cellStyle name="Normal 9 99 2" xfId="24605"/>
    <cellStyle name="Normal 9 99 2 2" xfId="51613"/>
    <cellStyle name="Normal 9 99 3" xfId="38109"/>
    <cellStyle name="Normal 90" xfId="5127"/>
    <cellStyle name="Normal 90 2" xfId="19777"/>
    <cellStyle name="Normal 90 2 2" xfId="46785"/>
    <cellStyle name="Normal 90 3" xfId="33281"/>
    <cellStyle name="Normal 91" xfId="5233"/>
    <cellStyle name="Normal 91 2" xfId="19869"/>
    <cellStyle name="Normal 91 2 2" xfId="46877"/>
    <cellStyle name="Normal 91 3" xfId="33373"/>
    <cellStyle name="Normal 92" xfId="5339"/>
    <cellStyle name="Normal 92 2" xfId="19961"/>
    <cellStyle name="Normal 92 2 2" xfId="46969"/>
    <cellStyle name="Normal 92 3" xfId="33465"/>
    <cellStyle name="Normal 93" xfId="5445"/>
    <cellStyle name="Normal 93 2" xfId="20053"/>
    <cellStyle name="Normal 93 2 2" xfId="47061"/>
    <cellStyle name="Normal 93 3" xfId="33557"/>
    <cellStyle name="Normal 94" xfId="5551"/>
    <cellStyle name="Normal 94 2" xfId="20145"/>
    <cellStyle name="Normal 94 2 2" xfId="47153"/>
    <cellStyle name="Normal 94 3" xfId="33649"/>
    <cellStyle name="Normal 95" xfId="5657"/>
    <cellStyle name="Normal 95 2" xfId="20237"/>
    <cellStyle name="Normal 95 2 2" xfId="47245"/>
    <cellStyle name="Normal 95 3" xfId="33741"/>
    <cellStyle name="Normal 96" xfId="5763"/>
    <cellStyle name="Normal 96 2" xfId="20329"/>
    <cellStyle name="Normal 96 2 2" xfId="47337"/>
    <cellStyle name="Normal 96 3" xfId="33833"/>
    <cellStyle name="Normal 97" xfId="5869"/>
    <cellStyle name="Normal 97 2" xfId="20421"/>
    <cellStyle name="Normal 97 2 2" xfId="47429"/>
    <cellStyle name="Normal 97 3" xfId="33925"/>
    <cellStyle name="Normal 98" xfId="5975"/>
    <cellStyle name="Normal 98 2" xfId="20513"/>
    <cellStyle name="Normal 98 2 2" xfId="47521"/>
    <cellStyle name="Normal 98 3" xfId="34017"/>
    <cellStyle name="Normal 99" xfId="6081"/>
    <cellStyle name="Normal 99 2" xfId="20605"/>
    <cellStyle name="Normal 99 2 2" xfId="47613"/>
    <cellStyle name="Normal 99 3" xfId="34109"/>
    <cellStyle name="Note 10" xfId="15370"/>
    <cellStyle name="Note 10 2" xfId="28916"/>
    <cellStyle name="Note 10 2 2" xfId="55924"/>
    <cellStyle name="Note 10 3" xfId="42420"/>
    <cellStyle name="Note 11" xfId="15414"/>
    <cellStyle name="Note 11 2" xfId="28932"/>
    <cellStyle name="Note 11 2 2" xfId="55940"/>
    <cellStyle name="Note 11 3" xfId="42436"/>
    <cellStyle name="Note 2" xfId="65"/>
    <cellStyle name="Note 2 10" xfId="890"/>
    <cellStyle name="Note 2 10 2" xfId="16098"/>
    <cellStyle name="Note 2 10 2 2" xfId="43106"/>
    <cellStyle name="Note 2 10 3" xfId="29602"/>
    <cellStyle name="Note 2 100" xfId="11365"/>
    <cellStyle name="Note 2 100 2" xfId="25305"/>
    <cellStyle name="Note 2 100 2 2" xfId="52313"/>
    <cellStyle name="Note 2 100 3" xfId="38809"/>
    <cellStyle name="Note 2 101" xfId="11507"/>
    <cellStyle name="Note 2 101 2" xfId="25433"/>
    <cellStyle name="Note 2 101 2 2" xfId="52441"/>
    <cellStyle name="Note 2 101 3" xfId="38937"/>
    <cellStyle name="Note 2 102" xfId="11649"/>
    <cellStyle name="Note 2 102 2" xfId="25561"/>
    <cellStyle name="Note 2 102 2 2" xfId="52569"/>
    <cellStyle name="Note 2 102 3" xfId="39065"/>
    <cellStyle name="Note 2 103" xfId="11791"/>
    <cellStyle name="Note 2 103 2" xfId="25689"/>
    <cellStyle name="Note 2 103 2 2" xfId="52697"/>
    <cellStyle name="Note 2 103 3" xfId="39193"/>
    <cellStyle name="Note 2 104" xfId="11933"/>
    <cellStyle name="Note 2 104 2" xfId="25817"/>
    <cellStyle name="Note 2 104 2 2" xfId="52825"/>
    <cellStyle name="Note 2 104 3" xfId="39321"/>
    <cellStyle name="Note 2 105" xfId="12075"/>
    <cellStyle name="Note 2 105 2" xfId="25945"/>
    <cellStyle name="Note 2 105 2 2" xfId="52953"/>
    <cellStyle name="Note 2 105 3" xfId="39449"/>
    <cellStyle name="Note 2 106" xfId="12217"/>
    <cellStyle name="Note 2 106 2" xfId="26073"/>
    <cellStyle name="Note 2 106 2 2" xfId="53081"/>
    <cellStyle name="Note 2 106 3" xfId="39577"/>
    <cellStyle name="Note 2 107" xfId="12359"/>
    <cellStyle name="Note 2 107 2" xfId="26201"/>
    <cellStyle name="Note 2 107 2 2" xfId="53209"/>
    <cellStyle name="Note 2 107 3" xfId="39705"/>
    <cellStyle name="Note 2 108" xfId="12501"/>
    <cellStyle name="Note 2 108 2" xfId="26329"/>
    <cellStyle name="Note 2 108 2 2" xfId="53337"/>
    <cellStyle name="Note 2 108 3" xfId="39833"/>
    <cellStyle name="Note 2 109" xfId="12643"/>
    <cellStyle name="Note 2 109 2" xfId="26457"/>
    <cellStyle name="Note 2 109 2 2" xfId="53465"/>
    <cellStyle name="Note 2 109 3" xfId="39961"/>
    <cellStyle name="Note 2 11" xfId="996"/>
    <cellStyle name="Note 2 11 2" xfId="16190"/>
    <cellStyle name="Note 2 11 2 2" xfId="43198"/>
    <cellStyle name="Note 2 11 3" xfId="29694"/>
    <cellStyle name="Note 2 110" xfId="12785"/>
    <cellStyle name="Note 2 110 2" xfId="26585"/>
    <cellStyle name="Note 2 110 2 2" xfId="53593"/>
    <cellStyle name="Note 2 110 3" xfId="40089"/>
    <cellStyle name="Note 2 111" xfId="12927"/>
    <cellStyle name="Note 2 111 2" xfId="26713"/>
    <cellStyle name="Note 2 111 2 2" xfId="53721"/>
    <cellStyle name="Note 2 111 3" xfId="40217"/>
    <cellStyle name="Note 2 112" xfId="13069"/>
    <cellStyle name="Note 2 112 2" xfId="26841"/>
    <cellStyle name="Note 2 112 2 2" xfId="53849"/>
    <cellStyle name="Note 2 112 3" xfId="40345"/>
    <cellStyle name="Note 2 113" xfId="13211"/>
    <cellStyle name="Note 2 113 2" xfId="26969"/>
    <cellStyle name="Note 2 113 2 2" xfId="53977"/>
    <cellStyle name="Note 2 113 3" xfId="40473"/>
    <cellStyle name="Note 2 114" xfId="13353"/>
    <cellStyle name="Note 2 114 2" xfId="27097"/>
    <cellStyle name="Note 2 114 2 2" xfId="54105"/>
    <cellStyle name="Note 2 114 3" xfId="40601"/>
    <cellStyle name="Note 2 115" xfId="13495"/>
    <cellStyle name="Note 2 115 2" xfId="27225"/>
    <cellStyle name="Note 2 115 2 2" xfId="54233"/>
    <cellStyle name="Note 2 115 3" xfId="40729"/>
    <cellStyle name="Note 2 116" xfId="13637"/>
    <cellStyle name="Note 2 116 2" xfId="27353"/>
    <cellStyle name="Note 2 116 2 2" xfId="54361"/>
    <cellStyle name="Note 2 116 3" xfId="40857"/>
    <cellStyle name="Note 2 117" xfId="13779"/>
    <cellStyle name="Note 2 117 2" xfId="27481"/>
    <cellStyle name="Note 2 117 2 2" xfId="54489"/>
    <cellStyle name="Note 2 117 3" xfId="40985"/>
    <cellStyle name="Note 2 118" xfId="13920"/>
    <cellStyle name="Note 2 118 2" xfId="27608"/>
    <cellStyle name="Note 2 118 2 2" xfId="54616"/>
    <cellStyle name="Note 2 118 3" xfId="41112"/>
    <cellStyle name="Note 2 119" xfId="14061"/>
    <cellStyle name="Note 2 119 2" xfId="27735"/>
    <cellStyle name="Note 2 119 2 2" xfId="54743"/>
    <cellStyle name="Note 2 119 3" xfId="41239"/>
    <cellStyle name="Note 2 12" xfId="1102"/>
    <cellStyle name="Note 2 12 2" xfId="16282"/>
    <cellStyle name="Note 2 12 2 2" xfId="43290"/>
    <cellStyle name="Note 2 12 3" xfId="29786"/>
    <cellStyle name="Note 2 120" xfId="14202"/>
    <cellStyle name="Note 2 120 2" xfId="27862"/>
    <cellStyle name="Note 2 120 2 2" xfId="54870"/>
    <cellStyle name="Note 2 120 3" xfId="41366"/>
    <cellStyle name="Note 2 121" xfId="14343"/>
    <cellStyle name="Note 2 121 2" xfId="27989"/>
    <cellStyle name="Note 2 121 2 2" xfId="54997"/>
    <cellStyle name="Note 2 121 3" xfId="41493"/>
    <cellStyle name="Note 2 122" xfId="14483"/>
    <cellStyle name="Note 2 122 2" xfId="28115"/>
    <cellStyle name="Note 2 122 2 2" xfId="55123"/>
    <cellStyle name="Note 2 122 3" xfId="41619"/>
    <cellStyle name="Note 2 123" xfId="14623"/>
    <cellStyle name="Note 2 123 2" xfId="28241"/>
    <cellStyle name="Note 2 123 2 2" xfId="55249"/>
    <cellStyle name="Note 2 123 3" xfId="41745"/>
    <cellStyle name="Note 2 124" xfId="14762"/>
    <cellStyle name="Note 2 124 2" xfId="28366"/>
    <cellStyle name="Note 2 124 2 2" xfId="55374"/>
    <cellStyle name="Note 2 124 3" xfId="41870"/>
    <cellStyle name="Note 2 125" xfId="14897"/>
    <cellStyle name="Note 2 125 2" xfId="28488"/>
    <cellStyle name="Note 2 125 2 2" xfId="55496"/>
    <cellStyle name="Note 2 125 3" xfId="41992"/>
    <cellStyle name="Note 2 126" xfId="15031"/>
    <cellStyle name="Note 2 126 2" xfId="28609"/>
    <cellStyle name="Note 2 126 2 2" xfId="55617"/>
    <cellStyle name="Note 2 126 3" xfId="42113"/>
    <cellStyle name="Note 2 127" xfId="15159"/>
    <cellStyle name="Note 2 127 2" xfId="28726"/>
    <cellStyle name="Note 2 127 2 2" xfId="55734"/>
    <cellStyle name="Note 2 127 3" xfId="42230"/>
    <cellStyle name="Note 2 128" xfId="15455"/>
    <cellStyle name="Note 2 128 2" xfId="42463"/>
    <cellStyle name="Note 2 129" xfId="28959"/>
    <cellStyle name="Note 2 13" xfId="1208"/>
    <cellStyle name="Note 2 13 2" xfId="16374"/>
    <cellStyle name="Note 2 13 2 2" xfId="43382"/>
    <cellStyle name="Note 2 13 3" xfId="29878"/>
    <cellStyle name="Note 2 14" xfId="1314"/>
    <cellStyle name="Note 2 14 2" xfId="16466"/>
    <cellStyle name="Note 2 14 2 2" xfId="43474"/>
    <cellStyle name="Note 2 14 3" xfId="29970"/>
    <cellStyle name="Note 2 15" xfId="1420"/>
    <cellStyle name="Note 2 15 2" xfId="16558"/>
    <cellStyle name="Note 2 15 2 2" xfId="43566"/>
    <cellStyle name="Note 2 15 3" xfId="30062"/>
    <cellStyle name="Note 2 16" xfId="1526"/>
    <cellStyle name="Note 2 16 2" xfId="16650"/>
    <cellStyle name="Note 2 16 2 2" xfId="43658"/>
    <cellStyle name="Note 2 16 3" xfId="30154"/>
    <cellStyle name="Note 2 17" xfId="1632"/>
    <cellStyle name="Note 2 17 2" xfId="16742"/>
    <cellStyle name="Note 2 17 2 2" xfId="43750"/>
    <cellStyle name="Note 2 17 3" xfId="30246"/>
    <cellStyle name="Note 2 18" xfId="1738"/>
    <cellStyle name="Note 2 18 2" xfId="16834"/>
    <cellStyle name="Note 2 18 2 2" xfId="43842"/>
    <cellStyle name="Note 2 18 3" xfId="30338"/>
    <cellStyle name="Note 2 19" xfId="1844"/>
    <cellStyle name="Note 2 19 2" xfId="16926"/>
    <cellStyle name="Note 2 19 2 2" xfId="43934"/>
    <cellStyle name="Note 2 19 3" xfId="30430"/>
    <cellStyle name="Note 2 2" xfId="130"/>
    <cellStyle name="Note 2 2 10" xfId="1129"/>
    <cellStyle name="Note 2 2 10 2" xfId="16303"/>
    <cellStyle name="Note 2 2 10 2 2" xfId="43311"/>
    <cellStyle name="Note 2 2 10 3" xfId="29807"/>
    <cellStyle name="Note 2 2 100" xfId="11784"/>
    <cellStyle name="Note 2 2 100 2" xfId="25682"/>
    <cellStyle name="Note 2 2 100 2 2" xfId="52690"/>
    <cellStyle name="Note 2 2 100 3" xfId="39186"/>
    <cellStyle name="Note 2 2 101" xfId="11926"/>
    <cellStyle name="Note 2 2 101 2" xfId="25810"/>
    <cellStyle name="Note 2 2 101 2 2" xfId="52818"/>
    <cellStyle name="Note 2 2 101 3" xfId="39314"/>
    <cellStyle name="Note 2 2 102" xfId="12068"/>
    <cellStyle name="Note 2 2 102 2" xfId="25938"/>
    <cellStyle name="Note 2 2 102 2 2" xfId="52946"/>
    <cellStyle name="Note 2 2 102 3" xfId="39442"/>
    <cellStyle name="Note 2 2 103" xfId="12210"/>
    <cellStyle name="Note 2 2 103 2" xfId="26066"/>
    <cellStyle name="Note 2 2 103 2 2" xfId="53074"/>
    <cellStyle name="Note 2 2 103 3" xfId="39570"/>
    <cellStyle name="Note 2 2 104" xfId="12352"/>
    <cellStyle name="Note 2 2 104 2" xfId="26194"/>
    <cellStyle name="Note 2 2 104 2 2" xfId="53202"/>
    <cellStyle name="Note 2 2 104 3" xfId="39698"/>
    <cellStyle name="Note 2 2 105" xfId="12494"/>
    <cellStyle name="Note 2 2 105 2" xfId="26322"/>
    <cellStyle name="Note 2 2 105 2 2" xfId="53330"/>
    <cellStyle name="Note 2 2 105 3" xfId="39826"/>
    <cellStyle name="Note 2 2 106" xfId="12636"/>
    <cellStyle name="Note 2 2 106 2" xfId="26450"/>
    <cellStyle name="Note 2 2 106 2 2" xfId="53458"/>
    <cellStyle name="Note 2 2 106 3" xfId="39954"/>
    <cellStyle name="Note 2 2 107" xfId="12778"/>
    <cellStyle name="Note 2 2 107 2" xfId="26578"/>
    <cellStyle name="Note 2 2 107 2 2" xfId="53586"/>
    <cellStyle name="Note 2 2 107 3" xfId="40082"/>
    <cellStyle name="Note 2 2 108" xfId="12920"/>
    <cellStyle name="Note 2 2 108 2" xfId="26706"/>
    <cellStyle name="Note 2 2 108 2 2" xfId="53714"/>
    <cellStyle name="Note 2 2 108 3" xfId="40210"/>
    <cellStyle name="Note 2 2 109" xfId="13062"/>
    <cellStyle name="Note 2 2 109 2" xfId="26834"/>
    <cellStyle name="Note 2 2 109 2 2" xfId="53842"/>
    <cellStyle name="Note 2 2 109 3" xfId="40338"/>
    <cellStyle name="Note 2 2 11" xfId="1235"/>
    <cellStyle name="Note 2 2 11 2" xfId="16395"/>
    <cellStyle name="Note 2 2 11 2 2" xfId="43403"/>
    <cellStyle name="Note 2 2 11 3" xfId="29899"/>
    <cellStyle name="Note 2 2 110" xfId="13204"/>
    <cellStyle name="Note 2 2 110 2" xfId="26962"/>
    <cellStyle name="Note 2 2 110 2 2" xfId="53970"/>
    <cellStyle name="Note 2 2 110 3" xfId="40466"/>
    <cellStyle name="Note 2 2 111" xfId="13346"/>
    <cellStyle name="Note 2 2 111 2" xfId="27090"/>
    <cellStyle name="Note 2 2 111 2 2" xfId="54098"/>
    <cellStyle name="Note 2 2 111 3" xfId="40594"/>
    <cellStyle name="Note 2 2 112" xfId="13488"/>
    <cellStyle name="Note 2 2 112 2" xfId="27218"/>
    <cellStyle name="Note 2 2 112 2 2" xfId="54226"/>
    <cellStyle name="Note 2 2 112 3" xfId="40722"/>
    <cellStyle name="Note 2 2 113" xfId="13630"/>
    <cellStyle name="Note 2 2 113 2" xfId="27346"/>
    <cellStyle name="Note 2 2 113 2 2" xfId="54354"/>
    <cellStyle name="Note 2 2 113 3" xfId="40850"/>
    <cellStyle name="Note 2 2 114" xfId="13772"/>
    <cellStyle name="Note 2 2 114 2" xfId="27474"/>
    <cellStyle name="Note 2 2 114 2 2" xfId="54482"/>
    <cellStyle name="Note 2 2 114 3" xfId="40978"/>
    <cellStyle name="Note 2 2 115" xfId="13913"/>
    <cellStyle name="Note 2 2 115 2" xfId="27601"/>
    <cellStyle name="Note 2 2 115 2 2" xfId="54609"/>
    <cellStyle name="Note 2 2 115 3" xfId="41105"/>
    <cellStyle name="Note 2 2 116" xfId="14054"/>
    <cellStyle name="Note 2 2 116 2" xfId="27728"/>
    <cellStyle name="Note 2 2 116 2 2" xfId="54736"/>
    <cellStyle name="Note 2 2 116 3" xfId="41232"/>
    <cellStyle name="Note 2 2 117" xfId="14195"/>
    <cellStyle name="Note 2 2 117 2" xfId="27855"/>
    <cellStyle name="Note 2 2 117 2 2" xfId="54863"/>
    <cellStyle name="Note 2 2 117 3" xfId="41359"/>
    <cellStyle name="Note 2 2 118" xfId="14336"/>
    <cellStyle name="Note 2 2 118 2" xfId="27982"/>
    <cellStyle name="Note 2 2 118 2 2" xfId="54990"/>
    <cellStyle name="Note 2 2 118 3" xfId="41486"/>
    <cellStyle name="Note 2 2 119" xfId="14476"/>
    <cellStyle name="Note 2 2 119 2" xfId="28108"/>
    <cellStyle name="Note 2 2 119 2 2" xfId="55116"/>
    <cellStyle name="Note 2 2 119 3" xfId="41612"/>
    <cellStyle name="Note 2 2 12" xfId="1341"/>
    <cellStyle name="Note 2 2 12 2" xfId="16487"/>
    <cellStyle name="Note 2 2 12 2 2" xfId="43495"/>
    <cellStyle name="Note 2 2 12 3" xfId="29991"/>
    <cellStyle name="Note 2 2 120" xfId="14616"/>
    <cellStyle name="Note 2 2 120 2" xfId="28234"/>
    <cellStyle name="Note 2 2 120 2 2" xfId="55242"/>
    <cellStyle name="Note 2 2 120 3" xfId="41738"/>
    <cellStyle name="Note 2 2 121" xfId="14755"/>
    <cellStyle name="Note 2 2 121 2" xfId="28359"/>
    <cellStyle name="Note 2 2 121 2 2" xfId="55367"/>
    <cellStyle name="Note 2 2 121 3" xfId="41863"/>
    <cellStyle name="Note 2 2 122" xfId="14890"/>
    <cellStyle name="Note 2 2 122 2" xfId="28481"/>
    <cellStyle name="Note 2 2 122 2 2" xfId="55489"/>
    <cellStyle name="Note 2 2 122 3" xfId="41985"/>
    <cellStyle name="Note 2 2 123" xfId="15024"/>
    <cellStyle name="Note 2 2 123 2" xfId="28602"/>
    <cellStyle name="Note 2 2 123 2 2" xfId="55610"/>
    <cellStyle name="Note 2 2 123 3" xfId="42106"/>
    <cellStyle name="Note 2 2 124" xfId="15152"/>
    <cellStyle name="Note 2 2 124 2" xfId="28719"/>
    <cellStyle name="Note 2 2 124 2 2" xfId="55727"/>
    <cellStyle name="Note 2 2 124 3" xfId="42223"/>
    <cellStyle name="Note 2 2 125" xfId="15273"/>
    <cellStyle name="Note 2 2 125 2" xfId="28833"/>
    <cellStyle name="Note 2 2 125 2 2" xfId="55841"/>
    <cellStyle name="Note 2 2 125 3" xfId="42337"/>
    <cellStyle name="Note 2 2 126" xfId="15488"/>
    <cellStyle name="Note 2 2 126 2" xfId="42496"/>
    <cellStyle name="Note 2 2 127" xfId="28992"/>
    <cellStyle name="Note 2 2 13" xfId="1447"/>
    <cellStyle name="Note 2 2 13 2" xfId="16579"/>
    <cellStyle name="Note 2 2 13 2 2" xfId="43587"/>
    <cellStyle name="Note 2 2 13 3" xfId="30083"/>
    <cellStyle name="Note 2 2 14" xfId="1553"/>
    <cellStyle name="Note 2 2 14 2" xfId="16671"/>
    <cellStyle name="Note 2 2 14 2 2" xfId="43679"/>
    <cellStyle name="Note 2 2 14 3" xfId="30175"/>
    <cellStyle name="Note 2 2 15" xfId="1659"/>
    <cellStyle name="Note 2 2 15 2" xfId="16763"/>
    <cellStyle name="Note 2 2 15 2 2" xfId="43771"/>
    <cellStyle name="Note 2 2 15 3" xfId="30267"/>
    <cellStyle name="Note 2 2 16" xfId="1765"/>
    <cellStyle name="Note 2 2 16 2" xfId="16855"/>
    <cellStyle name="Note 2 2 16 2 2" xfId="43863"/>
    <cellStyle name="Note 2 2 16 3" xfId="30359"/>
    <cellStyle name="Note 2 2 17" xfId="1871"/>
    <cellStyle name="Note 2 2 17 2" xfId="16947"/>
    <cellStyle name="Note 2 2 17 2 2" xfId="43955"/>
    <cellStyle name="Note 2 2 17 3" xfId="30451"/>
    <cellStyle name="Note 2 2 18" xfId="1977"/>
    <cellStyle name="Note 2 2 18 2" xfId="17039"/>
    <cellStyle name="Note 2 2 18 2 2" xfId="44047"/>
    <cellStyle name="Note 2 2 18 3" xfId="30543"/>
    <cellStyle name="Note 2 2 19" xfId="2083"/>
    <cellStyle name="Note 2 2 19 2" xfId="17131"/>
    <cellStyle name="Note 2 2 19 2 2" xfId="44139"/>
    <cellStyle name="Note 2 2 19 3" xfId="30635"/>
    <cellStyle name="Note 2 2 2" xfId="307"/>
    <cellStyle name="Note 2 2 2 2" xfId="15609"/>
    <cellStyle name="Note 2 2 2 2 2" xfId="42617"/>
    <cellStyle name="Note 2 2 2 3" xfId="29113"/>
    <cellStyle name="Note 2 2 20" xfId="2189"/>
    <cellStyle name="Note 2 2 20 2" xfId="17223"/>
    <cellStyle name="Note 2 2 20 2 2" xfId="44231"/>
    <cellStyle name="Note 2 2 20 3" xfId="30727"/>
    <cellStyle name="Note 2 2 21" xfId="2295"/>
    <cellStyle name="Note 2 2 21 2" xfId="17315"/>
    <cellStyle name="Note 2 2 21 2 2" xfId="44323"/>
    <cellStyle name="Note 2 2 21 3" xfId="30819"/>
    <cellStyle name="Note 2 2 22" xfId="2401"/>
    <cellStyle name="Note 2 2 22 2" xfId="17407"/>
    <cellStyle name="Note 2 2 22 2 2" xfId="44415"/>
    <cellStyle name="Note 2 2 22 3" xfId="30911"/>
    <cellStyle name="Note 2 2 23" xfId="2507"/>
    <cellStyle name="Note 2 2 23 2" xfId="17499"/>
    <cellStyle name="Note 2 2 23 2 2" xfId="44507"/>
    <cellStyle name="Note 2 2 23 3" xfId="31003"/>
    <cellStyle name="Note 2 2 24" xfId="2613"/>
    <cellStyle name="Note 2 2 24 2" xfId="17591"/>
    <cellStyle name="Note 2 2 24 2 2" xfId="44599"/>
    <cellStyle name="Note 2 2 24 3" xfId="31095"/>
    <cellStyle name="Note 2 2 25" xfId="2719"/>
    <cellStyle name="Note 2 2 25 2" xfId="17683"/>
    <cellStyle name="Note 2 2 25 2 2" xfId="44691"/>
    <cellStyle name="Note 2 2 25 3" xfId="31187"/>
    <cellStyle name="Note 2 2 26" xfId="2825"/>
    <cellStyle name="Note 2 2 26 2" xfId="17775"/>
    <cellStyle name="Note 2 2 26 2 2" xfId="44783"/>
    <cellStyle name="Note 2 2 26 3" xfId="31279"/>
    <cellStyle name="Note 2 2 27" xfId="2931"/>
    <cellStyle name="Note 2 2 27 2" xfId="17867"/>
    <cellStyle name="Note 2 2 27 2 2" xfId="44875"/>
    <cellStyle name="Note 2 2 27 3" xfId="31371"/>
    <cellStyle name="Note 2 2 28" xfId="3037"/>
    <cellStyle name="Note 2 2 28 2" xfId="17959"/>
    <cellStyle name="Note 2 2 28 2 2" xfId="44967"/>
    <cellStyle name="Note 2 2 28 3" xfId="31463"/>
    <cellStyle name="Note 2 2 29" xfId="3143"/>
    <cellStyle name="Note 2 2 29 2" xfId="18051"/>
    <cellStyle name="Note 2 2 29 2 2" xfId="45059"/>
    <cellStyle name="Note 2 2 29 3" xfId="31555"/>
    <cellStyle name="Note 2 2 3" xfId="494"/>
    <cellStyle name="Note 2 2 3 2" xfId="15750"/>
    <cellStyle name="Note 2 2 3 2 2" xfId="42758"/>
    <cellStyle name="Note 2 2 3 3" xfId="29254"/>
    <cellStyle name="Note 2 2 30" xfId="3249"/>
    <cellStyle name="Note 2 2 30 2" xfId="18143"/>
    <cellStyle name="Note 2 2 30 2 2" xfId="45151"/>
    <cellStyle name="Note 2 2 30 3" xfId="31647"/>
    <cellStyle name="Note 2 2 31" xfId="3355"/>
    <cellStyle name="Note 2 2 31 2" xfId="18235"/>
    <cellStyle name="Note 2 2 31 2 2" xfId="45243"/>
    <cellStyle name="Note 2 2 31 3" xfId="31739"/>
    <cellStyle name="Note 2 2 32" xfId="3461"/>
    <cellStyle name="Note 2 2 32 2" xfId="18327"/>
    <cellStyle name="Note 2 2 32 2 2" xfId="45335"/>
    <cellStyle name="Note 2 2 32 3" xfId="31831"/>
    <cellStyle name="Note 2 2 33" xfId="3567"/>
    <cellStyle name="Note 2 2 33 2" xfId="18419"/>
    <cellStyle name="Note 2 2 33 2 2" xfId="45427"/>
    <cellStyle name="Note 2 2 33 3" xfId="31923"/>
    <cellStyle name="Note 2 2 34" xfId="3673"/>
    <cellStyle name="Note 2 2 34 2" xfId="18511"/>
    <cellStyle name="Note 2 2 34 2 2" xfId="45519"/>
    <cellStyle name="Note 2 2 34 3" xfId="32015"/>
    <cellStyle name="Note 2 2 35" xfId="3779"/>
    <cellStyle name="Note 2 2 35 2" xfId="18603"/>
    <cellStyle name="Note 2 2 35 2 2" xfId="45611"/>
    <cellStyle name="Note 2 2 35 3" xfId="32107"/>
    <cellStyle name="Note 2 2 36" xfId="3885"/>
    <cellStyle name="Note 2 2 36 2" xfId="18695"/>
    <cellStyle name="Note 2 2 36 2 2" xfId="45703"/>
    <cellStyle name="Note 2 2 36 3" xfId="32199"/>
    <cellStyle name="Note 2 2 37" xfId="3991"/>
    <cellStyle name="Note 2 2 37 2" xfId="18787"/>
    <cellStyle name="Note 2 2 37 2 2" xfId="45795"/>
    <cellStyle name="Note 2 2 37 3" xfId="32291"/>
    <cellStyle name="Note 2 2 38" xfId="4097"/>
    <cellStyle name="Note 2 2 38 2" xfId="18879"/>
    <cellStyle name="Note 2 2 38 2 2" xfId="45887"/>
    <cellStyle name="Note 2 2 38 3" xfId="32383"/>
    <cellStyle name="Note 2 2 39" xfId="4203"/>
    <cellStyle name="Note 2 2 39 2" xfId="18971"/>
    <cellStyle name="Note 2 2 39 2 2" xfId="45979"/>
    <cellStyle name="Note 2 2 39 3" xfId="32475"/>
    <cellStyle name="Note 2 2 4" xfId="485"/>
    <cellStyle name="Note 2 2 4 2" xfId="15741"/>
    <cellStyle name="Note 2 2 4 2 2" xfId="42749"/>
    <cellStyle name="Note 2 2 4 3" xfId="29245"/>
    <cellStyle name="Note 2 2 40" xfId="4309"/>
    <cellStyle name="Note 2 2 40 2" xfId="19063"/>
    <cellStyle name="Note 2 2 40 2 2" xfId="46071"/>
    <cellStyle name="Note 2 2 40 3" xfId="32567"/>
    <cellStyle name="Note 2 2 41" xfId="4415"/>
    <cellStyle name="Note 2 2 41 2" xfId="19155"/>
    <cellStyle name="Note 2 2 41 2 2" xfId="46163"/>
    <cellStyle name="Note 2 2 41 3" xfId="32659"/>
    <cellStyle name="Note 2 2 42" xfId="4521"/>
    <cellStyle name="Note 2 2 42 2" xfId="19247"/>
    <cellStyle name="Note 2 2 42 2 2" xfId="46255"/>
    <cellStyle name="Note 2 2 42 3" xfId="32751"/>
    <cellStyle name="Note 2 2 43" xfId="4627"/>
    <cellStyle name="Note 2 2 43 2" xfId="19339"/>
    <cellStyle name="Note 2 2 43 2 2" xfId="46347"/>
    <cellStyle name="Note 2 2 43 3" xfId="32843"/>
    <cellStyle name="Note 2 2 44" xfId="4733"/>
    <cellStyle name="Note 2 2 44 2" xfId="19431"/>
    <cellStyle name="Note 2 2 44 2 2" xfId="46439"/>
    <cellStyle name="Note 2 2 44 3" xfId="32935"/>
    <cellStyle name="Note 2 2 45" xfId="4839"/>
    <cellStyle name="Note 2 2 45 2" xfId="19523"/>
    <cellStyle name="Note 2 2 45 2 2" xfId="46531"/>
    <cellStyle name="Note 2 2 45 3" xfId="33027"/>
    <cellStyle name="Note 2 2 46" xfId="4945"/>
    <cellStyle name="Note 2 2 46 2" xfId="19615"/>
    <cellStyle name="Note 2 2 46 2 2" xfId="46623"/>
    <cellStyle name="Note 2 2 46 3" xfId="33119"/>
    <cellStyle name="Note 2 2 47" xfId="5051"/>
    <cellStyle name="Note 2 2 47 2" xfId="19707"/>
    <cellStyle name="Note 2 2 47 2 2" xfId="46715"/>
    <cellStyle name="Note 2 2 47 3" xfId="33211"/>
    <cellStyle name="Note 2 2 48" xfId="5157"/>
    <cellStyle name="Note 2 2 48 2" xfId="19799"/>
    <cellStyle name="Note 2 2 48 2 2" xfId="46807"/>
    <cellStyle name="Note 2 2 48 3" xfId="33303"/>
    <cellStyle name="Note 2 2 49" xfId="5263"/>
    <cellStyle name="Note 2 2 49 2" xfId="19891"/>
    <cellStyle name="Note 2 2 49 2 2" xfId="46899"/>
    <cellStyle name="Note 2 2 49 3" xfId="33395"/>
    <cellStyle name="Note 2 2 5" xfId="599"/>
    <cellStyle name="Note 2 2 5 2" xfId="15843"/>
    <cellStyle name="Note 2 2 5 2 2" xfId="42851"/>
    <cellStyle name="Note 2 2 5 3" xfId="29347"/>
    <cellStyle name="Note 2 2 50" xfId="5369"/>
    <cellStyle name="Note 2 2 50 2" xfId="19983"/>
    <cellStyle name="Note 2 2 50 2 2" xfId="46991"/>
    <cellStyle name="Note 2 2 50 3" xfId="33487"/>
    <cellStyle name="Note 2 2 51" xfId="5475"/>
    <cellStyle name="Note 2 2 51 2" xfId="20075"/>
    <cellStyle name="Note 2 2 51 2 2" xfId="47083"/>
    <cellStyle name="Note 2 2 51 3" xfId="33579"/>
    <cellStyle name="Note 2 2 52" xfId="5581"/>
    <cellStyle name="Note 2 2 52 2" xfId="20167"/>
    <cellStyle name="Note 2 2 52 2 2" xfId="47175"/>
    <cellStyle name="Note 2 2 52 3" xfId="33671"/>
    <cellStyle name="Note 2 2 53" xfId="5687"/>
    <cellStyle name="Note 2 2 53 2" xfId="20259"/>
    <cellStyle name="Note 2 2 53 2 2" xfId="47267"/>
    <cellStyle name="Note 2 2 53 3" xfId="33763"/>
    <cellStyle name="Note 2 2 54" xfId="5793"/>
    <cellStyle name="Note 2 2 54 2" xfId="20351"/>
    <cellStyle name="Note 2 2 54 2 2" xfId="47359"/>
    <cellStyle name="Note 2 2 54 3" xfId="33855"/>
    <cellStyle name="Note 2 2 55" xfId="5899"/>
    <cellStyle name="Note 2 2 55 2" xfId="20443"/>
    <cellStyle name="Note 2 2 55 2 2" xfId="47451"/>
    <cellStyle name="Note 2 2 55 3" xfId="33947"/>
    <cellStyle name="Note 2 2 56" xfId="6005"/>
    <cellStyle name="Note 2 2 56 2" xfId="20535"/>
    <cellStyle name="Note 2 2 56 2 2" xfId="47543"/>
    <cellStyle name="Note 2 2 56 3" xfId="34039"/>
    <cellStyle name="Note 2 2 57" xfId="6111"/>
    <cellStyle name="Note 2 2 57 2" xfId="20627"/>
    <cellStyle name="Note 2 2 57 2 2" xfId="47635"/>
    <cellStyle name="Note 2 2 57 3" xfId="34131"/>
    <cellStyle name="Note 2 2 58" xfId="6217"/>
    <cellStyle name="Note 2 2 58 2" xfId="20719"/>
    <cellStyle name="Note 2 2 58 2 2" xfId="47727"/>
    <cellStyle name="Note 2 2 58 3" xfId="34223"/>
    <cellStyle name="Note 2 2 59" xfId="6323"/>
    <cellStyle name="Note 2 2 59 2" xfId="20811"/>
    <cellStyle name="Note 2 2 59 2 2" xfId="47819"/>
    <cellStyle name="Note 2 2 59 3" xfId="34315"/>
    <cellStyle name="Note 2 2 6" xfId="705"/>
    <cellStyle name="Note 2 2 6 2" xfId="15935"/>
    <cellStyle name="Note 2 2 6 2 2" xfId="42943"/>
    <cellStyle name="Note 2 2 6 3" xfId="29439"/>
    <cellStyle name="Note 2 2 60" xfId="6429"/>
    <cellStyle name="Note 2 2 60 2" xfId="20903"/>
    <cellStyle name="Note 2 2 60 2 2" xfId="47911"/>
    <cellStyle name="Note 2 2 60 3" xfId="34407"/>
    <cellStyle name="Note 2 2 61" xfId="6535"/>
    <cellStyle name="Note 2 2 61 2" xfId="20995"/>
    <cellStyle name="Note 2 2 61 2 2" xfId="48003"/>
    <cellStyle name="Note 2 2 61 3" xfId="34499"/>
    <cellStyle name="Note 2 2 62" xfId="6640"/>
    <cellStyle name="Note 2 2 62 2" xfId="21086"/>
    <cellStyle name="Note 2 2 62 2 2" xfId="48094"/>
    <cellStyle name="Note 2 2 62 3" xfId="34590"/>
    <cellStyle name="Note 2 2 63" xfId="6745"/>
    <cellStyle name="Note 2 2 63 2" xfId="21177"/>
    <cellStyle name="Note 2 2 63 2 2" xfId="48185"/>
    <cellStyle name="Note 2 2 63 3" xfId="34681"/>
    <cellStyle name="Note 2 2 64" xfId="6850"/>
    <cellStyle name="Note 2 2 64 2" xfId="21268"/>
    <cellStyle name="Note 2 2 64 2 2" xfId="48276"/>
    <cellStyle name="Note 2 2 64 3" xfId="34772"/>
    <cellStyle name="Note 2 2 65" xfId="6955"/>
    <cellStyle name="Note 2 2 65 2" xfId="21359"/>
    <cellStyle name="Note 2 2 65 2 2" xfId="48367"/>
    <cellStyle name="Note 2 2 65 3" xfId="34863"/>
    <cellStyle name="Note 2 2 66" xfId="7059"/>
    <cellStyle name="Note 2 2 66 2" xfId="21449"/>
    <cellStyle name="Note 2 2 66 2 2" xfId="48457"/>
    <cellStyle name="Note 2 2 66 3" xfId="34953"/>
    <cellStyle name="Note 2 2 67" xfId="7163"/>
    <cellStyle name="Note 2 2 67 2" xfId="21539"/>
    <cellStyle name="Note 2 2 67 2 2" xfId="48547"/>
    <cellStyle name="Note 2 2 67 3" xfId="35043"/>
    <cellStyle name="Note 2 2 68" xfId="7266"/>
    <cellStyle name="Note 2 2 68 2" xfId="21628"/>
    <cellStyle name="Note 2 2 68 2 2" xfId="48636"/>
    <cellStyle name="Note 2 2 68 3" xfId="35132"/>
    <cellStyle name="Note 2 2 69" xfId="7366"/>
    <cellStyle name="Note 2 2 69 2" xfId="21715"/>
    <cellStyle name="Note 2 2 69 2 2" xfId="48723"/>
    <cellStyle name="Note 2 2 69 3" xfId="35219"/>
    <cellStyle name="Note 2 2 7" xfId="811"/>
    <cellStyle name="Note 2 2 7 2" xfId="16027"/>
    <cellStyle name="Note 2 2 7 2 2" xfId="43035"/>
    <cellStyle name="Note 2 2 7 3" xfId="29531"/>
    <cellStyle name="Note 2 2 70" xfId="7464"/>
    <cellStyle name="Note 2 2 70 2" xfId="21800"/>
    <cellStyle name="Note 2 2 70 2 2" xfId="48808"/>
    <cellStyle name="Note 2 2 70 3" xfId="35304"/>
    <cellStyle name="Note 2 2 71" xfId="7553"/>
    <cellStyle name="Note 2 2 71 2" xfId="21878"/>
    <cellStyle name="Note 2 2 71 2 2" xfId="48886"/>
    <cellStyle name="Note 2 2 71 3" xfId="35382"/>
    <cellStyle name="Note 2 2 72" xfId="7808"/>
    <cellStyle name="Note 2 2 72 2" xfId="22098"/>
    <cellStyle name="Note 2 2 72 2 2" xfId="49106"/>
    <cellStyle name="Note 2 2 72 3" xfId="35602"/>
    <cellStyle name="Note 2 2 73" xfId="7950"/>
    <cellStyle name="Note 2 2 73 2" xfId="22226"/>
    <cellStyle name="Note 2 2 73 2 2" xfId="49234"/>
    <cellStyle name="Note 2 2 73 3" xfId="35730"/>
    <cellStyle name="Note 2 2 74" xfId="8092"/>
    <cellStyle name="Note 2 2 74 2" xfId="22354"/>
    <cellStyle name="Note 2 2 74 2 2" xfId="49362"/>
    <cellStyle name="Note 2 2 74 3" xfId="35858"/>
    <cellStyle name="Note 2 2 75" xfId="8234"/>
    <cellStyle name="Note 2 2 75 2" xfId="22482"/>
    <cellStyle name="Note 2 2 75 2 2" xfId="49490"/>
    <cellStyle name="Note 2 2 75 3" xfId="35986"/>
    <cellStyle name="Note 2 2 76" xfId="8376"/>
    <cellStyle name="Note 2 2 76 2" xfId="22610"/>
    <cellStyle name="Note 2 2 76 2 2" xfId="49618"/>
    <cellStyle name="Note 2 2 76 3" xfId="36114"/>
    <cellStyle name="Note 2 2 77" xfId="8518"/>
    <cellStyle name="Note 2 2 77 2" xfId="22738"/>
    <cellStyle name="Note 2 2 77 2 2" xfId="49746"/>
    <cellStyle name="Note 2 2 77 3" xfId="36242"/>
    <cellStyle name="Note 2 2 78" xfId="8660"/>
    <cellStyle name="Note 2 2 78 2" xfId="22866"/>
    <cellStyle name="Note 2 2 78 2 2" xfId="49874"/>
    <cellStyle name="Note 2 2 78 3" xfId="36370"/>
    <cellStyle name="Note 2 2 79" xfId="8802"/>
    <cellStyle name="Note 2 2 79 2" xfId="22994"/>
    <cellStyle name="Note 2 2 79 2 2" xfId="50002"/>
    <cellStyle name="Note 2 2 79 3" xfId="36498"/>
    <cellStyle name="Note 2 2 8" xfId="917"/>
    <cellStyle name="Note 2 2 8 2" xfId="16119"/>
    <cellStyle name="Note 2 2 8 2 2" xfId="43127"/>
    <cellStyle name="Note 2 2 8 3" xfId="29623"/>
    <cellStyle name="Note 2 2 80" xfId="8944"/>
    <cellStyle name="Note 2 2 80 2" xfId="23122"/>
    <cellStyle name="Note 2 2 80 2 2" xfId="50130"/>
    <cellStyle name="Note 2 2 80 3" xfId="36626"/>
    <cellStyle name="Note 2 2 81" xfId="9086"/>
    <cellStyle name="Note 2 2 81 2" xfId="23250"/>
    <cellStyle name="Note 2 2 81 2 2" xfId="50258"/>
    <cellStyle name="Note 2 2 81 3" xfId="36754"/>
    <cellStyle name="Note 2 2 82" xfId="9228"/>
    <cellStyle name="Note 2 2 82 2" xfId="23378"/>
    <cellStyle name="Note 2 2 82 2 2" xfId="50386"/>
    <cellStyle name="Note 2 2 82 3" xfId="36882"/>
    <cellStyle name="Note 2 2 83" xfId="9370"/>
    <cellStyle name="Note 2 2 83 2" xfId="23506"/>
    <cellStyle name="Note 2 2 83 2 2" xfId="50514"/>
    <cellStyle name="Note 2 2 83 3" xfId="37010"/>
    <cellStyle name="Note 2 2 84" xfId="9512"/>
    <cellStyle name="Note 2 2 84 2" xfId="23634"/>
    <cellStyle name="Note 2 2 84 2 2" xfId="50642"/>
    <cellStyle name="Note 2 2 84 3" xfId="37138"/>
    <cellStyle name="Note 2 2 85" xfId="9654"/>
    <cellStyle name="Note 2 2 85 2" xfId="23762"/>
    <cellStyle name="Note 2 2 85 2 2" xfId="50770"/>
    <cellStyle name="Note 2 2 85 3" xfId="37266"/>
    <cellStyle name="Note 2 2 86" xfId="9796"/>
    <cellStyle name="Note 2 2 86 2" xfId="23890"/>
    <cellStyle name="Note 2 2 86 2 2" xfId="50898"/>
    <cellStyle name="Note 2 2 86 3" xfId="37394"/>
    <cellStyle name="Note 2 2 87" xfId="9938"/>
    <cellStyle name="Note 2 2 87 2" xfId="24018"/>
    <cellStyle name="Note 2 2 87 2 2" xfId="51026"/>
    <cellStyle name="Note 2 2 87 3" xfId="37522"/>
    <cellStyle name="Note 2 2 88" xfId="10080"/>
    <cellStyle name="Note 2 2 88 2" xfId="24146"/>
    <cellStyle name="Note 2 2 88 2 2" xfId="51154"/>
    <cellStyle name="Note 2 2 88 3" xfId="37650"/>
    <cellStyle name="Note 2 2 89" xfId="10222"/>
    <cellStyle name="Note 2 2 89 2" xfId="24274"/>
    <cellStyle name="Note 2 2 89 2 2" xfId="51282"/>
    <cellStyle name="Note 2 2 89 3" xfId="37778"/>
    <cellStyle name="Note 2 2 9" xfId="1023"/>
    <cellStyle name="Note 2 2 9 2" xfId="16211"/>
    <cellStyle name="Note 2 2 9 2 2" xfId="43219"/>
    <cellStyle name="Note 2 2 9 3" xfId="29715"/>
    <cellStyle name="Note 2 2 90" xfId="10364"/>
    <cellStyle name="Note 2 2 90 2" xfId="24402"/>
    <cellStyle name="Note 2 2 90 2 2" xfId="51410"/>
    <cellStyle name="Note 2 2 90 3" xfId="37906"/>
    <cellStyle name="Note 2 2 91" xfId="10506"/>
    <cellStyle name="Note 2 2 91 2" xfId="24530"/>
    <cellStyle name="Note 2 2 91 2 2" xfId="51538"/>
    <cellStyle name="Note 2 2 91 3" xfId="38034"/>
    <cellStyle name="Note 2 2 92" xfId="10648"/>
    <cellStyle name="Note 2 2 92 2" xfId="24658"/>
    <cellStyle name="Note 2 2 92 2 2" xfId="51666"/>
    <cellStyle name="Note 2 2 92 3" xfId="38162"/>
    <cellStyle name="Note 2 2 93" xfId="10790"/>
    <cellStyle name="Note 2 2 93 2" xfId="24786"/>
    <cellStyle name="Note 2 2 93 2 2" xfId="51794"/>
    <cellStyle name="Note 2 2 93 3" xfId="38290"/>
    <cellStyle name="Note 2 2 94" xfId="10932"/>
    <cellStyle name="Note 2 2 94 2" xfId="24914"/>
    <cellStyle name="Note 2 2 94 2 2" xfId="51922"/>
    <cellStyle name="Note 2 2 94 3" xfId="38418"/>
    <cellStyle name="Note 2 2 95" xfId="11074"/>
    <cellStyle name="Note 2 2 95 2" xfId="25042"/>
    <cellStyle name="Note 2 2 95 2 2" xfId="52050"/>
    <cellStyle name="Note 2 2 95 3" xfId="38546"/>
    <cellStyle name="Note 2 2 96" xfId="11216"/>
    <cellStyle name="Note 2 2 96 2" xfId="25170"/>
    <cellStyle name="Note 2 2 96 2 2" xfId="52178"/>
    <cellStyle name="Note 2 2 96 3" xfId="38674"/>
    <cellStyle name="Note 2 2 97" xfId="11358"/>
    <cellStyle name="Note 2 2 97 2" xfId="25298"/>
    <cellStyle name="Note 2 2 97 2 2" xfId="52306"/>
    <cellStyle name="Note 2 2 97 3" xfId="38802"/>
    <cellStyle name="Note 2 2 98" xfId="11500"/>
    <cellStyle name="Note 2 2 98 2" xfId="25426"/>
    <cellStyle name="Note 2 2 98 2 2" xfId="52434"/>
    <cellStyle name="Note 2 2 98 3" xfId="38930"/>
    <cellStyle name="Note 2 2 99" xfId="11642"/>
    <cellStyle name="Note 2 2 99 2" xfId="25554"/>
    <cellStyle name="Note 2 2 99 2 2" xfId="52562"/>
    <cellStyle name="Note 2 2 99 3" xfId="39058"/>
    <cellStyle name="Note 2 20" xfId="1950"/>
    <cellStyle name="Note 2 20 2" xfId="17018"/>
    <cellStyle name="Note 2 20 2 2" xfId="44026"/>
    <cellStyle name="Note 2 20 3" xfId="30522"/>
    <cellStyle name="Note 2 21" xfId="2056"/>
    <cellStyle name="Note 2 21 2" xfId="17110"/>
    <cellStyle name="Note 2 21 2 2" xfId="44118"/>
    <cellStyle name="Note 2 21 3" xfId="30614"/>
    <cellStyle name="Note 2 22" xfId="2162"/>
    <cellStyle name="Note 2 22 2" xfId="17202"/>
    <cellStyle name="Note 2 22 2 2" xfId="44210"/>
    <cellStyle name="Note 2 22 3" xfId="30706"/>
    <cellStyle name="Note 2 23" xfId="2268"/>
    <cellStyle name="Note 2 23 2" xfId="17294"/>
    <cellStyle name="Note 2 23 2 2" xfId="44302"/>
    <cellStyle name="Note 2 23 3" xfId="30798"/>
    <cellStyle name="Note 2 24" xfId="2374"/>
    <cellStyle name="Note 2 24 2" xfId="17386"/>
    <cellStyle name="Note 2 24 2 2" xfId="44394"/>
    <cellStyle name="Note 2 24 3" xfId="30890"/>
    <cellStyle name="Note 2 25" xfId="2480"/>
    <cellStyle name="Note 2 25 2" xfId="17478"/>
    <cellStyle name="Note 2 25 2 2" xfId="44486"/>
    <cellStyle name="Note 2 25 3" xfId="30982"/>
    <cellStyle name="Note 2 26" xfId="2586"/>
    <cellStyle name="Note 2 26 2" xfId="17570"/>
    <cellStyle name="Note 2 26 2 2" xfId="44578"/>
    <cellStyle name="Note 2 26 3" xfId="31074"/>
    <cellStyle name="Note 2 27" xfId="2692"/>
    <cellStyle name="Note 2 27 2" xfId="17662"/>
    <cellStyle name="Note 2 27 2 2" xfId="44670"/>
    <cellStyle name="Note 2 27 3" xfId="31166"/>
    <cellStyle name="Note 2 28" xfId="2798"/>
    <cellStyle name="Note 2 28 2" xfId="17754"/>
    <cellStyle name="Note 2 28 2 2" xfId="44762"/>
    <cellStyle name="Note 2 28 3" xfId="31258"/>
    <cellStyle name="Note 2 29" xfId="2904"/>
    <cellStyle name="Note 2 29 2" xfId="17846"/>
    <cellStyle name="Note 2 29 2 2" xfId="44854"/>
    <cellStyle name="Note 2 29 3" xfId="31350"/>
    <cellStyle name="Note 2 3" xfId="141"/>
    <cellStyle name="Note 2 3 10" xfId="1246"/>
    <cellStyle name="Note 2 3 10 2" xfId="16404"/>
    <cellStyle name="Note 2 3 10 2 2" xfId="43412"/>
    <cellStyle name="Note 2 3 10 3" xfId="29908"/>
    <cellStyle name="Note 2 3 100" xfId="11795"/>
    <cellStyle name="Note 2 3 100 2" xfId="25693"/>
    <cellStyle name="Note 2 3 100 2 2" xfId="52701"/>
    <cellStyle name="Note 2 3 100 3" xfId="39197"/>
    <cellStyle name="Note 2 3 101" xfId="11937"/>
    <cellStyle name="Note 2 3 101 2" xfId="25821"/>
    <cellStyle name="Note 2 3 101 2 2" xfId="52829"/>
    <cellStyle name="Note 2 3 101 3" xfId="39325"/>
    <cellStyle name="Note 2 3 102" xfId="12079"/>
    <cellStyle name="Note 2 3 102 2" xfId="25949"/>
    <cellStyle name="Note 2 3 102 2 2" xfId="52957"/>
    <cellStyle name="Note 2 3 102 3" xfId="39453"/>
    <cellStyle name="Note 2 3 103" xfId="12221"/>
    <cellStyle name="Note 2 3 103 2" xfId="26077"/>
    <cellStyle name="Note 2 3 103 2 2" xfId="53085"/>
    <cellStyle name="Note 2 3 103 3" xfId="39581"/>
    <cellStyle name="Note 2 3 104" xfId="12363"/>
    <cellStyle name="Note 2 3 104 2" xfId="26205"/>
    <cellStyle name="Note 2 3 104 2 2" xfId="53213"/>
    <cellStyle name="Note 2 3 104 3" xfId="39709"/>
    <cellStyle name="Note 2 3 105" xfId="12505"/>
    <cellStyle name="Note 2 3 105 2" xfId="26333"/>
    <cellStyle name="Note 2 3 105 2 2" xfId="53341"/>
    <cellStyle name="Note 2 3 105 3" xfId="39837"/>
    <cellStyle name="Note 2 3 106" xfId="12647"/>
    <cellStyle name="Note 2 3 106 2" xfId="26461"/>
    <cellStyle name="Note 2 3 106 2 2" xfId="53469"/>
    <cellStyle name="Note 2 3 106 3" xfId="39965"/>
    <cellStyle name="Note 2 3 107" xfId="12789"/>
    <cellStyle name="Note 2 3 107 2" xfId="26589"/>
    <cellStyle name="Note 2 3 107 2 2" xfId="53597"/>
    <cellStyle name="Note 2 3 107 3" xfId="40093"/>
    <cellStyle name="Note 2 3 108" xfId="12931"/>
    <cellStyle name="Note 2 3 108 2" xfId="26717"/>
    <cellStyle name="Note 2 3 108 2 2" xfId="53725"/>
    <cellStyle name="Note 2 3 108 3" xfId="40221"/>
    <cellStyle name="Note 2 3 109" xfId="13073"/>
    <cellStyle name="Note 2 3 109 2" xfId="26845"/>
    <cellStyle name="Note 2 3 109 2 2" xfId="53853"/>
    <cellStyle name="Note 2 3 109 3" xfId="40349"/>
    <cellStyle name="Note 2 3 11" xfId="1352"/>
    <cellStyle name="Note 2 3 11 2" xfId="16496"/>
    <cellStyle name="Note 2 3 11 2 2" xfId="43504"/>
    <cellStyle name="Note 2 3 11 3" xfId="30000"/>
    <cellStyle name="Note 2 3 110" xfId="13215"/>
    <cellStyle name="Note 2 3 110 2" xfId="26973"/>
    <cellStyle name="Note 2 3 110 2 2" xfId="53981"/>
    <cellStyle name="Note 2 3 110 3" xfId="40477"/>
    <cellStyle name="Note 2 3 111" xfId="13357"/>
    <cellStyle name="Note 2 3 111 2" xfId="27101"/>
    <cellStyle name="Note 2 3 111 2 2" xfId="54109"/>
    <cellStyle name="Note 2 3 111 3" xfId="40605"/>
    <cellStyle name="Note 2 3 112" xfId="13499"/>
    <cellStyle name="Note 2 3 112 2" xfId="27229"/>
    <cellStyle name="Note 2 3 112 2 2" xfId="54237"/>
    <cellStyle name="Note 2 3 112 3" xfId="40733"/>
    <cellStyle name="Note 2 3 113" xfId="13641"/>
    <cellStyle name="Note 2 3 113 2" xfId="27357"/>
    <cellStyle name="Note 2 3 113 2 2" xfId="54365"/>
    <cellStyle name="Note 2 3 113 3" xfId="40861"/>
    <cellStyle name="Note 2 3 114" xfId="13783"/>
    <cellStyle name="Note 2 3 114 2" xfId="27485"/>
    <cellStyle name="Note 2 3 114 2 2" xfId="54493"/>
    <cellStyle name="Note 2 3 114 3" xfId="40989"/>
    <cellStyle name="Note 2 3 115" xfId="13924"/>
    <cellStyle name="Note 2 3 115 2" xfId="27612"/>
    <cellStyle name="Note 2 3 115 2 2" xfId="54620"/>
    <cellStyle name="Note 2 3 115 3" xfId="41116"/>
    <cellStyle name="Note 2 3 116" xfId="14065"/>
    <cellStyle name="Note 2 3 116 2" xfId="27739"/>
    <cellStyle name="Note 2 3 116 2 2" xfId="54747"/>
    <cellStyle name="Note 2 3 116 3" xfId="41243"/>
    <cellStyle name="Note 2 3 117" xfId="14206"/>
    <cellStyle name="Note 2 3 117 2" xfId="27866"/>
    <cellStyle name="Note 2 3 117 2 2" xfId="54874"/>
    <cellStyle name="Note 2 3 117 3" xfId="41370"/>
    <cellStyle name="Note 2 3 118" xfId="14347"/>
    <cellStyle name="Note 2 3 118 2" xfId="27993"/>
    <cellStyle name="Note 2 3 118 2 2" xfId="55001"/>
    <cellStyle name="Note 2 3 118 3" xfId="41497"/>
    <cellStyle name="Note 2 3 119" xfId="14487"/>
    <cellStyle name="Note 2 3 119 2" xfId="28119"/>
    <cellStyle name="Note 2 3 119 2 2" xfId="55127"/>
    <cellStyle name="Note 2 3 119 3" xfId="41623"/>
    <cellStyle name="Note 2 3 12" xfId="1458"/>
    <cellStyle name="Note 2 3 12 2" xfId="16588"/>
    <cellStyle name="Note 2 3 12 2 2" xfId="43596"/>
    <cellStyle name="Note 2 3 12 3" xfId="30092"/>
    <cellStyle name="Note 2 3 120" xfId="14627"/>
    <cellStyle name="Note 2 3 120 2" xfId="28245"/>
    <cellStyle name="Note 2 3 120 2 2" xfId="55253"/>
    <cellStyle name="Note 2 3 120 3" xfId="41749"/>
    <cellStyle name="Note 2 3 121" xfId="14766"/>
    <cellStyle name="Note 2 3 121 2" xfId="28370"/>
    <cellStyle name="Note 2 3 121 2 2" xfId="55378"/>
    <cellStyle name="Note 2 3 121 3" xfId="41874"/>
    <cellStyle name="Note 2 3 122" xfId="14901"/>
    <cellStyle name="Note 2 3 122 2" xfId="28492"/>
    <cellStyle name="Note 2 3 122 2 2" xfId="55500"/>
    <cellStyle name="Note 2 3 122 3" xfId="41996"/>
    <cellStyle name="Note 2 3 123" xfId="15035"/>
    <cellStyle name="Note 2 3 123 2" xfId="28613"/>
    <cellStyle name="Note 2 3 123 2 2" xfId="55621"/>
    <cellStyle name="Note 2 3 123 3" xfId="42117"/>
    <cellStyle name="Note 2 3 124" xfId="15162"/>
    <cellStyle name="Note 2 3 124 2" xfId="28729"/>
    <cellStyle name="Note 2 3 124 2 2" xfId="55737"/>
    <cellStyle name="Note 2 3 124 3" xfId="42233"/>
    <cellStyle name="Note 2 3 125" xfId="15282"/>
    <cellStyle name="Note 2 3 125 2" xfId="28842"/>
    <cellStyle name="Note 2 3 125 2 2" xfId="55850"/>
    <cellStyle name="Note 2 3 125 3" xfId="42346"/>
    <cellStyle name="Note 2 3 126" xfId="15497"/>
    <cellStyle name="Note 2 3 126 2" xfId="42505"/>
    <cellStyle name="Note 2 3 127" xfId="29001"/>
    <cellStyle name="Note 2 3 13" xfId="1564"/>
    <cellStyle name="Note 2 3 13 2" xfId="16680"/>
    <cellStyle name="Note 2 3 13 2 2" xfId="43688"/>
    <cellStyle name="Note 2 3 13 3" xfId="30184"/>
    <cellStyle name="Note 2 3 14" xfId="1670"/>
    <cellStyle name="Note 2 3 14 2" xfId="16772"/>
    <cellStyle name="Note 2 3 14 2 2" xfId="43780"/>
    <cellStyle name="Note 2 3 14 3" xfId="30276"/>
    <cellStyle name="Note 2 3 15" xfId="1776"/>
    <cellStyle name="Note 2 3 15 2" xfId="16864"/>
    <cellStyle name="Note 2 3 15 2 2" xfId="43872"/>
    <cellStyle name="Note 2 3 15 3" xfId="30368"/>
    <cellStyle name="Note 2 3 16" xfId="1882"/>
    <cellStyle name="Note 2 3 16 2" xfId="16956"/>
    <cellStyle name="Note 2 3 16 2 2" xfId="43964"/>
    <cellStyle name="Note 2 3 16 3" xfId="30460"/>
    <cellStyle name="Note 2 3 17" xfId="1988"/>
    <cellStyle name="Note 2 3 17 2" xfId="17048"/>
    <cellStyle name="Note 2 3 17 2 2" xfId="44056"/>
    <cellStyle name="Note 2 3 17 3" xfId="30552"/>
    <cellStyle name="Note 2 3 18" xfId="2094"/>
    <cellStyle name="Note 2 3 18 2" xfId="17140"/>
    <cellStyle name="Note 2 3 18 2 2" xfId="44148"/>
    <cellStyle name="Note 2 3 18 3" xfId="30644"/>
    <cellStyle name="Note 2 3 19" xfId="2200"/>
    <cellStyle name="Note 2 3 19 2" xfId="17232"/>
    <cellStyle name="Note 2 3 19 2 2" xfId="44240"/>
    <cellStyle name="Note 2 3 19 3" xfId="30736"/>
    <cellStyle name="Note 2 3 2" xfId="318"/>
    <cellStyle name="Note 2 3 2 2" xfId="15620"/>
    <cellStyle name="Note 2 3 2 2 2" xfId="42628"/>
    <cellStyle name="Note 2 3 2 3" xfId="29124"/>
    <cellStyle name="Note 2 3 20" xfId="2306"/>
    <cellStyle name="Note 2 3 20 2" xfId="17324"/>
    <cellStyle name="Note 2 3 20 2 2" xfId="44332"/>
    <cellStyle name="Note 2 3 20 3" xfId="30828"/>
    <cellStyle name="Note 2 3 21" xfId="2412"/>
    <cellStyle name="Note 2 3 21 2" xfId="17416"/>
    <cellStyle name="Note 2 3 21 2 2" xfId="44424"/>
    <cellStyle name="Note 2 3 21 3" xfId="30920"/>
    <cellStyle name="Note 2 3 22" xfId="2518"/>
    <cellStyle name="Note 2 3 22 2" xfId="17508"/>
    <cellStyle name="Note 2 3 22 2 2" xfId="44516"/>
    <cellStyle name="Note 2 3 22 3" xfId="31012"/>
    <cellStyle name="Note 2 3 23" xfId="2624"/>
    <cellStyle name="Note 2 3 23 2" xfId="17600"/>
    <cellStyle name="Note 2 3 23 2 2" xfId="44608"/>
    <cellStyle name="Note 2 3 23 3" xfId="31104"/>
    <cellStyle name="Note 2 3 24" xfId="2730"/>
    <cellStyle name="Note 2 3 24 2" xfId="17692"/>
    <cellStyle name="Note 2 3 24 2 2" xfId="44700"/>
    <cellStyle name="Note 2 3 24 3" xfId="31196"/>
    <cellStyle name="Note 2 3 25" xfId="2836"/>
    <cellStyle name="Note 2 3 25 2" xfId="17784"/>
    <cellStyle name="Note 2 3 25 2 2" xfId="44792"/>
    <cellStyle name="Note 2 3 25 3" xfId="31288"/>
    <cellStyle name="Note 2 3 26" xfId="2942"/>
    <cellStyle name="Note 2 3 26 2" xfId="17876"/>
    <cellStyle name="Note 2 3 26 2 2" xfId="44884"/>
    <cellStyle name="Note 2 3 26 3" xfId="31380"/>
    <cellStyle name="Note 2 3 27" xfId="3048"/>
    <cellStyle name="Note 2 3 27 2" xfId="17968"/>
    <cellStyle name="Note 2 3 27 2 2" xfId="44976"/>
    <cellStyle name="Note 2 3 27 3" xfId="31472"/>
    <cellStyle name="Note 2 3 28" xfId="3154"/>
    <cellStyle name="Note 2 3 28 2" xfId="18060"/>
    <cellStyle name="Note 2 3 28 2 2" xfId="45068"/>
    <cellStyle name="Note 2 3 28 3" xfId="31564"/>
    <cellStyle name="Note 2 3 29" xfId="3260"/>
    <cellStyle name="Note 2 3 29 2" xfId="18152"/>
    <cellStyle name="Note 2 3 29 2 2" xfId="45160"/>
    <cellStyle name="Note 2 3 29 3" xfId="31656"/>
    <cellStyle name="Note 2 3 3" xfId="505"/>
    <cellStyle name="Note 2 3 3 2" xfId="15761"/>
    <cellStyle name="Note 2 3 3 2 2" xfId="42769"/>
    <cellStyle name="Note 2 3 3 3" xfId="29265"/>
    <cellStyle name="Note 2 3 30" xfId="3366"/>
    <cellStyle name="Note 2 3 30 2" xfId="18244"/>
    <cellStyle name="Note 2 3 30 2 2" xfId="45252"/>
    <cellStyle name="Note 2 3 30 3" xfId="31748"/>
    <cellStyle name="Note 2 3 31" xfId="3472"/>
    <cellStyle name="Note 2 3 31 2" xfId="18336"/>
    <cellStyle name="Note 2 3 31 2 2" xfId="45344"/>
    <cellStyle name="Note 2 3 31 3" xfId="31840"/>
    <cellStyle name="Note 2 3 32" xfId="3578"/>
    <cellStyle name="Note 2 3 32 2" xfId="18428"/>
    <cellStyle name="Note 2 3 32 2 2" xfId="45436"/>
    <cellStyle name="Note 2 3 32 3" xfId="31932"/>
    <cellStyle name="Note 2 3 33" xfId="3684"/>
    <cellStyle name="Note 2 3 33 2" xfId="18520"/>
    <cellStyle name="Note 2 3 33 2 2" xfId="45528"/>
    <cellStyle name="Note 2 3 33 3" xfId="32024"/>
    <cellStyle name="Note 2 3 34" xfId="3790"/>
    <cellStyle name="Note 2 3 34 2" xfId="18612"/>
    <cellStyle name="Note 2 3 34 2 2" xfId="45620"/>
    <cellStyle name="Note 2 3 34 3" xfId="32116"/>
    <cellStyle name="Note 2 3 35" xfId="3896"/>
    <cellStyle name="Note 2 3 35 2" xfId="18704"/>
    <cellStyle name="Note 2 3 35 2 2" xfId="45712"/>
    <cellStyle name="Note 2 3 35 3" xfId="32208"/>
    <cellStyle name="Note 2 3 36" xfId="4002"/>
    <cellStyle name="Note 2 3 36 2" xfId="18796"/>
    <cellStyle name="Note 2 3 36 2 2" xfId="45804"/>
    <cellStyle name="Note 2 3 36 3" xfId="32300"/>
    <cellStyle name="Note 2 3 37" xfId="4108"/>
    <cellStyle name="Note 2 3 37 2" xfId="18888"/>
    <cellStyle name="Note 2 3 37 2 2" xfId="45896"/>
    <cellStyle name="Note 2 3 37 3" xfId="32392"/>
    <cellStyle name="Note 2 3 38" xfId="4214"/>
    <cellStyle name="Note 2 3 38 2" xfId="18980"/>
    <cellStyle name="Note 2 3 38 2 2" xfId="45988"/>
    <cellStyle name="Note 2 3 38 3" xfId="32484"/>
    <cellStyle name="Note 2 3 39" xfId="4320"/>
    <cellStyle name="Note 2 3 39 2" xfId="19072"/>
    <cellStyle name="Note 2 3 39 2 2" xfId="46080"/>
    <cellStyle name="Note 2 3 39 3" xfId="32576"/>
    <cellStyle name="Note 2 3 4" xfId="610"/>
    <cellStyle name="Note 2 3 4 2" xfId="15852"/>
    <cellStyle name="Note 2 3 4 2 2" xfId="42860"/>
    <cellStyle name="Note 2 3 4 3" xfId="29356"/>
    <cellStyle name="Note 2 3 40" xfId="4426"/>
    <cellStyle name="Note 2 3 40 2" xfId="19164"/>
    <cellStyle name="Note 2 3 40 2 2" xfId="46172"/>
    <cellStyle name="Note 2 3 40 3" xfId="32668"/>
    <cellStyle name="Note 2 3 41" xfId="4532"/>
    <cellStyle name="Note 2 3 41 2" xfId="19256"/>
    <cellStyle name="Note 2 3 41 2 2" xfId="46264"/>
    <cellStyle name="Note 2 3 41 3" xfId="32760"/>
    <cellStyle name="Note 2 3 42" xfId="4638"/>
    <cellStyle name="Note 2 3 42 2" xfId="19348"/>
    <cellStyle name="Note 2 3 42 2 2" xfId="46356"/>
    <cellStyle name="Note 2 3 42 3" xfId="32852"/>
    <cellStyle name="Note 2 3 43" xfId="4744"/>
    <cellStyle name="Note 2 3 43 2" xfId="19440"/>
    <cellStyle name="Note 2 3 43 2 2" xfId="46448"/>
    <cellStyle name="Note 2 3 43 3" xfId="32944"/>
    <cellStyle name="Note 2 3 44" xfId="4850"/>
    <cellStyle name="Note 2 3 44 2" xfId="19532"/>
    <cellStyle name="Note 2 3 44 2 2" xfId="46540"/>
    <cellStyle name="Note 2 3 44 3" xfId="33036"/>
    <cellStyle name="Note 2 3 45" xfId="4956"/>
    <cellStyle name="Note 2 3 45 2" xfId="19624"/>
    <cellStyle name="Note 2 3 45 2 2" xfId="46632"/>
    <cellStyle name="Note 2 3 45 3" xfId="33128"/>
    <cellStyle name="Note 2 3 46" xfId="5062"/>
    <cellStyle name="Note 2 3 46 2" xfId="19716"/>
    <cellStyle name="Note 2 3 46 2 2" xfId="46724"/>
    <cellStyle name="Note 2 3 46 3" xfId="33220"/>
    <cellStyle name="Note 2 3 47" xfId="5168"/>
    <cellStyle name="Note 2 3 47 2" xfId="19808"/>
    <cellStyle name="Note 2 3 47 2 2" xfId="46816"/>
    <cellStyle name="Note 2 3 47 3" xfId="33312"/>
    <cellStyle name="Note 2 3 48" xfId="5274"/>
    <cellStyle name="Note 2 3 48 2" xfId="19900"/>
    <cellStyle name="Note 2 3 48 2 2" xfId="46908"/>
    <cellStyle name="Note 2 3 48 3" xfId="33404"/>
    <cellStyle name="Note 2 3 49" xfId="5380"/>
    <cellStyle name="Note 2 3 49 2" xfId="19992"/>
    <cellStyle name="Note 2 3 49 2 2" xfId="47000"/>
    <cellStyle name="Note 2 3 49 3" xfId="33496"/>
    <cellStyle name="Note 2 3 5" xfId="716"/>
    <cellStyle name="Note 2 3 5 2" xfId="15944"/>
    <cellStyle name="Note 2 3 5 2 2" xfId="42952"/>
    <cellStyle name="Note 2 3 5 3" xfId="29448"/>
    <cellStyle name="Note 2 3 50" xfId="5486"/>
    <cellStyle name="Note 2 3 50 2" xfId="20084"/>
    <cellStyle name="Note 2 3 50 2 2" xfId="47092"/>
    <cellStyle name="Note 2 3 50 3" xfId="33588"/>
    <cellStyle name="Note 2 3 51" xfId="5592"/>
    <cellStyle name="Note 2 3 51 2" xfId="20176"/>
    <cellStyle name="Note 2 3 51 2 2" xfId="47184"/>
    <cellStyle name="Note 2 3 51 3" xfId="33680"/>
    <cellStyle name="Note 2 3 52" xfId="5698"/>
    <cellStyle name="Note 2 3 52 2" xfId="20268"/>
    <cellStyle name="Note 2 3 52 2 2" xfId="47276"/>
    <cellStyle name="Note 2 3 52 3" xfId="33772"/>
    <cellStyle name="Note 2 3 53" xfId="5804"/>
    <cellStyle name="Note 2 3 53 2" xfId="20360"/>
    <cellStyle name="Note 2 3 53 2 2" xfId="47368"/>
    <cellStyle name="Note 2 3 53 3" xfId="33864"/>
    <cellStyle name="Note 2 3 54" xfId="5910"/>
    <cellStyle name="Note 2 3 54 2" xfId="20452"/>
    <cellStyle name="Note 2 3 54 2 2" xfId="47460"/>
    <cellStyle name="Note 2 3 54 3" xfId="33956"/>
    <cellStyle name="Note 2 3 55" xfId="6016"/>
    <cellStyle name="Note 2 3 55 2" xfId="20544"/>
    <cellStyle name="Note 2 3 55 2 2" xfId="47552"/>
    <cellStyle name="Note 2 3 55 3" xfId="34048"/>
    <cellStyle name="Note 2 3 56" xfId="6122"/>
    <cellStyle name="Note 2 3 56 2" xfId="20636"/>
    <cellStyle name="Note 2 3 56 2 2" xfId="47644"/>
    <cellStyle name="Note 2 3 56 3" xfId="34140"/>
    <cellStyle name="Note 2 3 57" xfId="6228"/>
    <cellStyle name="Note 2 3 57 2" xfId="20728"/>
    <cellStyle name="Note 2 3 57 2 2" xfId="47736"/>
    <cellStyle name="Note 2 3 57 3" xfId="34232"/>
    <cellStyle name="Note 2 3 58" xfId="6334"/>
    <cellStyle name="Note 2 3 58 2" xfId="20820"/>
    <cellStyle name="Note 2 3 58 2 2" xfId="47828"/>
    <cellStyle name="Note 2 3 58 3" xfId="34324"/>
    <cellStyle name="Note 2 3 59" xfId="6440"/>
    <cellStyle name="Note 2 3 59 2" xfId="20912"/>
    <cellStyle name="Note 2 3 59 2 2" xfId="47920"/>
    <cellStyle name="Note 2 3 59 3" xfId="34416"/>
    <cellStyle name="Note 2 3 6" xfId="822"/>
    <cellStyle name="Note 2 3 6 2" xfId="16036"/>
    <cellStyle name="Note 2 3 6 2 2" xfId="43044"/>
    <cellStyle name="Note 2 3 6 3" xfId="29540"/>
    <cellStyle name="Note 2 3 60" xfId="6546"/>
    <cellStyle name="Note 2 3 60 2" xfId="21004"/>
    <cellStyle name="Note 2 3 60 2 2" xfId="48012"/>
    <cellStyle name="Note 2 3 60 3" xfId="34508"/>
    <cellStyle name="Note 2 3 61" xfId="6651"/>
    <cellStyle name="Note 2 3 61 2" xfId="21095"/>
    <cellStyle name="Note 2 3 61 2 2" xfId="48103"/>
    <cellStyle name="Note 2 3 61 3" xfId="34599"/>
    <cellStyle name="Note 2 3 62" xfId="6756"/>
    <cellStyle name="Note 2 3 62 2" xfId="21186"/>
    <cellStyle name="Note 2 3 62 2 2" xfId="48194"/>
    <cellStyle name="Note 2 3 62 3" xfId="34690"/>
    <cellStyle name="Note 2 3 63" xfId="6861"/>
    <cellStyle name="Note 2 3 63 2" xfId="21277"/>
    <cellStyle name="Note 2 3 63 2 2" xfId="48285"/>
    <cellStyle name="Note 2 3 63 3" xfId="34781"/>
    <cellStyle name="Note 2 3 64" xfId="6966"/>
    <cellStyle name="Note 2 3 64 2" xfId="21368"/>
    <cellStyle name="Note 2 3 64 2 2" xfId="48376"/>
    <cellStyle name="Note 2 3 64 3" xfId="34872"/>
    <cellStyle name="Note 2 3 65" xfId="7070"/>
    <cellStyle name="Note 2 3 65 2" xfId="21458"/>
    <cellStyle name="Note 2 3 65 2 2" xfId="48466"/>
    <cellStyle name="Note 2 3 65 3" xfId="34962"/>
    <cellStyle name="Note 2 3 66" xfId="7174"/>
    <cellStyle name="Note 2 3 66 2" xfId="21548"/>
    <cellStyle name="Note 2 3 66 2 2" xfId="48556"/>
    <cellStyle name="Note 2 3 66 3" xfId="35052"/>
    <cellStyle name="Note 2 3 67" xfId="7277"/>
    <cellStyle name="Note 2 3 67 2" xfId="21637"/>
    <cellStyle name="Note 2 3 67 2 2" xfId="48645"/>
    <cellStyle name="Note 2 3 67 3" xfId="35141"/>
    <cellStyle name="Note 2 3 68" xfId="7377"/>
    <cellStyle name="Note 2 3 68 2" xfId="21724"/>
    <cellStyle name="Note 2 3 68 2 2" xfId="48732"/>
    <cellStyle name="Note 2 3 68 3" xfId="35228"/>
    <cellStyle name="Note 2 3 69" xfId="7475"/>
    <cellStyle name="Note 2 3 69 2" xfId="21809"/>
    <cellStyle name="Note 2 3 69 2 2" xfId="48817"/>
    <cellStyle name="Note 2 3 69 3" xfId="35313"/>
    <cellStyle name="Note 2 3 7" xfId="928"/>
    <cellStyle name="Note 2 3 7 2" xfId="16128"/>
    <cellStyle name="Note 2 3 7 2 2" xfId="43136"/>
    <cellStyle name="Note 2 3 7 3" xfId="29632"/>
    <cellStyle name="Note 2 3 70" xfId="7564"/>
    <cellStyle name="Note 2 3 70 2" xfId="21887"/>
    <cellStyle name="Note 2 3 70 2 2" xfId="48895"/>
    <cellStyle name="Note 2 3 70 3" xfId="35391"/>
    <cellStyle name="Note 2 3 71" xfId="7640"/>
    <cellStyle name="Note 2 3 71 2" xfId="21956"/>
    <cellStyle name="Note 2 3 71 2 2" xfId="48964"/>
    <cellStyle name="Note 2 3 71 3" xfId="35460"/>
    <cellStyle name="Note 2 3 72" xfId="7819"/>
    <cellStyle name="Note 2 3 72 2" xfId="22109"/>
    <cellStyle name="Note 2 3 72 2 2" xfId="49117"/>
    <cellStyle name="Note 2 3 72 3" xfId="35613"/>
    <cellStyle name="Note 2 3 73" xfId="7961"/>
    <cellStyle name="Note 2 3 73 2" xfId="22237"/>
    <cellStyle name="Note 2 3 73 2 2" xfId="49245"/>
    <cellStyle name="Note 2 3 73 3" xfId="35741"/>
    <cellStyle name="Note 2 3 74" xfId="8103"/>
    <cellStyle name="Note 2 3 74 2" xfId="22365"/>
    <cellStyle name="Note 2 3 74 2 2" xfId="49373"/>
    <cellStyle name="Note 2 3 74 3" xfId="35869"/>
    <cellStyle name="Note 2 3 75" xfId="8245"/>
    <cellStyle name="Note 2 3 75 2" xfId="22493"/>
    <cellStyle name="Note 2 3 75 2 2" xfId="49501"/>
    <cellStyle name="Note 2 3 75 3" xfId="35997"/>
    <cellStyle name="Note 2 3 76" xfId="8387"/>
    <cellStyle name="Note 2 3 76 2" xfId="22621"/>
    <cellStyle name="Note 2 3 76 2 2" xfId="49629"/>
    <cellStyle name="Note 2 3 76 3" xfId="36125"/>
    <cellStyle name="Note 2 3 77" xfId="8529"/>
    <cellStyle name="Note 2 3 77 2" xfId="22749"/>
    <cellStyle name="Note 2 3 77 2 2" xfId="49757"/>
    <cellStyle name="Note 2 3 77 3" xfId="36253"/>
    <cellStyle name="Note 2 3 78" xfId="8671"/>
    <cellStyle name="Note 2 3 78 2" xfId="22877"/>
    <cellStyle name="Note 2 3 78 2 2" xfId="49885"/>
    <cellStyle name="Note 2 3 78 3" xfId="36381"/>
    <cellStyle name="Note 2 3 79" xfId="8813"/>
    <cellStyle name="Note 2 3 79 2" xfId="23005"/>
    <cellStyle name="Note 2 3 79 2 2" xfId="50013"/>
    <cellStyle name="Note 2 3 79 3" xfId="36509"/>
    <cellStyle name="Note 2 3 8" xfId="1034"/>
    <cellStyle name="Note 2 3 8 2" xfId="16220"/>
    <cellStyle name="Note 2 3 8 2 2" xfId="43228"/>
    <cellStyle name="Note 2 3 8 3" xfId="29724"/>
    <cellStyle name="Note 2 3 80" xfId="8955"/>
    <cellStyle name="Note 2 3 80 2" xfId="23133"/>
    <cellStyle name="Note 2 3 80 2 2" xfId="50141"/>
    <cellStyle name="Note 2 3 80 3" xfId="36637"/>
    <cellStyle name="Note 2 3 81" xfId="9097"/>
    <cellStyle name="Note 2 3 81 2" xfId="23261"/>
    <cellStyle name="Note 2 3 81 2 2" xfId="50269"/>
    <cellStyle name="Note 2 3 81 3" xfId="36765"/>
    <cellStyle name="Note 2 3 82" xfId="9239"/>
    <cellStyle name="Note 2 3 82 2" xfId="23389"/>
    <cellStyle name="Note 2 3 82 2 2" xfId="50397"/>
    <cellStyle name="Note 2 3 82 3" xfId="36893"/>
    <cellStyle name="Note 2 3 83" xfId="9381"/>
    <cellStyle name="Note 2 3 83 2" xfId="23517"/>
    <cellStyle name="Note 2 3 83 2 2" xfId="50525"/>
    <cellStyle name="Note 2 3 83 3" xfId="37021"/>
    <cellStyle name="Note 2 3 84" xfId="9523"/>
    <cellStyle name="Note 2 3 84 2" xfId="23645"/>
    <cellStyle name="Note 2 3 84 2 2" xfId="50653"/>
    <cellStyle name="Note 2 3 84 3" xfId="37149"/>
    <cellStyle name="Note 2 3 85" xfId="9665"/>
    <cellStyle name="Note 2 3 85 2" xfId="23773"/>
    <cellStyle name="Note 2 3 85 2 2" xfId="50781"/>
    <cellStyle name="Note 2 3 85 3" xfId="37277"/>
    <cellStyle name="Note 2 3 86" xfId="9807"/>
    <cellStyle name="Note 2 3 86 2" xfId="23901"/>
    <cellStyle name="Note 2 3 86 2 2" xfId="50909"/>
    <cellStyle name="Note 2 3 86 3" xfId="37405"/>
    <cellStyle name="Note 2 3 87" xfId="9949"/>
    <cellStyle name="Note 2 3 87 2" xfId="24029"/>
    <cellStyle name="Note 2 3 87 2 2" xfId="51037"/>
    <cellStyle name="Note 2 3 87 3" xfId="37533"/>
    <cellStyle name="Note 2 3 88" xfId="10091"/>
    <cellStyle name="Note 2 3 88 2" xfId="24157"/>
    <cellStyle name="Note 2 3 88 2 2" xfId="51165"/>
    <cellStyle name="Note 2 3 88 3" xfId="37661"/>
    <cellStyle name="Note 2 3 89" xfId="10233"/>
    <cellStyle name="Note 2 3 89 2" xfId="24285"/>
    <cellStyle name="Note 2 3 89 2 2" xfId="51293"/>
    <cellStyle name="Note 2 3 89 3" xfId="37789"/>
    <cellStyle name="Note 2 3 9" xfId="1140"/>
    <cellStyle name="Note 2 3 9 2" xfId="16312"/>
    <cellStyle name="Note 2 3 9 2 2" xfId="43320"/>
    <cellStyle name="Note 2 3 9 3" xfId="29816"/>
    <cellStyle name="Note 2 3 90" xfId="10375"/>
    <cellStyle name="Note 2 3 90 2" xfId="24413"/>
    <cellStyle name="Note 2 3 90 2 2" xfId="51421"/>
    <cellStyle name="Note 2 3 90 3" xfId="37917"/>
    <cellStyle name="Note 2 3 91" xfId="10517"/>
    <cellStyle name="Note 2 3 91 2" xfId="24541"/>
    <cellStyle name="Note 2 3 91 2 2" xfId="51549"/>
    <cellStyle name="Note 2 3 91 3" xfId="38045"/>
    <cellStyle name="Note 2 3 92" xfId="10659"/>
    <cellStyle name="Note 2 3 92 2" xfId="24669"/>
    <cellStyle name="Note 2 3 92 2 2" xfId="51677"/>
    <cellStyle name="Note 2 3 92 3" xfId="38173"/>
    <cellStyle name="Note 2 3 93" xfId="10801"/>
    <cellStyle name="Note 2 3 93 2" xfId="24797"/>
    <cellStyle name="Note 2 3 93 2 2" xfId="51805"/>
    <cellStyle name="Note 2 3 93 3" xfId="38301"/>
    <cellStyle name="Note 2 3 94" xfId="10943"/>
    <cellStyle name="Note 2 3 94 2" xfId="24925"/>
    <cellStyle name="Note 2 3 94 2 2" xfId="51933"/>
    <cellStyle name="Note 2 3 94 3" xfId="38429"/>
    <cellStyle name="Note 2 3 95" xfId="11085"/>
    <cellStyle name="Note 2 3 95 2" xfId="25053"/>
    <cellStyle name="Note 2 3 95 2 2" xfId="52061"/>
    <cellStyle name="Note 2 3 95 3" xfId="38557"/>
    <cellStyle name="Note 2 3 96" xfId="11227"/>
    <cellStyle name="Note 2 3 96 2" xfId="25181"/>
    <cellStyle name="Note 2 3 96 2 2" xfId="52189"/>
    <cellStyle name="Note 2 3 96 3" xfId="38685"/>
    <cellStyle name="Note 2 3 97" xfId="11369"/>
    <cellStyle name="Note 2 3 97 2" xfId="25309"/>
    <cellStyle name="Note 2 3 97 2 2" xfId="52317"/>
    <cellStyle name="Note 2 3 97 3" xfId="38813"/>
    <cellStyle name="Note 2 3 98" xfId="11511"/>
    <cellStyle name="Note 2 3 98 2" xfId="25437"/>
    <cellStyle name="Note 2 3 98 2 2" xfId="52445"/>
    <cellStyle name="Note 2 3 98 3" xfId="38941"/>
    <cellStyle name="Note 2 3 99" xfId="11653"/>
    <cellStyle name="Note 2 3 99 2" xfId="25565"/>
    <cellStyle name="Note 2 3 99 2 2" xfId="52573"/>
    <cellStyle name="Note 2 3 99 3" xfId="39069"/>
    <cellStyle name="Note 2 30" xfId="3010"/>
    <cellStyle name="Note 2 30 2" xfId="17938"/>
    <cellStyle name="Note 2 30 2 2" xfId="44946"/>
    <cellStyle name="Note 2 30 3" xfId="31442"/>
    <cellStyle name="Note 2 31" xfId="3116"/>
    <cellStyle name="Note 2 31 2" xfId="18030"/>
    <cellStyle name="Note 2 31 2 2" xfId="45038"/>
    <cellStyle name="Note 2 31 3" xfId="31534"/>
    <cellStyle name="Note 2 32" xfId="3222"/>
    <cellStyle name="Note 2 32 2" xfId="18122"/>
    <cellStyle name="Note 2 32 2 2" xfId="45130"/>
    <cellStyle name="Note 2 32 3" xfId="31626"/>
    <cellStyle name="Note 2 33" xfId="3328"/>
    <cellStyle name="Note 2 33 2" xfId="18214"/>
    <cellStyle name="Note 2 33 2 2" xfId="45222"/>
    <cellStyle name="Note 2 33 3" xfId="31718"/>
    <cellStyle name="Note 2 34" xfId="3434"/>
    <cellStyle name="Note 2 34 2" xfId="18306"/>
    <cellStyle name="Note 2 34 2 2" xfId="45314"/>
    <cellStyle name="Note 2 34 3" xfId="31810"/>
    <cellStyle name="Note 2 35" xfId="3540"/>
    <cellStyle name="Note 2 35 2" xfId="18398"/>
    <cellStyle name="Note 2 35 2 2" xfId="45406"/>
    <cellStyle name="Note 2 35 3" xfId="31902"/>
    <cellStyle name="Note 2 36" xfId="3646"/>
    <cellStyle name="Note 2 36 2" xfId="18490"/>
    <cellStyle name="Note 2 36 2 2" xfId="45498"/>
    <cellStyle name="Note 2 36 3" xfId="31994"/>
    <cellStyle name="Note 2 37" xfId="3752"/>
    <cellStyle name="Note 2 37 2" xfId="18582"/>
    <cellStyle name="Note 2 37 2 2" xfId="45590"/>
    <cellStyle name="Note 2 37 3" xfId="32086"/>
    <cellStyle name="Note 2 38" xfId="3858"/>
    <cellStyle name="Note 2 38 2" xfId="18674"/>
    <cellStyle name="Note 2 38 2 2" xfId="45682"/>
    <cellStyle name="Note 2 38 3" xfId="32178"/>
    <cellStyle name="Note 2 39" xfId="3964"/>
    <cellStyle name="Note 2 39 2" xfId="18766"/>
    <cellStyle name="Note 2 39 2 2" xfId="45774"/>
    <cellStyle name="Note 2 39 3" xfId="32270"/>
    <cellStyle name="Note 2 4" xfId="248"/>
    <cellStyle name="Note 2 4 2" xfId="15567"/>
    <cellStyle name="Note 2 4 2 2" xfId="42575"/>
    <cellStyle name="Note 2 4 3" xfId="29071"/>
    <cellStyle name="Note 2 40" xfId="4070"/>
    <cellStyle name="Note 2 40 2" xfId="18858"/>
    <cellStyle name="Note 2 40 2 2" xfId="45866"/>
    <cellStyle name="Note 2 40 3" xfId="32362"/>
    <cellStyle name="Note 2 41" xfId="4176"/>
    <cellStyle name="Note 2 41 2" xfId="18950"/>
    <cellStyle name="Note 2 41 2 2" xfId="45958"/>
    <cellStyle name="Note 2 41 3" xfId="32454"/>
    <cellStyle name="Note 2 42" xfId="4282"/>
    <cellStyle name="Note 2 42 2" xfId="19042"/>
    <cellStyle name="Note 2 42 2 2" xfId="46050"/>
    <cellStyle name="Note 2 42 3" xfId="32546"/>
    <cellStyle name="Note 2 43" xfId="4388"/>
    <cellStyle name="Note 2 43 2" xfId="19134"/>
    <cellStyle name="Note 2 43 2 2" xfId="46142"/>
    <cellStyle name="Note 2 43 3" xfId="32638"/>
    <cellStyle name="Note 2 44" xfId="4494"/>
    <cellStyle name="Note 2 44 2" xfId="19226"/>
    <cellStyle name="Note 2 44 2 2" xfId="46234"/>
    <cellStyle name="Note 2 44 3" xfId="32730"/>
    <cellStyle name="Note 2 45" xfId="4600"/>
    <cellStyle name="Note 2 45 2" xfId="19318"/>
    <cellStyle name="Note 2 45 2 2" xfId="46326"/>
    <cellStyle name="Note 2 45 3" xfId="32822"/>
    <cellStyle name="Note 2 46" xfId="4706"/>
    <cellStyle name="Note 2 46 2" xfId="19410"/>
    <cellStyle name="Note 2 46 2 2" xfId="46418"/>
    <cellStyle name="Note 2 46 3" xfId="32914"/>
    <cellStyle name="Note 2 47" xfId="4812"/>
    <cellStyle name="Note 2 47 2" xfId="19502"/>
    <cellStyle name="Note 2 47 2 2" xfId="46510"/>
    <cellStyle name="Note 2 47 3" xfId="33006"/>
    <cellStyle name="Note 2 48" xfId="4918"/>
    <cellStyle name="Note 2 48 2" xfId="19594"/>
    <cellStyle name="Note 2 48 2 2" xfId="46602"/>
    <cellStyle name="Note 2 48 3" xfId="33098"/>
    <cellStyle name="Note 2 49" xfId="5024"/>
    <cellStyle name="Note 2 49 2" xfId="19686"/>
    <cellStyle name="Note 2 49 2 2" xfId="46694"/>
    <cellStyle name="Note 2 49 3" xfId="33190"/>
    <cellStyle name="Note 2 5" xfId="435"/>
    <cellStyle name="Note 2 5 2" xfId="15701"/>
    <cellStyle name="Note 2 5 2 2" xfId="42709"/>
    <cellStyle name="Note 2 5 3" xfId="29205"/>
    <cellStyle name="Note 2 50" xfId="5130"/>
    <cellStyle name="Note 2 50 2" xfId="19778"/>
    <cellStyle name="Note 2 50 2 2" xfId="46786"/>
    <cellStyle name="Note 2 50 3" xfId="33282"/>
    <cellStyle name="Note 2 51" xfId="5236"/>
    <cellStyle name="Note 2 51 2" xfId="19870"/>
    <cellStyle name="Note 2 51 2 2" xfId="46878"/>
    <cellStyle name="Note 2 51 3" xfId="33374"/>
    <cellStyle name="Note 2 52" xfId="5342"/>
    <cellStyle name="Note 2 52 2" xfId="19962"/>
    <cellStyle name="Note 2 52 2 2" xfId="46970"/>
    <cellStyle name="Note 2 52 3" xfId="33466"/>
    <cellStyle name="Note 2 53" xfId="5448"/>
    <cellStyle name="Note 2 53 2" xfId="20054"/>
    <cellStyle name="Note 2 53 2 2" xfId="47062"/>
    <cellStyle name="Note 2 53 3" xfId="33558"/>
    <cellStyle name="Note 2 54" xfId="5554"/>
    <cellStyle name="Note 2 54 2" xfId="20146"/>
    <cellStyle name="Note 2 54 2 2" xfId="47154"/>
    <cellStyle name="Note 2 54 3" xfId="33650"/>
    <cellStyle name="Note 2 55" xfId="5660"/>
    <cellStyle name="Note 2 55 2" xfId="20238"/>
    <cellStyle name="Note 2 55 2 2" xfId="47246"/>
    <cellStyle name="Note 2 55 3" xfId="33742"/>
    <cellStyle name="Note 2 56" xfId="5766"/>
    <cellStyle name="Note 2 56 2" xfId="20330"/>
    <cellStyle name="Note 2 56 2 2" xfId="47338"/>
    <cellStyle name="Note 2 56 3" xfId="33834"/>
    <cellStyle name="Note 2 57" xfId="5872"/>
    <cellStyle name="Note 2 57 2" xfId="20422"/>
    <cellStyle name="Note 2 57 2 2" xfId="47430"/>
    <cellStyle name="Note 2 57 3" xfId="33926"/>
    <cellStyle name="Note 2 58" xfId="5978"/>
    <cellStyle name="Note 2 58 2" xfId="20514"/>
    <cellStyle name="Note 2 58 2 2" xfId="47522"/>
    <cellStyle name="Note 2 58 3" xfId="34018"/>
    <cellStyle name="Note 2 59" xfId="6084"/>
    <cellStyle name="Note 2 59 2" xfId="20606"/>
    <cellStyle name="Note 2 59 2 2" xfId="47614"/>
    <cellStyle name="Note 2 59 3" xfId="34110"/>
    <cellStyle name="Note 2 6" xfId="501"/>
    <cellStyle name="Note 2 6 2" xfId="15757"/>
    <cellStyle name="Note 2 6 2 2" xfId="42765"/>
    <cellStyle name="Note 2 6 3" xfId="29261"/>
    <cellStyle name="Note 2 60" xfId="6190"/>
    <cellStyle name="Note 2 60 2" xfId="20698"/>
    <cellStyle name="Note 2 60 2 2" xfId="47706"/>
    <cellStyle name="Note 2 60 3" xfId="34202"/>
    <cellStyle name="Note 2 61" xfId="6296"/>
    <cellStyle name="Note 2 61 2" xfId="20790"/>
    <cellStyle name="Note 2 61 2 2" xfId="47798"/>
    <cellStyle name="Note 2 61 3" xfId="34294"/>
    <cellStyle name="Note 2 62" xfId="6402"/>
    <cellStyle name="Note 2 62 2" xfId="20882"/>
    <cellStyle name="Note 2 62 2 2" xfId="47890"/>
    <cellStyle name="Note 2 62 3" xfId="34386"/>
    <cellStyle name="Note 2 63" xfId="6508"/>
    <cellStyle name="Note 2 63 2" xfId="20974"/>
    <cellStyle name="Note 2 63 2 2" xfId="47982"/>
    <cellStyle name="Note 2 63 3" xfId="34478"/>
    <cellStyle name="Note 2 64" xfId="6613"/>
    <cellStyle name="Note 2 64 2" xfId="21065"/>
    <cellStyle name="Note 2 64 2 2" xfId="48073"/>
    <cellStyle name="Note 2 64 3" xfId="34569"/>
    <cellStyle name="Note 2 65" xfId="6718"/>
    <cellStyle name="Note 2 65 2" xfId="21156"/>
    <cellStyle name="Note 2 65 2 2" xfId="48164"/>
    <cellStyle name="Note 2 65 3" xfId="34660"/>
    <cellStyle name="Note 2 66" xfId="6823"/>
    <cellStyle name="Note 2 66 2" xfId="21247"/>
    <cellStyle name="Note 2 66 2 2" xfId="48255"/>
    <cellStyle name="Note 2 66 3" xfId="34751"/>
    <cellStyle name="Note 2 67" xfId="6928"/>
    <cellStyle name="Note 2 67 2" xfId="21338"/>
    <cellStyle name="Note 2 67 2 2" xfId="48346"/>
    <cellStyle name="Note 2 67 3" xfId="34842"/>
    <cellStyle name="Note 2 68" xfId="7033"/>
    <cellStyle name="Note 2 68 2" xfId="21429"/>
    <cellStyle name="Note 2 68 2 2" xfId="48437"/>
    <cellStyle name="Note 2 68 3" xfId="34933"/>
    <cellStyle name="Note 2 69" xfId="7137"/>
    <cellStyle name="Note 2 69 2" xfId="21519"/>
    <cellStyle name="Note 2 69 2 2" xfId="48527"/>
    <cellStyle name="Note 2 69 3" xfId="35023"/>
    <cellStyle name="Note 2 7" xfId="572"/>
    <cellStyle name="Note 2 7 2" xfId="15822"/>
    <cellStyle name="Note 2 7 2 2" xfId="42830"/>
    <cellStyle name="Note 2 7 3" xfId="29326"/>
    <cellStyle name="Note 2 70" xfId="7241"/>
    <cellStyle name="Note 2 70 2" xfId="21609"/>
    <cellStyle name="Note 2 70 2 2" xfId="48617"/>
    <cellStyle name="Note 2 70 3" xfId="35113"/>
    <cellStyle name="Note 2 71" xfId="7341"/>
    <cellStyle name="Note 2 71 2" xfId="21696"/>
    <cellStyle name="Note 2 71 2 2" xfId="48704"/>
    <cellStyle name="Note 2 71 3" xfId="35200"/>
    <cellStyle name="Note 2 72" xfId="7440"/>
    <cellStyle name="Note 2 72 2" xfId="21782"/>
    <cellStyle name="Note 2 72 2 2" xfId="48790"/>
    <cellStyle name="Note 2 72 3" xfId="35286"/>
    <cellStyle name="Note 2 73" xfId="7535"/>
    <cellStyle name="Note 2 73 2" xfId="21864"/>
    <cellStyle name="Note 2 73 2 2" xfId="48872"/>
    <cellStyle name="Note 2 73 3" xfId="35368"/>
    <cellStyle name="Note 2 74" xfId="7746"/>
    <cellStyle name="Note 2 74 2" xfId="22046"/>
    <cellStyle name="Note 2 74 2 2" xfId="49054"/>
    <cellStyle name="Note 2 74 3" xfId="35550"/>
    <cellStyle name="Note 2 75" xfId="7815"/>
    <cellStyle name="Note 2 75 2" xfId="22105"/>
    <cellStyle name="Note 2 75 2 2" xfId="49113"/>
    <cellStyle name="Note 2 75 3" xfId="35609"/>
    <cellStyle name="Note 2 76" xfId="7957"/>
    <cellStyle name="Note 2 76 2" xfId="22233"/>
    <cellStyle name="Note 2 76 2 2" xfId="49241"/>
    <cellStyle name="Note 2 76 3" xfId="35737"/>
    <cellStyle name="Note 2 77" xfId="8099"/>
    <cellStyle name="Note 2 77 2" xfId="22361"/>
    <cellStyle name="Note 2 77 2 2" xfId="49369"/>
    <cellStyle name="Note 2 77 3" xfId="35865"/>
    <cellStyle name="Note 2 78" xfId="8241"/>
    <cellStyle name="Note 2 78 2" xfId="22489"/>
    <cellStyle name="Note 2 78 2 2" xfId="49497"/>
    <cellStyle name="Note 2 78 3" xfId="35993"/>
    <cellStyle name="Note 2 79" xfId="8383"/>
    <cellStyle name="Note 2 79 2" xfId="22617"/>
    <cellStyle name="Note 2 79 2 2" xfId="49625"/>
    <cellStyle name="Note 2 79 3" xfId="36121"/>
    <cellStyle name="Note 2 8" xfId="678"/>
    <cellStyle name="Note 2 8 2" xfId="15914"/>
    <cellStyle name="Note 2 8 2 2" xfId="42922"/>
    <cellStyle name="Note 2 8 3" xfId="29418"/>
    <cellStyle name="Note 2 80" xfId="8525"/>
    <cellStyle name="Note 2 80 2" xfId="22745"/>
    <cellStyle name="Note 2 80 2 2" xfId="49753"/>
    <cellStyle name="Note 2 80 3" xfId="36249"/>
    <cellStyle name="Note 2 81" xfId="8667"/>
    <cellStyle name="Note 2 81 2" xfId="22873"/>
    <cellStyle name="Note 2 81 2 2" xfId="49881"/>
    <cellStyle name="Note 2 81 3" xfId="36377"/>
    <cellStyle name="Note 2 82" xfId="8809"/>
    <cellStyle name="Note 2 82 2" xfId="23001"/>
    <cellStyle name="Note 2 82 2 2" xfId="50009"/>
    <cellStyle name="Note 2 82 3" xfId="36505"/>
    <cellStyle name="Note 2 83" xfId="8951"/>
    <cellStyle name="Note 2 83 2" xfId="23129"/>
    <cellStyle name="Note 2 83 2 2" xfId="50137"/>
    <cellStyle name="Note 2 83 3" xfId="36633"/>
    <cellStyle name="Note 2 84" xfId="9093"/>
    <cellStyle name="Note 2 84 2" xfId="23257"/>
    <cellStyle name="Note 2 84 2 2" xfId="50265"/>
    <cellStyle name="Note 2 84 3" xfId="36761"/>
    <cellStyle name="Note 2 85" xfId="9235"/>
    <cellStyle name="Note 2 85 2" xfId="23385"/>
    <cellStyle name="Note 2 85 2 2" xfId="50393"/>
    <cellStyle name="Note 2 85 3" xfId="36889"/>
    <cellStyle name="Note 2 86" xfId="9377"/>
    <cellStyle name="Note 2 86 2" xfId="23513"/>
    <cellStyle name="Note 2 86 2 2" xfId="50521"/>
    <cellStyle name="Note 2 86 3" xfId="37017"/>
    <cellStyle name="Note 2 87" xfId="9519"/>
    <cellStyle name="Note 2 87 2" xfId="23641"/>
    <cellStyle name="Note 2 87 2 2" xfId="50649"/>
    <cellStyle name="Note 2 87 3" xfId="37145"/>
    <cellStyle name="Note 2 88" xfId="9661"/>
    <cellStyle name="Note 2 88 2" xfId="23769"/>
    <cellStyle name="Note 2 88 2 2" xfId="50777"/>
    <cellStyle name="Note 2 88 3" xfId="37273"/>
    <cellStyle name="Note 2 89" xfId="9803"/>
    <cellStyle name="Note 2 89 2" xfId="23897"/>
    <cellStyle name="Note 2 89 2 2" xfId="50905"/>
    <cellStyle name="Note 2 89 3" xfId="37401"/>
    <cellStyle name="Note 2 9" xfId="784"/>
    <cellStyle name="Note 2 9 2" xfId="16006"/>
    <cellStyle name="Note 2 9 2 2" xfId="43014"/>
    <cellStyle name="Note 2 9 3" xfId="29510"/>
    <cellStyle name="Note 2 90" xfId="9945"/>
    <cellStyle name="Note 2 90 2" xfId="24025"/>
    <cellStyle name="Note 2 90 2 2" xfId="51033"/>
    <cellStyle name="Note 2 90 3" xfId="37529"/>
    <cellStyle name="Note 2 91" xfId="10087"/>
    <cellStyle name="Note 2 91 2" xfId="24153"/>
    <cellStyle name="Note 2 91 2 2" xfId="51161"/>
    <cellStyle name="Note 2 91 3" xfId="37657"/>
    <cellStyle name="Note 2 92" xfId="10229"/>
    <cellStyle name="Note 2 92 2" xfId="24281"/>
    <cellStyle name="Note 2 92 2 2" xfId="51289"/>
    <cellStyle name="Note 2 92 3" xfId="37785"/>
    <cellStyle name="Note 2 93" xfId="10371"/>
    <cellStyle name="Note 2 93 2" xfId="24409"/>
    <cellStyle name="Note 2 93 2 2" xfId="51417"/>
    <cellStyle name="Note 2 93 3" xfId="37913"/>
    <cellStyle name="Note 2 94" xfId="10513"/>
    <cellStyle name="Note 2 94 2" xfId="24537"/>
    <cellStyle name="Note 2 94 2 2" xfId="51545"/>
    <cellStyle name="Note 2 94 3" xfId="38041"/>
    <cellStyle name="Note 2 95" xfId="10655"/>
    <cellStyle name="Note 2 95 2" xfId="24665"/>
    <cellStyle name="Note 2 95 2 2" xfId="51673"/>
    <cellStyle name="Note 2 95 3" xfId="38169"/>
    <cellStyle name="Note 2 96" xfId="10797"/>
    <cellStyle name="Note 2 96 2" xfId="24793"/>
    <cellStyle name="Note 2 96 2 2" xfId="51801"/>
    <cellStyle name="Note 2 96 3" xfId="38297"/>
    <cellStyle name="Note 2 97" xfId="10939"/>
    <cellStyle name="Note 2 97 2" xfId="24921"/>
    <cellStyle name="Note 2 97 2 2" xfId="51929"/>
    <cellStyle name="Note 2 97 3" xfId="38425"/>
    <cellStyle name="Note 2 98" xfId="11081"/>
    <cellStyle name="Note 2 98 2" xfId="25049"/>
    <cellStyle name="Note 2 98 2 2" xfId="52057"/>
    <cellStyle name="Note 2 98 3" xfId="38553"/>
    <cellStyle name="Note 2 99" xfId="11223"/>
    <cellStyle name="Note 2 99 2" xfId="25177"/>
    <cellStyle name="Note 2 99 2 2" xfId="52185"/>
    <cellStyle name="Note 2 99 3" xfId="38681"/>
    <cellStyle name="Note 3" xfId="73"/>
    <cellStyle name="Note 3 10" xfId="992"/>
    <cellStyle name="Note 3 10 2" xfId="16188"/>
    <cellStyle name="Note 3 10 2 2" xfId="43196"/>
    <cellStyle name="Note 3 10 3" xfId="29692"/>
    <cellStyle name="Note 3 100" xfId="11433"/>
    <cellStyle name="Note 3 100 2" xfId="25369"/>
    <cellStyle name="Note 3 100 2 2" xfId="52377"/>
    <cellStyle name="Note 3 100 3" xfId="38873"/>
    <cellStyle name="Note 3 101" xfId="11575"/>
    <cellStyle name="Note 3 101 2" xfId="25497"/>
    <cellStyle name="Note 3 101 2 2" xfId="52505"/>
    <cellStyle name="Note 3 101 3" xfId="39001"/>
    <cellStyle name="Note 3 102" xfId="11717"/>
    <cellStyle name="Note 3 102 2" xfId="25625"/>
    <cellStyle name="Note 3 102 2 2" xfId="52633"/>
    <cellStyle name="Note 3 102 3" xfId="39129"/>
    <cellStyle name="Note 3 103" xfId="11859"/>
    <cellStyle name="Note 3 103 2" xfId="25753"/>
    <cellStyle name="Note 3 103 2 2" xfId="52761"/>
    <cellStyle name="Note 3 103 3" xfId="39257"/>
    <cellStyle name="Note 3 104" xfId="12001"/>
    <cellStyle name="Note 3 104 2" xfId="25881"/>
    <cellStyle name="Note 3 104 2 2" xfId="52889"/>
    <cellStyle name="Note 3 104 3" xfId="39385"/>
    <cellStyle name="Note 3 105" xfId="12143"/>
    <cellStyle name="Note 3 105 2" xfId="26009"/>
    <cellStyle name="Note 3 105 2 2" xfId="53017"/>
    <cellStyle name="Note 3 105 3" xfId="39513"/>
    <cellStyle name="Note 3 106" xfId="12285"/>
    <cellStyle name="Note 3 106 2" xfId="26137"/>
    <cellStyle name="Note 3 106 2 2" xfId="53145"/>
    <cellStyle name="Note 3 106 3" xfId="39641"/>
    <cellStyle name="Note 3 107" xfId="12427"/>
    <cellStyle name="Note 3 107 2" xfId="26265"/>
    <cellStyle name="Note 3 107 2 2" xfId="53273"/>
    <cellStyle name="Note 3 107 3" xfId="39769"/>
    <cellStyle name="Note 3 108" xfId="12569"/>
    <cellStyle name="Note 3 108 2" xfId="26393"/>
    <cellStyle name="Note 3 108 2 2" xfId="53401"/>
    <cellStyle name="Note 3 108 3" xfId="39897"/>
    <cellStyle name="Note 3 109" xfId="12711"/>
    <cellStyle name="Note 3 109 2" xfId="26521"/>
    <cellStyle name="Note 3 109 2 2" xfId="53529"/>
    <cellStyle name="Note 3 109 3" xfId="40025"/>
    <cellStyle name="Note 3 11" xfId="1098"/>
    <cellStyle name="Note 3 11 2" xfId="16280"/>
    <cellStyle name="Note 3 11 2 2" xfId="43288"/>
    <cellStyle name="Note 3 11 3" xfId="29784"/>
    <cellStyle name="Note 3 110" xfId="12853"/>
    <cellStyle name="Note 3 110 2" xfId="26649"/>
    <cellStyle name="Note 3 110 2 2" xfId="53657"/>
    <cellStyle name="Note 3 110 3" xfId="40153"/>
    <cellStyle name="Note 3 111" xfId="12995"/>
    <cellStyle name="Note 3 111 2" xfId="26777"/>
    <cellStyle name="Note 3 111 2 2" xfId="53785"/>
    <cellStyle name="Note 3 111 3" xfId="40281"/>
    <cellStyle name="Note 3 112" xfId="13137"/>
    <cellStyle name="Note 3 112 2" xfId="26905"/>
    <cellStyle name="Note 3 112 2 2" xfId="53913"/>
    <cellStyle name="Note 3 112 3" xfId="40409"/>
    <cellStyle name="Note 3 113" xfId="13279"/>
    <cellStyle name="Note 3 113 2" xfId="27033"/>
    <cellStyle name="Note 3 113 2 2" xfId="54041"/>
    <cellStyle name="Note 3 113 3" xfId="40537"/>
    <cellStyle name="Note 3 114" xfId="13421"/>
    <cellStyle name="Note 3 114 2" xfId="27161"/>
    <cellStyle name="Note 3 114 2 2" xfId="54169"/>
    <cellStyle name="Note 3 114 3" xfId="40665"/>
    <cellStyle name="Note 3 115" xfId="13563"/>
    <cellStyle name="Note 3 115 2" xfId="27289"/>
    <cellStyle name="Note 3 115 2 2" xfId="54297"/>
    <cellStyle name="Note 3 115 3" xfId="40793"/>
    <cellStyle name="Note 3 116" xfId="13705"/>
    <cellStyle name="Note 3 116 2" xfId="27417"/>
    <cellStyle name="Note 3 116 2 2" xfId="54425"/>
    <cellStyle name="Note 3 116 3" xfId="40921"/>
    <cellStyle name="Note 3 117" xfId="13846"/>
    <cellStyle name="Note 3 117 2" xfId="27544"/>
    <cellStyle name="Note 3 117 2 2" xfId="54552"/>
    <cellStyle name="Note 3 117 3" xfId="41048"/>
    <cellStyle name="Note 3 118" xfId="13987"/>
    <cellStyle name="Note 3 118 2" xfId="27671"/>
    <cellStyle name="Note 3 118 2 2" xfId="54679"/>
    <cellStyle name="Note 3 118 3" xfId="41175"/>
    <cellStyle name="Note 3 119" xfId="14128"/>
    <cellStyle name="Note 3 119 2" xfId="27798"/>
    <cellStyle name="Note 3 119 2 2" xfId="54806"/>
    <cellStyle name="Note 3 119 3" xfId="41302"/>
    <cellStyle name="Note 3 12" xfId="1204"/>
    <cellStyle name="Note 3 12 2" xfId="16372"/>
    <cellStyle name="Note 3 12 2 2" xfId="43380"/>
    <cellStyle name="Note 3 12 3" xfId="29876"/>
    <cellStyle name="Note 3 120" xfId="14269"/>
    <cellStyle name="Note 3 120 2" xfId="27925"/>
    <cellStyle name="Note 3 120 2 2" xfId="54933"/>
    <cellStyle name="Note 3 120 3" xfId="41429"/>
    <cellStyle name="Note 3 121" xfId="14410"/>
    <cellStyle name="Note 3 121 2" xfId="28052"/>
    <cellStyle name="Note 3 121 2 2" xfId="55060"/>
    <cellStyle name="Note 3 121 3" xfId="41556"/>
    <cellStyle name="Note 3 122" xfId="14550"/>
    <cellStyle name="Note 3 122 2" xfId="28178"/>
    <cellStyle name="Note 3 122 2 2" xfId="55186"/>
    <cellStyle name="Note 3 122 3" xfId="41682"/>
    <cellStyle name="Note 3 123" xfId="14690"/>
    <cellStyle name="Note 3 123 2" xfId="28304"/>
    <cellStyle name="Note 3 123 2 2" xfId="55312"/>
    <cellStyle name="Note 3 123 3" xfId="41808"/>
    <cellStyle name="Note 3 124" xfId="14827"/>
    <cellStyle name="Note 3 124 2" xfId="28427"/>
    <cellStyle name="Note 3 124 2 2" xfId="55435"/>
    <cellStyle name="Note 3 124 3" xfId="41931"/>
    <cellStyle name="Note 3 125" xfId="14961"/>
    <cellStyle name="Note 3 125 2" xfId="28548"/>
    <cellStyle name="Note 3 125 2 2" xfId="55556"/>
    <cellStyle name="Note 3 125 3" xfId="42052"/>
    <cellStyle name="Note 3 126" xfId="15093"/>
    <cellStyle name="Note 3 126 2" xfId="28667"/>
    <cellStyle name="Note 3 126 2 2" xfId="55675"/>
    <cellStyle name="Note 3 126 3" xfId="42171"/>
    <cellStyle name="Note 3 127" xfId="15218"/>
    <cellStyle name="Note 3 127 2" xfId="28783"/>
    <cellStyle name="Note 3 127 2 2" xfId="55791"/>
    <cellStyle name="Note 3 127 3" xfId="42287"/>
    <cellStyle name="Note 3 128" xfId="15457"/>
    <cellStyle name="Note 3 128 2" xfId="42465"/>
    <cellStyle name="Note 3 129" xfId="28961"/>
    <cellStyle name="Note 3 13" xfId="1310"/>
    <cellStyle name="Note 3 13 2" xfId="16464"/>
    <cellStyle name="Note 3 13 2 2" xfId="43472"/>
    <cellStyle name="Note 3 13 3" xfId="29968"/>
    <cellStyle name="Note 3 14" xfId="1416"/>
    <cellStyle name="Note 3 14 2" xfId="16556"/>
    <cellStyle name="Note 3 14 2 2" xfId="43564"/>
    <cellStyle name="Note 3 14 3" xfId="30060"/>
    <cellStyle name="Note 3 15" xfId="1522"/>
    <cellStyle name="Note 3 15 2" xfId="16648"/>
    <cellStyle name="Note 3 15 2 2" xfId="43656"/>
    <cellStyle name="Note 3 15 3" xfId="30152"/>
    <cellStyle name="Note 3 16" xfId="1628"/>
    <cellStyle name="Note 3 16 2" xfId="16740"/>
    <cellStyle name="Note 3 16 2 2" xfId="43748"/>
    <cellStyle name="Note 3 16 3" xfId="30244"/>
    <cellStyle name="Note 3 17" xfId="1734"/>
    <cellStyle name="Note 3 17 2" xfId="16832"/>
    <cellStyle name="Note 3 17 2 2" xfId="43840"/>
    <cellStyle name="Note 3 17 3" xfId="30336"/>
    <cellStyle name="Note 3 18" xfId="1840"/>
    <cellStyle name="Note 3 18 2" xfId="16924"/>
    <cellStyle name="Note 3 18 2 2" xfId="43932"/>
    <cellStyle name="Note 3 18 3" xfId="30428"/>
    <cellStyle name="Note 3 19" xfId="1946"/>
    <cellStyle name="Note 3 19 2" xfId="17016"/>
    <cellStyle name="Note 3 19 2 2" xfId="44024"/>
    <cellStyle name="Note 3 19 3" xfId="30520"/>
    <cellStyle name="Note 3 2" xfId="132"/>
    <cellStyle name="Note 3 2 10" xfId="1238"/>
    <cellStyle name="Note 3 2 10 2" xfId="16398"/>
    <cellStyle name="Note 3 2 10 2 2" xfId="43406"/>
    <cellStyle name="Note 3 2 10 3" xfId="29902"/>
    <cellStyle name="Note 3 2 100" xfId="11786"/>
    <cellStyle name="Note 3 2 100 2" xfId="25684"/>
    <cellStyle name="Note 3 2 100 2 2" xfId="52692"/>
    <cellStyle name="Note 3 2 100 3" xfId="39188"/>
    <cellStyle name="Note 3 2 101" xfId="11928"/>
    <cellStyle name="Note 3 2 101 2" xfId="25812"/>
    <cellStyle name="Note 3 2 101 2 2" xfId="52820"/>
    <cellStyle name="Note 3 2 101 3" xfId="39316"/>
    <cellStyle name="Note 3 2 102" xfId="12070"/>
    <cellStyle name="Note 3 2 102 2" xfId="25940"/>
    <cellStyle name="Note 3 2 102 2 2" xfId="52948"/>
    <cellStyle name="Note 3 2 102 3" xfId="39444"/>
    <cellStyle name="Note 3 2 103" xfId="12212"/>
    <cellStyle name="Note 3 2 103 2" xfId="26068"/>
    <cellStyle name="Note 3 2 103 2 2" xfId="53076"/>
    <cellStyle name="Note 3 2 103 3" xfId="39572"/>
    <cellStyle name="Note 3 2 104" xfId="12354"/>
    <cellStyle name="Note 3 2 104 2" xfId="26196"/>
    <cellStyle name="Note 3 2 104 2 2" xfId="53204"/>
    <cellStyle name="Note 3 2 104 3" xfId="39700"/>
    <cellStyle name="Note 3 2 105" xfId="12496"/>
    <cellStyle name="Note 3 2 105 2" xfId="26324"/>
    <cellStyle name="Note 3 2 105 2 2" xfId="53332"/>
    <cellStyle name="Note 3 2 105 3" xfId="39828"/>
    <cellStyle name="Note 3 2 106" xfId="12638"/>
    <cellStyle name="Note 3 2 106 2" xfId="26452"/>
    <cellStyle name="Note 3 2 106 2 2" xfId="53460"/>
    <cellStyle name="Note 3 2 106 3" xfId="39956"/>
    <cellStyle name="Note 3 2 107" xfId="12780"/>
    <cellStyle name="Note 3 2 107 2" xfId="26580"/>
    <cellStyle name="Note 3 2 107 2 2" xfId="53588"/>
    <cellStyle name="Note 3 2 107 3" xfId="40084"/>
    <cellStyle name="Note 3 2 108" xfId="12922"/>
    <cellStyle name="Note 3 2 108 2" xfId="26708"/>
    <cellStyle name="Note 3 2 108 2 2" xfId="53716"/>
    <cellStyle name="Note 3 2 108 3" xfId="40212"/>
    <cellStyle name="Note 3 2 109" xfId="13064"/>
    <cellStyle name="Note 3 2 109 2" xfId="26836"/>
    <cellStyle name="Note 3 2 109 2 2" xfId="53844"/>
    <cellStyle name="Note 3 2 109 3" xfId="40340"/>
    <cellStyle name="Note 3 2 11" xfId="1344"/>
    <cellStyle name="Note 3 2 11 2" xfId="16490"/>
    <cellStyle name="Note 3 2 11 2 2" xfId="43498"/>
    <cellStyle name="Note 3 2 11 3" xfId="29994"/>
    <cellStyle name="Note 3 2 110" xfId="13206"/>
    <cellStyle name="Note 3 2 110 2" xfId="26964"/>
    <cellStyle name="Note 3 2 110 2 2" xfId="53972"/>
    <cellStyle name="Note 3 2 110 3" xfId="40468"/>
    <cellStyle name="Note 3 2 111" xfId="13348"/>
    <cellStyle name="Note 3 2 111 2" xfId="27092"/>
    <cellStyle name="Note 3 2 111 2 2" xfId="54100"/>
    <cellStyle name="Note 3 2 111 3" xfId="40596"/>
    <cellStyle name="Note 3 2 112" xfId="13490"/>
    <cellStyle name="Note 3 2 112 2" xfId="27220"/>
    <cellStyle name="Note 3 2 112 2 2" xfId="54228"/>
    <cellStyle name="Note 3 2 112 3" xfId="40724"/>
    <cellStyle name="Note 3 2 113" xfId="13632"/>
    <cellStyle name="Note 3 2 113 2" xfId="27348"/>
    <cellStyle name="Note 3 2 113 2 2" xfId="54356"/>
    <cellStyle name="Note 3 2 113 3" xfId="40852"/>
    <cellStyle name="Note 3 2 114" xfId="13774"/>
    <cellStyle name="Note 3 2 114 2" xfId="27476"/>
    <cellStyle name="Note 3 2 114 2 2" xfId="54484"/>
    <cellStyle name="Note 3 2 114 3" xfId="40980"/>
    <cellStyle name="Note 3 2 115" xfId="13915"/>
    <cellStyle name="Note 3 2 115 2" xfId="27603"/>
    <cellStyle name="Note 3 2 115 2 2" xfId="54611"/>
    <cellStyle name="Note 3 2 115 3" xfId="41107"/>
    <cellStyle name="Note 3 2 116" xfId="14056"/>
    <cellStyle name="Note 3 2 116 2" xfId="27730"/>
    <cellStyle name="Note 3 2 116 2 2" xfId="54738"/>
    <cellStyle name="Note 3 2 116 3" xfId="41234"/>
    <cellStyle name="Note 3 2 117" xfId="14197"/>
    <cellStyle name="Note 3 2 117 2" xfId="27857"/>
    <cellStyle name="Note 3 2 117 2 2" xfId="54865"/>
    <cellStyle name="Note 3 2 117 3" xfId="41361"/>
    <cellStyle name="Note 3 2 118" xfId="14338"/>
    <cellStyle name="Note 3 2 118 2" xfId="27984"/>
    <cellStyle name="Note 3 2 118 2 2" xfId="54992"/>
    <cellStyle name="Note 3 2 118 3" xfId="41488"/>
    <cellStyle name="Note 3 2 119" xfId="14478"/>
    <cellStyle name="Note 3 2 119 2" xfId="28110"/>
    <cellStyle name="Note 3 2 119 2 2" xfId="55118"/>
    <cellStyle name="Note 3 2 119 3" xfId="41614"/>
    <cellStyle name="Note 3 2 12" xfId="1450"/>
    <cellStyle name="Note 3 2 12 2" xfId="16582"/>
    <cellStyle name="Note 3 2 12 2 2" xfId="43590"/>
    <cellStyle name="Note 3 2 12 3" xfId="30086"/>
    <cellStyle name="Note 3 2 120" xfId="14618"/>
    <cellStyle name="Note 3 2 120 2" xfId="28236"/>
    <cellStyle name="Note 3 2 120 2 2" xfId="55244"/>
    <cellStyle name="Note 3 2 120 3" xfId="41740"/>
    <cellStyle name="Note 3 2 121" xfId="14757"/>
    <cellStyle name="Note 3 2 121 2" xfId="28361"/>
    <cellStyle name="Note 3 2 121 2 2" xfId="55369"/>
    <cellStyle name="Note 3 2 121 3" xfId="41865"/>
    <cellStyle name="Note 3 2 122" xfId="14892"/>
    <cellStyle name="Note 3 2 122 2" xfId="28483"/>
    <cellStyle name="Note 3 2 122 2 2" xfId="55491"/>
    <cellStyle name="Note 3 2 122 3" xfId="41987"/>
    <cellStyle name="Note 3 2 123" xfId="15026"/>
    <cellStyle name="Note 3 2 123 2" xfId="28604"/>
    <cellStyle name="Note 3 2 123 2 2" xfId="55612"/>
    <cellStyle name="Note 3 2 123 3" xfId="42108"/>
    <cellStyle name="Note 3 2 124" xfId="15154"/>
    <cellStyle name="Note 3 2 124 2" xfId="28721"/>
    <cellStyle name="Note 3 2 124 2 2" xfId="55729"/>
    <cellStyle name="Note 3 2 124 3" xfId="42225"/>
    <cellStyle name="Note 3 2 125" xfId="15275"/>
    <cellStyle name="Note 3 2 125 2" xfId="28835"/>
    <cellStyle name="Note 3 2 125 2 2" xfId="55843"/>
    <cellStyle name="Note 3 2 125 3" xfId="42339"/>
    <cellStyle name="Note 3 2 126" xfId="15490"/>
    <cellStyle name="Note 3 2 126 2" xfId="42498"/>
    <cellStyle name="Note 3 2 127" xfId="28994"/>
    <cellStyle name="Note 3 2 13" xfId="1556"/>
    <cellStyle name="Note 3 2 13 2" xfId="16674"/>
    <cellStyle name="Note 3 2 13 2 2" xfId="43682"/>
    <cellStyle name="Note 3 2 13 3" xfId="30178"/>
    <cellStyle name="Note 3 2 14" xfId="1662"/>
    <cellStyle name="Note 3 2 14 2" xfId="16766"/>
    <cellStyle name="Note 3 2 14 2 2" xfId="43774"/>
    <cellStyle name="Note 3 2 14 3" xfId="30270"/>
    <cellStyle name="Note 3 2 15" xfId="1768"/>
    <cellStyle name="Note 3 2 15 2" xfId="16858"/>
    <cellStyle name="Note 3 2 15 2 2" xfId="43866"/>
    <cellStyle name="Note 3 2 15 3" xfId="30362"/>
    <cellStyle name="Note 3 2 16" xfId="1874"/>
    <cellStyle name="Note 3 2 16 2" xfId="16950"/>
    <cellStyle name="Note 3 2 16 2 2" xfId="43958"/>
    <cellStyle name="Note 3 2 16 3" xfId="30454"/>
    <cellStyle name="Note 3 2 17" xfId="1980"/>
    <cellStyle name="Note 3 2 17 2" xfId="17042"/>
    <cellStyle name="Note 3 2 17 2 2" xfId="44050"/>
    <cellStyle name="Note 3 2 17 3" xfId="30546"/>
    <cellStyle name="Note 3 2 18" xfId="2086"/>
    <cellStyle name="Note 3 2 18 2" xfId="17134"/>
    <cellStyle name="Note 3 2 18 2 2" xfId="44142"/>
    <cellStyle name="Note 3 2 18 3" xfId="30638"/>
    <cellStyle name="Note 3 2 19" xfId="2192"/>
    <cellStyle name="Note 3 2 19 2" xfId="17226"/>
    <cellStyle name="Note 3 2 19 2 2" xfId="44234"/>
    <cellStyle name="Note 3 2 19 3" xfId="30730"/>
    <cellStyle name="Note 3 2 2" xfId="309"/>
    <cellStyle name="Note 3 2 2 2" xfId="15611"/>
    <cellStyle name="Note 3 2 2 2 2" xfId="42619"/>
    <cellStyle name="Note 3 2 2 3" xfId="29115"/>
    <cellStyle name="Note 3 2 20" xfId="2298"/>
    <cellStyle name="Note 3 2 20 2" xfId="17318"/>
    <cellStyle name="Note 3 2 20 2 2" xfId="44326"/>
    <cellStyle name="Note 3 2 20 3" xfId="30822"/>
    <cellStyle name="Note 3 2 21" xfId="2404"/>
    <cellStyle name="Note 3 2 21 2" xfId="17410"/>
    <cellStyle name="Note 3 2 21 2 2" xfId="44418"/>
    <cellStyle name="Note 3 2 21 3" xfId="30914"/>
    <cellStyle name="Note 3 2 22" xfId="2510"/>
    <cellStyle name="Note 3 2 22 2" xfId="17502"/>
    <cellStyle name="Note 3 2 22 2 2" xfId="44510"/>
    <cellStyle name="Note 3 2 22 3" xfId="31006"/>
    <cellStyle name="Note 3 2 23" xfId="2616"/>
    <cellStyle name="Note 3 2 23 2" xfId="17594"/>
    <cellStyle name="Note 3 2 23 2 2" xfId="44602"/>
    <cellStyle name="Note 3 2 23 3" xfId="31098"/>
    <cellStyle name="Note 3 2 24" xfId="2722"/>
    <cellStyle name="Note 3 2 24 2" xfId="17686"/>
    <cellStyle name="Note 3 2 24 2 2" xfId="44694"/>
    <cellStyle name="Note 3 2 24 3" xfId="31190"/>
    <cellStyle name="Note 3 2 25" xfId="2828"/>
    <cellStyle name="Note 3 2 25 2" xfId="17778"/>
    <cellStyle name="Note 3 2 25 2 2" xfId="44786"/>
    <cellStyle name="Note 3 2 25 3" xfId="31282"/>
    <cellStyle name="Note 3 2 26" xfId="2934"/>
    <cellStyle name="Note 3 2 26 2" xfId="17870"/>
    <cellStyle name="Note 3 2 26 2 2" xfId="44878"/>
    <cellStyle name="Note 3 2 26 3" xfId="31374"/>
    <cellStyle name="Note 3 2 27" xfId="3040"/>
    <cellStyle name="Note 3 2 27 2" xfId="17962"/>
    <cellStyle name="Note 3 2 27 2 2" xfId="44970"/>
    <cellStyle name="Note 3 2 27 3" xfId="31466"/>
    <cellStyle name="Note 3 2 28" xfId="3146"/>
    <cellStyle name="Note 3 2 28 2" xfId="18054"/>
    <cellStyle name="Note 3 2 28 2 2" xfId="45062"/>
    <cellStyle name="Note 3 2 28 3" xfId="31558"/>
    <cellStyle name="Note 3 2 29" xfId="3252"/>
    <cellStyle name="Note 3 2 29 2" xfId="18146"/>
    <cellStyle name="Note 3 2 29 2 2" xfId="45154"/>
    <cellStyle name="Note 3 2 29 3" xfId="31650"/>
    <cellStyle name="Note 3 2 3" xfId="496"/>
    <cellStyle name="Note 3 2 3 2" xfId="15752"/>
    <cellStyle name="Note 3 2 3 2 2" xfId="42760"/>
    <cellStyle name="Note 3 2 3 3" xfId="29256"/>
    <cellStyle name="Note 3 2 30" xfId="3358"/>
    <cellStyle name="Note 3 2 30 2" xfId="18238"/>
    <cellStyle name="Note 3 2 30 2 2" xfId="45246"/>
    <cellStyle name="Note 3 2 30 3" xfId="31742"/>
    <cellStyle name="Note 3 2 31" xfId="3464"/>
    <cellStyle name="Note 3 2 31 2" xfId="18330"/>
    <cellStyle name="Note 3 2 31 2 2" xfId="45338"/>
    <cellStyle name="Note 3 2 31 3" xfId="31834"/>
    <cellStyle name="Note 3 2 32" xfId="3570"/>
    <cellStyle name="Note 3 2 32 2" xfId="18422"/>
    <cellStyle name="Note 3 2 32 2 2" xfId="45430"/>
    <cellStyle name="Note 3 2 32 3" xfId="31926"/>
    <cellStyle name="Note 3 2 33" xfId="3676"/>
    <cellStyle name="Note 3 2 33 2" xfId="18514"/>
    <cellStyle name="Note 3 2 33 2 2" xfId="45522"/>
    <cellStyle name="Note 3 2 33 3" xfId="32018"/>
    <cellStyle name="Note 3 2 34" xfId="3782"/>
    <cellStyle name="Note 3 2 34 2" xfId="18606"/>
    <cellStyle name="Note 3 2 34 2 2" xfId="45614"/>
    <cellStyle name="Note 3 2 34 3" xfId="32110"/>
    <cellStyle name="Note 3 2 35" xfId="3888"/>
    <cellStyle name="Note 3 2 35 2" xfId="18698"/>
    <cellStyle name="Note 3 2 35 2 2" xfId="45706"/>
    <cellStyle name="Note 3 2 35 3" xfId="32202"/>
    <cellStyle name="Note 3 2 36" xfId="3994"/>
    <cellStyle name="Note 3 2 36 2" xfId="18790"/>
    <cellStyle name="Note 3 2 36 2 2" xfId="45798"/>
    <cellStyle name="Note 3 2 36 3" xfId="32294"/>
    <cellStyle name="Note 3 2 37" xfId="4100"/>
    <cellStyle name="Note 3 2 37 2" xfId="18882"/>
    <cellStyle name="Note 3 2 37 2 2" xfId="45890"/>
    <cellStyle name="Note 3 2 37 3" xfId="32386"/>
    <cellStyle name="Note 3 2 38" xfId="4206"/>
    <cellStyle name="Note 3 2 38 2" xfId="18974"/>
    <cellStyle name="Note 3 2 38 2 2" xfId="45982"/>
    <cellStyle name="Note 3 2 38 3" xfId="32478"/>
    <cellStyle name="Note 3 2 39" xfId="4312"/>
    <cellStyle name="Note 3 2 39 2" xfId="19066"/>
    <cellStyle name="Note 3 2 39 2 2" xfId="46074"/>
    <cellStyle name="Note 3 2 39 3" xfId="32570"/>
    <cellStyle name="Note 3 2 4" xfId="602"/>
    <cellStyle name="Note 3 2 4 2" xfId="15846"/>
    <cellStyle name="Note 3 2 4 2 2" xfId="42854"/>
    <cellStyle name="Note 3 2 4 3" xfId="29350"/>
    <cellStyle name="Note 3 2 40" xfId="4418"/>
    <cellStyle name="Note 3 2 40 2" xfId="19158"/>
    <cellStyle name="Note 3 2 40 2 2" xfId="46166"/>
    <cellStyle name="Note 3 2 40 3" xfId="32662"/>
    <cellStyle name="Note 3 2 41" xfId="4524"/>
    <cellStyle name="Note 3 2 41 2" xfId="19250"/>
    <cellStyle name="Note 3 2 41 2 2" xfId="46258"/>
    <cellStyle name="Note 3 2 41 3" xfId="32754"/>
    <cellStyle name="Note 3 2 42" xfId="4630"/>
    <cellStyle name="Note 3 2 42 2" xfId="19342"/>
    <cellStyle name="Note 3 2 42 2 2" xfId="46350"/>
    <cellStyle name="Note 3 2 42 3" xfId="32846"/>
    <cellStyle name="Note 3 2 43" xfId="4736"/>
    <cellStyle name="Note 3 2 43 2" xfId="19434"/>
    <cellStyle name="Note 3 2 43 2 2" xfId="46442"/>
    <cellStyle name="Note 3 2 43 3" xfId="32938"/>
    <cellStyle name="Note 3 2 44" xfId="4842"/>
    <cellStyle name="Note 3 2 44 2" xfId="19526"/>
    <cellStyle name="Note 3 2 44 2 2" xfId="46534"/>
    <cellStyle name="Note 3 2 44 3" xfId="33030"/>
    <cellStyle name="Note 3 2 45" xfId="4948"/>
    <cellStyle name="Note 3 2 45 2" xfId="19618"/>
    <cellStyle name="Note 3 2 45 2 2" xfId="46626"/>
    <cellStyle name="Note 3 2 45 3" xfId="33122"/>
    <cellStyle name="Note 3 2 46" xfId="5054"/>
    <cellStyle name="Note 3 2 46 2" xfId="19710"/>
    <cellStyle name="Note 3 2 46 2 2" xfId="46718"/>
    <cellStyle name="Note 3 2 46 3" xfId="33214"/>
    <cellStyle name="Note 3 2 47" xfId="5160"/>
    <cellStyle name="Note 3 2 47 2" xfId="19802"/>
    <cellStyle name="Note 3 2 47 2 2" xfId="46810"/>
    <cellStyle name="Note 3 2 47 3" xfId="33306"/>
    <cellStyle name="Note 3 2 48" xfId="5266"/>
    <cellStyle name="Note 3 2 48 2" xfId="19894"/>
    <cellStyle name="Note 3 2 48 2 2" xfId="46902"/>
    <cellStyle name="Note 3 2 48 3" xfId="33398"/>
    <cellStyle name="Note 3 2 49" xfId="5372"/>
    <cellStyle name="Note 3 2 49 2" xfId="19986"/>
    <cellStyle name="Note 3 2 49 2 2" xfId="46994"/>
    <cellStyle name="Note 3 2 49 3" xfId="33490"/>
    <cellStyle name="Note 3 2 5" xfId="708"/>
    <cellStyle name="Note 3 2 5 2" xfId="15938"/>
    <cellStyle name="Note 3 2 5 2 2" xfId="42946"/>
    <cellStyle name="Note 3 2 5 3" xfId="29442"/>
    <cellStyle name="Note 3 2 50" xfId="5478"/>
    <cellStyle name="Note 3 2 50 2" xfId="20078"/>
    <cellStyle name="Note 3 2 50 2 2" xfId="47086"/>
    <cellStyle name="Note 3 2 50 3" xfId="33582"/>
    <cellStyle name="Note 3 2 51" xfId="5584"/>
    <cellStyle name="Note 3 2 51 2" xfId="20170"/>
    <cellStyle name="Note 3 2 51 2 2" xfId="47178"/>
    <cellStyle name="Note 3 2 51 3" xfId="33674"/>
    <cellStyle name="Note 3 2 52" xfId="5690"/>
    <cellStyle name="Note 3 2 52 2" xfId="20262"/>
    <cellStyle name="Note 3 2 52 2 2" xfId="47270"/>
    <cellStyle name="Note 3 2 52 3" xfId="33766"/>
    <cellStyle name="Note 3 2 53" xfId="5796"/>
    <cellStyle name="Note 3 2 53 2" xfId="20354"/>
    <cellStyle name="Note 3 2 53 2 2" xfId="47362"/>
    <cellStyle name="Note 3 2 53 3" xfId="33858"/>
    <cellStyle name="Note 3 2 54" xfId="5902"/>
    <cellStyle name="Note 3 2 54 2" xfId="20446"/>
    <cellStyle name="Note 3 2 54 2 2" xfId="47454"/>
    <cellStyle name="Note 3 2 54 3" xfId="33950"/>
    <cellStyle name="Note 3 2 55" xfId="6008"/>
    <cellStyle name="Note 3 2 55 2" xfId="20538"/>
    <cellStyle name="Note 3 2 55 2 2" xfId="47546"/>
    <cellStyle name="Note 3 2 55 3" xfId="34042"/>
    <cellStyle name="Note 3 2 56" xfId="6114"/>
    <cellStyle name="Note 3 2 56 2" xfId="20630"/>
    <cellStyle name="Note 3 2 56 2 2" xfId="47638"/>
    <cellStyle name="Note 3 2 56 3" xfId="34134"/>
    <cellStyle name="Note 3 2 57" xfId="6220"/>
    <cellStyle name="Note 3 2 57 2" xfId="20722"/>
    <cellStyle name="Note 3 2 57 2 2" xfId="47730"/>
    <cellStyle name="Note 3 2 57 3" xfId="34226"/>
    <cellStyle name="Note 3 2 58" xfId="6326"/>
    <cellStyle name="Note 3 2 58 2" xfId="20814"/>
    <cellStyle name="Note 3 2 58 2 2" xfId="47822"/>
    <cellStyle name="Note 3 2 58 3" xfId="34318"/>
    <cellStyle name="Note 3 2 59" xfId="6432"/>
    <cellStyle name="Note 3 2 59 2" xfId="20906"/>
    <cellStyle name="Note 3 2 59 2 2" xfId="47914"/>
    <cellStyle name="Note 3 2 59 3" xfId="34410"/>
    <cellStyle name="Note 3 2 6" xfId="814"/>
    <cellStyle name="Note 3 2 6 2" xfId="16030"/>
    <cellStyle name="Note 3 2 6 2 2" xfId="43038"/>
    <cellStyle name="Note 3 2 6 3" xfId="29534"/>
    <cellStyle name="Note 3 2 60" xfId="6538"/>
    <cellStyle name="Note 3 2 60 2" xfId="20998"/>
    <cellStyle name="Note 3 2 60 2 2" xfId="48006"/>
    <cellStyle name="Note 3 2 60 3" xfId="34502"/>
    <cellStyle name="Note 3 2 61" xfId="6643"/>
    <cellStyle name="Note 3 2 61 2" xfId="21089"/>
    <cellStyle name="Note 3 2 61 2 2" xfId="48097"/>
    <cellStyle name="Note 3 2 61 3" xfId="34593"/>
    <cellStyle name="Note 3 2 62" xfId="6748"/>
    <cellStyle name="Note 3 2 62 2" xfId="21180"/>
    <cellStyle name="Note 3 2 62 2 2" xfId="48188"/>
    <cellStyle name="Note 3 2 62 3" xfId="34684"/>
    <cellStyle name="Note 3 2 63" xfId="6853"/>
    <cellStyle name="Note 3 2 63 2" xfId="21271"/>
    <cellStyle name="Note 3 2 63 2 2" xfId="48279"/>
    <cellStyle name="Note 3 2 63 3" xfId="34775"/>
    <cellStyle name="Note 3 2 64" xfId="6958"/>
    <cellStyle name="Note 3 2 64 2" xfId="21362"/>
    <cellStyle name="Note 3 2 64 2 2" xfId="48370"/>
    <cellStyle name="Note 3 2 64 3" xfId="34866"/>
    <cellStyle name="Note 3 2 65" xfId="7062"/>
    <cellStyle name="Note 3 2 65 2" xfId="21452"/>
    <cellStyle name="Note 3 2 65 2 2" xfId="48460"/>
    <cellStyle name="Note 3 2 65 3" xfId="34956"/>
    <cellStyle name="Note 3 2 66" xfId="7166"/>
    <cellStyle name="Note 3 2 66 2" xfId="21542"/>
    <cellStyle name="Note 3 2 66 2 2" xfId="48550"/>
    <cellStyle name="Note 3 2 66 3" xfId="35046"/>
    <cellStyle name="Note 3 2 67" xfId="7269"/>
    <cellStyle name="Note 3 2 67 2" xfId="21631"/>
    <cellStyle name="Note 3 2 67 2 2" xfId="48639"/>
    <cellStyle name="Note 3 2 67 3" xfId="35135"/>
    <cellStyle name="Note 3 2 68" xfId="7369"/>
    <cellStyle name="Note 3 2 68 2" xfId="21718"/>
    <cellStyle name="Note 3 2 68 2 2" xfId="48726"/>
    <cellStyle name="Note 3 2 68 3" xfId="35222"/>
    <cellStyle name="Note 3 2 69" xfId="7467"/>
    <cellStyle name="Note 3 2 69 2" xfId="21803"/>
    <cellStyle name="Note 3 2 69 2 2" xfId="48811"/>
    <cellStyle name="Note 3 2 69 3" xfId="35307"/>
    <cellStyle name="Note 3 2 7" xfId="920"/>
    <cellStyle name="Note 3 2 7 2" xfId="16122"/>
    <cellStyle name="Note 3 2 7 2 2" xfId="43130"/>
    <cellStyle name="Note 3 2 7 3" xfId="29626"/>
    <cellStyle name="Note 3 2 70" xfId="7556"/>
    <cellStyle name="Note 3 2 70 2" xfId="21881"/>
    <cellStyle name="Note 3 2 70 2 2" xfId="48889"/>
    <cellStyle name="Note 3 2 70 3" xfId="35385"/>
    <cellStyle name="Note 3 2 71" xfId="7635"/>
    <cellStyle name="Note 3 2 71 2" xfId="21952"/>
    <cellStyle name="Note 3 2 71 2 2" xfId="48960"/>
    <cellStyle name="Note 3 2 71 3" xfId="35456"/>
    <cellStyle name="Note 3 2 72" xfId="7810"/>
    <cellStyle name="Note 3 2 72 2" xfId="22100"/>
    <cellStyle name="Note 3 2 72 2 2" xfId="49108"/>
    <cellStyle name="Note 3 2 72 3" xfId="35604"/>
    <cellStyle name="Note 3 2 73" xfId="7952"/>
    <cellStyle name="Note 3 2 73 2" xfId="22228"/>
    <cellStyle name="Note 3 2 73 2 2" xfId="49236"/>
    <cellStyle name="Note 3 2 73 3" xfId="35732"/>
    <cellStyle name="Note 3 2 74" xfId="8094"/>
    <cellStyle name="Note 3 2 74 2" xfId="22356"/>
    <cellStyle name="Note 3 2 74 2 2" xfId="49364"/>
    <cellStyle name="Note 3 2 74 3" xfId="35860"/>
    <cellStyle name="Note 3 2 75" xfId="8236"/>
    <cellStyle name="Note 3 2 75 2" xfId="22484"/>
    <cellStyle name="Note 3 2 75 2 2" xfId="49492"/>
    <cellStyle name="Note 3 2 75 3" xfId="35988"/>
    <cellStyle name="Note 3 2 76" xfId="8378"/>
    <cellStyle name="Note 3 2 76 2" xfId="22612"/>
    <cellStyle name="Note 3 2 76 2 2" xfId="49620"/>
    <cellStyle name="Note 3 2 76 3" xfId="36116"/>
    <cellStyle name="Note 3 2 77" xfId="8520"/>
    <cellStyle name="Note 3 2 77 2" xfId="22740"/>
    <cellStyle name="Note 3 2 77 2 2" xfId="49748"/>
    <cellStyle name="Note 3 2 77 3" xfId="36244"/>
    <cellStyle name="Note 3 2 78" xfId="8662"/>
    <cellStyle name="Note 3 2 78 2" xfId="22868"/>
    <cellStyle name="Note 3 2 78 2 2" xfId="49876"/>
    <cellStyle name="Note 3 2 78 3" xfId="36372"/>
    <cellStyle name="Note 3 2 79" xfId="8804"/>
    <cellStyle name="Note 3 2 79 2" xfId="22996"/>
    <cellStyle name="Note 3 2 79 2 2" xfId="50004"/>
    <cellStyle name="Note 3 2 79 3" xfId="36500"/>
    <cellStyle name="Note 3 2 8" xfId="1026"/>
    <cellStyle name="Note 3 2 8 2" xfId="16214"/>
    <cellStyle name="Note 3 2 8 2 2" xfId="43222"/>
    <cellStyle name="Note 3 2 8 3" xfId="29718"/>
    <cellStyle name="Note 3 2 80" xfId="8946"/>
    <cellStyle name="Note 3 2 80 2" xfId="23124"/>
    <cellStyle name="Note 3 2 80 2 2" xfId="50132"/>
    <cellStyle name="Note 3 2 80 3" xfId="36628"/>
    <cellStyle name="Note 3 2 81" xfId="9088"/>
    <cellStyle name="Note 3 2 81 2" xfId="23252"/>
    <cellStyle name="Note 3 2 81 2 2" xfId="50260"/>
    <cellStyle name="Note 3 2 81 3" xfId="36756"/>
    <cellStyle name="Note 3 2 82" xfId="9230"/>
    <cellStyle name="Note 3 2 82 2" xfId="23380"/>
    <cellStyle name="Note 3 2 82 2 2" xfId="50388"/>
    <cellStyle name="Note 3 2 82 3" xfId="36884"/>
    <cellStyle name="Note 3 2 83" xfId="9372"/>
    <cellStyle name="Note 3 2 83 2" xfId="23508"/>
    <cellStyle name="Note 3 2 83 2 2" xfId="50516"/>
    <cellStyle name="Note 3 2 83 3" xfId="37012"/>
    <cellStyle name="Note 3 2 84" xfId="9514"/>
    <cellStyle name="Note 3 2 84 2" xfId="23636"/>
    <cellStyle name="Note 3 2 84 2 2" xfId="50644"/>
    <cellStyle name="Note 3 2 84 3" xfId="37140"/>
    <cellStyle name="Note 3 2 85" xfId="9656"/>
    <cellStyle name="Note 3 2 85 2" xfId="23764"/>
    <cellStyle name="Note 3 2 85 2 2" xfId="50772"/>
    <cellStyle name="Note 3 2 85 3" xfId="37268"/>
    <cellStyle name="Note 3 2 86" xfId="9798"/>
    <cellStyle name="Note 3 2 86 2" xfId="23892"/>
    <cellStyle name="Note 3 2 86 2 2" xfId="50900"/>
    <cellStyle name="Note 3 2 86 3" xfId="37396"/>
    <cellStyle name="Note 3 2 87" xfId="9940"/>
    <cellStyle name="Note 3 2 87 2" xfId="24020"/>
    <cellStyle name="Note 3 2 87 2 2" xfId="51028"/>
    <cellStyle name="Note 3 2 87 3" xfId="37524"/>
    <cellStyle name="Note 3 2 88" xfId="10082"/>
    <cellStyle name="Note 3 2 88 2" xfId="24148"/>
    <cellStyle name="Note 3 2 88 2 2" xfId="51156"/>
    <cellStyle name="Note 3 2 88 3" xfId="37652"/>
    <cellStyle name="Note 3 2 89" xfId="10224"/>
    <cellStyle name="Note 3 2 89 2" xfId="24276"/>
    <cellStyle name="Note 3 2 89 2 2" xfId="51284"/>
    <cellStyle name="Note 3 2 89 3" xfId="37780"/>
    <cellStyle name="Note 3 2 9" xfId="1132"/>
    <cellStyle name="Note 3 2 9 2" xfId="16306"/>
    <cellStyle name="Note 3 2 9 2 2" xfId="43314"/>
    <cellStyle name="Note 3 2 9 3" xfId="29810"/>
    <cellStyle name="Note 3 2 90" xfId="10366"/>
    <cellStyle name="Note 3 2 90 2" xfId="24404"/>
    <cellStyle name="Note 3 2 90 2 2" xfId="51412"/>
    <cellStyle name="Note 3 2 90 3" xfId="37908"/>
    <cellStyle name="Note 3 2 91" xfId="10508"/>
    <cellStyle name="Note 3 2 91 2" xfId="24532"/>
    <cellStyle name="Note 3 2 91 2 2" xfId="51540"/>
    <cellStyle name="Note 3 2 91 3" xfId="38036"/>
    <cellStyle name="Note 3 2 92" xfId="10650"/>
    <cellStyle name="Note 3 2 92 2" xfId="24660"/>
    <cellStyle name="Note 3 2 92 2 2" xfId="51668"/>
    <cellStyle name="Note 3 2 92 3" xfId="38164"/>
    <cellStyle name="Note 3 2 93" xfId="10792"/>
    <cellStyle name="Note 3 2 93 2" xfId="24788"/>
    <cellStyle name="Note 3 2 93 2 2" xfId="51796"/>
    <cellStyle name="Note 3 2 93 3" xfId="38292"/>
    <cellStyle name="Note 3 2 94" xfId="10934"/>
    <cellStyle name="Note 3 2 94 2" xfId="24916"/>
    <cellStyle name="Note 3 2 94 2 2" xfId="51924"/>
    <cellStyle name="Note 3 2 94 3" xfId="38420"/>
    <cellStyle name="Note 3 2 95" xfId="11076"/>
    <cellStyle name="Note 3 2 95 2" xfId="25044"/>
    <cellStyle name="Note 3 2 95 2 2" xfId="52052"/>
    <cellStyle name="Note 3 2 95 3" xfId="38548"/>
    <cellStyle name="Note 3 2 96" xfId="11218"/>
    <cellStyle name="Note 3 2 96 2" xfId="25172"/>
    <cellStyle name="Note 3 2 96 2 2" xfId="52180"/>
    <cellStyle name="Note 3 2 96 3" xfId="38676"/>
    <cellStyle name="Note 3 2 97" xfId="11360"/>
    <cellStyle name="Note 3 2 97 2" xfId="25300"/>
    <cellStyle name="Note 3 2 97 2 2" xfId="52308"/>
    <cellStyle name="Note 3 2 97 3" xfId="38804"/>
    <cellStyle name="Note 3 2 98" xfId="11502"/>
    <cellStyle name="Note 3 2 98 2" xfId="25428"/>
    <cellStyle name="Note 3 2 98 2 2" xfId="52436"/>
    <cellStyle name="Note 3 2 98 3" xfId="38932"/>
    <cellStyle name="Note 3 2 99" xfId="11644"/>
    <cellStyle name="Note 3 2 99 2" xfId="25556"/>
    <cellStyle name="Note 3 2 99 2 2" xfId="52564"/>
    <cellStyle name="Note 3 2 99 3" xfId="39060"/>
    <cellStyle name="Note 3 20" xfId="2052"/>
    <cellStyle name="Note 3 20 2" xfId="17108"/>
    <cellStyle name="Note 3 20 2 2" xfId="44116"/>
    <cellStyle name="Note 3 20 3" xfId="30612"/>
    <cellStyle name="Note 3 21" xfId="2158"/>
    <cellStyle name="Note 3 21 2" xfId="17200"/>
    <cellStyle name="Note 3 21 2 2" xfId="44208"/>
    <cellStyle name="Note 3 21 3" xfId="30704"/>
    <cellStyle name="Note 3 22" xfId="2264"/>
    <cellStyle name="Note 3 22 2" xfId="17292"/>
    <cellStyle name="Note 3 22 2 2" xfId="44300"/>
    <cellStyle name="Note 3 22 3" xfId="30796"/>
    <cellStyle name="Note 3 23" xfId="2370"/>
    <cellStyle name="Note 3 23 2" xfId="17384"/>
    <cellStyle name="Note 3 23 2 2" xfId="44392"/>
    <cellStyle name="Note 3 23 3" xfId="30888"/>
    <cellStyle name="Note 3 24" xfId="2476"/>
    <cellStyle name="Note 3 24 2" xfId="17476"/>
    <cellStyle name="Note 3 24 2 2" xfId="44484"/>
    <cellStyle name="Note 3 24 3" xfId="30980"/>
    <cellStyle name="Note 3 25" xfId="2582"/>
    <cellStyle name="Note 3 25 2" xfId="17568"/>
    <cellStyle name="Note 3 25 2 2" xfId="44576"/>
    <cellStyle name="Note 3 25 3" xfId="31072"/>
    <cellStyle name="Note 3 26" xfId="2688"/>
    <cellStyle name="Note 3 26 2" xfId="17660"/>
    <cellStyle name="Note 3 26 2 2" xfId="44668"/>
    <cellStyle name="Note 3 26 3" xfId="31164"/>
    <cellStyle name="Note 3 27" xfId="2794"/>
    <cellStyle name="Note 3 27 2" xfId="17752"/>
    <cellStyle name="Note 3 27 2 2" xfId="44760"/>
    <cellStyle name="Note 3 27 3" xfId="31256"/>
    <cellStyle name="Note 3 28" xfId="2900"/>
    <cellStyle name="Note 3 28 2" xfId="17844"/>
    <cellStyle name="Note 3 28 2 2" xfId="44852"/>
    <cellStyle name="Note 3 28 3" xfId="31348"/>
    <cellStyle name="Note 3 29" xfId="3006"/>
    <cellStyle name="Note 3 29 2" xfId="17936"/>
    <cellStyle name="Note 3 29 2 2" xfId="44944"/>
    <cellStyle name="Note 3 29 3" xfId="31440"/>
    <cellStyle name="Note 3 3" xfId="143"/>
    <cellStyle name="Note 3 3 10" xfId="1248"/>
    <cellStyle name="Note 3 3 10 2" xfId="16406"/>
    <cellStyle name="Note 3 3 10 2 2" xfId="43414"/>
    <cellStyle name="Note 3 3 10 3" xfId="29910"/>
    <cellStyle name="Note 3 3 100" xfId="11797"/>
    <cellStyle name="Note 3 3 100 2" xfId="25695"/>
    <cellStyle name="Note 3 3 100 2 2" xfId="52703"/>
    <cellStyle name="Note 3 3 100 3" xfId="39199"/>
    <cellStyle name="Note 3 3 101" xfId="11939"/>
    <cellStyle name="Note 3 3 101 2" xfId="25823"/>
    <cellStyle name="Note 3 3 101 2 2" xfId="52831"/>
    <cellStyle name="Note 3 3 101 3" xfId="39327"/>
    <cellStyle name="Note 3 3 102" xfId="12081"/>
    <cellStyle name="Note 3 3 102 2" xfId="25951"/>
    <cellStyle name="Note 3 3 102 2 2" xfId="52959"/>
    <cellStyle name="Note 3 3 102 3" xfId="39455"/>
    <cellStyle name="Note 3 3 103" xfId="12223"/>
    <cellStyle name="Note 3 3 103 2" xfId="26079"/>
    <cellStyle name="Note 3 3 103 2 2" xfId="53087"/>
    <cellStyle name="Note 3 3 103 3" xfId="39583"/>
    <cellStyle name="Note 3 3 104" xfId="12365"/>
    <cellStyle name="Note 3 3 104 2" xfId="26207"/>
    <cellStyle name="Note 3 3 104 2 2" xfId="53215"/>
    <cellStyle name="Note 3 3 104 3" xfId="39711"/>
    <cellStyle name="Note 3 3 105" xfId="12507"/>
    <cellStyle name="Note 3 3 105 2" xfId="26335"/>
    <cellStyle name="Note 3 3 105 2 2" xfId="53343"/>
    <cellStyle name="Note 3 3 105 3" xfId="39839"/>
    <cellStyle name="Note 3 3 106" xfId="12649"/>
    <cellStyle name="Note 3 3 106 2" xfId="26463"/>
    <cellStyle name="Note 3 3 106 2 2" xfId="53471"/>
    <cellStyle name="Note 3 3 106 3" xfId="39967"/>
    <cellStyle name="Note 3 3 107" xfId="12791"/>
    <cellStyle name="Note 3 3 107 2" xfId="26591"/>
    <cellStyle name="Note 3 3 107 2 2" xfId="53599"/>
    <cellStyle name="Note 3 3 107 3" xfId="40095"/>
    <cellStyle name="Note 3 3 108" xfId="12933"/>
    <cellStyle name="Note 3 3 108 2" xfId="26719"/>
    <cellStyle name="Note 3 3 108 2 2" xfId="53727"/>
    <cellStyle name="Note 3 3 108 3" xfId="40223"/>
    <cellStyle name="Note 3 3 109" xfId="13075"/>
    <cellStyle name="Note 3 3 109 2" xfId="26847"/>
    <cellStyle name="Note 3 3 109 2 2" xfId="53855"/>
    <cellStyle name="Note 3 3 109 3" xfId="40351"/>
    <cellStyle name="Note 3 3 11" xfId="1354"/>
    <cellStyle name="Note 3 3 11 2" xfId="16498"/>
    <cellStyle name="Note 3 3 11 2 2" xfId="43506"/>
    <cellStyle name="Note 3 3 11 3" xfId="30002"/>
    <cellStyle name="Note 3 3 110" xfId="13217"/>
    <cellStyle name="Note 3 3 110 2" xfId="26975"/>
    <cellStyle name="Note 3 3 110 2 2" xfId="53983"/>
    <cellStyle name="Note 3 3 110 3" xfId="40479"/>
    <cellStyle name="Note 3 3 111" xfId="13359"/>
    <cellStyle name="Note 3 3 111 2" xfId="27103"/>
    <cellStyle name="Note 3 3 111 2 2" xfId="54111"/>
    <cellStyle name="Note 3 3 111 3" xfId="40607"/>
    <cellStyle name="Note 3 3 112" xfId="13501"/>
    <cellStyle name="Note 3 3 112 2" xfId="27231"/>
    <cellStyle name="Note 3 3 112 2 2" xfId="54239"/>
    <cellStyle name="Note 3 3 112 3" xfId="40735"/>
    <cellStyle name="Note 3 3 113" xfId="13643"/>
    <cellStyle name="Note 3 3 113 2" xfId="27359"/>
    <cellStyle name="Note 3 3 113 2 2" xfId="54367"/>
    <cellStyle name="Note 3 3 113 3" xfId="40863"/>
    <cellStyle name="Note 3 3 114" xfId="13785"/>
    <cellStyle name="Note 3 3 114 2" xfId="27487"/>
    <cellStyle name="Note 3 3 114 2 2" xfId="54495"/>
    <cellStyle name="Note 3 3 114 3" xfId="40991"/>
    <cellStyle name="Note 3 3 115" xfId="13926"/>
    <cellStyle name="Note 3 3 115 2" xfId="27614"/>
    <cellStyle name="Note 3 3 115 2 2" xfId="54622"/>
    <cellStyle name="Note 3 3 115 3" xfId="41118"/>
    <cellStyle name="Note 3 3 116" xfId="14067"/>
    <cellStyle name="Note 3 3 116 2" xfId="27741"/>
    <cellStyle name="Note 3 3 116 2 2" xfId="54749"/>
    <cellStyle name="Note 3 3 116 3" xfId="41245"/>
    <cellStyle name="Note 3 3 117" xfId="14208"/>
    <cellStyle name="Note 3 3 117 2" xfId="27868"/>
    <cellStyle name="Note 3 3 117 2 2" xfId="54876"/>
    <cellStyle name="Note 3 3 117 3" xfId="41372"/>
    <cellStyle name="Note 3 3 118" xfId="14349"/>
    <cellStyle name="Note 3 3 118 2" xfId="27995"/>
    <cellStyle name="Note 3 3 118 2 2" xfId="55003"/>
    <cellStyle name="Note 3 3 118 3" xfId="41499"/>
    <cellStyle name="Note 3 3 119" xfId="14489"/>
    <cellStyle name="Note 3 3 119 2" xfId="28121"/>
    <cellStyle name="Note 3 3 119 2 2" xfId="55129"/>
    <cellStyle name="Note 3 3 119 3" xfId="41625"/>
    <cellStyle name="Note 3 3 12" xfId="1460"/>
    <cellStyle name="Note 3 3 12 2" xfId="16590"/>
    <cellStyle name="Note 3 3 12 2 2" xfId="43598"/>
    <cellStyle name="Note 3 3 12 3" xfId="30094"/>
    <cellStyle name="Note 3 3 120" xfId="14629"/>
    <cellStyle name="Note 3 3 120 2" xfId="28247"/>
    <cellStyle name="Note 3 3 120 2 2" xfId="55255"/>
    <cellStyle name="Note 3 3 120 3" xfId="41751"/>
    <cellStyle name="Note 3 3 121" xfId="14768"/>
    <cellStyle name="Note 3 3 121 2" xfId="28372"/>
    <cellStyle name="Note 3 3 121 2 2" xfId="55380"/>
    <cellStyle name="Note 3 3 121 3" xfId="41876"/>
    <cellStyle name="Note 3 3 122" xfId="14903"/>
    <cellStyle name="Note 3 3 122 2" xfId="28494"/>
    <cellStyle name="Note 3 3 122 2 2" xfId="55502"/>
    <cellStyle name="Note 3 3 122 3" xfId="41998"/>
    <cellStyle name="Note 3 3 123" xfId="15037"/>
    <cellStyle name="Note 3 3 123 2" xfId="28615"/>
    <cellStyle name="Note 3 3 123 2 2" xfId="55623"/>
    <cellStyle name="Note 3 3 123 3" xfId="42119"/>
    <cellStyle name="Note 3 3 124" xfId="15164"/>
    <cellStyle name="Note 3 3 124 2" xfId="28731"/>
    <cellStyle name="Note 3 3 124 2 2" xfId="55739"/>
    <cellStyle name="Note 3 3 124 3" xfId="42235"/>
    <cellStyle name="Note 3 3 125" xfId="15284"/>
    <cellStyle name="Note 3 3 125 2" xfId="28844"/>
    <cellStyle name="Note 3 3 125 2 2" xfId="55852"/>
    <cellStyle name="Note 3 3 125 3" xfId="42348"/>
    <cellStyle name="Note 3 3 126" xfId="15499"/>
    <cellStyle name="Note 3 3 126 2" xfId="42507"/>
    <cellStyle name="Note 3 3 127" xfId="29003"/>
    <cellStyle name="Note 3 3 13" xfId="1566"/>
    <cellStyle name="Note 3 3 13 2" xfId="16682"/>
    <cellStyle name="Note 3 3 13 2 2" xfId="43690"/>
    <cellStyle name="Note 3 3 13 3" xfId="30186"/>
    <cellStyle name="Note 3 3 14" xfId="1672"/>
    <cellStyle name="Note 3 3 14 2" xfId="16774"/>
    <cellStyle name="Note 3 3 14 2 2" xfId="43782"/>
    <cellStyle name="Note 3 3 14 3" xfId="30278"/>
    <cellStyle name="Note 3 3 15" xfId="1778"/>
    <cellStyle name="Note 3 3 15 2" xfId="16866"/>
    <cellStyle name="Note 3 3 15 2 2" xfId="43874"/>
    <cellStyle name="Note 3 3 15 3" xfId="30370"/>
    <cellStyle name="Note 3 3 16" xfId="1884"/>
    <cellStyle name="Note 3 3 16 2" xfId="16958"/>
    <cellStyle name="Note 3 3 16 2 2" xfId="43966"/>
    <cellStyle name="Note 3 3 16 3" xfId="30462"/>
    <cellStyle name="Note 3 3 17" xfId="1990"/>
    <cellStyle name="Note 3 3 17 2" xfId="17050"/>
    <cellStyle name="Note 3 3 17 2 2" xfId="44058"/>
    <cellStyle name="Note 3 3 17 3" xfId="30554"/>
    <cellStyle name="Note 3 3 18" xfId="2096"/>
    <cellStyle name="Note 3 3 18 2" xfId="17142"/>
    <cellStyle name="Note 3 3 18 2 2" xfId="44150"/>
    <cellStyle name="Note 3 3 18 3" xfId="30646"/>
    <cellStyle name="Note 3 3 19" xfId="2202"/>
    <cellStyle name="Note 3 3 19 2" xfId="17234"/>
    <cellStyle name="Note 3 3 19 2 2" xfId="44242"/>
    <cellStyle name="Note 3 3 19 3" xfId="30738"/>
    <cellStyle name="Note 3 3 2" xfId="320"/>
    <cellStyle name="Note 3 3 2 2" xfId="15622"/>
    <cellStyle name="Note 3 3 2 2 2" xfId="42630"/>
    <cellStyle name="Note 3 3 2 3" xfId="29126"/>
    <cellStyle name="Note 3 3 20" xfId="2308"/>
    <cellStyle name="Note 3 3 20 2" xfId="17326"/>
    <cellStyle name="Note 3 3 20 2 2" xfId="44334"/>
    <cellStyle name="Note 3 3 20 3" xfId="30830"/>
    <cellStyle name="Note 3 3 21" xfId="2414"/>
    <cellStyle name="Note 3 3 21 2" xfId="17418"/>
    <cellStyle name="Note 3 3 21 2 2" xfId="44426"/>
    <cellStyle name="Note 3 3 21 3" xfId="30922"/>
    <cellStyle name="Note 3 3 22" xfId="2520"/>
    <cellStyle name="Note 3 3 22 2" xfId="17510"/>
    <cellStyle name="Note 3 3 22 2 2" xfId="44518"/>
    <cellStyle name="Note 3 3 22 3" xfId="31014"/>
    <cellStyle name="Note 3 3 23" xfId="2626"/>
    <cellStyle name="Note 3 3 23 2" xfId="17602"/>
    <cellStyle name="Note 3 3 23 2 2" xfId="44610"/>
    <cellStyle name="Note 3 3 23 3" xfId="31106"/>
    <cellStyle name="Note 3 3 24" xfId="2732"/>
    <cellStyle name="Note 3 3 24 2" xfId="17694"/>
    <cellStyle name="Note 3 3 24 2 2" xfId="44702"/>
    <cellStyle name="Note 3 3 24 3" xfId="31198"/>
    <cellStyle name="Note 3 3 25" xfId="2838"/>
    <cellStyle name="Note 3 3 25 2" xfId="17786"/>
    <cellStyle name="Note 3 3 25 2 2" xfId="44794"/>
    <cellStyle name="Note 3 3 25 3" xfId="31290"/>
    <cellStyle name="Note 3 3 26" xfId="2944"/>
    <cellStyle name="Note 3 3 26 2" xfId="17878"/>
    <cellStyle name="Note 3 3 26 2 2" xfId="44886"/>
    <cellStyle name="Note 3 3 26 3" xfId="31382"/>
    <cellStyle name="Note 3 3 27" xfId="3050"/>
    <cellStyle name="Note 3 3 27 2" xfId="17970"/>
    <cellStyle name="Note 3 3 27 2 2" xfId="44978"/>
    <cellStyle name="Note 3 3 27 3" xfId="31474"/>
    <cellStyle name="Note 3 3 28" xfId="3156"/>
    <cellStyle name="Note 3 3 28 2" xfId="18062"/>
    <cellStyle name="Note 3 3 28 2 2" xfId="45070"/>
    <cellStyle name="Note 3 3 28 3" xfId="31566"/>
    <cellStyle name="Note 3 3 29" xfId="3262"/>
    <cellStyle name="Note 3 3 29 2" xfId="18154"/>
    <cellStyle name="Note 3 3 29 2 2" xfId="45162"/>
    <cellStyle name="Note 3 3 29 3" xfId="31658"/>
    <cellStyle name="Note 3 3 3" xfId="507"/>
    <cellStyle name="Note 3 3 3 2" xfId="15763"/>
    <cellStyle name="Note 3 3 3 2 2" xfId="42771"/>
    <cellStyle name="Note 3 3 3 3" xfId="29267"/>
    <cellStyle name="Note 3 3 30" xfId="3368"/>
    <cellStyle name="Note 3 3 30 2" xfId="18246"/>
    <cellStyle name="Note 3 3 30 2 2" xfId="45254"/>
    <cellStyle name="Note 3 3 30 3" xfId="31750"/>
    <cellStyle name="Note 3 3 31" xfId="3474"/>
    <cellStyle name="Note 3 3 31 2" xfId="18338"/>
    <cellStyle name="Note 3 3 31 2 2" xfId="45346"/>
    <cellStyle name="Note 3 3 31 3" xfId="31842"/>
    <cellStyle name="Note 3 3 32" xfId="3580"/>
    <cellStyle name="Note 3 3 32 2" xfId="18430"/>
    <cellStyle name="Note 3 3 32 2 2" xfId="45438"/>
    <cellStyle name="Note 3 3 32 3" xfId="31934"/>
    <cellStyle name="Note 3 3 33" xfId="3686"/>
    <cellStyle name="Note 3 3 33 2" xfId="18522"/>
    <cellStyle name="Note 3 3 33 2 2" xfId="45530"/>
    <cellStyle name="Note 3 3 33 3" xfId="32026"/>
    <cellStyle name="Note 3 3 34" xfId="3792"/>
    <cellStyle name="Note 3 3 34 2" xfId="18614"/>
    <cellStyle name="Note 3 3 34 2 2" xfId="45622"/>
    <cellStyle name="Note 3 3 34 3" xfId="32118"/>
    <cellStyle name="Note 3 3 35" xfId="3898"/>
    <cellStyle name="Note 3 3 35 2" xfId="18706"/>
    <cellStyle name="Note 3 3 35 2 2" xfId="45714"/>
    <cellStyle name="Note 3 3 35 3" xfId="32210"/>
    <cellStyle name="Note 3 3 36" xfId="4004"/>
    <cellStyle name="Note 3 3 36 2" xfId="18798"/>
    <cellStyle name="Note 3 3 36 2 2" xfId="45806"/>
    <cellStyle name="Note 3 3 36 3" xfId="32302"/>
    <cellStyle name="Note 3 3 37" xfId="4110"/>
    <cellStyle name="Note 3 3 37 2" xfId="18890"/>
    <cellStyle name="Note 3 3 37 2 2" xfId="45898"/>
    <cellStyle name="Note 3 3 37 3" xfId="32394"/>
    <cellStyle name="Note 3 3 38" xfId="4216"/>
    <cellStyle name="Note 3 3 38 2" xfId="18982"/>
    <cellStyle name="Note 3 3 38 2 2" xfId="45990"/>
    <cellStyle name="Note 3 3 38 3" xfId="32486"/>
    <cellStyle name="Note 3 3 39" xfId="4322"/>
    <cellStyle name="Note 3 3 39 2" xfId="19074"/>
    <cellStyle name="Note 3 3 39 2 2" xfId="46082"/>
    <cellStyle name="Note 3 3 39 3" xfId="32578"/>
    <cellStyle name="Note 3 3 4" xfId="612"/>
    <cellStyle name="Note 3 3 4 2" xfId="15854"/>
    <cellStyle name="Note 3 3 4 2 2" xfId="42862"/>
    <cellStyle name="Note 3 3 4 3" xfId="29358"/>
    <cellStyle name="Note 3 3 40" xfId="4428"/>
    <cellStyle name="Note 3 3 40 2" xfId="19166"/>
    <cellStyle name="Note 3 3 40 2 2" xfId="46174"/>
    <cellStyle name="Note 3 3 40 3" xfId="32670"/>
    <cellStyle name="Note 3 3 41" xfId="4534"/>
    <cellStyle name="Note 3 3 41 2" xfId="19258"/>
    <cellStyle name="Note 3 3 41 2 2" xfId="46266"/>
    <cellStyle name="Note 3 3 41 3" xfId="32762"/>
    <cellStyle name="Note 3 3 42" xfId="4640"/>
    <cellStyle name="Note 3 3 42 2" xfId="19350"/>
    <cellStyle name="Note 3 3 42 2 2" xfId="46358"/>
    <cellStyle name="Note 3 3 42 3" xfId="32854"/>
    <cellStyle name="Note 3 3 43" xfId="4746"/>
    <cellStyle name="Note 3 3 43 2" xfId="19442"/>
    <cellStyle name="Note 3 3 43 2 2" xfId="46450"/>
    <cellStyle name="Note 3 3 43 3" xfId="32946"/>
    <cellStyle name="Note 3 3 44" xfId="4852"/>
    <cellStyle name="Note 3 3 44 2" xfId="19534"/>
    <cellStyle name="Note 3 3 44 2 2" xfId="46542"/>
    <cellStyle name="Note 3 3 44 3" xfId="33038"/>
    <cellStyle name="Note 3 3 45" xfId="4958"/>
    <cellStyle name="Note 3 3 45 2" xfId="19626"/>
    <cellStyle name="Note 3 3 45 2 2" xfId="46634"/>
    <cellStyle name="Note 3 3 45 3" xfId="33130"/>
    <cellStyle name="Note 3 3 46" xfId="5064"/>
    <cellStyle name="Note 3 3 46 2" xfId="19718"/>
    <cellStyle name="Note 3 3 46 2 2" xfId="46726"/>
    <cellStyle name="Note 3 3 46 3" xfId="33222"/>
    <cellStyle name="Note 3 3 47" xfId="5170"/>
    <cellStyle name="Note 3 3 47 2" xfId="19810"/>
    <cellStyle name="Note 3 3 47 2 2" xfId="46818"/>
    <cellStyle name="Note 3 3 47 3" xfId="33314"/>
    <cellStyle name="Note 3 3 48" xfId="5276"/>
    <cellStyle name="Note 3 3 48 2" xfId="19902"/>
    <cellStyle name="Note 3 3 48 2 2" xfId="46910"/>
    <cellStyle name="Note 3 3 48 3" xfId="33406"/>
    <cellStyle name="Note 3 3 49" xfId="5382"/>
    <cellStyle name="Note 3 3 49 2" xfId="19994"/>
    <cellStyle name="Note 3 3 49 2 2" xfId="47002"/>
    <cellStyle name="Note 3 3 49 3" xfId="33498"/>
    <cellStyle name="Note 3 3 5" xfId="718"/>
    <cellStyle name="Note 3 3 5 2" xfId="15946"/>
    <cellStyle name="Note 3 3 5 2 2" xfId="42954"/>
    <cellStyle name="Note 3 3 5 3" xfId="29450"/>
    <cellStyle name="Note 3 3 50" xfId="5488"/>
    <cellStyle name="Note 3 3 50 2" xfId="20086"/>
    <cellStyle name="Note 3 3 50 2 2" xfId="47094"/>
    <cellStyle name="Note 3 3 50 3" xfId="33590"/>
    <cellStyle name="Note 3 3 51" xfId="5594"/>
    <cellStyle name="Note 3 3 51 2" xfId="20178"/>
    <cellStyle name="Note 3 3 51 2 2" xfId="47186"/>
    <cellStyle name="Note 3 3 51 3" xfId="33682"/>
    <cellStyle name="Note 3 3 52" xfId="5700"/>
    <cellStyle name="Note 3 3 52 2" xfId="20270"/>
    <cellStyle name="Note 3 3 52 2 2" xfId="47278"/>
    <cellStyle name="Note 3 3 52 3" xfId="33774"/>
    <cellStyle name="Note 3 3 53" xfId="5806"/>
    <cellStyle name="Note 3 3 53 2" xfId="20362"/>
    <cellStyle name="Note 3 3 53 2 2" xfId="47370"/>
    <cellStyle name="Note 3 3 53 3" xfId="33866"/>
    <cellStyle name="Note 3 3 54" xfId="5912"/>
    <cellStyle name="Note 3 3 54 2" xfId="20454"/>
    <cellStyle name="Note 3 3 54 2 2" xfId="47462"/>
    <cellStyle name="Note 3 3 54 3" xfId="33958"/>
    <cellStyle name="Note 3 3 55" xfId="6018"/>
    <cellStyle name="Note 3 3 55 2" xfId="20546"/>
    <cellStyle name="Note 3 3 55 2 2" xfId="47554"/>
    <cellStyle name="Note 3 3 55 3" xfId="34050"/>
    <cellStyle name="Note 3 3 56" xfId="6124"/>
    <cellStyle name="Note 3 3 56 2" xfId="20638"/>
    <cellStyle name="Note 3 3 56 2 2" xfId="47646"/>
    <cellStyle name="Note 3 3 56 3" xfId="34142"/>
    <cellStyle name="Note 3 3 57" xfId="6230"/>
    <cellStyle name="Note 3 3 57 2" xfId="20730"/>
    <cellStyle name="Note 3 3 57 2 2" xfId="47738"/>
    <cellStyle name="Note 3 3 57 3" xfId="34234"/>
    <cellStyle name="Note 3 3 58" xfId="6336"/>
    <cellStyle name="Note 3 3 58 2" xfId="20822"/>
    <cellStyle name="Note 3 3 58 2 2" xfId="47830"/>
    <cellStyle name="Note 3 3 58 3" xfId="34326"/>
    <cellStyle name="Note 3 3 59" xfId="6442"/>
    <cellStyle name="Note 3 3 59 2" xfId="20914"/>
    <cellStyle name="Note 3 3 59 2 2" xfId="47922"/>
    <cellStyle name="Note 3 3 59 3" xfId="34418"/>
    <cellStyle name="Note 3 3 6" xfId="824"/>
    <cellStyle name="Note 3 3 6 2" xfId="16038"/>
    <cellStyle name="Note 3 3 6 2 2" xfId="43046"/>
    <cellStyle name="Note 3 3 6 3" xfId="29542"/>
    <cellStyle name="Note 3 3 60" xfId="6548"/>
    <cellStyle name="Note 3 3 60 2" xfId="21006"/>
    <cellStyle name="Note 3 3 60 2 2" xfId="48014"/>
    <cellStyle name="Note 3 3 60 3" xfId="34510"/>
    <cellStyle name="Note 3 3 61" xfId="6653"/>
    <cellStyle name="Note 3 3 61 2" xfId="21097"/>
    <cellStyle name="Note 3 3 61 2 2" xfId="48105"/>
    <cellStyle name="Note 3 3 61 3" xfId="34601"/>
    <cellStyle name="Note 3 3 62" xfId="6758"/>
    <cellStyle name="Note 3 3 62 2" xfId="21188"/>
    <cellStyle name="Note 3 3 62 2 2" xfId="48196"/>
    <cellStyle name="Note 3 3 62 3" xfId="34692"/>
    <cellStyle name="Note 3 3 63" xfId="6863"/>
    <cellStyle name="Note 3 3 63 2" xfId="21279"/>
    <cellStyle name="Note 3 3 63 2 2" xfId="48287"/>
    <cellStyle name="Note 3 3 63 3" xfId="34783"/>
    <cellStyle name="Note 3 3 64" xfId="6968"/>
    <cellStyle name="Note 3 3 64 2" xfId="21370"/>
    <cellStyle name="Note 3 3 64 2 2" xfId="48378"/>
    <cellStyle name="Note 3 3 64 3" xfId="34874"/>
    <cellStyle name="Note 3 3 65" xfId="7072"/>
    <cellStyle name="Note 3 3 65 2" xfId="21460"/>
    <cellStyle name="Note 3 3 65 2 2" xfId="48468"/>
    <cellStyle name="Note 3 3 65 3" xfId="34964"/>
    <cellStyle name="Note 3 3 66" xfId="7176"/>
    <cellStyle name="Note 3 3 66 2" xfId="21550"/>
    <cellStyle name="Note 3 3 66 2 2" xfId="48558"/>
    <cellStyle name="Note 3 3 66 3" xfId="35054"/>
    <cellStyle name="Note 3 3 67" xfId="7279"/>
    <cellStyle name="Note 3 3 67 2" xfId="21639"/>
    <cellStyle name="Note 3 3 67 2 2" xfId="48647"/>
    <cellStyle name="Note 3 3 67 3" xfId="35143"/>
    <cellStyle name="Note 3 3 68" xfId="7379"/>
    <cellStyle name="Note 3 3 68 2" xfId="21726"/>
    <cellStyle name="Note 3 3 68 2 2" xfId="48734"/>
    <cellStyle name="Note 3 3 68 3" xfId="35230"/>
    <cellStyle name="Note 3 3 69" xfId="7477"/>
    <cellStyle name="Note 3 3 69 2" xfId="21811"/>
    <cellStyle name="Note 3 3 69 2 2" xfId="48819"/>
    <cellStyle name="Note 3 3 69 3" xfId="35315"/>
    <cellStyle name="Note 3 3 7" xfId="930"/>
    <cellStyle name="Note 3 3 7 2" xfId="16130"/>
    <cellStyle name="Note 3 3 7 2 2" xfId="43138"/>
    <cellStyle name="Note 3 3 7 3" xfId="29634"/>
    <cellStyle name="Note 3 3 70" xfId="7566"/>
    <cellStyle name="Note 3 3 70 2" xfId="21889"/>
    <cellStyle name="Note 3 3 70 2 2" xfId="48897"/>
    <cellStyle name="Note 3 3 70 3" xfId="35393"/>
    <cellStyle name="Note 3 3 71" xfId="7642"/>
    <cellStyle name="Note 3 3 71 2" xfId="21958"/>
    <cellStyle name="Note 3 3 71 2 2" xfId="48966"/>
    <cellStyle name="Note 3 3 71 3" xfId="35462"/>
    <cellStyle name="Note 3 3 72" xfId="7821"/>
    <cellStyle name="Note 3 3 72 2" xfId="22111"/>
    <cellStyle name="Note 3 3 72 2 2" xfId="49119"/>
    <cellStyle name="Note 3 3 72 3" xfId="35615"/>
    <cellStyle name="Note 3 3 73" xfId="7963"/>
    <cellStyle name="Note 3 3 73 2" xfId="22239"/>
    <cellStyle name="Note 3 3 73 2 2" xfId="49247"/>
    <cellStyle name="Note 3 3 73 3" xfId="35743"/>
    <cellStyle name="Note 3 3 74" xfId="8105"/>
    <cellStyle name="Note 3 3 74 2" xfId="22367"/>
    <cellStyle name="Note 3 3 74 2 2" xfId="49375"/>
    <cellStyle name="Note 3 3 74 3" xfId="35871"/>
    <cellStyle name="Note 3 3 75" xfId="8247"/>
    <cellStyle name="Note 3 3 75 2" xfId="22495"/>
    <cellStyle name="Note 3 3 75 2 2" xfId="49503"/>
    <cellStyle name="Note 3 3 75 3" xfId="35999"/>
    <cellStyle name="Note 3 3 76" xfId="8389"/>
    <cellStyle name="Note 3 3 76 2" xfId="22623"/>
    <cellStyle name="Note 3 3 76 2 2" xfId="49631"/>
    <cellStyle name="Note 3 3 76 3" xfId="36127"/>
    <cellStyle name="Note 3 3 77" xfId="8531"/>
    <cellStyle name="Note 3 3 77 2" xfId="22751"/>
    <cellStyle name="Note 3 3 77 2 2" xfId="49759"/>
    <cellStyle name="Note 3 3 77 3" xfId="36255"/>
    <cellStyle name="Note 3 3 78" xfId="8673"/>
    <cellStyle name="Note 3 3 78 2" xfId="22879"/>
    <cellStyle name="Note 3 3 78 2 2" xfId="49887"/>
    <cellStyle name="Note 3 3 78 3" xfId="36383"/>
    <cellStyle name="Note 3 3 79" xfId="8815"/>
    <cellStyle name="Note 3 3 79 2" xfId="23007"/>
    <cellStyle name="Note 3 3 79 2 2" xfId="50015"/>
    <cellStyle name="Note 3 3 79 3" xfId="36511"/>
    <cellStyle name="Note 3 3 8" xfId="1036"/>
    <cellStyle name="Note 3 3 8 2" xfId="16222"/>
    <cellStyle name="Note 3 3 8 2 2" xfId="43230"/>
    <cellStyle name="Note 3 3 8 3" xfId="29726"/>
    <cellStyle name="Note 3 3 80" xfId="8957"/>
    <cellStyle name="Note 3 3 80 2" xfId="23135"/>
    <cellStyle name="Note 3 3 80 2 2" xfId="50143"/>
    <cellStyle name="Note 3 3 80 3" xfId="36639"/>
    <cellStyle name="Note 3 3 81" xfId="9099"/>
    <cellStyle name="Note 3 3 81 2" xfId="23263"/>
    <cellStyle name="Note 3 3 81 2 2" xfId="50271"/>
    <cellStyle name="Note 3 3 81 3" xfId="36767"/>
    <cellStyle name="Note 3 3 82" xfId="9241"/>
    <cellStyle name="Note 3 3 82 2" xfId="23391"/>
    <cellStyle name="Note 3 3 82 2 2" xfId="50399"/>
    <cellStyle name="Note 3 3 82 3" xfId="36895"/>
    <cellStyle name="Note 3 3 83" xfId="9383"/>
    <cellStyle name="Note 3 3 83 2" xfId="23519"/>
    <cellStyle name="Note 3 3 83 2 2" xfId="50527"/>
    <cellStyle name="Note 3 3 83 3" xfId="37023"/>
    <cellStyle name="Note 3 3 84" xfId="9525"/>
    <cellStyle name="Note 3 3 84 2" xfId="23647"/>
    <cellStyle name="Note 3 3 84 2 2" xfId="50655"/>
    <cellStyle name="Note 3 3 84 3" xfId="37151"/>
    <cellStyle name="Note 3 3 85" xfId="9667"/>
    <cellStyle name="Note 3 3 85 2" xfId="23775"/>
    <cellStyle name="Note 3 3 85 2 2" xfId="50783"/>
    <cellStyle name="Note 3 3 85 3" xfId="37279"/>
    <cellStyle name="Note 3 3 86" xfId="9809"/>
    <cellStyle name="Note 3 3 86 2" xfId="23903"/>
    <cellStyle name="Note 3 3 86 2 2" xfId="50911"/>
    <cellStyle name="Note 3 3 86 3" xfId="37407"/>
    <cellStyle name="Note 3 3 87" xfId="9951"/>
    <cellStyle name="Note 3 3 87 2" xfId="24031"/>
    <cellStyle name="Note 3 3 87 2 2" xfId="51039"/>
    <cellStyle name="Note 3 3 87 3" xfId="37535"/>
    <cellStyle name="Note 3 3 88" xfId="10093"/>
    <cellStyle name="Note 3 3 88 2" xfId="24159"/>
    <cellStyle name="Note 3 3 88 2 2" xfId="51167"/>
    <cellStyle name="Note 3 3 88 3" xfId="37663"/>
    <cellStyle name="Note 3 3 89" xfId="10235"/>
    <cellStyle name="Note 3 3 89 2" xfId="24287"/>
    <cellStyle name="Note 3 3 89 2 2" xfId="51295"/>
    <cellStyle name="Note 3 3 89 3" xfId="37791"/>
    <cellStyle name="Note 3 3 9" xfId="1142"/>
    <cellStyle name="Note 3 3 9 2" xfId="16314"/>
    <cellStyle name="Note 3 3 9 2 2" xfId="43322"/>
    <cellStyle name="Note 3 3 9 3" xfId="29818"/>
    <cellStyle name="Note 3 3 90" xfId="10377"/>
    <cellStyle name="Note 3 3 90 2" xfId="24415"/>
    <cellStyle name="Note 3 3 90 2 2" xfId="51423"/>
    <cellStyle name="Note 3 3 90 3" xfId="37919"/>
    <cellStyle name="Note 3 3 91" xfId="10519"/>
    <cellStyle name="Note 3 3 91 2" xfId="24543"/>
    <cellStyle name="Note 3 3 91 2 2" xfId="51551"/>
    <cellStyle name="Note 3 3 91 3" xfId="38047"/>
    <cellStyle name="Note 3 3 92" xfId="10661"/>
    <cellStyle name="Note 3 3 92 2" xfId="24671"/>
    <cellStyle name="Note 3 3 92 2 2" xfId="51679"/>
    <cellStyle name="Note 3 3 92 3" xfId="38175"/>
    <cellStyle name="Note 3 3 93" xfId="10803"/>
    <cellStyle name="Note 3 3 93 2" xfId="24799"/>
    <cellStyle name="Note 3 3 93 2 2" xfId="51807"/>
    <cellStyle name="Note 3 3 93 3" xfId="38303"/>
    <cellStyle name="Note 3 3 94" xfId="10945"/>
    <cellStyle name="Note 3 3 94 2" xfId="24927"/>
    <cellStyle name="Note 3 3 94 2 2" xfId="51935"/>
    <cellStyle name="Note 3 3 94 3" xfId="38431"/>
    <cellStyle name="Note 3 3 95" xfId="11087"/>
    <cellStyle name="Note 3 3 95 2" xfId="25055"/>
    <cellStyle name="Note 3 3 95 2 2" xfId="52063"/>
    <cellStyle name="Note 3 3 95 3" xfId="38559"/>
    <cellStyle name="Note 3 3 96" xfId="11229"/>
    <cellStyle name="Note 3 3 96 2" xfId="25183"/>
    <cellStyle name="Note 3 3 96 2 2" xfId="52191"/>
    <cellStyle name="Note 3 3 96 3" xfId="38687"/>
    <cellStyle name="Note 3 3 97" xfId="11371"/>
    <cellStyle name="Note 3 3 97 2" xfId="25311"/>
    <cellStyle name="Note 3 3 97 2 2" xfId="52319"/>
    <cellStyle name="Note 3 3 97 3" xfId="38815"/>
    <cellStyle name="Note 3 3 98" xfId="11513"/>
    <cellStyle name="Note 3 3 98 2" xfId="25439"/>
    <cellStyle name="Note 3 3 98 2 2" xfId="52447"/>
    <cellStyle name="Note 3 3 98 3" xfId="38943"/>
    <cellStyle name="Note 3 3 99" xfId="11655"/>
    <cellStyle name="Note 3 3 99 2" xfId="25567"/>
    <cellStyle name="Note 3 3 99 2 2" xfId="52575"/>
    <cellStyle name="Note 3 3 99 3" xfId="39071"/>
    <cellStyle name="Note 3 30" xfId="3112"/>
    <cellStyle name="Note 3 30 2" xfId="18028"/>
    <cellStyle name="Note 3 30 2 2" xfId="45036"/>
    <cellStyle name="Note 3 30 3" xfId="31532"/>
    <cellStyle name="Note 3 31" xfId="3218"/>
    <cellStyle name="Note 3 31 2" xfId="18120"/>
    <cellStyle name="Note 3 31 2 2" xfId="45128"/>
    <cellStyle name="Note 3 31 3" xfId="31624"/>
    <cellStyle name="Note 3 32" xfId="3324"/>
    <cellStyle name="Note 3 32 2" xfId="18212"/>
    <cellStyle name="Note 3 32 2 2" xfId="45220"/>
    <cellStyle name="Note 3 32 3" xfId="31716"/>
    <cellStyle name="Note 3 33" xfId="3430"/>
    <cellStyle name="Note 3 33 2" xfId="18304"/>
    <cellStyle name="Note 3 33 2 2" xfId="45312"/>
    <cellStyle name="Note 3 33 3" xfId="31808"/>
    <cellStyle name="Note 3 34" xfId="3536"/>
    <cellStyle name="Note 3 34 2" xfId="18396"/>
    <cellStyle name="Note 3 34 2 2" xfId="45404"/>
    <cellStyle name="Note 3 34 3" xfId="31900"/>
    <cellStyle name="Note 3 35" xfId="3642"/>
    <cellStyle name="Note 3 35 2" xfId="18488"/>
    <cellStyle name="Note 3 35 2 2" xfId="45496"/>
    <cellStyle name="Note 3 35 3" xfId="31992"/>
    <cellStyle name="Note 3 36" xfId="3748"/>
    <cellStyle name="Note 3 36 2" xfId="18580"/>
    <cellStyle name="Note 3 36 2 2" xfId="45588"/>
    <cellStyle name="Note 3 36 3" xfId="32084"/>
    <cellStyle name="Note 3 37" xfId="3854"/>
    <cellStyle name="Note 3 37 2" xfId="18672"/>
    <cellStyle name="Note 3 37 2 2" xfId="45680"/>
    <cellStyle name="Note 3 37 3" xfId="32176"/>
    <cellStyle name="Note 3 38" xfId="3960"/>
    <cellStyle name="Note 3 38 2" xfId="18764"/>
    <cellStyle name="Note 3 38 2 2" xfId="45772"/>
    <cellStyle name="Note 3 38 3" xfId="32268"/>
    <cellStyle name="Note 3 39" xfId="4066"/>
    <cellStyle name="Note 3 39 2" xfId="18856"/>
    <cellStyle name="Note 3 39 2 2" xfId="45864"/>
    <cellStyle name="Note 3 39 3" xfId="32360"/>
    <cellStyle name="Note 3 4" xfId="256"/>
    <cellStyle name="Note 3 4 2" xfId="15571"/>
    <cellStyle name="Note 3 4 2 2" xfId="42579"/>
    <cellStyle name="Note 3 4 3" xfId="29075"/>
    <cellStyle name="Note 3 40" xfId="4172"/>
    <cellStyle name="Note 3 40 2" xfId="18948"/>
    <cellStyle name="Note 3 40 2 2" xfId="45956"/>
    <cellStyle name="Note 3 40 3" xfId="32452"/>
    <cellStyle name="Note 3 41" xfId="4278"/>
    <cellStyle name="Note 3 41 2" xfId="19040"/>
    <cellStyle name="Note 3 41 2 2" xfId="46048"/>
    <cellStyle name="Note 3 41 3" xfId="32544"/>
    <cellStyle name="Note 3 42" xfId="4384"/>
    <cellStyle name="Note 3 42 2" xfId="19132"/>
    <cellStyle name="Note 3 42 2 2" xfId="46140"/>
    <cellStyle name="Note 3 42 3" xfId="32636"/>
    <cellStyle name="Note 3 43" xfId="4490"/>
    <cellStyle name="Note 3 43 2" xfId="19224"/>
    <cellStyle name="Note 3 43 2 2" xfId="46232"/>
    <cellStyle name="Note 3 43 3" xfId="32728"/>
    <cellStyle name="Note 3 44" xfId="4596"/>
    <cellStyle name="Note 3 44 2" xfId="19316"/>
    <cellStyle name="Note 3 44 2 2" xfId="46324"/>
    <cellStyle name="Note 3 44 3" xfId="32820"/>
    <cellStyle name="Note 3 45" xfId="4702"/>
    <cellStyle name="Note 3 45 2" xfId="19408"/>
    <cellStyle name="Note 3 45 2 2" xfId="46416"/>
    <cellStyle name="Note 3 45 3" xfId="32912"/>
    <cellStyle name="Note 3 46" xfId="4808"/>
    <cellStyle name="Note 3 46 2" xfId="19500"/>
    <cellStyle name="Note 3 46 2 2" xfId="46508"/>
    <cellStyle name="Note 3 46 3" xfId="33004"/>
    <cellStyle name="Note 3 47" xfId="4914"/>
    <cellStyle name="Note 3 47 2" xfId="19592"/>
    <cellStyle name="Note 3 47 2 2" xfId="46600"/>
    <cellStyle name="Note 3 47 3" xfId="33096"/>
    <cellStyle name="Note 3 48" xfId="5020"/>
    <cellStyle name="Note 3 48 2" xfId="19684"/>
    <cellStyle name="Note 3 48 2 2" xfId="46692"/>
    <cellStyle name="Note 3 48 3" xfId="33188"/>
    <cellStyle name="Note 3 49" xfId="5126"/>
    <cellStyle name="Note 3 49 2" xfId="19776"/>
    <cellStyle name="Note 3 49 2 2" xfId="46784"/>
    <cellStyle name="Note 3 49 3" xfId="33280"/>
    <cellStyle name="Note 3 5" xfId="443"/>
    <cellStyle name="Note 3 5 2" xfId="15707"/>
    <cellStyle name="Note 3 5 2 2" xfId="42715"/>
    <cellStyle name="Note 3 5 3" xfId="29211"/>
    <cellStyle name="Note 3 50" xfId="5232"/>
    <cellStyle name="Note 3 50 2" xfId="19868"/>
    <cellStyle name="Note 3 50 2 2" xfId="46876"/>
    <cellStyle name="Note 3 50 3" xfId="33372"/>
    <cellStyle name="Note 3 51" xfId="5338"/>
    <cellStyle name="Note 3 51 2" xfId="19960"/>
    <cellStyle name="Note 3 51 2 2" xfId="46968"/>
    <cellStyle name="Note 3 51 3" xfId="33464"/>
    <cellStyle name="Note 3 52" xfId="5444"/>
    <cellStyle name="Note 3 52 2" xfId="20052"/>
    <cellStyle name="Note 3 52 2 2" xfId="47060"/>
    <cellStyle name="Note 3 52 3" xfId="33556"/>
    <cellStyle name="Note 3 53" xfId="5550"/>
    <cellStyle name="Note 3 53 2" xfId="20144"/>
    <cellStyle name="Note 3 53 2 2" xfId="47152"/>
    <cellStyle name="Note 3 53 3" xfId="33648"/>
    <cellStyle name="Note 3 54" xfId="5656"/>
    <cellStyle name="Note 3 54 2" xfId="20236"/>
    <cellStyle name="Note 3 54 2 2" xfId="47244"/>
    <cellStyle name="Note 3 54 3" xfId="33740"/>
    <cellStyle name="Note 3 55" xfId="5762"/>
    <cellStyle name="Note 3 55 2" xfId="20328"/>
    <cellStyle name="Note 3 55 2 2" xfId="47336"/>
    <cellStyle name="Note 3 55 3" xfId="33832"/>
    <cellStyle name="Note 3 56" xfId="5868"/>
    <cellStyle name="Note 3 56 2" xfId="20420"/>
    <cellStyle name="Note 3 56 2 2" xfId="47428"/>
    <cellStyle name="Note 3 56 3" xfId="33924"/>
    <cellStyle name="Note 3 57" xfId="5974"/>
    <cellStyle name="Note 3 57 2" xfId="20512"/>
    <cellStyle name="Note 3 57 2 2" xfId="47520"/>
    <cellStyle name="Note 3 57 3" xfId="34016"/>
    <cellStyle name="Note 3 58" xfId="6080"/>
    <cellStyle name="Note 3 58 2" xfId="20604"/>
    <cellStyle name="Note 3 58 2 2" xfId="47612"/>
    <cellStyle name="Note 3 58 3" xfId="34108"/>
    <cellStyle name="Note 3 59" xfId="6186"/>
    <cellStyle name="Note 3 59 2" xfId="20696"/>
    <cellStyle name="Note 3 59 2 2" xfId="47704"/>
    <cellStyle name="Note 3 59 3" xfId="34200"/>
    <cellStyle name="Note 3 6" xfId="569"/>
    <cellStyle name="Note 3 6 2" xfId="15821"/>
    <cellStyle name="Note 3 6 2 2" xfId="42829"/>
    <cellStyle name="Note 3 6 3" xfId="29325"/>
    <cellStyle name="Note 3 60" xfId="6292"/>
    <cellStyle name="Note 3 60 2" xfId="20788"/>
    <cellStyle name="Note 3 60 2 2" xfId="47796"/>
    <cellStyle name="Note 3 60 3" xfId="34292"/>
    <cellStyle name="Note 3 61" xfId="6398"/>
    <cellStyle name="Note 3 61 2" xfId="20880"/>
    <cellStyle name="Note 3 61 2 2" xfId="47888"/>
    <cellStyle name="Note 3 61 3" xfId="34384"/>
    <cellStyle name="Note 3 62" xfId="6504"/>
    <cellStyle name="Note 3 62 2" xfId="20972"/>
    <cellStyle name="Note 3 62 2 2" xfId="47980"/>
    <cellStyle name="Note 3 62 3" xfId="34476"/>
    <cellStyle name="Note 3 63" xfId="6609"/>
    <cellStyle name="Note 3 63 2" xfId="21063"/>
    <cellStyle name="Note 3 63 2 2" xfId="48071"/>
    <cellStyle name="Note 3 63 3" xfId="34567"/>
    <cellStyle name="Note 3 64" xfId="6714"/>
    <cellStyle name="Note 3 64 2" xfId="21154"/>
    <cellStyle name="Note 3 64 2 2" xfId="48162"/>
    <cellStyle name="Note 3 64 3" xfId="34658"/>
    <cellStyle name="Note 3 65" xfId="6819"/>
    <cellStyle name="Note 3 65 2" xfId="21245"/>
    <cellStyle name="Note 3 65 2 2" xfId="48253"/>
    <cellStyle name="Note 3 65 3" xfId="34749"/>
    <cellStyle name="Note 3 66" xfId="6924"/>
    <cellStyle name="Note 3 66 2" xfId="21336"/>
    <cellStyle name="Note 3 66 2 2" xfId="48344"/>
    <cellStyle name="Note 3 66 3" xfId="34840"/>
    <cellStyle name="Note 3 67" xfId="7029"/>
    <cellStyle name="Note 3 67 2" xfId="21427"/>
    <cellStyle name="Note 3 67 2 2" xfId="48435"/>
    <cellStyle name="Note 3 67 3" xfId="34931"/>
    <cellStyle name="Note 3 68" xfId="7133"/>
    <cellStyle name="Note 3 68 2" xfId="21517"/>
    <cellStyle name="Note 3 68 2 2" xfId="48525"/>
    <cellStyle name="Note 3 68 3" xfId="35021"/>
    <cellStyle name="Note 3 69" xfId="7237"/>
    <cellStyle name="Note 3 69 2" xfId="21607"/>
    <cellStyle name="Note 3 69 2 2" xfId="48615"/>
    <cellStyle name="Note 3 69 3" xfId="35111"/>
    <cellStyle name="Note 3 7" xfId="674"/>
    <cellStyle name="Note 3 7 2" xfId="15912"/>
    <cellStyle name="Note 3 7 2 2" xfId="42920"/>
    <cellStyle name="Note 3 7 3" xfId="29416"/>
    <cellStyle name="Note 3 70" xfId="7338"/>
    <cellStyle name="Note 3 70 2" xfId="21694"/>
    <cellStyle name="Note 3 70 2 2" xfId="48702"/>
    <cellStyle name="Note 3 70 3" xfId="35198"/>
    <cellStyle name="Note 3 71" xfId="7437"/>
    <cellStyle name="Note 3 71 2" xfId="21780"/>
    <cellStyle name="Note 3 71 2 2" xfId="48788"/>
    <cellStyle name="Note 3 71 3" xfId="35284"/>
    <cellStyle name="Note 3 72" xfId="7533"/>
    <cellStyle name="Note 3 72 2" xfId="21863"/>
    <cellStyle name="Note 3 72 2 2" xfId="48871"/>
    <cellStyle name="Note 3 72 3" xfId="35367"/>
    <cellStyle name="Note 3 73" xfId="7620"/>
    <cellStyle name="Note 3 73 2" xfId="21941"/>
    <cellStyle name="Note 3 73 2 2" xfId="48949"/>
    <cellStyle name="Note 3 73 3" xfId="35445"/>
    <cellStyle name="Note 3 74" xfId="7754"/>
    <cellStyle name="Note 3 74 2" xfId="22052"/>
    <cellStyle name="Note 3 74 2 2" xfId="49060"/>
    <cellStyle name="Note 3 74 3" xfId="35556"/>
    <cellStyle name="Note 3 75" xfId="7883"/>
    <cellStyle name="Note 3 75 2" xfId="22169"/>
    <cellStyle name="Note 3 75 2 2" xfId="49177"/>
    <cellStyle name="Note 3 75 3" xfId="35673"/>
    <cellStyle name="Note 3 76" xfId="8025"/>
    <cellStyle name="Note 3 76 2" xfId="22297"/>
    <cellStyle name="Note 3 76 2 2" xfId="49305"/>
    <cellStyle name="Note 3 76 3" xfId="35801"/>
    <cellStyle name="Note 3 77" xfId="8167"/>
    <cellStyle name="Note 3 77 2" xfId="22425"/>
    <cellStyle name="Note 3 77 2 2" xfId="49433"/>
    <cellStyle name="Note 3 77 3" xfId="35929"/>
    <cellStyle name="Note 3 78" xfId="8309"/>
    <cellStyle name="Note 3 78 2" xfId="22553"/>
    <cellStyle name="Note 3 78 2 2" xfId="49561"/>
    <cellStyle name="Note 3 78 3" xfId="36057"/>
    <cellStyle name="Note 3 79" xfId="8451"/>
    <cellStyle name="Note 3 79 2" xfId="22681"/>
    <cellStyle name="Note 3 79 2 2" xfId="49689"/>
    <cellStyle name="Note 3 79 3" xfId="36185"/>
    <cellStyle name="Note 3 8" xfId="780"/>
    <cellStyle name="Note 3 8 2" xfId="16004"/>
    <cellStyle name="Note 3 8 2 2" xfId="43012"/>
    <cellStyle name="Note 3 8 3" xfId="29508"/>
    <cellStyle name="Note 3 80" xfId="8593"/>
    <cellStyle name="Note 3 80 2" xfId="22809"/>
    <cellStyle name="Note 3 80 2 2" xfId="49817"/>
    <cellStyle name="Note 3 80 3" xfId="36313"/>
    <cellStyle name="Note 3 81" xfId="8735"/>
    <cellStyle name="Note 3 81 2" xfId="22937"/>
    <cellStyle name="Note 3 81 2 2" xfId="49945"/>
    <cellStyle name="Note 3 81 3" xfId="36441"/>
    <cellStyle name="Note 3 82" xfId="8877"/>
    <cellStyle name="Note 3 82 2" xfId="23065"/>
    <cellStyle name="Note 3 82 2 2" xfId="50073"/>
    <cellStyle name="Note 3 82 3" xfId="36569"/>
    <cellStyle name="Note 3 83" xfId="9019"/>
    <cellStyle name="Note 3 83 2" xfId="23193"/>
    <cellStyle name="Note 3 83 2 2" xfId="50201"/>
    <cellStyle name="Note 3 83 3" xfId="36697"/>
    <cellStyle name="Note 3 84" xfId="9161"/>
    <cellStyle name="Note 3 84 2" xfId="23321"/>
    <cellStyle name="Note 3 84 2 2" xfId="50329"/>
    <cellStyle name="Note 3 84 3" xfId="36825"/>
    <cellStyle name="Note 3 85" xfId="9303"/>
    <cellStyle name="Note 3 85 2" xfId="23449"/>
    <cellStyle name="Note 3 85 2 2" xfId="50457"/>
    <cellStyle name="Note 3 85 3" xfId="36953"/>
    <cellStyle name="Note 3 86" xfId="9445"/>
    <cellStyle name="Note 3 86 2" xfId="23577"/>
    <cellStyle name="Note 3 86 2 2" xfId="50585"/>
    <cellStyle name="Note 3 86 3" xfId="37081"/>
    <cellStyle name="Note 3 87" xfId="9587"/>
    <cellStyle name="Note 3 87 2" xfId="23705"/>
    <cellStyle name="Note 3 87 2 2" xfId="50713"/>
    <cellStyle name="Note 3 87 3" xfId="37209"/>
    <cellStyle name="Note 3 88" xfId="9729"/>
    <cellStyle name="Note 3 88 2" xfId="23833"/>
    <cellStyle name="Note 3 88 2 2" xfId="50841"/>
    <cellStyle name="Note 3 88 3" xfId="37337"/>
    <cellStyle name="Note 3 89" xfId="9871"/>
    <cellStyle name="Note 3 89 2" xfId="23961"/>
    <cellStyle name="Note 3 89 2 2" xfId="50969"/>
    <cellStyle name="Note 3 89 3" xfId="37465"/>
    <cellStyle name="Note 3 9" xfId="886"/>
    <cellStyle name="Note 3 9 2" xfId="16096"/>
    <cellStyle name="Note 3 9 2 2" xfId="43104"/>
    <cellStyle name="Note 3 9 3" xfId="29600"/>
    <cellStyle name="Note 3 90" xfId="10013"/>
    <cellStyle name="Note 3 90 2" xfId="24089"/>
    <cellStyle name="Note 3 90 2 2" xfId="51097"/>
    <cellStyle name="Note 3 90 3" xfId="37593"/>
    <cellStyle name="Note 3 91" xfId="10155"/>
    <cellStyle name="Note 3 91 2" xfId="24217"/>
    <cellStyle name="Note 3 91 2 2" xfId="51225"/>
    <cellStyle name="Note 3 91 3" xfId="37721"/>
    <cellStyle name="Note 3 92" xfId="10297"/>
    <cellStyle name="Note 3 92 2" xfId="24345"/>
    <cellStyle name="Note 3 92 2 2" xfId="51353"/>
    <cellStyle name="Note 3 92 3" xfId="37849"/>
    <cellStyle name="Note 3 93" xfId="10439"/>
    <cellStyle name="Note 3 93 2" xfId="24473"/>
    <cellStyle name="Note 3 93 2 2" xfId="51481"/>
    <cellStyle name="Note 3 93 3" xfId="37977"/>
    <cellStyle name="Note 3 94" xfId="10581"/>
    <cellStyle name="Note 3 94 2" xfId="24601"/>
    <cellStyle name="Note 3 94 2 2" xfId="51609"/>
    <cellStyle name="Note 3 94 3" xfId="38105"/>
    <cellStyle name="Note 3 95" xfId="10723"/>
    <cellStyle name="Note 3 95 2" xfId="24729"/>
    <cellStyle name="Note 3 95 2 2" xfId="51737"/>
    <cellStyle name="Note 3 95 3" xfId="38233"/>
    <cellStyle name="Note 3 96" xfId="10865"/>
    <cellStyle name="Note 3 96 2" xfId="24857"/>
    <cellStyle name="Note 3 96 2 2" xfId="51865"/>
    <cellStyle name="Note 3 96 3" xfId="38361"/>
    <cellStyle name="Note 3 97" xfId="11007"/>
    <cellStyle name="Note 3 97 2" xfId="24985"/>
    <cellStyle name="Note 3 97 2 2" xfId="51993"/>
    <cellStyle name="Note 3 97 3" xfId="38489"/>
    <cellStyle name="Note 3 98" xfId="11149"/>
    <cellStyle name="Note 3 98 2" xfId="25113"/>
    <cellStyle name="Note 3 98 2 2" xfId="52121"/>
    <cellStyle name="Note 3 98 3" xfId="38617"/>
    <cellStyle name="Note 3 99" xfId="11291"/>
    <cellStyle name="Note 3 99 2" xfId="25241"/>
    <cellStyle name="Note 3 99 2 2" xfId="52249"/>
    <cellStyle name="Note 3 99 3" xfId="38745"/>
    <cellStyle name="Note 4" xfId="76"/>
    <cellStyle name="Note 4 10" xfId="776"/>
    <cellStyle name="Note 4 10 2" xfId="16002"/>
    <cellStyle name="Note 4 10 2 2" xfId="43010"/>
    <cellStyle name="Note 4 10 3" xfId="29506"/>
    <cellStyle name="Note 4 100" xfId="11145"/>
    <cellStyle name="Note 4 100 2" xfId="25111"/>
    <cellStyle name="Note 4 100 2 2" xfId="52119"/>
    <cellStyle name="Note 4 100 3" xfId="38615"/>
    <cellStyle name="Note 4 101" xfId="11287"/>
    <cellStyle name="Note 4 101 2" xfId="25239"/>
    <cellStyle name="Note 4 101 2 2" xfId="52247"/>
    <cellStyle name="Note 4 101 3" xfId="38743"/>
    <cellStyle name="Note 4 102" xfId="11429"/>
    <cellStyle name="Note 4 102 2" xfId="25367"/>
    <cellStyle name="Note 4 102 2 2" xfId="52375"/>
    <cellStyle name="Note 4 102 3" xfId="38871"/>
    <cellStyle name="Note 4 103" xfId="11571"/>
    <cellStyle name="Note 4 103 2" xfId="25495"/>
    <cellStyle name="Note 4 103 2 2" xfId="52503"/>
    <cellStyle name="Note 4 103 3" xfId="38999"/>
    <cellStyle name="Note 4 104" xfId="11713"/>
    <cellStyle name="Note 4 104 2" xfId="25623"/>
    <cellStyle name="Note 4 104 2 2" xfId="52631"/>
    <cellStyle name="Note 4 104 3" xfId="39127"/>
    <cellStyle name="Note 4 105" xfId="11855"/>
    <cellStyle name="Note 4 105 2" xfId="25751"/>
    <cellStyle name="Note 4 105 2 2" xfId="52759"/>
    <cellStyle name="Note 4 105 3" xfId="39255"/>
    <cellStyle name="Note 4 106" xfId="11997"/>
    <cellStyle name="Note 4 106 2" xfId="25879"/>
    <cellStyle name="Note 4 106 2 2" xfId="52887"/>
    <cellStyle name="Note 4 106 3" xfId="39383"/>
    <cellStyle name="Note 4 107" xfId="12139"/>
    <cellStyle name="Note 4 107 2" xfId="26007"/>
    <cellStyle name="Note 4 107 2 2" xfId="53015"/>
    <cellStyle name="Note 4 107 3" xfId="39511"/>
    <cellStyle name="Note 4 108" xfId="12281"/>
    <cellStyle name="Note 4 108 2" xfId="26135"/>
    <cellStyle name="Note 4 108 2 2" xfId="53143"/>
    <cellStyle name="Note 4 108 3" xfId="39639"/>
    <cellStyle name="Note 4 109" xfId="12423"/>
    <cellStyle name="Note 4 109 2" xfId="26263"/>
    <cellStyle name="Note 4 109 2 2" xfId="53271"/>
    <cellStyle name="Note 4 109 3" xfId="39767"/>
    <cellStyle name="Note 4 11" xfId="882"/>
    <cellStyle name="Note 4 11 2" xfId="16094"/>
    <cellStyle name="Note 4 11 2 2" xfId="43102"/>
    <cellStyle name="Note 4 11 3" xfId="29598"/>
    <cellStyle name="Note 4 110" xfId="12565"/>
    <cellStyle name="Note 4 110 2" xfId="26391"/>
    <cellStyle name="Note 4 110 2 2" xfId="53399"/>
    <cellStyle name="Note 4 110 3" xfId="39895"/>
    <cellStyle name="Note 4 111" xfId="12707"/>
    <cellStyle name="Note 4 111 2" xfId="26519"/>
    <cellStyle name="Note 4 111 2 2" xfId="53527"/>
    <cellStyle name="Note 4 111 3" xfId="40023"/>
    <cellStyle name="Note 4 112" xfId="12849"/>
    <cellStyle name="Note 4 112 2" xfId="26647"/>
    <cellStyle name="Note 4 112 2 2" xfId="53655"/>
    <cellStyle name="Note 4 112 3" xfId="40151"/>
    <cellStyle name="Note 4 113" xfId="12991"/>
    <cellStyle name="Note 4 113 2" xfId="26775"/>
    <cellStyle name="Note 4 113 2 2" xfId="53783"/>
    <cellStyle name="Note 4 113 3" xfId="40279"/>
    <cellStyle name="Note 4 114" xfId="13133"/>
    <cellStyle name="Note 4 114 2" xfId="26903"/>
    <cellStyle name="Note 4 114 2 2" xfId="53911"/>
    <cellStyle name="Note 4 114 3" xfId="40407"/>
    <cellStyle name="Note 4 115" xfId="13275"/>
    <cellStyle name="Note 4 115 2" xfId="27031"/>
    <cellStyle name="Note 4 115 2 2" xfId="54039"/>
    <cellStyle name="Note 4 115 3" xfId="40535"/>
    <cellStyle name="Note 4 116" xfId="13417"/>
    <cellStyle name="Note 4 116 2" xfId="27159"/>
    <cellStyle name="Note 4 116 2 2" xfId="54167"/>
    <cellStyle name="Note 4 116 3" xfId="40663"/>
    <cellStyle name="Note 4 117" xfId="13559"/>
    <cellStyle name="Note 4 117 2" xfId="27287"/>
    <cellStyle name="Note 4 117 2 2" xfId="54295"/>
    <cellStyle name="Note 4 117 3" xfId="40791"/>
    <cellStyle name="Note 4 118" xfId="13701"/>
    <cellStyle name="Note 4 118 2" xfId="27415"/>
    <cellStyle name="Note 4 118 2 2" xfId="54423"/>
    <cellStyle name="Note 4 118 3" xfId="40919"/>
    <cellStyle name="Note 4 119" xfId="13842"/>
    <cellStyle name="Note 4 119 2" xfId="27542"/>
    <cellStyle name="Note 4 119 2 2" xfId="54550"/>
    <cellStyle name="Note 4 119 3" xfId="41046"/>
    <cellStyle name="Note 4 12" xfId="988"/>
    <cellStyle name="Note 4 12 2" xfId="16186"/>
    <cellStyle name="Note 4 12 2 2" xfId="43194"/>
    <cellStyle name="Note 4 12 3" xfId="29690"/>
    <cellStyle name="Note 4 120" xfId="13983"/>
    <cellStyle name="Note 4 120 2" xfId="27669"/>
    <cellStyle name="Note 4 120 2 2" xfId="54677"/>
    <cellStyle name="Note 4 120 3" xfId="41173"/>
    <cellStyle name="Note 4 121" xfId="14124"/>
    <cellStyle name="Note 4 121 2" xfId="27796"/>
    <cellStyle name="Note 4 121 2 2" xfId="54804"/>
    <cellStyle name="Note 4 121 3" xfId="41300"/>
    <cellStyle name="Note 4 122" xfId="14265"/>
    <cellStyle name="Note 4 122 2" xfId="27923"/>
    <cellStyle name="Note 4 122 2 2" xfId="54931"/>
    <cellStyle name="Note 4 122 3" xfId="41427"/>
    <cellStyle name="Note 4 123" xfId="14406"/>
    <cellStyle name="Note 4 123 2" xfId="28050"/>
    <cellStyle name="Note 4 123 2 2" xfId="55058"/>
    <cellStyle name="Note 4 123 3" xfId="41554"/>
    <cellStyle name="Note 4 124" xfId="14546"/>
    <cellStyle name="Note 4 124 2" xfId="28176"/>
    <cellStyle name="Note 4 124 2 2" xfId="55184"/>
    <cellStyle name="Note 4 124 3" xfId="41680"/>
    <cellStyle name="Note 4 125" xfId="14686"/>
    <cellStyle name="Note 4 125 2" xfId="28302"/>
    <cellStyle name="Note 4 125 2 2" xfId="55310"/>
    <cellStyle name="Note 4 125 3" xfId="41806"/>
    <cellStyle name="Note 4 126" xfId="14823"/>
    <cellStyle name="Note 4 126 2" xfId="28425"/>
    <cellStyle name="Note 4 126 2 2" xfId="55433"/>
    <cellStyle name="Note 4 126 3" xfId="41929"/>
    <cellStyle name="Note 4 127" xfId="14957"/>
    <cellStyle name="Note 4 127 2" xfId="28546"/>
    <cellStyle name="Note 4 127 2 2" xfId="55554"/>
    <cellStyle name="Note 4 127 3" xfId="42050"/>
    <cellStyle name="Note 4 128" xfId="15459"/>
    <cellStyle name="Note 4 128 2" xfId="42467"/>
    <cellStyle name="Note 4 129" xfId="28963"/>
    <cellStyle name="Note 4 13" xfId="1094"/>
    <cellStyle name="Note 4 13 2" xfId="16278"/>
    <cellStyle name="Note 4 13 2 2" xfId="43286"/>
    <cellStyle name="Note 4 13 3" xfId="29782"/>
    <cellStyle name="Note 4 14" xfId="1200"/>
    <cellStyle name="Note 4 14 2" xfId="16370"/>
    <cellStyle name="Note 4 14 2 2" xfId="43378"/>
    <cellStyle name="Note 4 14 3" xfId="29874"/>
    <cellStyle name="Note 4 15" xfId="1306"/>
    <cellStyle name="Note 4 15 2" xfId="16462"/>
    <cellStyle name="Note 4 15 2 2" xfId="43470"/>
    <cellStyle name="Note 4 15 3" xfId="29966"/>
    <cellStyle name="Note 4 16" xfId="1412"/>
    <cellStyle name="Note 4 16 2" xfId="16554"/>
    <cellStyle name="Note 4 16 2 2" xfId="43562"/>
    <cellStyle name="Note 4 16 3" xfId="30058"/>
    <cellStyle name="Note 4 17" xfId="1518"/>
    <cellStyle name="Note 4 17 2" xfId="16646"/>
    <cellStyle name="Note 4 17 2 2" xfId="43654"/>
    <cellStyle name="Note 4 17 3" xfId="30150"/>
    <cellStyle name="Note 4 18" xfId="1624"/>
    <cellStyle name="Note 4 18 2" xfId="16738"/>
    <cellStyle name="Note 4 18 2 2" xfId="43746"/>
    <cellStyle name="Note 4 18 3" xfId="30242"/>
    <cellStyle name="Note 4 19" xfId="1730"/>
    <cellStyle name="Note 4 19 2" xfId="16830"/>
    <cellStyle name="Note 4 19 2 2" xfId="43838"/>
    <cellStyle name="Note 4 19 3" xfId="30334"/>
    <cellStyle name="Note 4 2" xfId="134"/>
    <cellStyle name="Note 4 2 10" xfId="1212"/>
    <cellStyle name="Note 4 2 10 2" xfId="16377"/>
    <cellStyle name="Note 4 2 10 2 2" xfId="43385"/>
    <cellStyle name="Note 4 2 10 3" xfId="29881"/>
    <cellStyle name="Note 4 2 100" xfId="11788"/>
    <cellStyle name="Note 4 2 100 2" xfId="25686"/>
    <cellStyle name="Note 4 2 100 2 2" xfId="52694"/>
    <cellStyle name="Note 4 2 100 3" xfId="39190"/>
    <cellStyle name="Note 4 2 101" xfId="11930"/>
    <cellStyle name="Note 4 2 101 2" xfId="25814"/>
    <cellStyle name="Note 4 2 101 2 2" xfId="52822"/>
    <cellStyle name="Note 4 2 101 3" xfId="39318"/>
    <cellStyle name="Note 4 2 102" xfId="12072"/>
    <cellStyle name="Note 4 2 102 2" xfId="25942"/>
    <cellStyle name="Note 4 2 102 2 2" xfId="52950"/>
    <cellStyle name="Note 4 2 102 3" xfId="39446"/>
    <cellStyle name="Note 4 2 103" xfId="12214"/>
    <cellStyle name="Note 4 2 103 2" xfId="26070"/>
    <cellStyle name="Note 4 2 103 2 2" xfId="53078"/>
    <cellStyle name="Note 4 2 103 3" xfId="39574"/>
    <cellStyle name="Note 4 2 104" xfId="12356"/>
    <cellStyle name="Note 4 2 104 2" xfId="26198"/>
    <cellStyle name="Note 4 2 104 2 2" xfId="53206"/>
    <cellStyle name="Note 4 2 104 3" xfId="39702"/>
    <cellStyle name="Note 4 2 105" xfId="12498"/>
    <cellStyle name="Note 4 2 105 2" xfId="26326"/>
    <cellStyle name="Note 4 2 105 2 2" xfId="53334"/>
    <cellStyle name="Note 4 2 105 3" xfId="39830"/>
    <cellStyle name="Note 4 2 106" xfId="12640"/>
    <cellStyle name="Note 4 2 106 2" xfId="26454"/>
    <cellStyle name="Note 4 2 106 2 2" xfId="53462"/>
    <cellStyle name="Note 4 2 106 3" xfId="39958"/>
    <cellStyle name="Note 4 2 107" xfId="12782"/>
    <cellStyle name="Note 4 2 107 2" xfId="26582"/>
    <cellStyle name="Note 4 2 107 2 2" xfId="53590"/>
    <cellStyle name="Note 4 2 107 3" xfId="40086"/>
    <cellStyle name="Note 4 2 108" xfId="12924"/>
    <cellStyle name="Note 4 2 108 2" xfId="26710"/>
    <cellStyle name="Note 4 2 108 2 2" xfId="53718"/>
    <cellStyle name="Note 4 2 108 3" xfId="40214"/>
    <cellStyle name="Note 4 2 109" xfId="13066"/>
    <cellStyle name="Note 4 2 109 2" xfId="26838"/>
    <cellStyle name="Note 4 2 109 2 2" xfId="53846"/>
    <cellStyle name="Note 4 2 109 3" xfId="40342"/>
    <cellStyle name="Note 4 2 11" xfId="1318"/>
    <cellStyle name="Note 4 2 11 2" xfId="16469"/>
    <cellStyle name="Note 4 2 11 2 2" xfId="43477"/>
    <cellStyle name="Note 4 2 11 3" xfId="29973"/>
    <cellStyle name="Note 4 2 110" xfId="13208"/>
    <cellStyle name="Note 4 2 110 2" xfId="26966"/>
    <cellStyle name="Note 4 2 110 2 2" xfId="53974"/>
    <cellStyle name="Note 4 2 110 3" xfId="40470"/>
    <cellStyle name="Note 4 2 111" xfId="13350"/>
    <cellStyle name="Note 4 2 111 2" xfId="27094"/>
    <cellStyle name="Note 4 2 111 2 2" xfId="54102"/>
    <cellStyle name="Note 4 2 111 3" xfId="40598"/>
    <cellStyle name="Note 4 2 112" xfId="13492"/>
    <cellStyle name="Note 4 2 112 2" xfId="27222"/>
    <cellStyle name="Note 4 2 112 2 2" xfId="54230"/>
    <cellStyle name="Note 4 2 112 3" xfId="40726"/>
    <cellStyle name="Note 4 2 113" xfId="13634"/>
    <cellStyle name="Note 4 2 113 2" xfId="27350"/>
    <cellStyle name="Note 4 2 113 2 2" xfId="54358"/>
    <cellStyle name="Note 4 2 113 3" xfId="40854"/>
    <cellStyle name="Note 4 2 114" xfId="13776"/>
    <cellStyle name="Note 4 2 114 2" xfId="27478"/>
    <cellStyle name="Note 4 2 114 2 2" xfId="54486"/>
    <cellStyle name="Note 4 2 114 3" xfId="40982"/>
    <cellStyle name="Note 4 2 115" xfId="13917"/>
    <cellStyle name="Note 4 2 115 2" xfId="27605"/>
    <cellStyle name="Note 4 2 115 2 2" xfId="54613"/>
    <cellStyle name="Note 4 2 115 3" xfId="41109"/>
    <cellStyle name="Note 4 2 116" xfId="14058"/>
    <cellStyle name="Note 4 2 116 2" xfId="27732"/>
    <cellStyle name="Note 4 2 116 2 2" xfId="54740"/>
    <cellStyle name="Note 4 2 116 3" xfId="41236"/>
    <cellStyle name="Note 4 2 117" xfId="14199"/>
    <cellStyle name="Note 4 2 117 2" xfId="27859"/>
    <cellStyle name="Note 4 2 117 2 2" xfId="54867"/>
    <cellStyle name="Note 4 2 117 3" xfId="41363"/>
    <cellStyle name="Note 4 2 118" xfId="14340"/>
    <cellStyle name="Note 4 2 118 2" xfId="27986"/>
    <cellStyle name="Note 4 2 118 2 2" xfId="54994"/>
    <cellStyle name="Note 4 2 118 3" xfId="41490"/>
    <cellStyle name="Note 4 2 119" xfId="14480"/>
    <cellStyle name="Note 4 2 119 2" xfId="28112"/>
    <cellStyle name="Note 4 2 119 2 2" xfId="55120"/>
    <cellStyle name="Note 4 2 119 3" xfId="41616"/>
    <cellStyle name="Note 4 2 12" xfId="1424"/>
    <cellStyle name="Note 4 2 12 2" xfId="16561"/>
    <cellStyle name="Note 4 2 12 2 2" xfId="43569"/>
    <cellStyle name="Note 4 2 12 3" xfId="30065"/>
    <cellStyle name="Note 4 2 120" xfId="14620"/>
    <cellStyle name="Note 4 2 120 2" xfId="28238"/>
    <cellStyle name="Note 4 2 120 2 2" xfId="55246"/>
    <cellStyle name="Note 4 2 120 3" xfId="41742"/>
    <cellStyle name="Note 4 2 121" xfId="14759"/>
    <cellStyle name="Note 4 2 121 2" xfId="28363"/>
    <cellStyle name="Note 4 2 121 2 2" xfId="55371"/>
    <cellStyle name="Note 4 2 121 3" xfId="41867"/>
    <cellStyle name="Note 4 2 122" xfId="14894"/>
    <cellStyle name="Note 4 2 122 2" xfId="28485"/>
    <cellStyle name="Note 4 2 122 2 2" xfId="55493"/>
    <cellStyle name="Note 4 2 122 3" xfId="41989"/>
    <cellStyle name="Note 4 2 123" xfId="15028"/>
    <cellStyle name="Note 4 2 123 2" xfId="28606"/>
    <cellStyle name="Note 4 2 123 2 2" xfId="55614"/>
    <cellStyle name="Note 4 2 123 3" xfId="42110"/>
    <cellStyle name="Note 4 2 124" xfId="15156"/>
    <cellStyle name="Note 4 2 124 2" xfId="28723"/>
    <cellStyle name="Note 4 2 124 2 2" xfId="55731"/>
    <cellStyle name="Note 4 2 124 3" xfId="42227"/>
    <cellStyle name="Note 4 2 125" xfId="15277"/>
    <cellStyle name="Note 4 2 125 2" xfId="28837"/>
    <cellStyle name="Note 4 2 125 2 2" xfId="55845"/>
    <cellStyle name="Note 4 2 125 3" xfId="42341"/>
    <cellStyle name="Note 4 2 126" xfId="15492"/>
    <cellStyle name="Note 4 2 126 2" xfId="42500"/>
    <cellStyle name="Note 4 2 127" xfId="28996"/>
    <cellStyle name="Note 4 2 13" xfId="1530"/>
    <cellStyle name="Note 4 2 13 2" xfId="16653"/>
    <cellStyle name="Note 4 2 13 2 2" xfId="43661"/>
    <cellStyle name="Note 4 2 13 3" xfId="30157"/>
    <cellStyle name="Note 4 2 14" xfId="1636"/>
    <cellStyle name="Note 4 2 14 2" xfId="16745"/>
    <cellStyle name="Note 4 2 14 2 2" xfId="43753"/>
    <cellStyle name="Note 4 2 14 3" xfId="30249"/>
    <cellStyle name="Note 4 2 15" xfId="1742"/>
    <cellStyle name="Note 4 2 15 2" xfId="16837"/>
    <cellStyle name="Note 4 2 15 2 2" xfId="43845"/>
    <cellStyle name="Note 4 2 15 3" xfId="30341"/>
    <cellStyle name="Note 4 2 16" xfId="1848"/>
    <cellStyle name="Note 4 2 16 2" xfId="16929"/>
    <cellStyle name="Note 4 2 16 2 2" xfId="43937"/>
    <cellStyle name="Note 4 2 16 3" xfId="30433"/>
    <cellStyle name="Note 4 2 17" xfId="1954"/>
    <cellStyle name="Note 4 2 17 2" xfId="17021"/>
    <cellStyle name="Note 4 2 17 2 2" xfId="44029"/>
    <cellStyle name="Note 4 2 17 3" xfId="30525"/>
    <cellStyle name="Note 4 2 18" xfId="2060"/>
    <cellStyle name="Note 4 2 18 2" xfId="17113"/>
    <cellStyle name="Note 4 2 18 2 2" xfId="44121"/>
    <cellStyle name="Note 4 2 18 3" xfId="30617"/>
    <cellStyle name="Note 4 2 19" xfId="2166"/>
    <cellStyle name="Note 4 2 19 2" xfId="17205"/>
    <cellStyle name="Note 4 2 19 2 2" xfId="44213"/>
    <cellStyle name="Note 4 2 19 3" xfId="30709"/>
    <cellStyle name="Note 4 2 2" xfId="311"/>
    <cellStyle name="Note 4 2 2 2" xfId="15613"/>
    <cellStyle name="Note 4 2 2 2 2" xfId="42621"/>
    <cellStyle name="Note 4 2 2 3" xfId="29117"/>
    <cellStyle name="Note 4 2 20" xfId="2272"/>
    <cellStyle name="Note 4 2 20 2" xfId="17297"/>
    <cellStyle name="Note 4 2 20 2 2" xfId="44305"/>
    <cellStyle name="Note 4 2 20 3" xfId="30801"/>
    <cellStyle name="Note 4 2 21" xfId="2378"/>
    <cellStyle name="Note 4 2 21 2" xfId="17389"/>
    <cellStyle name="Note 4 2 21 2 2" xfId="44397"/>
    <cellStyle name="Note 4 2 21 3" xfId="30893"/>
    <cellStyle name="Note 4 2 22" xfId="2484"/>
    <cellStyle name="Note 4 2 22 2" xfId="17481"/>
    <cellStyle name="Note 4 2 22 2 2" xfId="44489"/>
    <cellStyle name="Note 4 2 22 3" xfId="30985"/>
    <cellStyle name="Note 4 2 23" xfId="2590"/>
    <cellStyle name="Note 4 2 23 2" xfId="17573"/>
    <cellStyle name="Note 4 2 23 2 2" xfId="44581"/>
    <cellStyle name="Note 4 2 23 3" xfId="31077"/>
    <cellStyle name="Note 4 2 24" xfId="2696"/>
    <cellStyle name="Note 4 2 24 2" xfId="17665"/>
    <cellStyle name="Note 4 2 24 2 2" xfId="44673"/>
    <cellStyle name="Note 4 2 24 3" xfId="31169"/>
    <cellStyle name="Note 4 2 25" xfId="2802"/>
    <cellStyle name="Note 4 2 25 2" xfId="17757"/>
    <cellStyle name="Note 4 2 25 2 2" xfId="44765"/>
    <cellStyle name="Note 4 2 25 3" xfId="31261"/>
    <cellStyle name="Note 4 2 26" xfId="2908"/>
    <cellStyle name="Note 4 2 26 2" xfId="17849"/>
    <cellStyle name="Note 4 2 26 2 2" xfId="44857"/>
    <cellStyle name="Note 4 2 26 3" xfId="31353"/>
    <cellStyle name="Note 4 2 27" xfId="3014"/>
    <cellStyle name="Note 4 2 27 2" xfId="17941"/>
    <cellStyle name="Note 4 2 27 2 2" xfId="44949"/>
    <cellStyle name="Note 4 2 27 3" xfId="31445"/>
    <cellStyle name="Note 4 2 28" xfId="3120"/>
    <cellStyle name="Note 4 2 28 2" xfId="18033"/>
    <cellStyle name="Note 4 2 28 2 2" xfId="45041"/>
    <cellStyle name="Note 4 2 28 3" xfId="31537"/>
    <cellStyle name="Note 4 2 29" xfId="3226"/>
    <cellStyle name="Note 4 2 29 2" xfId="18125"/>
    <cellStyle name="Note 4 2 29 2 2" xfId="45133"/>
    <cellStyle name="Note 4 2 29 3" xfId="31629"/>
    <cellStyle name="Note 4 2 3" xfId="498"/>
    <cellStyle name="Note 4 2 3 2" xfId="15754"/>
    <cellStyle name="Note 4 2 3 2 2" xfId="42762"/>
    <cellStyle name="Note 4 2 3 3" xfId="29258"/>
    <cellStyle name="Note 4 2 30" xfId="3332"/>
    <cellStyle name="Note 4 2 30 2" xfId="18217"/>
    <cellStyle name="Note 4 2 30 2 2" xfId="45225"/>
    <cellStyle name="Note 4 2 30 3" xfId="31721"/>
    <cellStyle name="Note 4 2 31" xfId="3438"/>
    <cellStyle name="Note 4 2 31 2" xfId="18309"/>
    <cellStyle name="Note 4 2 31 2 2" xfId="45317"/>
    <cellStyle name="Note 4 2 31 3" xfId="31813"/>
    <cellStyle name="Note 4 2 32" xfId="3544"/>
    <cellStyle name="Note 4 2 32 2" xfId="18401"/>
    <cellStyle name="Note 4 2 32 2 2" xfId="45409"/>
    <cellStyle name="Note 4 2 32 3" xfId="31905"/>
    <cellStyle name="Note 4 2 33" xfId="3650"/>
    <cellStyle name="Note 4 2 33 2" xfId="18493"/>
    <cellStyle name="Note 4 2 33 2 2" xfId="45501"/>
    <cellStyle name="Note 4 2 33 3" xfId="31997"/>
    <cellStyle name="Note 4 2 34" xfId="3756"/>
    <cellStyle name="Note 4 2 34 2" xfId="18585"/>
    <cellStyle name="Note 4 2 34 2 2" xfId="45593"/>
    <cellStyle name="Note 4 2 34 3" xfId="32089"/>
    <cellStyle name="Note 4 2 35" xfId="3862"/>
    <cellStyle name="Note 4 2 35 2" xfId="18677"/>
    <cellStyle name="Note 4 2 35 2 2" xfId="45685"/>
    <cellStyle name="Note 4 2 35 3" xfId="32181"/>
    <cellStyle name="Note 4 2 36" xfId="3968"/>
    <cellStyle name="Note 4 2 36 2" xfId="18769"/>
    <cellStyle name="Note 4 2 36 2 2" xfId="45777"/>
    <cellStyle name="Note 4 2 36 3" xfId="32273"/>
    <cellStyle name="Note 4 2 37" xfId="4074"/>
    <cellStyle name="Note 4 2 37 2" xfId="18861"/>
    <cellStyle name="Note 4 2 37 2 2" xfId="45869"/>
    <cellStyle name="Note 4 2 37 3" xfId="32365"/>
    <cellStyle name="Note 4 2 38" xfId="4180"/>
    <cellStyle name="Note 4 2 38 2" xfId="18953"/>
    <cellStyle name="Note 4 2 38 2 2" xfId="45961"/>
    <cellStyle name="Note 4 2 38 3" xfId="32457"/>
    <cellStyle name="Note 4 2 39" xfId="4286"/>
    <cellStyle name="Note 4 2 39 2" xfId="19045"/>
    <cellStyle name="Note 4 2 39 2 2" xfId="46053"/>
    <cellStyle name="Note 4 2 39 3" xfId="32549"/>
    <cellStyle name="Note 4 2 4" xfId="576"/>
    <cellStyle name="Note 4 2 4 2" xfId="15825"/>
    <cellStyle name="Note 4 2 4 2 2" xfId="42833"/>
    <cellStyle name="Note 4 2 4 3" xfId="29329"/>
    <cellStyle name="Note 4 2 40" xfId="4392"/>
    <cellStyle name="Note 4 2 40 2" xfId="19137"/>
    <cellStyle name="Note 4 2 40 2 2" xfId="46145"/>
    <cellStyle name="Note 4 2 40 3" xfId="32641"/>
    <cellStyle name="Note 4 2 41" xfId="4498"/>
    <cellStyle name="Note 4 2 41 2" xfId="19229"/>
    <cellStyle name="Note 4 2 41 2 2" xfId="46237"/>
    <cellStyle name="Note 4 2 41 3" xfId="32733"/>
    <cellStyle name="Note 4 2 42" xfId="4604"/>
    <cellStyle name="Note 4 2 42 2" xfId="19321"/>
    <cellStyle name="Note 4 2 42 2 2" xfId="46329"/>
    <cellStyle name="Note 4 2 42 3" xfId="32825"/>
    <cellStyle name="Note 4 2 43" xfId="4710"/>
    <cellStyle name="Note 4 2 43 2" xfId="19413"/>
    <cellStyle name="Note 4 2 43 2 2" xfId="46421"/>
    <cellStyle name="Note 4 2 43 3" xfId="32917"/>
    <cellStyle name="Note 4 2 44" xfId="4816"/>
    <cellStyle name="Note 4 2 44 2" xfId="19505"/>
    <cellStyle name="Note 4 2 44 2 2" xfId="46513"/>
    <cellStyle name="Note 4 2 44 3" xfId="33009"/>
    <cellStyle name="Note 4 2 45" xfId="4922"/>
    <cellStyle name="Note 4 2 45 2" xfId="19597"/>
    <cellStyle name="Note 4 2 45 2 2" xfId="46605"/>
    <cellStyle name="Note 4 2 45 3" xfId="33101"/>
    <cellStyle name="Note 4 2 46" xfId="5028"/>
    <cellStyle name="Note 4 2 46 2" xfId="19689"/>
    <cellStyle name="Note 4 2 46 2 2" xfId="46697"/>
    <cellStyle name="Note 4 2 46 3" xfId="33193"/>
    <cellStyle name="Note 4 2 47" xfId="5134"/>
    <cellStyle name="Note 4 2 47 2" xfId="19781"/>
    <cellStyle name="Note 4 2 47 2 2" xfId="46789"/>
    <cellStyle name="Note 4 2 47 3" xfId="33285"/>
    <cellStyle name="Note 4 2 48" xfId="5240"/>
    <cellStyle name="Note 4 2 48 2" xfId="19873"/>
    <cellStyle name="Note 4 2 48 2 2" xfId="46881"/>
    <cellStyle name="Note 4 2 48 3" xfId="33377"/>
    <cellStyle name="Note 4 2 49" xfId="5346"/>
    <cellStyle name="Note 4 2 49 2" xfId="19965"/>
    <cellStyle name="Note 4 2 49 2 2" xfId="46973"/>
    <cellStyle name="Note 4 2 49 3" xfId="33469"/>
    <cellStyle name="Note 4 2 5" xfId="682"/>
    <cellStyle name="Note 4 2 5 2" xfId="15917"/>
    <cellStyle name="Note 4 2 5 2 2" xfId="42925"/>
    <cellStyle name="Note 4 2 5 3" xfId="29421"/>
    <cellStyle name="Note 4 2 50" xfId="5452"/>
    <cellStyle name="Note 4 2 50 2" xfId="20057"/>
    <cellStyle name="Note 4 2 50 2 2" xfId="47065"/>
    <cellStyle name="Note 4 2 50 3" xfId="33561"/>
    <cellStyle name="Note 4 2 51" xfId="5558"/>
    <cellStyle name="Note 4 2 51 2" xfId="20149"/>
    <cellStyle name="Note 4 2 51 2 2" xfId="47157"/>
    <cellStyle name="Note 4 2 51 3" xfId="33653"/>
    <cellStyle name="Note 4 2 52" xfId="5664"/>
    <cellStyle name="Note 4 2 52 2" xfId="20241"/>
    <cellStyle name="Note 4 2 52 2 2" xfId="47249"/>
    <cellStyle name="Note 4 2 52 3" xfId="33745"/>
    <cellStyle name="Note 4 2 53" xfId="5770"/>
    <cellStyle name="Note 4 2 53 2" xfId="20333"/>
    <cellStyle name="Note 4 2 53 2 2" xfId="47341"/>
    <cellStyle name="Note 4 2 53 3" xfId="33837"/>
    <cellStyle name="Note 4 2 54" xfId="5876"/>
    <cellStyle name="Note 4 2 54 2" xfId="20425"/>
    <cellStyle name="Note 4 2 54 2 2" xfId="47433"/>
    <cellStyle name="Note 4 2 54 3" xfId="33929"/>
    <cellStyle name="Note 4 2 55" xfId="5982"/>
    <cellStyle name="Note 4 2 55 2" xfId="20517"/>
    <cellStyle name="Note 4 2 55 2 2" xfId="47525"/>
    <cellStyle name="Note 4 2 55 3" xfId="34021"/>
    <cellStyle name="Note 4 2 56" xfId="6088"/>
    <cellStyle name="Note 4 2 56 2" xfId="20609"/>
    <cellStyle name="Note 4 2 56 2 2" xfId="47617"/>
    <cellStyle name="Note 4 2 56 3" xfId="34113"/>
    <cellStyle name="Note 4 2 57" xfId="6194"/>
    <cellStyle name="Note 4 2 57 2" xfId="20701"/>
    <cellStyle name="Note 4 2 57 2 2" xfId="47709"/>
    <cellStyle name="Note 4 2 57 3" xfId="34205"/>
    <cellStyle name="Note 4 2 58" xfId="6300"/>
    <cellStyle name="Note 4 2 58 2" xfId="20793"/>
    <cellStyle name="Note 4 2 58 2 2" xfId="47801"/>
    <cellStyle name="Note 4 2 58 3" xfId="34297"/>
    <cellStyle name="Note 4 2 59" xfId="6406"/>
    <cellStyle name="Note 4 2 59 2" xfId="20885"/>
    <cellStyle name="Note 4 2 59 2 2" xfId="47893"/>
    <cellStyle name="Note 4 2 59 3" xfId="34389"/>
    <cellStyle name="Note 4 2 6" xfId="788"/>
    <cellStyle name="Note 4 2 6 2" xfId="16009"/>
    <cellStyle name="Note 4 2 6 2 2" xfId="43017"/>
    <cellStyle name="Note 4 2 6 3" xfId="29513"/>
    <cellStyle name="Note 4 2 60" xfId="6512"/>
    <cellStyle name="Note 4 2 60 2" xfId="20977"/>
    <cellStyle name="Note 4 2 60 2 2" xfId="47985"/>
    <cellStyle name="Note 4 2 60 3" xfId="34481"/>
    <cellStyle name="Note 4 2 61" xfId="6617"/>
    <cellStyle name="Note 4 2 61 2" xfId="21068"/>
    <cellStyle name="Note 4 2 61 2 2" xfId="48076"/>
    <cellStyle name="Note 4 2 61 3" xfId="34572"/>
    <cellStyle name="Note 4 2 62" xfId="6722"/>
    <cellStyle name="Note 4 2 62 2" xfId="21159"/>
    <cellStyle name="Note 4 2 62 2 2" xfId="48167"/>
    <cellStyle name="Note 4 2 62 3" xfId="34663"/>
    <cellStyle name="Note 4 2 63" xfId="6827"/>
    <cellStyle name="Note 4 2 63 2" xfId="21250"/>
    <cellStyle name="Note 4 2 63 2 2" xfId="48258"/>
    <cellStyle name="Note 4 2 63 3" xfId="34754"/>
    <cellStyle name="Note 4 2 64" xfId="6932"/>
    <cellStyle name="Note 4 2 64 2" xfId="21341"/>
    <cellStyle name="Note 4 2 64 2 2" xfId="48349"/>
    <cellStyle name="Note 4 2 64 3" xfId="34845"/>
    <cellStyle name="Note 4 2 65" xfId="7037"/>
    <cellStyle name="Note 4 2 65 2" xfId="21432"/>
    <cellStyle name="Note 4 2 65 2 2" xfId="48440"/>
    <cellStyle name="Note 4 2 65 3" xfId="34936"/>
    <cellStyle name="Note 4 2 66" xfId="7141"/>
    <cellStyle name="Note 4 2 66 2" xfId="21522"/>
    <cellStyle name="Note 4 2 66 2 2" xfId="48530"/>
    <cellStyle name="Note 4 2 66 3" xfId="35026"/>
    <cellStyle name="Note 4 2 67" xfId="7244"/>
    <cellStyle name="Note 4 2 67 2" xfId="21611"/>
    <cellStyle name="Note 4 2 67 2 2" xfId="48619"/>
    <cellStyle name="Note 4 2 67 3" xfId="35115"/>
    <cellStyle name="Note 4 2 68" xfId="7344"/>
    <cellStyle name="Note 4 2 68 2" xfId="21698"/>
    <cellStyle name="Note 4 2 68 2 2" xfId="48706"/>
    <cellStyle name="Note 4 2 68 3" xfId="35202"/>
    <cellStyle name="Note 4 2 69" xfId="7443"/>
    <cellStyle name="Note 4 2 69 2" xfId="21784"/>
    <cellStyle name="Note 4 2 69 2 2" xfId="48792"/>
    <cellStyle name="Note 4 2 69 3" xfId="35288"/>
    <cellStyle name="Note 4 2 7" xfId="894"/>
    <cellStyle name="Note 4 2 7 2" xfId="16101"/>
    <cellStyle name="Note 4 2 7 2 2" xfId="43109"/>
    <cellStyle name="Note 4 2 7 3" xfId="29605"/>
    <cellStyle name="Note 4 2 70" xfId="7537"/>
    <cellStyle name="Note 4 2 70 2" xfId="21866"/>
    <cellStyle name="Note 4 2 70 2 2" xfId="48874"/>
    <cellStyle name="Note 4 2 70 3" xfId="35370"/>
    <cellStyle name="Note 4 2 71" xfId="7623"/>
    <cellStyle name="Note 4 2 71 2" xfId="21943"/>
    <cellStyle name="Note 4 2 71 2 2" xfId="48951"/>
    <cellStyle name="Note 4 2 71 3" xfId="35447"/>
    <cellStyle name="Note 4 2 72" xfId="7812"/>
    <cellStyle name="Note 4 2 72 2" xfId="22102"/>
    <cellStyle name="Note 4 2 72 2 2" xfId="49110"/>
    <cellStyle name="Note 4 2 72 3" xfId="35606"/>
    <cellStyle name="Note 4 2 73" xfId="7954"/>
    <cellStyle name="Note 4 2 73 2" xfId="22230"/>
    <cellStyle name="Note 4 2 73 2 2" xfId="49238"/>
    <cellStyle name="Note 4 2 73 3" xfId="35734"/>
    <cellStyle name="Note 4 2 74" xfId="8096"/>
    <cellStyle name="Note 4 2 74 2" xfId="22358"/>
    <cellStyle name="Note 4 2 74 2 2" xfId="49366"/>
    <cellStyle name="Note 4 2 74 3" xfId="35862"/>
    <cellStyle name="Note 4 2 75" xfId="8238"/>
    <cellStyle name="Note 4 2 75 2" xfId="22486"/>
    <cellStyle name="Note 4 2 75 2 2" xfId="49494"/>
    <cellStyle name="Note 4 2 75 3" xfId="35990"/>
    <cellStyle name="Note 4 2 76" xfId="8380"/>
    <cellStyle name="Note 4 2 76 2" xfId="22614"/>
    <cellStyle name="Note 4 2 76 2 2" xfId="49622"/>
    <cellStyle name="Note 4 2 76 3" xfId="36118"/>
    <cellStyle name="Note 4 2 77" xfId="8522"/>
    <cellStyle name="Note 4 2 77 2" xfId="22742"/>
    <cellStyle name="Note 4 2 77 2 2" xfId="49750"/>
    <cellStyle name="Note 4 2 77 3" xfId="36246"/>
    <cellStyle name="Note 4 2 78" xfId="8664"/>
    <cellStyle name="Note 4 2 78 2" xfId="22870"/>
    <cellStyle name="Note 4 2 78 2 2" xfId="49878"/>
    <cellStyle name="Note 4 2 78 3" xfId="36374"/>
    <cellStyle name="Note 4 2 79" xfId="8806"/>
    <cellStyle name="Note 4 2 79 2" xfId="22998"/>
    <cellStyle name="Note 4 2 79 2 2" xfId="50006"/>
    <cellStyle name="Note 4 2 79 3" xfId="36502"/>
    <cellStyle name="Note 4 2 8" xfId="1000"/>
    <cellStyle name="Note 4 2 8 2" xfId="16193"/>
    <cellStyle name="Note 4 2 8 2 2" xfId="43201"/>
    <cellStyle name="Note 4 2 8 3" xfId="29697"/>
    <cellStyle name="Note 4 2 80" xfId="8948"/>
    <cellStyle name="Note 4 2 80 2" xfId="23126"/>
    <cellStyle name="Note 4 2 80 2 2" xfId="50134"/>
    <cellStyle name="Note 4 2 80 3" xfId="36630"/>
    <cellStyle name="Note 4 2 81" xfId="9090"/>
    <cellStyle name="Note 4 2 81 2" xfId="23254"/>
    <cellStyle name="Note 4 2 81 2 2" xfId="50262"/>
    <cellStyle name="Note 4 2 81 3" xfId="36758"/>
    <cellStyle name="Note 4 2 82" xfId="9232"/>
    <cellStyle name="Note 4 2 82 2" xfId="23382"/>
    <cellStyle name="Note 4 2 82 2 2" xfId="50390"/>
    <cellStyle name="Note 4 2 82 3" xfId="36886"/>
    <cellStyle name="Note 4 2 83" xfId="9374"/>
    <cellStyle name="Note 4 2 83 2" xfId="23510"/>
    <cellStyle name="Note 4 2 83 2 2" xfId="50518"/>
    <cellStyle name="Note 4 2 83 3" xfId="37014"/>
    <cellStyle name="Note 4 2 84" xfId="9516"/>
    <cellStyle name="Note 4 2 84 2" xfId="23638"/>
    <cellStyle name="Note 4 2 84 2 2" xfId="50646"/>
    <cellStyle name="Note 4 2 84 3" xfId="37142"/>
    <cellStyle name="Note 4 2 85" xfId="9658"/>
    <cellStyle name="Note 4 2 85 2" xfId="23766"/>
    <cellStyle name="Note 4 2 85 2 2" xfId="50774"/>
    <cellStyle name="Note 4 2 85 3" xfId="37270"/>
    <cellStyle name="Note 4 2 86" xfId="9800"/>
    <cellStyle name="Note 4 2 86 2" xfId="23894"/>
    <cellStyle name="Note 4 2 86 2 2" xfId="50902"/>
    <cellStyle name="Note 4 2 86 3" xfId="37398"/>
    <cellStyle name="Note 4 2 87" xfId="9942"/>
    <cellStyle name="Note 4 2 87 2" xfId="24022"/>
    <cellStyle name="Note 4 2 87 2 2" xfId="51030"/>
    <cellStyle name="Note 4 2 87 3" xfId="37526"/>
    <cellStyle name="Note 4 2 88" xfId="10084"/>
    <cellStyle name="Note 4 2 88 2" xfId="24150"/>
    <cellStyle name="Note 4 2 88 2 2" xfId="51158"/>
    <cellStyle name="Note 4 2 88 3" xfId="37654"/>
    <cellStyle name="Note 4 2 89" xfId="10226"/>
    <cellStyle name="Note 4 2 89 2" xfId="24278"/>
    <cellStyle name="Note 4 2 89 2 2" xfId="51286"/>
    <cellStyle name="Note 4 2 89 3" xfId="37782"/>
    <cellStyle name="Note 4 2 9" xfId="1106"/>
    <cellStyle name="Note 4 2 9 2" xfId="16285"/>
    <cellStyle name="Note 4 2 9 2 2" xfId="43293"/>
    <cellStyle name="Note 4 2 9 3" xfId="29789"/>
    <cellStyle name="Note 4 2 90" xfId="10368"/>
    <cellStyle name="Note 4 2 90 2" xfId="24406"/>
    <cellStyle name="Note 4 2 90 2 2" xfId="51414"/>
    <cellStyle name="Note 4 2 90 3" xfId="37910"/>
    <cellStyle name="Note 4 2 91" xfId="10510"/>
    <cellStyle name="Note 4 2 91 2" xfId="24534"/>
    <cellStyle name="Note 4 2 91 2 2" xfId="51542"/>
    <cellStyle name="Note 4 2 91 3" xfId="38038"/>
    <cellStyle name="Note 4 2 92" xfId="10652"/>
    <cellStyle name="Note 4 2 92 2" xfId="24662"/>
    <cellStyle name="Note 4 2 92 2 2" xfId="51670"/>
    <cellStyle name="Note 4 2 92 3" xfId="38166"/>
    <cellStyle name="Note 4 2 93" xfId="10794"/>
    <cellStyle name="Note 4 2 93 2" xfId="24790"/>
    <cellStyle name="Note 4 2 93 2 2" xfId="51798"/>
    <cellStyle name="Note 4 2 93 3" xfId="38294"/>
    <cellStyle name="Note 4 2 94" xfId="10936"/>
    <cellStyle name="Note 4 2 94 2" xfId="24918"/>
    <cellStyle name="Note 4 2 94 2 2" xfId="51926"/>
    <cellStyle name="Note 4 2 94 3" xfId="38422"/>
    <cellStyle name="Note 4 2 95" xfId="11078"/>
    <cellStyle name="Note 4 2 95 2" xfId="25046"/>
    <cellStyle name="Note 4 2 95 2 2" xfId="52054"/>
    <cellStyle name="Note 4 2 95 3" xfId="38550"/>
    <cellStyle name="Note 4 2 96" xfId="11220"/>
    <cellStyle name="Note 4 2 96 2" xfId="25174"/>
    <cellStyle name="Note 4 2 96 2 2" xfId="52182"/>
    <cellStyle name="Note 4 2 96 3" xfId="38678"/>
    <cellStyle name="Note 4 2 97" xfId="11362"/>
    <cellStyle name="Note 4 2 97 2" xfId="25302"/>
    <cellStyle name="Note 4 2 97 2 2" xfId="52310"/>
    <cellStyle name="Note 4 2 97 3" xfId="38806"/>
    <cellStyle name="Note 4 2 98" xfId="11504"/>
    <cellStyle name="Note 4 2 98 2" xfId="25430"/>
    <cellStyle name="Note 4 2 98 2 2" xfId="52438"/>
    <cellStyle name="Note 4 2 98 3" xfId="38934"/>
    <cellStyle name="Note 4 2 99" xfId="11646"/>
    <cellStyle name="Note 4 2 99 2" xfId="25558"/>
    <cellStyle name="Note 4 2 99 2 2" xfId="52566"/>
    <cellStyle name="Note 4 2 99 3" xfId="39062"/>
    <cellStyle name="Note 4 20" xfId="1836"/>
    <cellStyle name="Note 4 20 2" xfId="16922"/>
    <cellStyle name="Note 4 20 2 2" xfId="43930"/>
    <cellStyle name="Note 4 20 3" xfId="30426"/>
    <cellStyle name="Note 4 21" xfId="1942"/>
    <cellStyle name="Note 4 21 2" xfId="17014"/>
    <cellStyle name="Note 4 21 2 2" xfId="44022"/>
    <cellStyle name="Note 4 21 3" xfId="30518"/>
    <cellStyle name="Note 4 22" xfId="2048"/>
    <cellStyle name="Note 4 22 2" xfId="17106"/>
    <cellStyle name="Note 4 22 2 2" xfId="44114"/>
    <cellStyle name="Note 4 22 3" xfId="30610"/>
    <cellStyle name="Note 4 23" xfId="2154"/>
    <cellStyle name="Note 4 23 2" xfId="17198"/>
    <cellStyle name="Note 4 23 2 2" xfId="44206"/>
    <cellStyle name="Note 4 23 3" xfId="30702"/>
    <cellStyle name="Note 4 24" xfId="2260"/>
    <cellStyle name="Note 4 24 2" xfId="17290"/>
    <cellStyle name="Note 4 24 2 2" xfId="44298"/>
    <cellStyle name="Note 4 24 3" xfId="30794"/>
    <cellStyle name="Note 4 25" xfId="2366"/>
    <cellStyle name="Note 4 25 2" xfId="17382"/>
    <cellStyle name="Note 4 25 2 2" xfId="44390"/>
    <cellStyle name="Note 4 25 3" xfId="30886"/>
    <cellStyle name="Note 4 26" xfId="2472"/>
    <cellStyle name="Note 4 26 2" xfId="17474"/>
    <cellStyle name="Note 4 26 2 2" xfId="44482"/>
    <cellStyle name="Note 4 26 3" xfId="30978"/>
    <cellStyle name="Note 4 27" xfId="2578"/>
    <cellStyle name="Note 4 27 2" xfId="17566"/>
    <cellStyle name="Note 4 27 2 2" xfId="44574"/>
    <cellStyle name="Note 4 27 3" xfId="31070"/>
    <cellStyle name="Note 4 28" xfId="2684"/>
    <cellStyle name="Note 4 28 2" xfId="17658"/>
    <cellStyle name="Note 4 28 2 2" xfId="44666"/>
    <cellStyle name="Note 4 28 3" xfId="31162"/>
    <cellStyle name="Note 4 29" xfId="2790"/>
    <cellStyle name="Note 4 29 2" xfId="17750"/>
    <cellStyle name="Note 4 29 2 2" xfId="44758"/>
    <cellStyle name="Note 4 29 3" xfId="31254"/>
    <cellStyle name="Note 4 3" xfId="145"/>
    <cellStyle name="Note 4 3 10" xfId="1250"/>
    <cellStyle name="Note 4 3 10 2" xfId="16408"/>
    <cellStyle name="Note 4 3 10 2 2" xfId="43416"/>
    <cellStyle name="Note 4 3 10 3" xfId="29912"/>
    <cellStyle name="Note 4 3 100" xfId="11799"/>
    <cellStyle name="Note 4 3 100 2" xfId="25697"/>
    <cellStyle name="Note 4 3 100 2 2" xfId="52705"/>
    <cellStyle name="Note 4 3 100 3" xfId="39201"/>
    <cellStyle name="Note 4 3 101" xfId="11941"/>
    <cellStyle name="Note 4 3 101 2" xfId="25825"/>
    <cellStyle name="Note 4 3 101 2 2" xfId="52833"/>
    <cellStyle name="Note 4 3 101 3" xfId="39329"/>
    <cellStyle name="Note 4 3 102" xfId="12083"/>
    <cellStyle name="Note 4 3 102 2" xfId="25953"/>
    <cellStyle name="Note 4 3 102 2 2" xfId="52961"/>
    <cellStyle name="Note 4 3 102 3" xfId="39457"/>
    <cellStyle name="Note 4 3 103" xfId="12225"/>
    <cellStyle name="Note 4 3 103 2" xfId="26081"/>
    <cellStyle name="Note 4 3 103 2 2" xfId="53089"/>
    <cellStyle name="Note 4 3 103 3" xfId="39585"/>
    <cellStyle name="Note 4 3 104" xfId="12367"/>
    <cellStyle name="Note 4 3 104 2" xfId="26209"/>
    <cellStyle name="Note 4 3 104 2 2" xfId="53217"/>
    <cellStyle name="Note 4 3 104 3" xfId="39713"/>
    <cellStyle name="Note 4 3 105" xfId="12509"/>
    <cellStyle name="Note 4 3 105 2" xfId="26337"/>
    <cellStyle name="Note 4 3 105 2 2" xfId="53345"/>
    <cellStyle name="Note 4 3 105 3" xfId="39841"/>
    <cellStyle name="Note 4 3 106" xfId="12651"/>
    <cellStyle name="Note 4 3 106 2" xfId="26465"/>
    <cellStyle name="Note 4 3 106 2 2" xfId="53473"/>
    <cellStyle name="Note 4 3 106 3" xfId="39969"/>
    <cellStyle name="Note 4 3 107" xfId="12793"/>
    <cellStyle name="Note 4 3 107 2" xfId="26593"/>
    <cellStyle name="Note 4 3 107 2 2" xfId="53601"/>
    <cellStyle name="Note 4 3 107 3" xfId="40097"/>
    <cellStyle name="Note 4 3 108" xfId="12935"/>
    <cellStyle name="Note 4 3 108 2" xfId="26721"/>
    <cellStyle name="Note 4 3 108 2 2" xfId="53729"/>
    <cellStyle name="Note 4 3 108 3" xfId="40225"/>
    <cellStyle name="Note 4 3 109" xfId="13077"/>
    <cellStyle name="Note 4 3 109 2" xfId="26849"/>
    <cellStyle name="Note 4 3 109 2 2" xfId="53857"/>
    <cellStyle name="Note 4 3 109 3" xfId="40353"/>
    <cellStyle name="Note 4 3 11" xfId="1356"/>
    <cellStyle name="Note 4 3 11 2" xfId="16500"/>
    <cellStyle name="Note 4 3 11 2 2" xfId="43508"/>
    <cellStyle name="Note 4 3 11 3" xfId="30004"/>
    <cellStyle name="Note 4 3 110" xfId="13219"/>
    <cellStyle name="Note 4 3 110 2" xfId="26977"/>
    <cellStyle name="Note 4 3 110 2 2" xfId="53985"/>
    <cellStyle name="Note 4 3 110 3" xfId="40481"/>
    <cellStyle name="Note 4 3 111" xfId="13361"/>
    <cellStyle name="Note 4 3 111 2" xfId="27105"/>
    <cellStyle name="Note 4 3 111 2 2" xfId="54113"/>
    <cellStyle name="Note 4 3 111 3" xfId="40609"/>
    <cellStyle name="Note 4 3 112" xfId="13503"/>
    <cellStyle name="Note 4 3 112 2" xfId="27233"/>
    <cellStyle name="Note 4 3 112 2 2" xfId="54241"/>
    <cellStyle name="Note 4 3 112 3" xfId="40737"/>
    <cellStyle name="Note 4 3 113" xfId="13645"/>
    <cellStyle name="Note 4 3 113 2" xfId="27361"/>
    <cellStyle name="Note 4 3 113 2 2" xfId="54369"/>
    <cellStyle name="Note 4 3 113 3" xfId="40865"/>
    <cellStyle name="Note 4 3 114" xfId="13787"/>
    <cellStyle name="Note 4 3 114 2" xfId="27489"/>
    <cellStyle name="Note 4 3 114 2 2" xfId="54497"/>
    <cellStyle name="Note 4 3 114 3" xfId="40993"/>
    <cellStyle name="Note 4 3 115" xfId="13928"/>
    <cellStyle name="Note 4 3 115 2" xfId="27616"/>
    <cellStyle name="Note 4 3 115 2 2" xfId="54624"/>
    <cellStyle name="Note 4 3 115 3" xfId="41120"/>
    <cellStyle name="Note 4 3 116" xfId="14069"/>
    <cellStyle name="Note 4 3 116 2" xfId="27743"/>
    <cellStyle name="Note 4 3 116 2 2" xfId="54751"/>
    <cellStyle name="Note 4 3 116 3" xfId="41247"/>
    <cellStyle name="Note 4 3 117" xfId="14210"/>
    <cellStyle name="Note 4 3 117 2" xfId="27870"/>
    <cellStyle name="Note 4 3 117 2 2" xfId="54878"/>
    <cellStyle name="Note 4 3 117 3" xfId="41374"/>
    <cellStyle name="Note 4 3 118" xfId="14351"/>
    <cellStyle name="Note 4 3 118 2" xfId="27997"/>
    <cellStyle name="Note 4 3 118 2 2" xfId="55005"/>
    <cellStyle name="Note 4 3 118 3" xfId="41501"/>
    <cellStyle name="Note 4 3 119" xfId="14491"/>
    <cellStyle name="Note 4 3 119 2" xfId="28123"/>
    <cellStyle name="Note 4 3 119 2 2" xfId="55131"/>
    <cellStyle name="Note 4 3 119 3" xfId="41627"/>
    <cellStyle name="Note 4 3 12" xfId="1462"/>
    <cellStyle name="Note 4 3 12 2" xfId="16592"/>
    <cellStyle name="Note 4 3 12 2 2" xfId="43600"/>
    <cellStyle name="Note 4 3 12 3" xfId="30096"/>
    <cellStyle name="Note 4 3 120" xfId="14631"/>
    <cellStyle name="Note 4 3 120 2" xfId="28249"/>
    <cellStyle name="Note 4 3 120 2 2" xfId="55257"/>
    <cellStyle name="Note 4 3 120 3" xfId="41753"/>
    <cellStyle name="Note 4 3 121" xfId="14770"/>
    <cellStyle name="Note 4 3 121 2" xfId="28374"/>
    <cellStyle name="Note 4 3 121 2 2" xfId="55382"/>
    <cellStyle name="Note 4 3 121 3" xfId="41878"/>
    <cellStyle name="Note 4 3 122" xfId="14905"/>
    <cellStyle name="Note 4 3 122 2" xfId="28496"/>
    <cellStyle name="Note 4 3 122 2 2" xfId="55504"/>
    <cellStyle name="Note 4 3 122 3" xfId="42000"/>
    <cellStyle name="Note 4 3 123" xfId="15039"/>
    <cellStyle name="Note 4 3 123 2" xfId="28617"/>
    <cellStyle name="Note 4 3 123 2 2" xfId="55625"/>
    <cellStyle name="Note 4 3 123 3" xfId="42121"/>
    <cellStyle name="Note 4 3 124" xfId="15166"/>
    <cellStyle name="Note 4 3 124 2" xfId="28733"/>
    <cellStyle name="Note 4 3 124 2 2" xfId="55741"/>
    <cellStyle name="Note 4 3 124 3" xfId="42237"/>
    <cellStyle name="Note 4 3 125" xfId="15286"/>
    <cellStyle name="Note 4 3 125 2" xfId="28846"/>
    <cellStyle name="Note 4 3 125 2 2" xfId="55854"/>
    <cellStyle name="Note 4 3 125 3" xfId="42350"/>
    <cellStyle name="Note 4 3 126" xfId="15501"/>
    <cellStyle name="Note 4 3 126 2" xfId="42509"/>
    <cellStyle name="Note 4 3 127" xfId="29005"/>
    <cellStyle name="Note 4 3 13" xfId="1568"/>
    <cellStyle name="Note 4 3 13 2" xfId="16684"/>
    <cellStyle name="Note 4 3 13 2 2" xfId="43692"/>
    <cellStyle name="Note 4 3 13 3" xfId="30188"/>
    <cellStyle name="Note 4 3 14" xfId="1674"/>
    <cellStyle name="Note 4 3 14 2" xfId="16776"/>
    <cellStyle name="Note 4 3 14 2 2" xfId="43784"/>
    <cellStyle name="Note 4 3 14 3" xfId="30280"/>
    <cellStyle name="Note 4 3 15" xfId="1780"/>
    <cellStyle name="Note 4 3 15 2" xfId="16868"/>
    <cellStyle name="Note 4 3 15 2 2" xfId="43876"/>
    <cellStyle name="Note 4 3 15 3" xfId="30372"/>
    <cellStyle name="Note 4 3 16" xfId="1886"/>
    <cellStyle name="Note 4 3 16 2" xfId="16960"/>
    <cellStyle name="Note 4 3 16 2 2" xfId="43968"/>
    <cellStyle name="Note 4 3 16 3" xfId="30464"/>
    <cellStyle name="Note 4 3 17" xfId="1992"/>
    <cellStyle name="Note 4 3 17 2" xfId="17052"/>
    <cellStyle name="Note 4 3 17 2 2" xfId="44060"/>
    <cellStyle name="Note 4 3 17 3" xfId="30556"/>
    <cellStyle name="Note 4 3 18" xfId="2098"/>
    <cellStyle name="Note 4 3 18 2" xfId="17144"/>
    <cellStyle name="Note 4 3 18 2 2" xfId="44152"/>
    <cellStyle name="Note 4 3 18 3" xfId="30648"/>
    <cellStyle name="Note 4 3 19" xfId="2204"/>
    <cellStyle name="Note 4 3 19 2" xfId="17236"/>
    <cellStyle name="Note 4 3 19 2 2" xfId="44244"/>
    <cellStyle name="Note 4 3 19 3" xfId="30740"/>
    <cellStyle name="Note 4 3 2" xfId="322"/>
    <cellStyle name="Note 4 3 2 2" xfId="15624"/>
    <cellStyle name="Note 4 3 2 2 2" xfId="42632"/>
    <cellStyle name="Note 4 3 2 3" xfId="29128"/>
    <cellStyle name="Note 4 3 20" xfId="2310"/>
    <cellStyle name="Note 4 3 20 2" xfId="17328"/>
    <cellStyle name="Note 4 3 20 2 2" xfId="44336"/>
    <cellStyle name="Note 4 3 20 3" xfId="30832"/>
    <cellStyle name="Note 4 3 21" xfId="2416"/>
    <cellStyle name="Note 4 3 21 2" xfId="17420"/>
    <cellStyle name="Note 4 3 21 2 2" xfId="44428"/>
    <cellStyle name="Note 4 3 21 3" xfId="30924"/>
    <cellStyle name="Note 4 3 22" xfId="2522"/>
    <cellStyle name="Note 4 3 22 2" xfId="17512"/>
    <cellStyle name="Note 4 3 22 2 2" xfId="44520"/>
    <cellStyle name="Note 4 3 22 3" xfId="31016"/>
    <cellStyle name="Note 4 3 23" xfId="2628"/>
    <cellStyle name="Note 4 3 23 2" xfId="17604"/>
    <cellStyle name="Note 4 3 23 2 2" xfId="44612"/>
    <cellStyle name="Note 4 3 23 3" xfId="31108"/>
    <cellStyle name="Note 4 3 24" xfId="2734"/>
    <cellStyle name="Note 4 3 24 2" xfId="17696"/>
    <cellStyle name="Note 4 3 24 2 2" xfId="44704"/>
    <cellStyle name="Note 4 3 24 3" xfId="31200"/>
    <cellStyle name="Note 4 3 25" xfId="2840"/>
    <cellStyle name="Note 4 3 25 2" xfId="17788"/>
    <cellStyle name="Note 4 3 25 2 2" xfId="44796"/>
    <cellStyle name="Note 4 3 25 3" xfId="31292"/>
    <cellStyle name="Note 4 3 26" xfId="2946"/>
    <cellStyle name="Note 4 3 26 2" xfId="17880"/>
    <cellStyle name="Note 4 3 26 2 2" xfId="44888"/>
    <cellStyle name="Note 4 3 26 3" xfId="31384"/>
    <cellStyle name="Note 4 3 27" xfId="3052"/>
    <cellStyle name="Note 4 3 27 2" xfId="17972"/>
    <cellStyle name="Note 4 3 27 2 2" xfId="44980"/>
    <cellStyle name="Note 4 3 27 3" xfId="31476"/>
    <cellStyle name="Note 4 3 28" xfId="3158"/>
    <cellStyle name="Note 4 3 28 2" xfId="18064"/>
    <cellStyle name="Note 4 3 28 2 2" xfId="45072"/>
    <cellStyle name="Note 4 3 28 3" xfId="31568"/>
    <cellStyle name="Note 4 3 29" xfId="3264"/>
    <cellStyle name="Note 4 3 29 2" xfId="18156"/>
    <cellStyle name="Note 4 3 29 2 2" xfId="45164"/>
    <cellStyle name="Note 4 3 29 3" xfId="31660"/>
    <cellStyle name="Note 4 3 3" xfId="509"/>
    <cellStyle name="Note 4 3 3 2" xfId="15765"/>
    <cellStyle name="Note 4 3 3 2 2" xfId="42773"/>
    <cellStyle name="Note 4 3 3 3" xfId="29269"/>
    <cellStyle name="Note 4 3 30" xfId="3370"/>
    <cellStyle name="Note 4 3 30 2" xfId="18248"/>
    <cellStyle name="Note 4 3 30 2 2" xfId="45256"/>
    <cellStyle name="Note 4 3 30 3" xfId="31752"/>
    <cellStyle name="Note 4 3 31" xfId="3476"/>
    <cellStyle name="Note 4 3 31 2" xfId="18340"/>
    <cellStyle name="Note 4 3 31 2 2" xfId="45348"/>
    <cellStyle name="Note 4 3 31 3" xfId="31844"/>
    <cellStyle name="Note 4 3 32" xfId="3582"/>
    <cellStyle name="Note 4 3 32 2" xfId="18432"/>
    <cellStyle name="Note 4 3 32 2 2" xfId="45440"/>
    <cellStyle name="Note 4 3 32 3" xfId="31936"/>
    <cellStyle name="Note 4 3 33" xfId="3688"/>
    <cellStyle name="Note 4 3 33 2" xfId="18524"/>
    <cellStyle name="Note 4 3 33 2 2" xfId="45532"/>
    <cellStyle name="Note 4 3 33 3" xfId="32028"/>
    <cellStyle name="Note 4 3 34" xfId="3794"/>
    <cellStyle name="Note 4 3 34 2" xfId="18616"/>
    <cellStyle name="Note 4 3 34 2 2" xfId="45624"/>
    <cellStyle name="Note 4 3 34 3" xfId="32120"/>
    <cellStyle name="Note 4 3 35" xfId="3900"/>
    <cellStyle name="Note 4 3 35 2" xfId="18708"/>
    <cellStyle name="Note 4 3 35 2 2" xfId="45716"/>
    <cellStyle name="Note 4 3 35 3" xfId="32212"/>
    <cellStyle name="Note 4 3 36" xfId="4006"/>
    <cellStyle name="Note 4 3 36 2" xfId="18800"/>
    <cellStyle name="Note 4 3 36 2 2" xfId="45808"/>
    <cellStyle name="Note 4 3 36 3" xfId="32304"/>
    <cellStyle name="Note 4 3 37" xfId="4112"/>
    <cellStyle name="Note 4 3 37 2" xfId="18892"/>
    <cellStyle name="Note 4 3 37 2 2" xfId="45900"/>
    <cellStyle name="Note 4 3 37 3" xfId="32396"/>
    <cellStyle name="Note 4 3 38" xfId="4218"/>
    <cellStyle name="Note 4 3 38 2" xfId="18984"/>
    <cellStyle name="Note 4 3 38 2 2" xfId="45992"/>
    <cellStyle name="Note 4 3 38 3" xfId="32488"/>
    <cellStyle name="Note 4 3 39" xfId="4324"/>
    <cellStyle name="Note 4 3 39 2" xfId="19076"/>
    <cellStyle name="Note 4 3 39 2 2" xfId="46084"/>
    <cellStyle name="Note 4 3 39 3" xfId="32580"/>
    <cellStyle name="Note 4 3 4" xfId="614"/>
    <cellStyle name="Note 4 3 4 2" xfId="15856"/>
    <cellStyle name="Note 4 3 4 2 2" xfId="42864"/>
    <cellStyle name="Note 4 3 4 3" xfId="29360"/>
    <cellStyle name="Note 4 3 40" xfId="4430"/>
    <cellStyle name="Note 4 3 40 2" xfId="19168"/>
    <cellStyle name="Note 4 3 40 2 2" xfId="46176"/>
    <cellStyle name="Note 4 3 40 3" xfId="32672"/>
    <cellStyle name="Note 4 3 41" xfId="4536"/>
    <cellStyle name="Note 4 3 41 2" xfId="19260"/>
    <cellStyle name="Note 4 3 41 2 2" xfId="46268"/>
    <cellStyle name="Note 4 3 41 3" xfId="32764"/>
    <cellStyle name="Note 4 3 42" xfId="4642"/>
    <cellStyle name="Note 4 3 42 2" xfId="19352"/>
    <cellStyle name="Note 4 3 42 2 2" xfId="46360"/>
    <cellStyle name="Note 4 3 42 3" xfId="32856"/>
    <cellStyle name="Note 4 3 43" xfId="4748"/>
    <cellStyle name="Note 4 3 43 2" xfId="19444"/>
    <cellStyle name="Note 4 3 43 2 2" xfId="46452"/>
    <cellStyle name="Note 4 3 43 3" xfId="32948"/>
    <cellStyle name="Note 4 3 44" xfId="4854"/>
    <cellStyle name="Note 4 3 44 2" xfId="19536"/>
    <cellStyle name="Note 4 3 44 2 2" xfId="46544"/>
    <cellStyle name="Note 4 3 44 3" xfId="33040"/>
    <cellStyle name="Note 4 3 45" xfId="4960"/>
    <cellStyle name="Note 4 3 45 2" xfId="19628"/>
    <cellStyle name="Note 4 3 45 2 2" xfId="46636"/>
    <cellStyle name="Note 4 3 45 3" xfId="33132"/>
    <cellStyle name="Note 4 3 46" xfId="5066"/>
    <cellStyle name="Note 4 3 46 2" xfId="19720"/>
    <cellStyle name="Note 4 3 46 2 2" xfId="46728"/>
    <cellStyle name="Note 4 3 46 3" xfId="33224"/>
    <cellStyle name="Note 4 3 47" xfId="5172"/>
    <cellStyle name="Note 4 3 47 2" xfId="19812"/>
    <cellStyle name="Note 4 3 47 2 2" xfId="46820"/>
    <cellStyle name="Note 4 3 47 3" xfId="33316"/>
    <cellStyle name="Note 4 3 48" xfId="5278"/>
    <cellStyle name="Note 4 3 48 2" xfId="19904"/>
    <cellStyle name="Note 4 3 48 2 2" xfId="46912"/>
    <cellStyle name="Note 4 3 48 3" xfId="33408"/>
    <cellStyle name="Note 4 3 49" xfId="5384"/>
    <cellStyle name="Note 4 3 49 2" xfId="19996"/>
    <cellStyle name="Note 4 3 49 2 2" xfId="47004"/>
    <cellStyle name="Note 4 3 49 3" xfId="33500"/>
    <cellStyle name="Note 4 3 5" xfId="720"/>
    <cellStyle name="Note 4 3 5 2" xfId="15948"/>
    <cellStyle name="Note 4 3 5 2 2" xfId="42956"/>
    <cellStyle name="Note 4 3 5 3" xfId="29452"/>
    <cellStyle name="Note 4 3 50" xfId="5490"/>
    <cellStyle name="Note 4 3 50 2" xfId="20088"/>
    <cellStyle name="Note 4 3 50 2 2" xfId="47096"/>
    <cellStyle name="Note 4 3 50 3" xfId="33592"/>
    <cellStyle name="Note 4 3 51" xfId="5596"/>
    <cellStyle name="Note 4 3 51 2" xfId="20180"/>
    <cellStyle name="Note 4 3 51 2 2" xfId="47188"/>
    <cellStyle name="Note 4 3 51 3" xfId="33684"/>
    <cellStyle name="Note 4 3 52" xfId="5702"/>
    <cellStyle name="Note 4 3 52 2" xfId="20272"/>
    <cellStyle name="Note 4 3 52 2 2" xfId="47280"/>
    <cellStyle name="Note 4 3 52 3" xfId="33776"/>
    <cellStyle name="Note 4 3 53" xfId="5808"/>
    <cellStyle name="Note 4 3 53 2" xfId="20364"/>
    <cellStyle name="Note 4 3 53 2 2" xfId="47372"/>
    <cellStyle name="Note 4 3 53 3" xfId="33868"/>
    <cellStyle name="Note 4 3 54" xfId="5914"/>
    <cellStyle name="Note 4 3 54 2" xfId="20456"/>
    <cellStyle name="Note 4 3 54 2 2" xfId="47464"/>
    <cellStyle name="Note 4 3 54 3" xfId="33960"/>
    <cellStyle name="Note 4 3 55" xfId="6020"/>
    <cellStyle name="Note 4 3 55 2" xfId="20548"/>
    <cellStyle name="Note 4 3 55 2 2" xfId="47556"/>
    <cellStyle name="Note 4 3 55 3" xfId="34052"/>
    <cellStyle name="Note 4 3 56" xfId="6126"/>
    <cellStyle name="Note 4 3 56 2" xfId="20640"/>
    <cellStyle name="Note 4 3 56 2 2" xfId="47648"/>
    <cellStyle name="Note 4 3 56 3" xfId="34144"/>
    <cellStyle name="Note 4 3 57" xfId="6232"/>
    <cellStyle name="Note 4 3 57 2" xfId="20732"/>
    <cellStyle name="Note 4 3 57 2 2" xfId="47740"/>
    <cellStyle name="Note 4 3 57 3" xfId="34236"/>
    <cellStyle name="Note 4 3 58" xfId="6338"/>
    <cellStyle name="Note 4 3 58 2" xfId="20824"/>
    <cellStyle name="Note 4 3 58 2 2" xfId="47832"/>
    <cellStyle name="Note 4 3 58 3" xfId="34328"/>
    <cellStyle name="Note 4 3 59" xfId="6444"/>
    <cellStyle name="Note 4 3 59 2" xfId="20916"/>
    <cellStyle name="Note 4 3 59 2 2" xfId="47924"/>
    <cellStyle name="Note 4 3 59 3" xfId="34420"/>
    <cellStyle name="Note 4 3 6" xfId="826"/>
    <cellStyle name="Note 4 3 6 2" xfId="16040"/>
    <cellStyle name="Note 4 3 6 2 2" xfId="43048"/>
    <cellStyle name="Note 4 3 6 3" xfId="29544"/>
    <cellStyle name="Note 4 3 60" xfId="6550"/>
    <cellStyle name="Note 4 3 60 2" xfId="21008"/>
    <cellStyle name="Note 4 3 60 2 2" xfId="48016"/>
    <cellStyle name="Note 4 3 60 3" xfId="34512"/>
    <cellStyle name="Note 4 3 61" xfId="6655"/>
    <cellStyle name="Note 4 3 61 2" xfId="21099"/>
    <cellStyle name="Note 4 3 61 2 2" xfId="48107"/>
    <cellStyle name="Note 4 3 61 3" xfId="34603"/>
    <cellStyle name="Note 4 3 62" xfId="6760"/>
    <cellStyle name="Note 4 3 62 2" xfId="21190"/>
    <cellStyle name="Note 4 3 62 2 2" xfId="48198"/>
    <cellStyle name="Note 4 3 62 3" xfId="34694"/>
    <cellStyle name="Note 4 3 63" xfId="6865"/>
    <cellStyle name="Note 4 3 63 2" xfId="21281"/>
    <cellStyle name="Note 4 3 63 2 2" xfId="48289"/>
    <cellStyle name="Note 4 3 63 3" xfId="34785"/>
    <cellStyle name="Note 4 3 64" xfId="6970"/>
    <cellStyle name="Note 4 3 64 2" xfId="21372"/>
    <cellStyle name="Note 4 3 64 2 2" xfId="48380"/>
    <cellStyle name="Note 4 3 64 3" xfId="34876"/>
    <cellStyle name="Note 4 3 65" xfId="7074"/>
    <cellStyle name="Note 4 3 65 2" xfId="21462"/>
    <cellStyle name="Note 4 3 65 2 2" xfId="48470"/>
    <cellStyle name="Note 4 3 65 3" xfId="34966"/>
    <cellStyle name="Note 4 3 66" xfId="7178"/>
    <cellStyle name="Note 4 3 66 2" xfId="21552"/>
    <cellStyle name="Note 4 3 66 2 2" xfId="48560"/>
    <cellStyle name="Note 4 3 66 3" xfId="35056"/>
    <cellStyle name="Note 4 3 67" xfId="7281"/>
    <cellStyle name="Note 4 3 67 2" xfId="21641"/>
    <cellStyle name="Note 4 3 67 2 2" xfId="48649"/>
    <cellStyle name="Note 4 3 67 3" xfId="35145"/>
    <cellStyle name="Note 4 3 68" xfId="7381"/>
    <cellStyle name="Note 4 3 68 2" xfId="21728"/>
    <cellStyle name="Note 4 3 68 2 2" xfId="48736"/>
    <cellStyle name="Note 4 3 68 3" xfId="35232"/>
    <cellStyle name="Note 4 3 69" xfId="7479"/>
    <cellStyle name="Note 4 3 69 2" xfId="21813"/>
    <cellStyle name="Note 4 3 69 2 2" xfId="48821"/>
    <cellStyle name="Note 4 3 69 3" xfId="35317"/>
    <cellStyle name="Note 4 3 7" xfId="932"/>
    <cellStyle name="Note 4 3 7 2" xfId="16132"/>
    <cellStyle name="Note 4 3 7 2 2" xfId="43140"/>
    <cellStyle name="Note 4 3 7 3" xfId="29636"/>
    <cellStyle name="Note 4 3 70" xfId="7568"/>
    <cellStyle name="Note 4 3 70 2" xfId="21891"/>
    <cellStyle name="Note 4 3 70 2 2" xfId="48899"/>
    <cellStyle name="Note 4 3 70 3" xfId="35395"/>
    <cellStyle name="Note 4 3 71" xfId="7644"/>
    <cellStyle name="Note 4 3 71 2" xfId="21960"/>
    <cellStyle name="Note 4 3 71 2 2" xfId="48968"/>
    <cellStyle name="Note 4 3 71 3" xfId="35464"/>
    <cellStyle name="Note 4 3 72" xfId="7823"/>
    <cellStyle name="Note 4 3 72 2" xfId="22113"/>
    <cellStyle name="Note 4 3 72 2 2" xfId="49121"/>
    <cellStyle name="Note 4 3 72 3" xfId="35617"/>
    <cellStyle name="Note 4 3 73" xfId="7965"/>
    <cellStyle name="Note 4 3 73 2" xfId="22241"/>
    <cellStyle name="Note 4 3 73 2 2" xfId="49249"/>
    <cellStyle name="Note 4 3 73 3" xfId="35745"/>
    <cellStyle name="Note 4 3 74" xfId="8107"/>
    <cellStyle name="Note 4 3 74 2" xfId="22369"/>
    <cellStyle name="Note 4 3 74 2 2" xfId="49377"/>
    <cellStyle name="Note 4 3 74 3" xfId="35873"/>
    <cellStyle name="Note 4 3 75" xfId="8249"/>
    <cellStyle name="Note 4 3 75 2" xfId="22497"/>
    <cellStyle name="Note 4 3 75 2 2" xfId="49505"/>
    <cellStyle name="Note 4 3 75 3" xfId="36001"/>
    <cellStyle name="Note 4 3 76" xfId="8391"/>
    <cellStyle name="Note 4 3 76 2" xfId="22625"/>
    <cellStyle name="Note 4 3 76 2 2" xfId="49633"/>
    <cellStyle name="Note 4 3 76 3" xfId="36129"/>
    <cellStyle name="Note 4 3 77" xfId="8533"/>
    <cellStyle name="Note 4 3 77 2" xfId="22753"/>
    <cellStyle name="Note 4 3 77 2 2" xfId="49761"/>
    <cellStyle name="Note 4 3 77 3" xfId="36257"/>
    <cellStyle name="Note 4 3 78" xfId="8675"/>
    <cellStyle name="Note 4 3 78 2" xfId="22881"/>
    <cellStyle name="Note 4 3 78 2 2" xfId="49889"/>
    <cellStyle name="Note 4 3 78 3" xfId="36385"/>
    <cellStyle name="Note 4 3 79" xfId="8817"/>
    <cellStyle name="Note 4 3 79 2" xfId="23009"/>
    <cellStyle name="Note 4 3 79 2 2" xfId="50017"/>
    <cellStyle name="Note 4 3 79 3" xfId="36513"/>
    <cellStyle name="Note 4 3 8" xfId="1038"/>
    <cellStyle name="Note 4 3 8 2" xfId="16224"/>
    <cellStyle name="Note 4 3 8 2 2" xfId="43232"/>
    <cellStyle name="Note 4 3 8 3" xfId="29728"/>
    <cellStyle name="Note 4 3 80" xfId="8959"/>
    <cellStyle name="Note 4 3 80 2" xfId="23137"/>
    <cellStyle name="Note 4 3 80 2 2" xfId="50145"/>
    <cellStyle name="Note 4 3 80 3" xfId="36641"/>
    <cellStyle name="Note 4 3 81" xfId="9101"/>
    <cellStyle name="Note 4 3 81 2" xfId="23265"/>
    <cellStyle name="Note 4 3 81 2 2" xfId="50273"/>
    <cellStyle name="Note 4 3 81 3" xfId="36769"/>
    <cellStyle name="Note 4 3 82" xfId="9243"/>
    <cellStyle name="Note 4 3 82 2" xfId="23393"/>
    <cellStyle name="Note 4 3 82 2 2" xfId="50401"/>
    <cellStyle name="Note 4 3 82 3" xfId="36897"/>
    <cellStyle name="Note 4 3 83" xfId="9385"/>
    <cellStyle name="Note 4 3 83 2" xfId="23521"/>
    <cellStyle name="Note 4 3 83 2 2" xfId="50529"/>
    <cellStyle name="Note 4 3 83 3" xfId="37025"/>
    <cellStyle name="Note 4 3 84" xfId="9527"/>
    <cellStyle name="Note 4 3 84 2" xfId="23649"/>
    <cellStyle name="Note 4 3 84 2 2" xfId="50657"/>
    <cellStyle name="Note 4 3 84 3" xfId="37153"/>
    <cellStyle name="Note 4 3 85" xfId="9669"/>
    <cellStyle name="Note 4 3 85 2" xfId="23777"/>
    <cellStyle name="Note 4 3 85 2 2" xfId="50785"/>
    <cellStyle name="Note 4 3 85 3" xfId="37281"/>
    <cellStyle name="Note 4 3 86" xfId="9811"/>
    <cellStyle name="Note 4 3 86 2" xfId="23905"/>
    <cellStyle name="Note 4 3 86 2 2" xfId="50913"/>
    <cellStyle name="Note 4 3 86 3" xfId="37409"/>
    <cellStyle name="Note 4 3 87" xfId="9953"/>
    <cellStyle name="Note 4 3 87 2" xfId="24033"/>
    <cellStyle name="Note 4 3 87 2 2" xfId="51041"/>
    <cellStyle name="Note 4 3 87 3" xfId="37537"/>
    <cellStyle name="Note 4 3 88" xfId="10095"/>
    <cellStyle name="Note 4 3 88 2" xfId="24161"/>
    <cellStyle name="Note 4 3 88 2 2" xfId="51169"/>
    <cellStyle name="Note 4 3 88 3" xfId="37665"/>
    <cellStyle name="Note 4 3 89" xfId="10237"/>
    <cellStyle name="Note 4 3 89 2" xfId="24289"/>
    <cellStyle name="Note 4 3 89 2 2" xfId="51297"/>
    <cellStyle name="Note 4 3 89 3" xfId="37793"/>
    <cellStyle name="Note 4 3 9" xfId="1144"/>
    <cellStyle name="Note 4 3 9 2" xfId="16316"/>
    <cellStyle name="Note 4 3 9 2 2" xfId="43324"/>
    <cellStyle name="Note 4 3 9 3" xfId="29820"/>
    <cellStyle name="Note 4 3 90" xfId="10379"/>
    <cellStyle name="Note 4 3 90 2" xfId="24417"/>
    <cellStyle name="Note 4 3 90 2 2" xfId="51425"/>
    <cellStyle name="Note 4 3 90 3" xfId="37921"/>
    <cellStyle name="Note 4 3 91" xfId="10521"/>
    <cellStyle name="Note 4 3 91 2" xfId="24545"/>
    <cellStyle name="Note 4 3 91 2 2" xfId="51553"/>
    <cellStyle name="Note 4 3 91 3" xfId="38049"/>
    <cellStyle name="Note 4 3 92" xfId="10663"/>
    <cellStyle name="Note 4 3 92 2" xfId="24673"/>
    <cellStyle name="Note 4 3 92 2 2" xfId="51681"/>
    <cellStyle name="Note 4 3 92 3" xfId="38177"/>
    <cellStyle name="Note 4 3 93" xfId="10805"/>
    <cellStyle name="Note 4 3 93 2" xfId="24801"/>
    <cellStyle name="Note 4 3 93 2 2" xfId="51809"/>
    <cellStyle name="Note 4 3 93 3" xfId="38305"/>
    <cellStyle name="Note 4 3 94" xfId="10947"/>
    <cellStyle name="Note 4 3 94 2" xfId="24929"/>
    <cellStyle name="Note 4 3 94 2 2" xfId="51937"/>
    <cellStyle name="Note 4 3 94 3" xfId="38433"/>
    <cellStyle name="Note 4 3 95" xfId="11089"/>
    <cellStyle name="Note 4 3 95 2" xfId="25057"/>
    <cellStyle name="Note 4 3 95 2 2" xfId="52065"/>
    <cellStyle name="Note 4 3 95 3" xfId="38561"/>
    <cellStyle name="Note 4 3 96" xfId="11231"/>
    <cellStyle name="Note 4 3 96 2" xfId="25185"/>
    <cellStyle name="Note 4 3 96 2 2" xfId="52193"/>
    <cellStyle name="Note 4 3 96 3" xfId="38689"/>
    <cellStyle name="Note 4 3 97" xfId="11373"/>
    <cellStyle name="Note 4 3 97 2" xfId="25313"/>
    <cellStyle name="Note 4 3 97 2 2" xfId="52321"/>
    <cellStyle name="Note 4 3 97 3" xfId="38817"/>
    <cellStyle name="Note 4 3 98" xfId="11515"/>
    <cellStyle name="Note 4 3 98 2" xfId="25441"/>
    <cellStyle name="Note 4 3 98 2 2" xfId="52449"/>
    <cellStyle name="Note 4 3 98 3" xfId="38945"/>
    <cellStyle name="Note 4 3 99" xfId="11657"/>
    <cellStyle name="Note 4 3 99 2" xfId="25569"/>
    <cellStyle name="Note 4 3 99 2 2" xfId="52577"/>
    <cellStyle name="Note 4 3 99 3" xfId="39073"/>
    <cellStyle name="Note 4 30" xfId="2896"/>
    <cellStyle name="Note 4 30 2" xfId="17842"/>
    <cellStyle name="Note 4 30 2 2" xfId="44850"/>
    <cellStyle name="Note 4 30 3" xfId="31346"/>
    <cellStyle name="Note 4 31" xfId="3002"/>
    <cellStyle name="Note 4 31 2" xfId="17934"/>
    <cellStyle name="Note 4 31 2 2" xfId="44942"/>
    <cellStyle name="Note 4 31 3" xfId="31438"/>
    <cellStyle name="Note 4 32" xfId="3108"/>
    <cellStyle name="Note 4 32 2" xfId="18026"/>
    <cellStyle name="Note 4 32 2 2" xfId="45034"/>
    <cellStyle name="Note 4 32 3" xfId="31530"/>
    <cellStyle name="Note 4 33" xfId="3214"/>
    <cellStyle name="Note 4 33 2" xfId="18118"/>
    <cellStyle name="Note 4 33 2 2" xfId="45126"/>
    <cellStyle name="Note 4 33 3" xfId="31622"/>
    <cellStyle name="Note 4 34" xfId="3320"/>
    <cellStyle name="Note 4 34 2" xfId="18210"/>
    <cellStyle name="Note 4 34 2 2" xfId="45218"/>
    <cellStyle name="Note 4 34 3" xfId="31714"/>
    <cellStyle name="Note 4 35" xfId="3426"/>
    <cellStyle name="Note 4 35 2" xfId="18302"/>
    <cellStyle name="Note 4 35 2 2" xfId="45310"/>
    <cellStyle name="Note 4 35 3" xfId="31806"/>
    <cellStyle name="Note 4 36" xfId="3532"/>
    <cellStyle name="Note 4 36 2" xfId="18394"/>
    <cellStyle name="Note 4 36 2 2" xfId="45402"/>
    <cellStyle name="Note 4 36 3" xfId="31898"/>
    <cellStyle name="Note 4 37" xfId="3638"/>
    <cellStyle name="Note 4 37 2" xfId="18486"/>
    <cellStyle name="Note 4 37 2 2" xfId="45494"/>
    <cellStyle name="Note 4 37 3" xfId="31990"/>
    <cellStyle name="Note 4 38" xfId="3744"/>
    <cellStyle name="Note 4 38 2" xfId="18578"/>
    <cellStyle name="Note 4 38 2 2" xfId="45586"/>
    <cellStyle name="Note 4 38 3" xfId="32082"/>
    <cellStyle name="Note 4 39" xfId="3850"/>
    <cellStyle name="Note 4 39 2" xfId="18670"/>
    <cellStyle name="Note 4 39 2 2" xfId="45678"/>
    <cellStyle name="Note 4 39 3" xfId="32174"/>
    <cellStyle name="Note 4 4" xfId="259"/>
    <cellStyle name="Note 4 4 2" xfId="15574"/>
    <cellStyle name="Note 4 4 2 2" xfId="42582"/>
    <cellStyle name="Note 4 4 3" xfId="29078"/>
    <cellStyle name="Note 4 40" xfId="3956"/>
    <cellStyle name="Note 4 40 2" xfId="18762"/>
    <cellStyle name="Note 4 40 2 2" xfId="45770"/>
    <cellStyle name="Note 4 40 3" xfId="32266"/>
    <cellStyle name="Note 4 41" xfId="4062"/>
    <cellStyle name="Note 4 41 2" xfId="18854"/>
    <cellStyle name="Note 4 41 2 2" xfId="45862"/>
    <cellStyle name="Note 4 41 3" xfId="32358"/>
    <cellStyle name="Note 4 42" xfId="4168"/>
    <cellStyle name="Note 4 42 2" xfId="18946"/>
    <cellStyle name="Note 4 42 2 2" xfId="45954"/>
    <cellStyle name="Note 4 42 3" xfId="32450"/>
    <cellStyle name="Note 4 43" xfId="4274"/>
    <cellStyle name="Note 4 43 2" xfId="19038"/>
    <cellStyle name="Note 4 43 2 2" xfId="46046"/>
    <cellStyle name="Note 4 43 3" xfId="32542"/>
    <cellStyle name="Note 4 44" xfId="4380"/>
    <cellStyle name="Note 4 44 2" xfId="19130"/>
    <cellStyle name="Note 4 44 2 2" xfId="46138"/>
    <cellStyle name="Note 4 44 3" xfId="32634"/>
    <cellStyle name="Note 4 45" xfId="4486"/>
    <cellStyle name="Note 4 45 2" xfId="19222"/>
    <cellStyle name="Note 4 45 2 2" xfId="46230"/>
    <cellStyle name="Note 4 45 3" xfId="32726"/>
    <cellStyle name="Note 4 46" xfId="4592"/>
    <cellStyle name="Note 4 46 2" xfId="19314"/>
    <cellStyle name="Note 4 46 2 2" xfId="46322"/>
    <cellStyle name="Note 4 46 3" xfId="32818"/>
    <cellStyle name="Note 4 47" xfId="4698"/>
    <cellStyle name="Note 4 47 2" xfId="19406"/>
    <cellStyle name="Note 4 47 2 2" xfId="46414"/>
    <cellStyle name="Note 4 47 3" xfId="32910"/>
    <cellStyle name="Note 4 48" xfId="4804"/>
    <cellStyle name="Note 4 48 2" xfId="19498"/>
    <cellStyle name="Note 4 48 2 2" xfId="46506"/>
    <cellStyle name="Note 4 48 3" xfId="33002"/>
    <cellStyle name="Note 4 49" xfId="4910"/>
    <cellStyle name="Note 4 49 2" xfId="19590"/>
    <cellStyle name="Note 4 49 2 2" xfId="46598"/>
    <cellStyle name="Note 4 49 3" xfId="33094"/>
    <cellStyle name="Note 4 5" xfId="446"/>
    <cellStyle name="Note 4 5 2" xfId="15710"/>
    <cellStyle name="Note 4 5 2 2" xfId="42718"/>
    <cellStyle name="Note 4 5 3" xfId="29214"/>
    <cellStyle name="Note 4 50" xfId="5016"/>
    <cellStyle name="Note 4 50 2" xfId="19682"/>
    <cellStyle name="Note 4 50 2 2" xfId="46690"/>
    <cellStyle name="Note 4 50 3" xfId="33186"/>
    <cellStyle name="Note 4 51" xfId="5122"/>
    <cellStyle name="Note 4 51 2" xfId="19774"/>
    <cellStyle name="Note 4 51 2 2" xfId="46782"/>
    <cellStyle name="Note 4 51 3" xfId="33278"/>
    <cellStyle name="Note 4 52" xfId="5228"/>
    <cellStyle name="Note 4 52 2" xfId="19866"/>
    <cellStyle name="Note 4 52 2 2" xfId="46874"/>
    <cellStyle name="Note 4 52 3" xfId="33370"/>
    <cellStyle name="Note 4 53" xfId="5334"/>
    <cellStyle name="Note 4 53 2" xfId="19958"/>
    <cellStyle name="Note 4 53 2 2" xfId="46966"/>
    <cellStyle name="Note 4 53 3" xfId="33462"/>
    <cellStyle name="Note 4 54" xfId="5440"/>
    <cellStyle name="Note 4 54 2" xfId="20050"/>
    <cellStyle name="Note 4 54 2 2" xfId="47058"/>
    <cellStyle name="Note 4 54 3" xfId="33554"/>
    <cellStyle name="Note 4 55" xfId="5546"/>
    <cellStyle name="Note 4 55 2" xfId="20142"/>
    <cellStyle name="Note 4 55 2 2" xfId="47150"/>
    <cellStyle name="Note 4 55 3" xfId="33646"/>
    <cellStyle name="Note 4 56" xfId="5652"/>
    <cellStyle name="Note 4 56 2" xfId="20234"/>
    <cellStyle name="Note 4 56 2 2" xfId="47242"/>
    <cellStyle name="Note 4 56 3" xfId="33738"/>
    <cellStyle name="Note 4 57" xfId="5758"/>
    <cellStyle name="Note 4 57 2" xfId="20326"/>
    <cellStyle name="Note 4 57 2 2" xfId="47334"/>
    <cellStyle name="Note 4 57 3" xfId="33830"/>
    <cellStyle name="Note 4 58" xfId="5864"/>
    <cellStyle name="Note 4 58 2" xfId="20418"/>
    <cellStyle name="Note 4 58 2 2" xfId="47426"/>
    <cellStyle name="Note 4 58 3" xfId="33922"/>
    <cellStyle name="Note 4 59" xfId="5970"/>
    <cellStyle name="Note 4 59 2" xfId="20510"/>
    <cellStyle name="Note 4 59 2 2" xfId="47518"/>
    <cellStyle name="Note 4 59 3" xfId="34014"/>
    <cellStyle name="Note 4 6" xfId="249"/>
    <cellStyle name="Note 4 6 2" xfId="15568"/>
    <cellStyle name="Note 4 6 2 2" xfId="42576"/>
    <cellStyle name="Note 4 6 3" xfId="29072"/>
    <cellStyle name="Note 4 60" xfId="6076"/>
    <cellStyle name="Note 4 60 2" xfId="20602"/>
    <cellStyle name="Note 4 60 2 2" xfId="47610"/>
    <cellStyle name="Note 4 60 3" xfId="34106"/>
    <cellStyle name="Note 4 61" xfId="6182"/>
    <cellStyle name="Note 4 61 2" xfId="20694"/>
    <cellStyle name="Note 4 61 2 2" xfId="47702"/>
    <cellStyle name="Note 4 61 3" xfId="34198"/>
    <cellStyle name="Note 4 62" xfId="6288"/>
    <cellStyle name="Note 4 62 2" xfId="20786"/>
    <cellStyle name="Note 4 62 2 2" xfId="47794"/>
    <cellStyle name="Note 4 62 3" xfId="34290"/>
    <cellStyle name="Note 4 63" xfId="6394"/>
    <cellStyle name="Note 4 63 2" xfId="20878"/>
    <cellStyle name="Note 4 63 2 2" xfId="47886"/>
    <cellStyle name="Note 4 63 3" xfId="34382"/>
    <cellStyle name="Note 4 64" xfId="6500"/>
    <cellStyle name="Note 4 64 2" xfId="20970"/>
    <cellStyle name="Note 4 64 2 2" xfId="47978"/>
    <cellStyle name="Note 4 64 3" xfId="34474"/>
    <cellStyle name="Note 4 65" xfId="6605"/>
    <cellStyle name="Note 4 65 2" xfId="21061"/>
    <cellStyle name="Note 4 65 2 2" xfId="48069"/>
    <cellStyle name="Note 4 65 3" xfId="34565"/>
    <cellStyle name="Note 4 66" xfId="6710"/>
    <cellStyle name="Note 4 66 2" xfId="21152"/>
    <cellStyle name="Note 4 66 2 2" xfId="48160"/>
    <cellStyle name="Note 4 66 3" xfId="34656"/>
    <cellStyle name="Note 4 67" xfId="6815"/>
    <cellStyle name="Note 4 67 2" xfId="21243"/>
    <cellStyle name="Note 4 67 2 2" xfId="48251"/>
    <cellStyle name="Note 4 67 3" xfId="34747"/>
    <cellStyle name="Note 4 68" xfId="6920"/>
    <cellStyle name="Note 4 68 2" xfId="21334"/>
    <cellStyle name="Note 4 68 2 2" xfId="48342"/>
    <cellStyle name="Note 4 68 3" xfId="34838"/>
    <cellStyle name="Note 4 69" xfId="7025"/>
    <cellStyle name="Note 4 69 2" xfId="21425"/>
    <cellStyle name="Note 4 69 2 2" xfId="48433"/>
    <cellStyle name="Note 4 69 3" xfId="34929"/>
    <cellStyle name="Note 4 7" xfId="246"/>
    <cellStyle name="Note 4 7 2" xfId="15565"/>
    <cellStyle name="Note 4 7 2 2" xfId="42573"/>
    <cellStyle name="Note 4 7 3" xfId="29069"/>
    <cellStyle name="Note 4 70" xfId="7129"/>
    <cellStyle name="Note 4 70 2" xfId="21515"/>
    <cellStyle name="Note 4 70 2 2" xfId="48523"/>
    <cellStyle name="Note 4 70 3" xfId="35019"/>
    <cellStyle name="Note 4 71" xfId="7233"/>
    <cellStyle name="Note 4 71 2" xfId="21605"/>
    <cellStyle name="Note 4 71 2 2" xfId="48613"/>
    <cellStyle name="Note 4 71 3" xfId="35109"/>
    <cellStyle name="Note 4 72" xfId="7334"/>
    <cellStyle name="Note 4 72 2" xfId="21692"/>
    <cellStyle name="Note 4 72 2 2" xfId="48700"/>
    <cellStyle name="Note 4 72 3" xfId="35196"/>
    <cellStyle name="Note 4 73" xfId="7433"/>
    <cellStyle name="Note 4 73 2" xfId="21778"/>
    <cellStyle name="Note 4 73 2 2" xfId="48786"/>
    <cellStyle name="Note 4 73 3" xfId="35282"/>
    <cellStyle name="Note 4 74" xfId="7757"/>
    <cellStyle name="Note 4 74 2" xfId="22055"/>
    <cellStyle name="Note 4 74 2 2" xfId="49063"/>
    <cellStyle name="Note 4 74 3" xfId="35559"/>
    <cellStyle name="Note 4 75" xfId="7714"/>
    <cellStyle name="Note 4 75 2" xfId="22016"/>
    <cellStyle name="Note 4 75 2 2" xfId="49024"/>
    <cellStyle name="Note 4 75 3" xfId="35520"/>
    <cellStyle name="Note 4 76" xfId="7715"/>
    <cellStyle name="Note 4 76 2" xfId="22017"/>
    <cellStyle name="Note 4 76 2 2" xfId="49025"/>
    <cellStyle name="Note 4 76 3" xfId="35521"/>
    <cellStyle name="Note 4 77" xfId="7879"/>
    <cellStyle name="Note 4 77 2" xfId="22167"/>
    <cellStyle name="Note 4 77 2 2" xfId="49175"/>
    <cellStyle name="Note 4 77 3" xfId="35671"/>
    <cellStyle name="Note 4 78" xfId="8021"/>
    <cellStyle name="Note 4 78 2" xfId="22295"/>
    <cellStyle name="Note 4 78 2 2" xfId="49303"/>
    <cellStyle name="Note 4 78 3" xfId="35799"/>
    <cellStyle name="Note 4 79" xfId="8163"/>
    <cellStyle name="Note 4 79 2" xfId="22423"/>
    <cellStyle name="Note 4 79 2 2" xfId="49431"/>
    <cellStyle name="Note 4 79 3" xfId="35927"/>
    <cellStyle name="Note 4 8" xfId="565"/>
    <cellStyle name="Note 4 8 2" xfId="15819"/>
    <cellStyle name="Note 4 8 2 2" xfId="42827"/>
    <cellStyle name="Note 4 8 3" xfId="29323"/>
    <cellStyle name="Note 4 80" xfId="8305"/>
    <cellStyle name="Note 4 80 2" xfId="22551"/>
    <cellStyle name="Note 4 80 2 2" xfId="49559"/>
    <cellStyle name="Note 4 80 3" xfId="36055"/>
    <cellStyle name="Note 4 81" xfId="8447"/>
    <cellStyle name="Note 4 81 2" xfId="22679"/>
    <cellStyle name="Note 4 81 2 2" xfId="49687"/>
    <cellStyle name="Note 4 81 3" xfId="36183"/>
    <cellStyle name="Note 4 82" xfId="8589"/>
    <cellStyle name="Note 4 82 2" xfId="22807"/>
    <cellStyle name="Note 4 82 2 2" xfId="49815"/>
    <cellStyle name="Note 4 82 3" xfId="36311"/>
    <cellStyle name="Note 4 83" xfId="8731"/>
    <cellStyle name="Note 4 83 2" xfId="22935"/>
    <cellStyle name="Note 4 83 2 2" xfId="49943"/>
    <cellStyle name="Note 4 83 3" xfId="36439"/>
    <cellStyle name="Note 4 84" xfId="8873"/>
    <cellStyle name="Note 4 84 2" xfId="23063"/>
    <cellStyle name="Note 4 84 2 2" xfId="50071"/>
    <cellStyle name="Note 4 84 3" xfId="36567"/>
    <cellStyle name="Note 4 85" xfId="9015"/>
    <cellStyle name="Note 4 85 2" xfId="23191"/>
    <cellStyle name="Note 4 85 2 2" xfId="50199"/>
    <cellStyle name="Note 4 85 3" xfId="36695"/>
    <cellStyle name="Note 4 86" xfId="9157"/>
    <cellStyle name="Note 4 86 2" xfId="23319"/>
    <cellStyle name="Note 4 86 2 2" xfId="50327"/>
    <cellStyle name="Note 4 86 3" xfId="36823"/>
    <cellStyle name="Note 4 87" xfId="9299"/>
    <cellStyle name="Note 4 87 2" xfId="23447"/>
    <cellStyle name="Note 4 87 2 2" xfId="50455"/>
    <cellStyle name="Note 4 87 3" xfId="36951"/>
    <cellStyle name="Note 4 88" xfId="9441"/>
    <cellStyle name="Note 4 88 2" xfId="23575"/>
    <cellStyle name="Note 4 88 2 2" xfId="50583"/>
    <cellStyle name="Note 4 88 3" xfId="37079"/>
    <cellStyle name="Note 4 89" xfId="9583"/>
    <cellStyle name="Note 4 89 2" xfId="23703"/>
    <cellStyle name="Note 4 89 2 2" xfId="50711"/>
    <cellStyle name="Note 4 89 3" xfId="37207"/>
    <cellStyle name="Note 4 9" xfId="670"/>
    <cellStyle name="Note 4 9 2" xfId="15910"/>
    <cellStyle name="Note 4 9 2 2" xfId="42918"/>
    <cellStyle name="Note 4 9 3" xfId="29414"/>
    <cellStyle name="Note 4 90" xfId="9725"/>
    <cellStyle name="Note 4 90 2" xfId="23831"/>
    <cellStyle name="Note 4 90 2 2" xfId="50839"/>
    <cellStyle name="Note 4 90 3" xfId="37335"/>
    <cellStyle name="Note 4 91" xfId="9867"/>
    <cellStyle name="Note 4 91 2" xfId="23959"/>
    <cellStyle name="Note 4 91 2 2" xfId="50967"/>
    <cellStyle name="Note 4 91 3" xfId="37463"/>
    <cellStyle name="Note 4 92" xfId="10009"/>
    <cellStyle name="Note 4 92 2" xfId="24087"/>
    <cellStyle name="Note 4 92 2 2" xfId="51095"/>
    <cellStyle name="Note 4 92 3" xfId="37591"/>
    <cellStyle name="Note 4 93" xfId="10151"/>
    <cellStyle name="Note 4 93 2" xfId="24215"/>
    <cellStyle name="Note 4 93 2 2" xfId="51223"/>
    <cellStyle name="Note 4 93 3" xfId="37719"/>
    <cellStyle name="Note 4 94" xfId="10293"/>
    <cellStyle name="Note 4 94 2" xfId="24343"/>
    <cellStyle name="Note 4 94 2 2" xfId="51351"/>
    <cellStyle name="Note 4 94 3" xfId="37847"/>
    <cellStyle name="Note 4 95" xfId="10435"/>
    <cellStyle name="Note 4 95 2" xfId="24471"/>
    <cellStyle name="Note 4 95 2 2" xfId="51479"/>
    <cellStyle name="Note 4 95 3" xfId="37975"/>
    <cellStyle name="Note 4 96" xfId="10577"/>
    <cellStyle name="Note 4 96 2" xfId="24599"/>
    <cellStyle name="Note 4 96 2 2" xfId="51607"/>
    <cellStyle name="Note 4 96 3" xfId="38103"/>
    <cellStyle name="Note 4 97" xfId="10719"/>
    <cellStyle name="Note 4 97 2" xfId="24727"/>
    <cellStyle name="Note 4 97 2 2" xfId="51735"/>
    <cellStyle name="Note 4 97 3" xfId="38231"/>
    <cellStyle name="Note 4 98" xfId="10861"/>
    <cellStyle name="Note 4 98 2" xfId="24855"/>
    <cellStyle name="Note 4 98 2 2" xfId="51863"/>
    <cellStyle name="Note 4 98 3" xfId="38359"/>
    <cellStyle name="Note 4 99" xfId="11003"/>
    <cellStyle name="Note 4 99 2" xfId="24983"/>
    <cellStyle name="Note 4 99 2 2" xfId="51991"/>
    <cellStyle name="Note 4 99 3" xfId="38487"/>
    <cellStyle name="Note 5" xfId="75"/>
    <cellStyle name="Note 5 10" xfId="990"/>
    <cellStyle name="Note 5 10 2" xfId="16187"/>
    <cellStyle name="Note 5 10 2 2" xfId="43195"/>
    <cellStyle name="Note 5 10 3" xfId="29691"/>
    <cellStyle name="Note 5 100" xfId="11431"/>
    <cellStyle name="Note 5 100 2" xfId="25368"/>
    <cellStyle name="Note 5 100 2 2" xfId="52376"/>
    <cellStyle name="Note 5 100 3" xfId="38872"/>
    <cellStyle name="Note 5 101" xfId="11573"/>
    <cellStyle name="Note 5 101 2" xfId="25496"/>
    <cellStyle name="Note 5 101 2 2" xfId="52504"/>
    <cellStyle name="Note 5 101 3" xfId="39000"/>
    <cellStyle name="Note 5 102" xfId="11715"/>
    <cellStyle name="Note 5 102 2" xfId="25624"/>
    <cellStyle name="Note 5 102 2 2" xfId="52632"/>
    <cellStyle name="Note 5 102 3" xfId="39128"/>
    <cellStyle name="Note 5 103" xfId="11857"/>
    <cellStyle name="Note 5 103 2" xfId="25752"/>
    <cellStyle name="Note 5 103 2 2" xfId="52760"/>
    <cellStyle name="Note 5 103 3" xfId="39256"/>
    <cellStyle name="Note 5 104" xfId="11999"/>
    <cellStyle name="Note 5 104 2" xfId="25880"/>
    <cellStyle name="Note 5 104 2 2" xfId="52888"/>
    <cellStyle name="Note 5 104 3" xfId="39384"/>
    <cellStyle name="Note 5 105" xfId="12141"/>
    <cellStyle name="Note 5 105 2" xfId="26008"/>
    <cellStyle name="Note 5 105 2 2" xfId="53016"/>
    <cellStyle name="Note 5 105 3" xfId="39512"/>
    <cellStyle name="Note 5 106" xfId="12283"/>
    <cellStyle name="Note 5 106 2" xfId="26136"/>
    <cellStyle name="Note 5 106 2 2" xfId="53144"/>
    <cellStyle name="Note 5 106 3" xfId="39640"/>
    <cellStyle name="Note 5 107" xfId="12425"/>
    <cellStyle name="Note 5 107 2" xfId="26264"/>
    <cellStyle name="Note 5 107 2 2" xfId="53272"/>
    <cellStyle name="Note 5 107 3" xfId="39768"/>
    <cellStyle name="Note 5 108" xfId="12567"/>
    <cellStyle name="Note 5 108 2" xfId="26392"/>
    <cellStyle name="Note 5 108 2 2" xfId="53400"/>
    <cellStyle name="Note 5 108 3" xfId="39896"/>
    <cellStyle name="Note 5 109" xfId="12709"/>
    <cellStyle name="Note 5 109 2" xfId="26520"/>
    <cellStyle name="Note 5 109 2 2" xfId="53528"/>
    <cellStyle name="Note 5 109 3" xfId="40024"/>
    <cellStyle name="Note 5 11" xfId="1096"/>
    <cellStyle name="Note 5 11 2" xfId="16279"/>
    <cellStyle name="Note 5 11 2 2" xfId="43287"/>
    <cellStyle name="Note 5 11 3" xfId="29783"/>
    <cellStyle name="Note 5 110" xfId="12851"/>
    <cellStyle name="Note 5 110 2" xfId="26648"/>
    <cellStyle name="Note 5 110 2 2" xfId="53656"/>
    <cellStyle name="Note 5 110 3" xfId="40152"/>
    <cellStyle name="Note 5 111" xfId="12993"/>
    <cellStyle name="Note 5 111 2" xfId="26776"/>
    <cellStyle name="Note 5 111 2 2" xfId="53784"/>
    <cellStyle name="Note 5 111 3" xfId="40280"/>
    <cellStyle name="Note 5 112" xfId="13135"/>
    <cellStyle name="Note 5 112 2" xfId="26904"/>
    <cellStyle name="Note 5 112 2 2" xfId="53912"/>
    <cellStyle name="Note 5 112 3" xfId="40408"/>
    <cellStyle name="Note 5 113" xfId="13277"/>
    <cellStyle name="Note 5 113 2" xfId="27032"/>
    <cellStyle name="Note 5 113 2 2" xfId="54040"/>
    <cellStyle name="Note 5 113 3" xfId="40536"/>
    <cellStyle name="Note 5 114" xfId="13419"/>
    <cellStyle name="Note 5 114 2" xfId="27160"/>
    <cellStyle name="Note 5 114 2 2" xfId="54168"/>
    <cellStyle name="Note 5 114 3" xfId="40664"/>
    <cellStyle name="Note 5 115" xfId="13561"/>
    <cellStyle name="Note 5 115 2" xfId="27288"/>
    <cellStyle name="Note 5 115 2 2" xfId="54296"/>
    <cellStyle name="Note 5 115 3" xfId="40792"/>
    <cellStyle name="Note 5 116" xfId="13703"/>
    <cellStyle name="Note 5 116 2" xfId="27416"/>
    <cellStyle name="Note 5 116 2 2" xfId="54424"/>
    <cellStyle name="Note 5 116 3" xfId="40920"/>
    <cellStyle name="Note 5 117" xfId="13844"/>
    <cellStyle name="Note 5 117 2" xfId="27543"/>
    <cellStyle name="Note 5 117 2 2" xfId="54551"/>
    <cellStyle name="Note 5 117 3" xfId="41047"/>
    <cellStyle name="Note 5 118" xfId="13985"/>
    <cellStyle name="Note 5 118 2" xfId="27670"/>
    <cellStyle name="Note 5 118 2 2" xfId="54678"/>
    <cellStyle name="Note 5 118 3" xfId="41174"/>
    <cellStyle name="Note 5 119" xfId="14126"/>
    <cellStyle name="Note 5 119 2" xfId="27797"/>
    <cellStyle name="Note 5 119 2 2" xfId="54805"/>
    <cellStyle name="Note 5 119 3" xfId="41301"/>
    <cellStyle name="Note 5 12" xfId="1202"/>
    <cellStyle name="Note 5 12 2" xfId="16371"/>
    <cellStyle name="Note 5 12 2 2" xfId="43379"/>
    <cellStyle name="Note 5 12 3" xfId="29875"/>
    <cellStyle name="Note 5 120" xfId="14267"/>
    <cellStyle name="Note 5 120 2" xfId="27924"/>
    <cellStyle name="Note 5 120 2 2" xfId="54932"/>
    <cellStyle name="Note 5 120 3" xfId="41428"/>
    <cellStyle name="Note 5 121" xfId="14408"/>
    <cellStyle name="Note 5 121 2" xfId="28051"/>
    <cellStyle name="Note 5 121 2 2" xfId="55059"/>
    <cellStyle name="Note 5 121 3" xfId="41555"/>
    <cellStyle name="Note 5 122" xfId="14548"/>
    <cellStyle name="Note 5 122 2" xfId="28177"/>
    <cellStyle name="Note 5 122 2 2" xfId="55185"/>
    <cellStyle name="Note 5 122 3" xfId="41681"/>
    <cellStyle name="Note 5 123" xfId="14688"/>
    <cellStyle name="Note 5 123 2" xfId="28303"/>
    <cellStyle name="Note 5 123 2 2" xfId="55311"/>
    <cellStyle name="Note 5 123 3" xfId="41807"/>
    <cellStyle name="Note 5 124" xfId="14825"/>
    <cellStyle name="Note 5 124 2" xfId="28426"/>
    <cellStyle name="Note 5 124 2 2" xfId="55434"/>
    <cellStyle name="Note 5 124 3" xfId="41930"/>
    <cellStyle name="Note 5 125" xfId="14959"/>
    <cellStyle name="Note 5 125 2" xfId="28547"/>
    <cellStyle name="Note 5 125 2 2" xfId="55555"/>
    <cellStyle name="Note 5 125 3" xfId="42051"/>
    <cellStyle name="Note 5 126" xfId="15091"/>
    <cellStyle name="Note 5 126 2" xfId="28666"/>
    <cellStyle name="Note 5 126 2 2" xfId="55674"/>
    <cellStyle name="Note 5 126 3" xfId="42170"/>
    <cellStyle name="Note 5 127" xfId="15217"/>
    <cellStyle name="Note 5 127 2" xfId="28782"/>
    <cellStyle name="Note 5 127 2 2" xfId="55790"/>
    <cellStyle name="Note 5 127 3" xfId="42286"/>
    <cellStyle name="Note 5 128" xfId="15458"/>
    <cellStyle name="Note 5 128 2" xfId="42466"/>
    <cellStyle name="Note 5 129" xfId="28962"/>
    <cellStyle name="Note 5 13" xfId="1308"/>
    <cellStyle name="Note 5 13 2" xfId="16463"/>
    <cellStyle name="Note 5 13 2 2" xfId="43471"/>
    <cellStyle name="Note 5 13 3" xfId="29967"/>
    <cellStyle name="Note 5 14" xfId="1414"/>
    <cellStyle name="Note 5 14 2" xfId="16555"/>
    <cellStyle name="Note 5 14 2 2" xfId="43563"/>
    <cellStyle name="Note 5 14 3" xfId="30059"/>
    <cellStyle name="Note 5 15" xfId="1520"/>
    <cellStyle name="Note 5 15 2" xfId="16647"/>
    <cellStyle name="Note 5 15 2 2" xfId="43655"/>
    <cellStyle name="Note 5 15 3" xfId="30151"/>
    <cellStyle name="Note 5 16" xfId="1626"/>
    <cellStyle name="Note 5 16 2" xfId="16739"/>
    <cellStyle name="Note 5 16 2 2" xfId="43747"/>
    <cellStyle name="Note 5 16 3" xfId="30243"/>
    <cellStyle name="Note 5 17" xfId="1732"/>
    <cellStyle name="Note 5 17 2" xfId="16831"/>
    <cellStyle name="Note 5 17 2 2" xfId="43839"/>
    <cellStyle name="Note 5 17 3" xfId="30335"/>
    <cellStyle name="Note 5 18" xfId="1838"/>
    <cellStyle name="Note 5 18 2" xfId="16923"/>
    <cellStyle name="Note 5 18 2 2" xfId="43931"/>
    <cellStyle name="Note 5 18 3" xfId="30427"/>
    <cellStyle name="Note 5 19" xfId="1944"/>
    <cellStyle name="Note 5 19 2" xfId="17015"/>
    <cellStyle name="Note 5 19 2 2" xfId="44023"/>
    <cellStyle name="Note 5 19 3" xfId="30519"/>
    <cellStyle name="Note 5 2" xfId="133"/>
    <cellStyle name="Note 5 2 10" xfId="1131"/>
    <cellStyle name="Note 5 2 10 2" xfId="16305"/>
    <cellStyle name="Note 5 2 10 2 2" xfId="43313"/>
    <cellStyle name="Note 5 2 10 3" xfId="29809"/>
    <cellStyle name="Note 5 2 100" xfId="11787"/>
    <cellStyle name="Note 5 2 100 2" xfId="25685"/>
    <cellStyle name="Note 5 2 100 2 2" xfId="52693"/>
    <cellStyle name="Note 5 2 100 3" xfId="39189"/>
    <cellStyle name="Note 5 2 101" xfId="11929"/>
    <cellStyle name="Note 5 2 101 2" xfId="25813"/>
    <cellStyle name="Note 5 2 101 2 2" xfId="52821"/>
    <cellStyle name="Note 5 2 101 3" xfId="39317"/>
    <cellStyle name="Note 5 2 102" xfId="12071"/>
    <cellStyle name="Note 5 2 102 2" xfId="25941"/>
    <cellStyle name="Note 5 2 102 2 2" xfId="52949"/>
    <cellStyle name="Note 5 2 102 3" xfId="39445"/>
    <cellStyle name="Note 5 2 103" xfId="12213"/>
    <cellStyle name="Note 5 2 103 2" xfId="26069"/>
    <cellStyle name="Note 5 2 103 2 2" xfId="53077"/>
    <cellStyle name="Note 5 2 103 3" xfId="39573"/>
    <cellStyle name="Note 5 2 104" xfId="12355"/>
    <cellStyle name="Note 5 2 104 2" xfId="26197"/>
    <cellStyle name="Note 5 2 104 2 2" xfId="53205"/>
    <cellStyle name="Note 5 2 104 3" xfId="39701"/>
    <cellStyle name="Note 5 2 105" xfId="12497"/>
    <cellStyle name="Note 5 2 105 2" xfId="26325"/>
    <cellStyle name="Note 5 2 105 2 2" xfId="53333"/>
    <cellStyle name="Note 5 2 105 3" xfId="39829"/>
    <cellStyle name="Note 5 2 106" xfId="12639"/>
    <cellStyle name="Note 5 2 106 2" xfId="26453"/>
    <cellStyle name="Note 5 2 106 2 2" xfId="53461"/>
    <cellStyle name="Note 5 2 106 3" xfId="39957"/>
    <cellStyle name="Note 5 2 107" xfId="12781"/>
    <cellStyle name="Note 5 2 107 2" xfId="26581"/>
    <cellStyle name="Note 5 2 107 2 2" xfId="53589"/>
    <cellStyle name="Note 5 2 107 3" xfId="40085"/>
    <cellStyle name="Note 5 2 108" xfId="12923"/>
    <cellStyle name="Note 5 2 108 2" xfId="26709"/>
    <cellStyle name="Note 5 2 108 2 2" xfId="53717"/>
    <cellStyle name="Note 5 2 108 3" xfId="40213"/>
    <cellStyle name="Note 5 2 109" xfId="13065"/>
    <cellStyle name="Note 5 2 109 2" xfId="26837"/>
    <cellStyle name="Note 5 2 109 2 2" xfId="53845"/>
    <cellStyle name="Note 5 2 109 3" xfId="40341"/>
    <cellStyle name="Note 5 2 11" xfId="1237"/>
    <cellStyle name="Note 5 2 11 2" xfId="16397"/>
    <cellStyle name="Note 5 2 11 2 2" xfId="43405"/>
    <cellStyle name="Note 5 2 11 3" xfId="29901"/>
    <cellStyle name="Note 5 2 110" xfId="13207"/>
    <cellStyle name="Note 5 2 110 2" xfId="26965"/>
    <cellStyle name="Note 5 2 110 2 2" xfId="53973"/>
    <cellStyle name="Note 5 2 110 3" xfId="40469"/>
    <cellStyle name="Note 5 2 111" xfId="13349"/>
    <cellStyle name="Note 5 2 111 2" xfId="27093"/>
    <cellStyle name="Note 5 2 111 2 2" xfId="54101"/>
    <cellStyle name="Note 5 2 111 3" xfId="40597"/>
    <cellStyle name="Note 5 2 112" xfId="13491"/>
    <cellStyle name="Note 5 2 112 2" xfId="27221"/>
    <cellStyle name="Note 5 2 112 2 2" xfId="54229"/>
    <cellStyle name="Note 5 2 112 3" xfId="40725"/>
    <cellStyle name="Note 5 2 113" xfId="13633"/>
    <cellStyle name="Note 5 2 113 2" xfId="27349"/>
    <cellStyle name="Note 5 2 113 2 2" xfId="54357"/>
    <cellStyle name="Note 5 2 113 3" xfId="40853"/>
    <cellStyle name="Note 5 2 114" xfId="13775"/>
    <cellStyle name="Note 5 2 114 2" xfId="27477"/>
    <cellStyle name="Note 5 2 114 2 2" xfId="54485"/>
    <cellStyle name="Note 5 2 114 3" xfId="40981"/>
    <cellStyle name="Note 5 2 115" xfId="13916"/>
    <cellStyle name="Note 5 2 115 2" xfId="27604"/>
    <cellStyle name="Note 5 2 115 2 2" xfId="54612"/>
    <cellStyle name="Note 5 2 115 3" xfId="41108"/>
    <cellStyle name="Note 5 2 116" xfId="14057"/>
    <cellStyle name="Note 5 2 116 2" xfId="27731"/>
    <cellStyle name="Note 5 2 116 2 2" xfId="54739"/>
    <cellStyle name="Note 5 2 116 3" xfId="41235"/>
    <cellStyle name="Note 5 2 117" xfId="14198"/>
    <cellStyle name="Note 5 2 117 2" xfId="27858"/>
    <cellStyle name="Note 5 2 117 2 2" xfId="54866"/>
    <cellStyle name="Note 5 2 117 3" xfId="41362"/>
    <cellStyle name="Note 5 2 118" xfId="14339"/>
    <cellStyle name="Note 5 2 118 2" xfId="27985"/>
    <cellStyle name="Note 5 2 118 2 2" xfId="54993"/>
    <cellStyle name="Note 5 2 118 3" xfId="41489"/>
    <cellStyle name="Note 5 2 119" xfId="14479"/>
    <cellStyle name="Note 5 2 119 2" xfId="28111"/>
    <cellStyle name="Note 5 2 119 2 2" xfId="55119"/>
    <cellStyle name="Note 5 2 119 3" xfId="41615"/>
    <cellStyle name="Note 5 2 12" xfId="1343"/>
    <cellStyle name="Note 5 2 12 2" xfId="16489"/>
    <cellStyle name="Note 5 2 12 2 2" xfId="43497"/>
    <cellStyle name="Note 5 2 12 3" xfId="29993"/>
    <cellStyle name="Note 5 2 120" xfId="14619"/>
    <cellStyle name="Note 5 2 120 2" xfId="28237"/>
    <cellStyle name="Note 5 2 120 2 2" xfId="55245"/>
    <cellStyle name="Note 5 2 120 3" xfId="41741"/>
    <cellStyle name="Note 5 2 121" xfId="14758"/>
    <cellStyle name="Note 5 2 121 2" xfId="28362"/>
    <cellStyle name="Note 5 2 121 2 2" xfId="55370"/>
    <cellStyle name="Note 5 2 121 3" xfId="41866"/>
    <cellStyle name="Note 5 2 122" xfId="14893"/>
    <cellStyle name="Note 5 2 122 2" xfId="28484"/>
    <cellStyle name="Note 5 2 122 2 2" xfId="55492"/>
    <cellStyle name="Note 5 2 122 3" xfId="41988"/>
    <cellStyle name="Note 5 2 123" xfId="15027"/>
    <cellStyle name="Note 5 2 123 2" xfId="28605"/>
    <cellStyle name="Note 5 2 123 2 2" xfId="55613"/>
    <cellStyle name="Note 5 2 123 3" xfId="42109"/>
    <cellStyle name="Note 5 2 124" xfId="15155"/>
    <cellStyle name="Note 5 2 124 2" xfId="28722"/>
    <cellStyle name="Note 5 2 124 2 2" xfId="55730"/>
    <cellStyle name="Note 5 2 124 3" xfId="42226"/>
    <cellStyle name="Note 5 2 125" xfId="15276"/>
    <cellStyle name="Note 5 2 125 2" xfId="28836"/>
    <cellStyle name="Note 5 2 125 2 2" xfId="55844"/>
    <cellStyle name="Note 5 2 125 3" xfId="42340"/>
    <cellStyle name="Note 5 2 126" xfId="15491"/>
    <cellStyle name="Note 5 2 126 2" xfId="42499"/>
    <cellStyle name="Note 5 2 127" xfId="28995"/>
    <cellStyle name="Note 5 2 13" xfId="1449"/>
    <cellStyle name="Note 5 2 13 2" xfId="16581"/>
    <cellStyle name="Note 5 2 13 2 2" xfId="43589"/>
    <cellStyle name="Note 5 2 13 3" xfId="30085"/>
    <cellStyle name="Note 5 2 14" xfId="1555"/>
    <cellStyle name="Note 5 2 14 2" xfId="16673"/>
    <cellStyle name="Note 5 2 14 2 2" xfId="43681"/>
    <cellStyle name="Note 5 2 14 3" xfId="30177"/>
    <cellStyle name="Note 5 2 15" xfId="1661"/>
    <cellStyle name="Note 5 2 15 2" xfId="16765"/>
    <cellStyle name="Note 5 2 15 2 2" xfId="43773"/>
    <cellStyle name="Note 5 2 15 3" xfId="30269"/>
    <cellStyle name="Note 5 2 16" xfId="1767"/>
    <cellStyle name="Note 5 2 16 2" xfId="16857"/>
    <cellStyle name="Note 5 2 16 2 2" xfId="43865"/>
    <cellStyle name="Note 5 2 16 3" xfId="30361"/>
    <cellStyle name="Note 5 2 17" xfId="1873"/>
    <cellStyle name="Note 5 2 17 2" xfId="16949"/>
    <cellStyle name="Note 5 2 17 2 2" xfId="43957"/>
    <cellStyle name="Note 5 2 17 3" xfId="30453"/>
    <cellStyle name="Note 5 2 18" xfId="1979"/>
    <cellStyle name="Note 5 2 18 2" xfId="17041"/>
    <cellStyle name="Note 5 2 18 2 2" xfId="44049"/>
    <cellStyle name="Note 5 2 18 3" xfId="30545"/>
    <cellStyle name="Note 5 2 19" xfId="2085"/>
    <cellStyle name="Note 5 2 19 2" xfId="17133"/>
    <cellStyle name="Note 5 2 19 2 2" xfId="44141"/>
    <cellStyle name="Note 5 2 19 3" xfId="30637"/>
    <cellStyle name="Note 5 2 2" xfId="310"/>
    <cellStyle name="Note 5 2 2 2" xfId="15612"/>
    <cellStyle name="Note 5 2 2 2 2" xfId="42620"/>
    <cellStyle name="Note 5 2 2 3" xfId="29116"/>
    <cellStyle name="Note 5 2 20" xfId="2191"/>
    <cellStyle name="Note 5 2 20 2" xfId="17225"/>
    <cellStyle name="Note 5 2 20 2 2" xfId="44233"/>
    <cellStyle name="Note 5 2 20 3" xfId="30729"/>
    <cellStyle name="Note 5 2 21" xfId="2297"/>
    <cellStyle name="Note 5 2 21 2" xfId="17317"/>
    <cellStyle name="Note 5 2 21 2 2" xfId="44325"/>
    <cellStyle name="Note 5 2 21 3" xfId="30821"/>
    <cellStyle name="Note 5 2 22" xfId="2403"/>
    <cellStyle name="Note 5 2 22 2" xfId="17409"/>
    <cellStyle name="Note 5 2 22 2 2" xfId="44417"/>
    <cellStyle name="Note 5 2 22 3" xfId="30913"/>
    <cellStyle name="Note 5 2 23" xfId="2509"/>
    <cellStyle name="Note 5 2 23 2" xfId="17501"/>
    <cellStyle name="Note 5 2 23 2 2" xfId="44509"/>
    <cellStyle name="Note 5 2 23 3" xfId="31005"/>
    <cellStyle name="Note 5 2 24" xfId="2615"/>
    <cellStyle name="Note 5 2 24 2" xfId="17593"/>
    <cellStyle name="Note 5 2 24 2 2" xfId="44601"/>
    <cellStyle name="Note 5 2 24 3" xfId="31097"/>
    <cellStyle name="Note 5 2 25" xfId="2721"/>
    <cellStyle name="Note 5 2 25 2" xfId="17685"/>
    <cellStyle name="Note 5 2 25 2 2" xfId="44693"/>
    <cellStyle name="Note 5 2 25 3" xfId="31189"/>
    <cellStyle name="Note 5 2 26" xfId="2827"/>
    <cellStyle name="Note 5 2 26 2" xfId="17777"/>
    <cellStyle name="Note 5 2 26 2 2" xfId="44785"/>
    <cellStyle name="Note 5 2 26 3" xfId="31281"/>
    <cellStyle name="Note 5 2 27" xfId="2933"/>
    <cellStyle name="Note 5 2 27 2" xfId="17869"/>
    <cellStyle name="Note 5 2 27 2 2" xfId="44877"/>
    <cellStyle name="Note 5 2 27 3" xfId="31373"/>
    <cellStyle name="Note 5 2 28" xfId="3039"/>
    <cellStyle name="Note 5 2 28 2" xfId="17961"/>
    <cellStyle name="Note 5 2 28 2 2" xfId="44969"/>
    <cellStyle name="Note 5 2 28 3" xfId="31465"/>
    <cellStyle name="Note 5 2 29" xfId="3145"/>
    <cellStyle name="Note 5 2 29 2" xfId="18053"/>
    <cellStyle name="Note 5 2 29 2 2" xfId="45061"/>
    <cellStyle name="Note 5 2 29 3" xfId="31557"/>
    <cellStyle name="Note 5 2 3" xfId="497"/>
    <cellStyle name="Note 5 2 3 2" xfId="15753"/>
    <cellStyle name="Note 5 2 3 2 2" xfId="42761"/>
    <cellStyle name="Note 5 2 3 3" xfId="29257"/>
    <cellStyle name="Note 5 2 30" xfId="3251"/>
    <cellStyle name="Note 5 2 30 2" xfId="18145"/>
    <cellStyle name="Note 5 2 30 2 2" xfId="45153"/>
    <cellStyle name="Note 5 2 30 3" xfId="31649"/>
    <cellStyle name="Note 5 2 31" xfId="3357"/>
    <cellStyle name="Note 5 2 31 2" xfId="18237"/>
    <cellStyle name="Note 5 2 31 2 2" xfId="45245"/>
    <cellStyle name="Note 5 2 31 3" xfId="31741"/>
    <cellStyle name="Note 5 2 32" xfId="3463"/>
    <cellStyle name="Note 5 2 32 2" xfId="18329"/>
    <cellStyle name="Note 5 2 32 2 2" xfId="45337"/>
    <cellStyle name="Note 5 2 32 3" xfId="31833"/>
    <cellStyle name="Note 5 2 33" xfId="3569"/>
    <cellStyle name="Note 5 2 33 2" xfId="18421"/>
    <cellStyle name="Note 5 2 33 2 2" xfId="45429"/>
    <cellStyle name="Note 5 2 33 3" xfId="31925"/>
    <cellStyle name="Note 5 2 34" xfId="3675"/>
    <cellStyle name="Note 5 2 34 2" xfId="18513"/>
    <cellStyle name="Note 5 2 34 2 2" xfId="45521"/>
    <cellStyle name="Note 5 2 34 3" xfId="32017"/>
    <cellStyle name="Note 5 2 35" xfId="3781"/>
    <cellStyle name="Note 5 2 35 2" xfId="18605"/>
    <cellStyle name="Note 5 2 35 2 2" xfId="45613"/>
    <cellStyle name="Note 5 2 35 3" xfId="32109"/>
    <cellStyle name="Note 5 2 36" xfId="3887"/>
    <cellStyle name="Note 5 2 36 2" xfId="18697"/>
    <cellStyle name="Note 5 2 36 2 2" xfId="45705"/>
    <cellStyle name="Note 5 2 36 3" xfId="32201"/>
    <cellStyle name="Note 5 2 37" xfId="3993"/>
    <cellStyle name="Note 5 2 37 2" xfId="18789"/>
    <cellStyle name="Note 5 2 37 2 2" xfId="45797"/>
    <cellStyle name="Note 5 2 37 3" xfId="32293"/>
    <cellStyle name="Note 5 2 38" xfId="4099"/>
    <cellStyle name="Note 5 2 38 2" xfId="18881"/>
    <cellStyle name="Note 5 2 38 2 2" xfId="45889"/>
    <cellStyle name="Note 5 2 38 3" xfId="32385"/>
    <cellStyle name="Note 5 2 39" xfId="4205"/>
    <cellStyle name="Note 5 2 39 2" xfId="18973"/>
    <cellStyle name="Note 5 2 39 2 2" xfId="45981"/>
    <cellStyle name="Note 5 2 39 3" xfId="32477"/>
    <cellStyle name="Note 5 2 4" xfId="483"/>
    <cellStyle name="Note 5 2 4 2" xfId="15739"/>
    <cellStyle name="Note 5 2 4 2 2" xfId="42747"/>
    <cellStyle name="Note 5 2 4 3" xfId="29243"/>
    <cellStyle name="Note 5 2 40" xfId="4311"/>
    <cellStyle name="Note 5 2 40 2" xfId="19065"/>
    <cellStyle name="Note 5 2 40 2 2" xfId="46073"/>
    <cellStyle name="Note 5 2 40 3" xfId="32569"/>
    <cellStyle name="Note 5 2 41" xfId="4417"/>
    <cellStyle name="Note 5 2 41 2" xfId="19157"/>
    <cellStyle name="Note 5 2 41 2 2" xfId="46165"/>
    <cellStyle name="Note 5 2 41 3" xfId="32661"/>
    <cellStyle name="Note 5 2 42" xfId="4523"/>
    <cellStyle name="Note 5 2 42 2" xfId="19249"/>
    <cellStyle name="Note 5 2 42 2 2" xfId="46257"/>
    <cellStyle name="Note 5 2 42 3" xfId="32753"/>
    <cellStyle name="Note 5 2 43" xfId="4629"/>
    <cellStyle name="Note 5 2 43 2" xfId="19341"/>
    <cellStyle name="Note 5 2 43 2 2" xfId="46349"/>
    <cellStyle name="Note 5 2 43 3" xfId="32845"/>
    <cellStyle name="Note 5 2 44" xfId="4735"/>
    <cellStyle name="Note 5 2 44 2" xfId="19433"/>
    <cellStyle name="Note 5 2 44 2 2" xfId="46441"/>
    <cellStyle name="Note 5 2 44 3" xfId="32937"/>
    <cellStyle name="Note 5 2 45" xfId="4841"/>
    <cellStyle name="Note 5 2 45 2" xfId="19525"/>
    <cellStyle name="Note 5 2 45 2 2" xfId="46533"/>
    <cellStyle name="Note 5 2 45 3" xfId="33029"/>
    <cellStyle name="Note 5 2 46" xfId="4947"/>
    <cellStyle name="Note 5 2 46 2" xfId="19617"/>
    <cellStyle name="Note 5 2 46 2 2" xfId="46625"/>
    <cellStyle name="Note 5 2 46 3" xfId="33121"/>
    <cellStyle name="Note 5 2 47" xfId="5053"/>
    <cellStyle name="Note 5 2 47 2" xfId="19709"/>
    <cellStyle name="Note 5 2 47 2 2" xfId="46717"/>
    <cellStyle name="Note 5 2 47 3" xfId="33213"/>
    <cellStyle name="Note 5 2 48" xfId="5159"/>
    <cellStyle name="Note 5 2 48 2" xfId="19801"/>
    <cellStyle name="Note 5 2 48 2 2" xfId="46809"/>
    <cellStyle name="Note 5 2 48 3" xfId="33305"/>
    <cellStyle name="Note 5 2 49" xfId="5265"/>
    <cellStyle name="Note 5 2 49 2" xfId="19893"/>
    <cellStyle name="Note 5 2 49 2 2" xfId="46901"/>
    <cellStyle name="Note 5 2 49 3" xfId="33397"/>
    <cellStyle name="Note 5 2 5" xfId="601"/>
    <cellStyle name="Note 5 2 5 2" xfId="15845"/>
    <cellStyle name="Note 5 2 5 2 2" xfId="42853"/>
    <cellStyle name="Note 5 2 5 3" xfId="29349"/>
    <cellStyle name="Note 5 2 50" xfId="5371"/>
    <cellStyle name="Note 5 2 50 2" xfId="19985"/>
    <cellStyle name="Note 5 2 50 2 2" xfId="46993"/>
    <cellStyle name="Note 5 2 50 3" xfId="33489"/>
    <cellStyle name="Note 5 2 51" xfId="5477"/>
    <cellStyle name="Note 5 2 51 2" xfId="20077"/>
    <cellStyle name="Note 5 2 51 2 2" xfId="47085"/>
    <cellStyle name="Note 5 2 51 3" xfId="33581"/>
    <cellStyle name="Note 5 2 52" xfId="5583"/>
    <cellStyle name="Note 5 2 52 2" xfId="20169"/>
    <cellStyle name="Note 5 2 52 2 2" xfId="47177"/>
    <cellStyle name="Note 5 2 52 3" xfId="33673"/>
    <cellStyle name="Note 5 2 53" xfId="5689"/>
    <cellStyle name="Note 5 2 53 2" xfId="20261"/>
    <cellStyle name="Note 5 2 53 2 2" xfId="47269"/>
    <cellStyle name="Note 5 2 53 3" xfId="33765"/>
    <cellStyle name="Note 5 2 54" xfId="5795"/>
    <cellStyle name="Note 5 2 54 2" xfId="20353"/>
    <cellStyle name="Note 5 2 54 2 2" xfId="47361"/>
    <cellStyle name="Note 5 2 54 3" xfId="33857"/>
    <cellStyle name="Note 5 2 55" xfId="5901"/>
    <cellStyle name="Note 5 2 55 2" xfId="20445"/>
    <cellStyle name="Note 5 2 55 2 2" xfId="47453"/>
    <cellStyle name="Note 5 2 55 3" xfId="33949"/>
    <cellStyle name="Note 5 2 56" xfId="6007"/>
    <cellStyle name="Note 5 2 56 2" xfId="20537"/>
    <cellStyle name="Note 5 2 56 2 2" xfId="47545"/>
    <cellStyle name="Note 5 2 56 3" xfId="34041"/>
    <cellStyle name="Note 5 2 57" xfId="6113"/>
    <cellStyle name="Note 5 2 57 2" xfId="20629"/>
    <cellStyle name="Note 5 2 57 2 2" xfId="47637"/>
    <cellStyle name="Note 5 2 57 3" xfId="34133"/>
    <cellStyle name="Note 5 2 58" xfId="6219"/>
    <cellStyle name="Note 5 2 58 2" xfId="20721"/>
    <cellStyle name="Note 5 2 58 2 2" xfId="47729"/>
    <cellStyle name="Note 5 2 58 3" xfId="34225"/>
    <cellStyle name="Note 5 2 59" xfId="6325"/>
    <cellStyle name="Note 5 2 59 2" xfId="20813"/>
    <cellStyle name="Note 5 2 59 2 2" xfId="47821"/>
    <cellStyle name="Note 5 2 59 3" xfId="34317"/>
    <cellStyle name="Note 5 2 6" xfId="707"/>
    <cellStyle name="Note 5 2 6 2" xfId="15937"/>
    <cellStyle name="Note 5 2 6 2 2" xfId="42945"/>
    <cellStyle name="Note 5 2 6 3" xfId="29441"/>
    <cellStyle name="Note 5 2 60" xfId="6431"/>
    <cellStyle name="Note 5 2 60 2" xfId="20905"/>
    <cellStyle name="Note 5 2 60 2 2" xfId="47913"/>
    <cellStyle name="Note 5 2 60 3" xfId="34409"/>
    <cellStyle name="Note 5 2 61" xfId="6537"/>
    <cellStyle name="Note 5 2 61 2" xfId="20997"/>
    <cellStyle name="Note 5 2 61 2 2" xfId="48005"/>
    <cellStyle name="Note 5 2 61 3" xfId="34501"/>
    <cellStyle name="Note 5 2 62" xfId="6642"/>
    <cellStyle name="Note 5 2 62 2" xfId="21088"/>
    <cellStyle name="Note 5 2 62 2 2" xfId="48096"/>
    <cellStyle name="Note 5 2 62 3" xfId="34592"/>
    <cellStyle name="Note 5 2 63" xfId="6747"/>
    <cellStyle name="Note 5 2 63 2" xfId="21179"/>
    <cellStyle name="Note 5 2 63 2 2" xfId="48187"/>
    <cellStyle name="Note 5 2 63 3" xfId="34683"/>
    <cellStyle name="Note 5 2 64" xfId="6852"/>
    <cellStyle name="Note 5 2 64 2" xfId="21270"/>
    <cellStyle name="Note 5 2 64 2 2" xfId="48278"/>
    <cellStyle name="Note 5 2 64 3" xfId="34774"/>
    <cellStyle name="Note 5 2 65" xfId="6957"/>
    <cellStyle name="Note 5 2 65 2" xfId="21361"/>
    <cellStyle name="Note 5 2 65 2 2" xfId="48369"/>
    <cellStyle name="Note 5 2 65 3" xfId="34865"/>
    <cellStyle name="Note 5 2 66" xfId="7061"/>
    <cellStyle name="Note 5 2 66 2" xfId="21451"/>
    <cellStyle name="Note 5 2 66 2 2" xfId="48459"/>
    <cellStyle name="Note 5 2 66 3" xfId="34955"/>
    <cellStyle name="Note 5 2 67" xfId="7165"/>
    <cellStyle name="Note 5 2 67 2" xfId="21541"/>
    <cellStyle name="Note 5 2 67 2 2" xfId="48549"/>
    <cellStyle name="Note 5 2 67 3" xfId="35045"/>
    <cellStyle name="Note 5 2 68" xfId="7268"/>
    <cellStyle name="Note 5 2 68 2" xfId="21630"/>
    <cellStyle name="Note 5 2 68 2 2" xfId="48638"/>
    <cellStyle name="Note 5 2 68 3" xfId="35134"/>
    <cellStyle name="Note 5 2 69" xfId="7368"/>
    <cellStyle name="Note 5 2 69 2" xfId="21717"/>
    <cellStyle name="Note 5 2 69 2 2" xfId="48725"/>
    <cellStyle name="Note 5 2 69 3" xfId="35221"/>
    <cellStyle name="Note 5 2 7" xfId="813"/>
    <cellStyle name="Note 5 2 7 2" xfId="16029"/>
    <cellStyle name="Note 5 2 7 2 2" xfId="43037"/>
    <cellStyle name="Note 5 2 7 3" xfId="29533"/>
    <cellStyle name="Note 5 2 70" xfId="7466"/>
    <cellStyle name="Note 5 2 70 2" xfId="21802"/>
    <cellStyle name="Note 5 2 70 2 2" xfId="48810"/>
    <cellStyle name="Note 5 2 70 3" xfId="35306"/>
    <cellStyle name="Note 5 2 71" xfId="7555"/>
    <cellStyle name="Note 5 2 71 2" xfId="21880"/>
    <cellStyle name="Note 5 2 71 2 2" xfId="48888"/>
    <cellStyle name="Note 5 2 71 3" xfId="35384"/>
    <cellStyle name="Note 5 2 72" xfId="7811"/>
    <cellStyle name="Note 5 2 72 2" xfId="22101"/>
    <cellStyle name="Note 5 2 72 2 2" xfId="49109"/>
    <cellStyle name="Note 5 2 72 3" xfId="35605"/>
    <cellStyle name="Note 5 2 73" xfId="7953"/>
    <cellStyle name="Note 5 2 73 2" xfId="22229"/>
    <cellStyle name="Note 5 2 73 2 2" xfId="49237"/>
    <cellStyle name="Note 5 2 73 3" xfId="35733"/>
    <cellStyle name="Note 5 2 74" xfId="8095"/>
    <cellStyle name="Note 5 2 74 2" xfId="22357"/>
    <cellStyle name="Note 5 2 74 2 2" xfId="49365"/>
    <cellStyle name="Note 5 2 74 3" xfId="35861"/>
    <cellStyle name="Note 5 2 75" xfId="8237"/>
    <cellStyle name="Note 5 2 75 2" xfId="22485"/>
    <cellStyle name="Note 5 2 75 2 2" xfId="49493"/>
    <cellStyle name="Note 5 2 75 3" xfId="35989"/>
    <cellStyle name="Note 5 2 76" xfId="8379"/>
    <cellStyle name="Note 5 2 76 2" xfId="22613"/>
    <cellStyle name="Note 5 2 76 2 2" xfId="49621"/>
    <cellStyle name="Note 5 2 76 3" xfId="36117"/>
    <cellStyle name="Note 5 2 77" xfId="8521"/>
    <cellStyle name="Note 5 2 77 2" xfId="22741"/>
    <cellStyle name="Note 5 2 77 2 2" xfId="49749"/>
    <cellStyle name="Note 5 2 77 3" xfId="36245"/>
    <cellStyle name="Note 5 2 78" xfId="8663"/>
    <cellStyle name="Note 5 2 78 2" xfId="22869"/>
    <cellStyle name="Note 5 2 78 2 2" xfId="49877"/>
    <cellStyle name="Note 5 2 78 3" xfId="36373"/>
    <cellStyle name="Note 5 2 79" xfId="8805"/>
    <cellStyle name="Note 5 2 79 2" xfId="22997"/>
    <cellStyle name="Note 5 2 79 2 2" xfId="50005"/>
    <cellStyle name="Note 5 2 79 3" xfId="36501"/>
    <cellStyle name="Note 5 2 8" xfId="919"/>
    <cellStyle name="Note 5 2 8 2" xfId="16121"/>
    <cellStyle name="Note 5 2 8 2 2" xfId="43129"/>
    <cellStyle name="Note 5 2 8 3" xfId="29625"/>
    <cellStyle name="Note 5 2 80" xfId="8947"/>
    <cellStyle name="Note 5 2 80 2" xfId="23125"/>
    <cellStyle name="Note 5 2 80 2 2" xfId="50133"/>
    <cellStyle name="Note 5 2 80 3" xfId="36629"/>
    <cellStyle name="Note 5 2 81" xfId="9089"/>
    <cellStyle name="Note 5 2 81 2" xfId="23253"/>
    <cellStyle name="Note 5 2 81 2 2" xfId="50261"/>
    <cellStyle name="Note 5 2 81 3" xfId="36757"/>
    <cellStyle name="Note 5 2 82" xfId="9231"/>
    <cellStyle name="Note 5 2 82 2" xfId="23381"/>
    <cellStyle name="Note 5 2 82 2 2" xfId="50389"/>
    <cellStyle name="Note 5 2 82 3" xfId="36885"/>
    <cellStyle name="Note 5 2 83" xfId="9373"/>
    <cellStyle name="Note 5 2 83 2" xfId="23509"/>
    <cellStyle name="Note 5 2 83 2 2" xfId="50517"/>
    <cellStyle name="Note 5 2 83 3" xfId="37013"/>
    <cellStyle name="Note 5 2 84" xfId="9515"/>
    <cellStyle name="Note 5 2 84 2" xfId="23637"/>
    <cellStyle name="Note 5 2 84 2 2" xfId="50645"/>
    <cellStyle name="Note 5 2 84 3" xfId="37141"/>
    <cellStyle name="Note 5 2 85" xfId="9657"/>
    <cellStyle name="Note 5 2 85 2" xfId="23765"/>
    <cellStyle name="Note 5 2 85 2 2" xfId="50773"/>
    <cellStyle name="Note 5 2 85 3" xfId="37269"/>
    <cellStyle name="Note 5 2 86" xfId="9799"/>
    <cellStyle name="Note 5 2 86 2" xfId="23893"/>
    <cellStyle name="Note 5 2 86 2 2" xfId="50901"/>
    <cellStyle name="Note 5 2 86 3" xfId="37397"/>
    <cellStyle name="Note 5 2 87" xfId="9941"/>
    <cellStyle name="Note 5 2 87 2" xfId="24021"/>
    <cellStyle name="Note 5 2 87 2 2" xfId="51029"/>
    <cellStyle name="Note 5 2 87 3" xfId="37525"/>
    <cellStyle name="Note 5 2 88" xfId="10083"/>
    <cellStyle name="Note 5 2 88 2" xfId="24149"/>
    <cellStyle name="Note 5 2 88 2 2" xfId="51157"/>
    <cellStyle name="Note 5 2 88 3" xfId="37653"/>
    <cellStyle name="Note 5 2 89" xfId="10225"/>
    <cellStyle name="Note 5 2 89 2" xfId="24277"/>
    <cellStyle name="Note 5 2 89 2 2" xfId="51285"/>
    <cellStyle name="Note 5 2 89 3" xfId="37781"/>
    <cellStyle name="Note 5 2 9" xfId="1025"/>
    <cellStyle name="Note 5 2 9 2" xfId="16213"/>
    <cellStyle name="Note 5 2 9 2 2" xfId="43221"/>
    <cellStyle name="Note 5 2 9 3" xfId="29717"/>
    <cellStyle name="Note 5 2 90" xfId="10367"/>
    <cellStyle name="Note 5 2 90 2" xfId="24405"/>
    <cellStyle name="Note 5 2 90 2 2" xfId="51413"/>
    <cellStyle name="Note 5 2 90 3" xfId="37909"/>
    <cellStyle name="Note 5 2 91" xfId="10509"/>
    <cellStyle name="Note 5 2 91 2" xfId="24533"/>
    <cellStyle name="Note 5 2 91 2 2" xfId="51541"/>
    <cellStyle name="Note 5 2 91 3" xfId="38037"/>
    <cellStyle name="Note 5 2 92" xfId="10651"/>
    <cellStyle name="Note 5 2 92 2" xfId="24661"/>
    <cellStyle name="Note 5 2 92 2 2" xfId="51669"/>
    <cellStyle name="Note 5 2 92 3" xfId="38165"/>
    <cellStyle name="Note 5 2 93" xfId="10793"/>
    <cellStyle name="Note 5 2 93 2" xfId="24789"/>
    <cellStyle name="Note 5 2 93 2 2" xfId="51797"/>
    <cellStyle name="Note 5 2 93 3" xfId="38293"/>
    <cellStyle name="Note 5 2 94" xfId="10935"/>
    <cellStyle name="Note 5 2 94 2" xfId="24917"/>
    <cellStyle name="Note 5 2 94 2 2" xfId="51925"/>
    <cellStyle name="Note 5 2 94 3" xfId="38421"/>
    <cellStyle name="Note 5 2 95" xfId="11077"/>
    <cellStyle name="Note 5 2 95 2" xfId="25045"/>
    <cellStyle name="Note 5 2 95 2 2" xfId="52053"/>
    <cellStyle name="Note 5 2 95 3" xfId="38549"/>
    <cellStyle name="Note 5 2 96" xfId="11219"/>
    <cellStyle name="Note 5 2 96 2" xfId="25173"/>
    <cellStyle name="Note 5 2 96 2 2" xfId="52181"/>
    <cellStyle name="Note 5 2 96 3" xfId="38677"/>
    <cellStyle name="Note 5 2 97" xfId="11361"/>
    <cellStyle name="Note 5 2 97 2" xfId="25301"/>
    <cellStyle name="Note 5 2 97 2 2" xfId="52309"/>
    <cellStyle name="Note 5 2 97 3" xfId="38805"/>
    <cellStyle name="Note 5 2 98" xfId="11503"/>
    <cellStyle name="Note 5 2 98 2" xfId="25429"/>
    <cellStyle name="Note 5 2 98 2 2" xfId="52437"/>
    <cellStyle name="Note 5 2 98 3" xfId="38933"/>
    <cellStyle name="Note 5 2 99" xfId="11645"/>
    <cellStyle name="Note 5 2 99 2" xfId="25557"/>
    <cellStyle name="Note 5 2 99 2 2" xfId="52565"/>
    <cellStyle name="Note 5 2 99 3" xfId="39061"/>
    <cellStyle name="Note 5 20" xfId="2050"/>
    <cellStyle name="Note 5 20 2" xfId="17107"/>
    <cellStyle name="Note 5 20 2 2" xfId="44115"/>
    <cellStyle name="Note 5 20 3" xfId="30611"/>
    <cellStyle name="Note 5 21" xfId="2156"/>
    <cellStyle name="Note 5 21 2" xfId="17199"/>
    <cellStyle name="Note 5 21 2 2" xfId="44207"/>
    <cellStyle name="Note 5 21 3" xfId="30703"/>
    <cellStyle name="Note 5 22" xfId="2262"/>
    <cellStyle name="Note 5 22 2" xfId="17291"/>
    <cellStyle name="Note 5 22 2 2" xfId="44299"/>
    <cellStyle name="Note 5 22 3" xfId="30795"/>
    <cellStyle name="Note 5 23" xfId="2368"/>
    <cellStyle name="Note 5 23 2" xfId="17383"/>
    <cellStyle name="Note 5 23 2 2" xfId="44391"/>
    <cellStyle name="Note 5 23 3" xfId="30887"/>
    <cellStyle name="Note 5 24" xfId="2474"/>
    <cellStyle name="Note 5 24 2" xfId="17475"/>
    <cellStyle name="Note 5 24 2 2" xfId="44483"/>
    <cellStyle name="Note 5 24 3" xfId="30979"/>
    <cellStyle name="Note 5 25" xfId="2580"/>
    <cellStyle name="Note 5 25 2" xfId="17567"/>
    <cellStyle name="Note 5 25 2 2" xfId="44575"/>
    <cellStyle name="Note 5 25 3" xfId="31071"/>
    <cellStyle name="Note 5 26" xfId="2686"/>
    <cellStyle name="Note 5 26 2" xfId="17659"/>
    <cellStyle name="Note 5 26 2 2" xfId="44667"/>
    <cellStyle name="Note 5 26 3" xfId="31163"/>
    <cellStyle name="Note 5 27" xfId="2792"/>
    <cellStyle name="Note 5 27 2" xfId="17751"/>
    <cellStyle name="Note 5 27 2 2" xfId="44759"/>
    <cellStyle name="Note 5 27 3" xfId="31255"/>
    <cellStyle name="Note 5 28" xfId="2898"/>
    <cellStyle name="Note 5 28 2" xfId="17843"/>
    <cellStyle name="Note 5 28 2 2" xfId="44851"/>
    <cellStyle name="Note 5 28 3" xfId="31347"/>
    <cellStyle name="Note 5 29" xfId="3004"/>
    <cellStyle name="Note 5 29 2" xfId="17935"/>
    <cellStyle name="Note 5 29 2 2" xfId="44943"/>
    <cellStyle name="Note 5 29 3" xfId="31439"/>
    <cellStyle name="Note 5 3" xfId="144"/>
    <cellStyle name="Note 5 3 10" xfId="1249"/>
    <cellStyle name="Note 5 3 10 2" xfId="16407"/>
    <cellStyle name="Note 5 3 10 2 2" xfId="43415"/>
    <cellStyle name="Note 5 3 10 3" xfId="29911"/>
    <cellStyle name="Note 5 3 100" xfId="11798"/>
    <cellStyle name="Note 5 3 100 2" xfId="25696"/>
    <cellStyle name="Note 5 3 100 2 2" xfId="52704"/>
    <cellStyle name="Note 5 3 100 3" xfId="39200"/>
    <cellStyle name="Note 5 3 101" xfId="11940"/>
    <cellStyle name="Note 5 3 101 2" xfId="25824"/>
    <cellStyle name="Note 5 3 101 2 2" xfId="52832"/>
    <cellStyle name="Note 5 3 101 3" xfId="39328"/>
    <cellStyle name="Note 5 3 102" xfId="12082"/>
    <cellStyle name="Note 5 3 102 2" xfId="25952"/>
    <cellStyle name="Note 5 3 102 2 2" xfId="52960"/>
    <cellStyle name="Note 5 3 102 3" xfId="39456"/>
    <cellStyle name="Note 5 3 103" xfId="12224"/>
    <cellStyle name="Note 5 3 103 2" xfId="26080"/>
    <cellStyle name="Note 5 3 103 2 2" xfId="53088"/>
    <cellStyle name="Note 5 3 103 3" xfId="39584"/>
    <cellStyle name="Note 5 3 104" xfId="12366"/>
    <cellStyle name="Note 5 3 104 2" xfId="26208"/>
    <cellStyle name="Note 5 3 104 2 2" xfId="53216"/>
    <cellStyle name="Note 5 3 104 3" xfId="39712"/>
    <cellStyle name="Note 5 3 105" xfId="12508"/>
    <cellStyle name="Note 5 3 105 2" xfId="26336"/>
    <cellStyle name="Note 5 3 105 2 2" xfId="53344"/>
    <cellStyle name="Note 5 3 105 3" xfId="39840"/>
    <cellStyle name="Note 5 3 106" xfId="12650"/>
    <cellStyle name="Note 5 3 106 2" xfId="26464"/>
    <cellStyle name="Note 5 3 106 2 2" xfId="53472"/>
    <cellStyle name="Note 5 3 106 3" xfId="39968"/>
    <cellStyle name="Note 5 3 107" xfId="12792"/>
    <cellStyle name="Note 5 3 107 2" xfId="26592"/>
    <cellStyle name="Note 5 3 107 2 2" xfId="53600"/>
    <cellStyle name="Note 5 3 107 3" xfId="40096"/>
    <cellStyle name="Note 5 3 108" xfId="12934"/>
    <cellStyle name="Note 5 3 108 2" xfId="26720"/>
    <cellStyle name="Note 5 3 108 2 2" xfId="53728"/>
    <cellStyle name="Note 5 3 108 3" xfId="40224"/>
    <cellStyle name="Note 5 3 109" xfId="13076"/>
    <cellStyle name="Note 5 3 109 2" xfId="26848"/>
    <cellStyle name="Note 5 3 109 2 2" xfId="53856"/>
    <cellStyle name="Note 5 3 109 3" xfId="40352"/>
    <cellStyle name="Note 5 3 11" xfId="1355"/>
    <cellStyle name="Note 5 3 11 2" xfId="16499"/>
    <cellStyle name="Note 5 3 11 2 2" xfId="43507"/>
    <cellStyle name="Note 5 3 11 3" xfId="30003"/>
    <cellStyle name="Note 5 3 110" xfId="13218"/>
    <cellStyle name="Note 5 3 110 2" xfId="26976"/>
    <cellStyle name="Note 5 3 110 2 2" xfId="53984"/>
    <cellStyle name="Note 5 3 110 3" xfId="40480"/>
    <cellStyle name="Note 5 3 111" xfId="13360"/>
    <cellStyle name="Note 5 3 111 2" xfId="27104"/>
    <cellStyle name="Note 5 3 111 2 2" xfId="54112"/>
    <cellStyle name="Note 5 3 111 3" xfId="40608"/>
    <cellStyle name="Note 5 3 112" xfId="13502"/>
    <cellStyle name="Note 5 3 112 2" xfId="27232"/>
    <cellStyle name="Note 5 3 112 2 2" xfId="54240"/>
    <cellStyle name="Note 5 3 112 3" xfId="40736"/>
    <cellStyle name="Note 5 3 113" xfId="13644"/>
    <cellStyle name="Note 5 3 113 2" xfId="27360"/>
    <cellStyle name="Note 5 3 113 2 2" xfId="54368"/>
    <cellStyle name="Note 5 3 113 3" xfId="40864"/>
    <cellStyle name="Note 5 3 114" xfId="13786"/>
    <cellStyle name="Note 5 3 114 2" xfId="27488"/>
    <cellStyle name="Note 5 3 114 2 2" xfId="54496"/>
    <cellStyle name="Note 5 3 114 3" xfId="40992"/>
    <cellStyle name="Note 5 3 115" xfId="13927"/>
    <cellStyle name="Note 5 3 115 2" xfId="27615"/>
    <cellStyle name="Note 5 3 115 2 2" xfId="54623"/>
    <cellStyle name="Note 5 3 115 3" xfId="41119"/>
    <cellStyle name="Note 5 3 116" xfId="14068"/>
    <cellStyle name="Note 5 3 116 2" xfId="27742"/>
    <cellStyle name="Note 5 3 116 2 2" xfId="54750"/>
    <cellStyle name="Note 5 3 116 3" xfId="41246"/>
    <cellStyle name="Note 5 3 117" xfId="14209"/>
    <cellStyle name="Note 5 3 117 2" xfId="27869"/>
    <cellStyle name="Note 5 3 117 2 2" xfId="54877"/>
    <cellStyle name="Note 5 3 117 3" xfId="41373"/>
    <cellStyle name="Note 5 3 118" xfId="14350"/>
    <cellStyle name="Note 5 3 118 2" xfId="27996"/>
    <cellStyle name="Note 5 3 118 2 2" xfId="55004"/>
    <cellStyle name="Note 5 3 118 3" xfId="41500"/>
    <cellStyle name="Note 5 3 119" xfId="14490"/>
    <cellStyle name="Note 5 3 119 2" xfId="28122"/>
    <cellStyle name="Note 5 3 119 2 2" xfId="55130"/>
    <cellStyle name="Note 5 3 119 3" xfId="41626"/>
    <cellStyle name="Note 5 3 12" xfId="1461"/>
    <cellStyle name="Note 5 3 12 2" xfId="16591"/>
    <cellStyle name="Note 5 3 12 2 2" xfId="43599"/>
    <cellStyle name="Note 5 3 12 3" xfId="30095"/>
    <cellStyle name="Note 5 3 120" xfId="14630"/>
    <cellStyle name="Note 5 3 120 2" xfId="28248"/>
    <cellStyle name="Note 5 3 120 2 2" xfId="55256"/>
    <cellStyle name="Note 5 3 120 3" xfId="41752"/>
    <cellStyle name="Note 5 3 121" xfId="14769"/>
    <cellStyle name="Note 5 3 121 2" xfId="28373"/>
    <cellStyle name="Note 5 3 121 2 2" xfId="55381"/>
    <cellStyle name="Note 5 3 121 3" xfId="41877"/>
    <cellStyle name="Note 5 3 122" xfId="14904"/>
    <cellStyle name="Note 5 3 122 2" xfId="28495"/>
    <cellStyle name="Note 5 3 122 2 2" xfId="55503"/>
    <cellStyle name="Note 5 3 122 3" xfId="41999"/>
    <cellStyle name="Note 5 3 123" xfId="15038"/>
    <cellStyle name="Note 5 3 123 2" xfId="28616"/>
    <cellStyle name="Note 5 3 123 2 2" xfId="55624"/>
    <cellStyle name="Note 5 3 123 3" xfId="42120"/>
    <cellStyle name="Note 5 3 124" xfId="15165"/>
    <cellStyle name="Note 5 3 124 2" xfId="28732"/>
    <cellStyle name="Note 5 3 124 2 2" xfId="55740"/>
    <cellStyle name="Note 5 3 124 3" xfId="42236"/>
    <cellStyle name="Note 5 3 125" xfId="15285"/>
    <cellStyle name="Note 5 3 125 2" xfId="28845"/>
    <cellStyle name="Note 5 3 125 2 2" xfId="55853"/>
    <cellStyle name="Note 5 3 125 3" xfId="42349"/>
    <cellStyle name="Note 5 3 126" xfId="15500"/>
    <cellStyle name="Note 5 3 126 2" xfId="42508"/>
    <cellStyle name="Note 5 3 127" xfId="29004"/>
    <cellStyle name="Note 5 3 13" xfId="1567"/>
    <cellStyle name="Note 5 3 13 2" xfId="16683"/>
    <cellStyle name="Note 5 3 13 2 2" xfId="43691"/>
    <cellStyle name="Note 5 3 13 3" xfId="30187"/>
    <cellStyle name="Note 5 3 14" xfId="1673"/>
    <cellStyle name="Note 5 3 14 2" xfId="16775"/>
    <cellStyle name="Note 5 3 14 2 2" xfId="43783"/>
    <cellStyle name="Note 5 3 14 3" xfId="30279"/>
    <cellStyle name="Note 5 3 15" xfId="1779"/>
    <cellStyle name="Note 5 3 15 2" xfId="16867"/>
    <cellStyle name="Note 5 3 15 2 2" xfId="43875"/>
    <cellStyle name="Note 5 3 15 3" xfId="30371"/>
    <cellStyle name="Note 5 3 16" xfId="1885"/>
    <cellStyle name="Note 5 3 16 2" xfId="16959"/>
    <cellStyle name="Note 5 3 16 2 2" xfId="43967"/>
    <cellStyle name="Note 5 3 16 3" xfId="30463"/>
    <cellStyle name="Note 5 3 17" xfId="1991"/>
    <cellStyle name="Note 5 3 17 2" xfId="17051"/>
    <cellStyle name="Note 5 3 17 2 2" xfId="44059"/>
    <cellStyle name="Note 5 3 17 3" xfId="30555"/>
    <cellStyle name="Note 5 3 18" xfId="2097"/>
    <cellStyle name="Note 5 3 18 2" xfId="17143"/>
    <cellStyle name="Note 5 3 18 2 2" xfId="44151"/>
    <cellStyle name="Note 5 3 18 3" xfId="30647"/>
    <cellStyle name="Note 5 3 19" xfId="2203"/>
    <cellStyle name="Note 5 3 19 2" xfId="17235"/>
    <cellStyle name="Note 5 3 19 2 2" xfId="44243"/>
    <cellStyle name="Note 5 3 19 3" xfId="30739"/>
    <cellStyle name="Note 5 3 2" xfId="321"/>
    <cellStyle name="Note 5 3 2 2" xfId="15623"/>
    <cellStyle name="Note 5 3 2 2 2" xfId="42631"/>
    <cellStyle name="Note 5 3 2 3" xfId="29127"/>
    <cellStyle name="Note 5 3 20" xfId="2309"/>
    <cellStyle name="Note 5 3 20 2" xfId="17327"/>
    <cellStyle name="Note 5 3 20 2 2" xfId="44335"/>
    <cellStyle name="Note 5 3 20 3" xfId="30831"/>
    <cellStyle name="Note 5 3 21" xfId="2415"/>
    <cellStyle name="Note 5 3 21 2" xfId="17419"/>
    <cellStyle name="Note 5 3 21 2 2" xfId="44427"/>
    <cellStyle name="Note 5 3 21 3" xfId="30923"/>
    <cellStyle name="Note 5 3 22" xfId="2521"/>
    <cellStyle name="Note 5 3 22 2" xfId="17511"/>
    <cellStyle name="Note 5 3 22 2 2" xfId="44519"/>
    <cellStyle name="Note 5 3 22 3" xfId="31015"/>
    <cellStyle name="Note 5 3 23" xfId="2627"/>
    <cellStyle name="Note 5 3 23 2" xfId="17603"/>
    <cellStyle name="Note 5 3 23 2 2" xfId="44611"/>
    <cellStyle name="Note 5 3 23 3" xfId="31107"/>
    <cellStyle name="Note 5 3 24" xfId="2733"/>
    <cellStyle name="Note 5 3 24 2" xfId="17695"/>
    <cellStyle name="Note 5 3 24 2 2" xfId="44703"/>
    <cellStyle name="Note 5 3 24 3" xfId="31199"/>
    <cellStyle name="Note 5 3 25" xfId="2839"/>
    <cellStyle name="Note 5 3 25 2" xfId="17787"/>
    <cellStyle name="Note 5 3 25 2 2" xfId="44795"/>
    <cellStyle name="Note 5 3 25 3" xfId="31291"/>
    <cellStyle name="Note 5 3 26" xfId="2945"/>
    <cellStyle name="Note 5 3 26 2" xfId="17879"/>
    <cellStyle name="Note 5 3 26 2 2" xfId="44887"/>
    <cellStyle name="Note 5 3 26 3" xfId="31383"/>
    <cellStyle name="Note 5 3 27" xfId="3051"/>
    <cellStyle name="Note 5 3 27 2" xfId="17971"/>
    <cellStyle name="Note 5 3 27 2 2" xfId="44979"/>
    <cellStyle name="Note 5 3 27 3" xfId="31475"/>
    <cellStyle name="Note 5 3 28" xfId="3157"/>
    <cellStyle name="Note 5 3 28 2" xfId="18063"/>
    <cellStyle name="Note 5 3 28 2 2" xfId="45071"/>
    <cellStyle name="Note 5 3 28 3" xfId="31567"/>
    <cellStyle name="Note 5 3 29" xfId="3263"/>
    <cellStyle name="Note 5 3 29 2" xfId="18155"/>
    <cellStyle name="Note 5 3 29 2 2" xfId="45163"/>
    <cellStyle name="Note 5 3 29 3" xfId="31659"/>
    <cellStyle name="Note 5 3 3" xfId="508"/>
    <cellStyle name="Note 5 3 3 2" xfId="15764"/>
    <cellStyle name="Note 5 3 3 2 2" xfId="42772"/>
    <cellStyle name="Note 5 3 3 3" xfId="29268"/>
    <cellStyle name="Note 5 3 30" xfId="3369"/>
    <cellStyle name="Note 5 3 30 2" xfId="18247"/>
    <cellStyle name="Note 5 3 30 2 2" xfId="45255"/>
    <cellStyle name="Note 5 3 30 3" xfId="31751"/>
    <cellStyle name="Note 5 3 31" xfId="3475"/>
    <cellStyle name="Note 5 3 31 2" xfId="18339"/>
    <cellStyle name="Note 5 3 31 2 2" xfId="45347"/>
    <cellStyle name="Note 5 3 31 3" xfId="31843"/>
    <cellStyle name="Note 5 3 32" xfId="3581"/>
    <cellStyle name="Note 5 3 32 2" xfId="18431"/>
    <cellStyle name="Note 5 3 32 2 2" xfId="45439"/>
    <cellStyle name="Note 5 3 32 3" xfId="31935"/>
    <cellStyle name="Note 5 3 33" xfId="3687"/>
    <cellStyle name="Note 5 3 33 2" xfId="18523"/>
    <cellStyle name="Note 5 3 33 2 2" xfId="45531"/>
    <cellStyle name="Note 5 3 33 3" xfId="32027"/>
    <cellStyle name="Note 5 3 34" xfId="3793"/>
    <cellStyle name="Note 5 3 34 2" xfId="18615"/>
    <cellStyle name="Note 5 3 34 2 2" xfId="45623"/>
    <cellStyle name="Note 5 3 34 3" xfId="32119"/>
    <cellStyle name="Note 5 3 35" xfId="3899"/>
    <cellStyle name="Note 5 3 35 2" xfId="18707"/>
    <cellStyle name="Note 5 3 35 2 2" xfId="45715"/>
    <cellStyle name="Note 5 3 35 3" xfId="32211"/>
    <cellStyle name="Note 5 3 36" xfId="4005"/>
    <cellStyle name="Note 5 3 36 2" xfId="18799"/>
    <cellStyle name="Note 5 3 36 2 2" xfId="45807"/>
    <cellStyle name="Note 5 3 36 3" xfId="32303"/>
    <cellStyle name="Note 5 3 37" xfId="4111"/>
    <cellStyle name="Note 5 3 37 2" xfId="18891"/>
    <cellStyle name="Note 5 3 37 2 2" xfId="45899"/>
    <cellStyle name="Note 5 3 37 3" xfId="32395"/>
    <cellStyle name="Note 5 3 38" xfId="4217"/>
    <cellStyle name="Note 5 3 38 2" xfId="18983"/>
    <cellStyle name="Note 5 3 38 2 2" xfId="45991"/>
    <cellStyle name="Note 5 3 38 3" xfId="32487"/>
    <cellStyle name="Note 5 3 39" xfId="4323"/>
    <cellStyle name="Note 5 3 39 2" xfId="19075"/>
    <cellStyle name="Note 5 3 39 2 2" xfId="46083"/>
    <cellStyle name="Note 5 3 39 3" xfId="32579"/>
    <cellStyle name="Note 5 3 4" xfId="613"/>
    <cellStyle name="Note 5 3 4 2" xfId="15855"/>
    <cellStyle name="Note 5 3 4 2 2" xfId="42863"/>
    <cellStyle name="Note 5 3 4 3" xfId="29359"/>
    <cellStyle name="Note 5 3 40" xfId="4429"/>
    <cellStyle name="Note 5 3 40 2" xfId="19167"/>
    <cellStyle name="Note 5 3 40 2 2" xfId="46175"/>
    <cellStyle name="Note 5 3 40 3" xfId="32671"/>
    <cellStyle name="Note 5 3 41" xfId="4535"/>
    <cellStyle name="Note 5 3 41 2" xfId="19259"/>
    <cellStyle name="Note 5 3 41 2 2" xfId="46267"/>
    <cellStyle name="Note 5 3 41 3" xfId="32763"/>
    <cellStyle name="Note 5 3 42" xfId="4641"/>
    <cellStyle name="Note 5 3 42 2" xfId="19351"/>
    <cellStyle name="Note 5 3 42 2 2" xfId="46359"/>
    <cellStyle name="Note 5 3 42 3" xfId="32855"/>
    <cellStyle name="Note 5 3 43" xfId="4747"/>
    <cellStyle name="Note 5 3 43 2" xfId="19443"/>
    <cellStyle name="Note 5 3 43 2 2" xfId="46451"/>
    <cellStyle name="Note 5 3 43 3" xfId="32947"/>
    <cellStyle name="Note 5 3 44" xfId="4853"/>
    <cellStyle name="Note 5 3 44 2" xfId="19535"/>
    <cellStyle name="Note 5 3 44 2 2" xfId="46543"/>
    <cellStyle name="Note 5 3 44 3" xfId="33039"/>
    <cellStyle name="Note 5 3 45" xfId="4959"/>
    <cellStyle name="Note 5 3 45 2" xfId="19627"/>
    <cellStyle name="Note 5 3 45 2 2" xfId="46635"/>
    <cellStyle name="Note 5 3 45 3" xfId="33131"/>
    <cellStyle name="Note 5 3 46" xfId="5065"/>
    <cellStyle name="Note 5 3 46 2" xfId="19719"/>
    <cellStyle name="Note 5 3 46 2 2" xfId="46727"/>
    <cellStyle name="Note 5 3 46 3" xfId="33223"/>
    <cellStyle name="Note 5 3 47" xfId="5171"/>
    <cellStyle name="Note 5 3 47 2" xfId="19811"/>
    <cellStyle name="Note 5 3 47 2 2" xfId="46819"/>
    <cellStyle name="Note 5 3 47 3" xfId="33315"/>
    <cellStyle name="Note 5 3 48" xfId="5277"/>
    <cellStyle name="Note 5 3 48 2" xfId="19903"/>
    <cellStyle name="Note 5 3 48 2 2" xfId="46911"/>
    <cellStyle name="Note 5 3 48 3" xfId="33407"/>
    <cellStyle name="Note 5 3 49" xfId="5383"/>
    <cellStyle name="Note 5 3 49 2" xfId="19995"/>
    <cellStyle name="Note 5 3 49 2 2" xfId="47003"/>
    <cellStyle name="Note 5 3 49 3" xfId="33499"/>
    <cellStyle name="Note 5 3 5" xfId="719"/>
    <cellStyle name="Note 5 3 5 2" xfId="15947"/>
    <cellStyle name="Note 5 3 5 2 2" xfId="42955"/>
    <cellStyle name="Note 5 3 5 3" xfId="29451"/>
    <cellStyle name="Note 5 3 50" xfId="5489"/>
    <cellStyle name="Note 5 3 50 2" xfId="20087"/>
    <cellStyle name="Note 5 3 50 2 2" xfId="47095"/>
    <cellStyle name="Note 5 3 50 3" xfId="33591"/>
    <cellStyle name="Note 5 3 51" xfId="5595"/>
    <cellStyle name="Note 5 3 51 2" xfId="20179"/>
    <cellStyle name="Note 5 3 51 2 2" xfId="47187"/>
    <cellStyle name="Note 5 3 51 3" xfId="33683"/>
    <cellStyle name="Note 5 3 52" xfId="5701"/>
    <cellStyle name="Note 5 3 52 2" xfId="20271"/>
    <cellStyle name="Note 5 3 52 2 2" xfId="47279"/>
    <cellStyle name="Note 5 3 52 3" xfId="33775"/>
    <cellStyle name="Note 5 3 53" xfId="5807"/>
    <cellStyle name="Note 5 3 53 2" xfId="20363"/>
    <cellStyle name="Note 5 3 53 2 2" xfId="47371"/>
    <cellStyle name="Note 5 3 53 3" xfId="33867"/>
    <cellStyle name="Note 5 3 54" xfId="5913"/>
    <cellStyle name="Note 5 3 54 2" xfId="20455"/>
    <cellStyle name="Note 5 3 54 2 2" xfId="47463"/>
    <cellStyle name="Note 5 3 54 3" xfId="33959"/>
    <cellStyle name="Note 5 3 55" xfId="6019"/>
    <cellStyle name="Note 5 3 55 2" xfId="20547"/>
    <cellStyle name="Note 5 3 55 2 2" xfId="47555"/>
    <cellStyle name="Note 5 3 55 3" xfId="34051"/>
    <cellStyle name="Note 5 3 56" xfId="6125"/>
    <cellStyle name="Note 5 3 56 2" xfId="20639"/>
    <cellStyle name="Note 5 3 56 2 2" xfId="47647"/>
    <cellStyle name="Note 5 3 56 3" xfId="34143"/>
    <cellStyle name="Note 5 3 57" xfId="6231"/>
    <cellStyle name="Note 5 3 57 2" xfId="20731"/>
    <cellStyle name="Note 5 3 57 2 2" xfId="47739"/>
    <cellStyle name="Note 5 3 57 3" xfId="34235"/>
    <cellStyle name="Note 5 3 58" xfId="6337"/>
    <cellStyle name="Note 5 3 58 2" xfId="20823"/>
    <cellStyle name="Note 5 3 58 2 2" xfId="47831"/>
    <cellStyle name="Note 5 3 58 3" xfId="34327"/>
    <cellStyle name="Note 5 3 59" xfId="6443"/>
    <cellStyle name="Note 5 3 59 2" xfId="20915"/>
    <cellStyle name="Note 5 3 59 2 2" xfId="47923"/>
    <cellStyle name="Note 5 3 59 3" xfId="34419"/>
    <cellStyle name="Note 5 3 6" xfId="825"/>
    <cellStyle name="Note 5 3 6 2" xfId="16039"/>
    <cellStyle name="Note 5 3 6 2 2" xfId="43047"/>
    <cellStyle name="Note 5 3 6 3" xfId="29543"/>
    <cellStyle name="Note 5 3 60" xfId="6549"/>
    <cellStyle name="Note 5 3 60 2" xfId="21007"/>
    <cellStyle name="Note 5 3 60 2 2" xfId="48015"/>
    <cellStyle name="Note 5 3 60 3" xfId="34511"/>
    <cellStyle name="Note 5 3 61" xfId="6654"/>
    <cellStyle name="Note 5 3 61 2" xfId="21098"/>
    <cellStyle name="Note 5 3 61 2 2" xfId="48106"/>
    <cellStyle name="Note 5 3 61 3" xfId="34602"/>
    <cellStyle name="Note 5 3 62" xfId="6759"/>
    <cellStyle name="Note 5 3 62 2" xfId="21189"/>
    <cellStyle name="Note 5 3 62 2 2" xfId="48197"/>
    <cellStyle name="Note 5 3 62 3" xfId="34693"/>
    <cellStyle name="Note 5 3 63" xfId="6864"/>
    <cellStyle name="Note 5 3 63 2" xfId="21280"/>
    <cellStyle name="Note 5 3 63 2 2" xfId="48288"/>
    <cellStyle name="Note 5 3 63 3" xfId="34784"/>
    <cellStyle name="Note 5 3 64" xfId="6969"/>
    <cellStyle name="Note 5 3 64 2" xfId="21371"/>
    <cellStyle name="Note 5 3 64 2 2" xfId="48379"/>
    <cellStyle name="Note 5 3 64 3" xfId="34875"/>
    <cellStyle name="Note 5 3 65" xfId="7073"/>
    <cellStyle name="Note 5 3 65 2" xfId="21461"/>
    <cellStyle name="Note 5 3 65 2 2" xfId="48469"/>
    <cellStyle name="Note 5 3 65 3" xfId="34965"/>
    <cellStyle name="Note 5 3 66" xfId="7177"/>
    <cellStyle name="Note 5 3 66 2" xfId="21551"/>
    <cellStyle name="Note 5 3 66 2 2" xfId="48559"/>
    <cellStyle name="Note 5 3 66 3" xfId="35055"/>
    <cellStyle name="Note 5 3 67" xfId="7280"/>
    <cellStyle name="Note 5 3 67 2" xfId="21640"/>
    <cellStyle name="Note 5 3 67 2 2" xfId="48648"/>
    <cellStyle name="Note 5 3 67 3" xfId="35144"/>
    <cellStyle name="Note 5 3 68" xfId="7380"/>
    <cellStyle name="Note 5 3 68 2" xfId="21727"/>
    <cellStyle name="Note 5 3 68 2 2" xfId="48735"/>
    <cellStyle name="Note 5 3 68 3" xfId="35231"/>
    <cellStyle name="Note 5 3 69" xfId="7478"/>
    <cellStyle name="Note 5 3 69 2" xfId="21812"/>
    <cellStyle name="Note 5 3 69 2 2" xfId="48820"/>
    <cellStyle name="Note 5 3 69 3" xfId="35316"/>
    <cellStyle name="Note 5 3 7" xfId="931"/>
    <cellStyle name="Note 5 3 7 2" xfId="16131"/>
    <cellStyle name="Note 5 3 7 2 2" xfId="43139"/>
    <cellStyle name="Note 5 3 7 3" xfId="29635"/>
    <cellStyle name="Note 5 3 70" xfId="7567"/>
    <cellStyle name="Note 5 3 70 2" xfId="21890"/>
    <cellStyle name="Note 5 3 70 2 2" xfId="48898"/>
    <cellStyle name="Note 5 3 70 3" xfId="35394"/>
    <cellStyle name="Note 5 3 71" xfId="7643"/>
    <cellStyle name="Note 5 3 71 2" xfId="21959"/>
    <cellStyle name="Note 5 3 71 2 2" xfId="48967"/>
    <cellStyle name="Note 5 3 71 3" xfId="35463"/>
    <cellStyle name="Note 5 3 72" xfId="7822"/>
    <cellStyle name="Note 5 3 72 2" xfId="22112"/>
    <cellStyle name="Note 5 3 72 2 2" xfId="49120"/>
    <cellStyle name="Note 5 3 72 3" xfId="35616"/>
    <cellStyle name="Note 5 3 73" xfId="7964"/>
    <cellStyle name="Note 5 3 73 2" xfId="22240"/>
    <cellStyle name="Note 5 3 73 2 2" xfId="49248"/>
    <cellStyle name="Note 5 3 73 3" xfId="35744"/>
    <cellStyle name="Note 5 3 74" xfId="8106"/>
    <cellStyle name="Note 5 3 74 2" xfId="22368"/>
    <cellStyle name="Note 5 3 74 2 2" xfId="49376"/>
    <cellStyle name="Note 5 3 74 3" xfId="35872"/>
    <cellStyle name="Note 5 3 75" xfId="8248"/>
    <cellStyle name="Note 5 3 75 2" xfId="22496"/>
    <cellStyle name="Note 5 3 75 2 2" xfId="49504"/>
    <cellStyle name="Note 5 3 75 3" xfId="36000"/>
    <cellStyle name="Note 5 3 76" xfId="8390"/>
    <cellStyle name="Note 5 3 76 2" xfId="22624"/>
    <cellStyle name="Note 5 3 76 2 2" xfId="49632"/>
    <cellStyle name="Note 5 3 76 3" xfId="36128"/>
    <cellStyle name="Note 5 3 77" xfId="8532"/>
    <cellStyle name="Note 5 3 77 2" xfId="22752"/>
    <cellStyle name="Note 5 3 77 2 2" xfId="49760"/>
    <cellStyle name="Note 5 3 77 3" xfId="36256"/>
    <cellStyle name="Note 5 3 78" xfId="8674"/>
    <cellStyle name="Note 5 3 78 2" xfId="22880"/>
    <cellStyle name="Note 5 3 78 2 2" xfId="49888"/>
    <cellStyle name="Note 5 3 78 3" xfId="36384"/>
    <cellStyle name="Note 5 3 79" xfId="8816"/>
    <cellStyle name="Note 5 3 79 2" xfId="23008"/>
    <cellStyle name="Note 5 3 79 2 2" xfId="50016"/>
    <cellStyle name="Note 5 3 79 3" xfId="36512"/>
    <cellStyle name="Note 5 3 8" xfId="1037"/>
    <cellStyle name="Note 5 3 8 2" xfId="16223"/>
    <cellStyle name="Note 5 3 8 2 2" xfId="43231"/>
    <cellStyle name="Note 5 3 8 3" xfId="29727"/>
    <cellStyle name="Note 5 3 80" xfId="8958"/>
    <cellStyle name="Note 5 3 80 2" xfId="23136"/>
    <cellStyle name="Note 5 3 80 2 2" xfId="50144"/>
    <cellStyle name="Note 5 3 80 3" xfId="36640"/>
    <cellStyle name="Note 5 3 81" xfId="9100"/>
    <cellStyle name="Note 5 3 81 2" xfId="23264"/>
    <cellStyle name="Note 5 3 81 2 2" xfId="50272"/>
    <cellStyle name="Note 5 3 81 3" xfId="36768"/>
    <cellStyle name="Note 5 3 82" xfId="9242"/>
    <cellStyle name="Note 5 3 82 2" xfId="23392"/>
    <cellStyle name="Note 5 3 82 2 2" xfId="50400"/>
    <cellStyle name="Note 5 3 82 3" xfId="36896"/>
    <cellStyle name="Note 5 3 83" xfId="9384"/>
    <cellStyle name="Note 5 3 83 2" xfId="23520"/>
    <cellStyle name="Note 5 3 83 2 2" xfId="50528"/>
    <cellStyle name="Note 5 3 83 3" xfId="37024"/>
    <cellStyle name="Note 5 3 84" xfId="9526"/>
    <cellStyle name="Note 5 3 84 2" xfId="23648"/>
    <cellStyle name="Note 5 3 84 2 2" xfId="50656"/>
    <cellStyle name="Note 5 3 84 3" xfId="37152"/>
    <cellStyle name="Note 5 3 85" xfId="9668"/>
    <cellStyle name="Note 5 3 85 2" xfId="23776"/>
    <cellStyle name="Note 5 3 85 2 2" xfId="50784"/>
    <cellStyle name="Note 5 3 85 3" xfId="37280"/>
    <cellStyle name="Note 5 3 86" xfId="9810"/>
    <cellStyle name="Note 5 3 86 2" xfId="23904"/>
    <cellStyle name="Note 5 3 86 2 2" xfId="50912"/>
    <cellStyle name="Note 5 3 86 3" xfId="37408"/>
    <cellStyle name="Note 5 3 87" xfId="9952"/>
    <cellStyle name="Note 5 3 87 2" xfId="24032"/>
    <cellStyle name="Note 5 3 87 2 2" xfId="51040"/>
    <cellStyle name="Note 5 3 87 3" xfId="37536"/>
    <cellStyle name="Note 5 3 88" xfId="10094"/>
    <cellStyle name="Note 5 3 88 2" xfId="24160"/>
    <cellStyle name="Note 5 3 88 2 2" xfId="51168"/>
    <cellStyle name="Note 5 3 88 3" xfId="37664"/>
    <cellStyle name="Note 5 3 89" xfId="10236"/>
    <cellStyle name="Note 5 3 89 2" xfId="24288"/>
    <cellStyle name="Note 5 3 89 2 2" xfId="51296"/>
    <cellStyle name="Note 5 3 89 3" xfId="37792"/>
    <cellStyle name="Note 5 3 9" xfId="1143"/>
    <cellStyle name="Note 5 3 9 2" xfId="16315"/>
    <cellStyle name="Note 5 3 9 2 2" xfId="43323"/>
    <cellStyle name="Note 5 3 9 3" xfId="29819"/>
    <cellStyle name="Note 5 3 90" xfId="10378"/>
    <cellStyle name="Note 5 3 90 2" xfId="24416"/>
    <cellStyle name="Note 5 3 90 2 2" xfId="51424"/>
    <cellStyle name="Note 5 3 90 3" xfId="37920"/>
    <cellStyle name="Note 5 3 91" xfId="10520"/>
    <cellStyle name="Note 5 3 91 2" xfId="24544"/>
    <cellStyle name="Note 5 3 91 2 2" xfId="51552"/>
    <cellStyle name="Note 5 3 91 3" xfId="38048"/>
    <cellStyle name="Note 5 3 92" xfId="10662"/>
    <cellStyle name="Note 5 3 92 2" xfId="24672"/>
    <cellStyle name="Note 5 3 92 2 2" xfId="51680"/>
    <cellStyle name="Note 5 3 92 3" xfId="38176"/>
    <cellStyle name="Note 5 3 93" xfId="10804"/>
    <cellStyle name="Note 5 3 93 2" xfId="24800"/>
    <cellStyle name="Note 5 3 93 2 2" xfId="51808"/>
    <cellStyle name="Note 5 3 93 3" xfId="38304"/>
    <cellStyle name="Note 5 3 94" xfId="10946"/>
    <cellStyle name="Note 5 3 94 2" xfId="24928"/>
    <cellStyle name="Note 5 3 94 2 2" xfId="51936"/>
    <cellStyle name="Note 5 3 94 3" xfId="38432"/>
    <cellStyle name="Note 5 3 95" xfId="11088"/>
    <cellStyle name="Note 5 3 95 2" xfId="25056"/>
    <cellStyle name="Note 5 3 95 2 2" xfId="52064"/>
    <cellStyle name="Note 5 3 95 3" xfId="38560"/>
    <cellStyle name="Note 5 3 96" xfId="11230"/>
    <cellStyle name="Note 5 3 96 2" xfId="25184"/>
    <cellStyle name="Note 5 3 96 2 2" xfId="52192"/>
    <cellStyle name="Note 5 3 96 3" xfId="38688"/>
    <cellStyle name="Note 5 3 97" xfId="11372"/>
    <cellStyle name="Note 5 3 97 2" xfId="25312"/>
    <cellStyle name="Note 5 3 97 2 2" xfId="52320"/>
    <cellStyle name="Note 5 3 97 3" xfId="38816"/>
    <cellStyle name="Note 5 3 98" xfId="11514"/>
    <cellStyle name="Note 5 3 98 2" xfId="25440"/>
    <cellStyle name="Note 5 3 98 2 2" xfId="52448"/>
    <cellStyle name="Note 5 3 98 3" xfId="38944"/>
    <cellStyle name="Note 5 3 99" xfId="11656"/>
    <cellStyle name="Note 5 3 99 2" xfId="25568"/>
    <cellStyle name="Note 5 3 99 2 2" xfId="52576"/>
    <cellStyle name="Note 5 3 99 3" xfId="39072"/>
    <cellStyle name="Note 5 30" xfId="3110"/>
    <cellStyle name="Note 5 30 2" xfId="18027"/>
    <cellStyle name="Note 5 30 2 2" xfId="45035"/>
    <cellStyle name="Note 5 30 3" xfId="31531"/>
    <cellStyle name="Note 5 31" xfId="3216"/>
    <cellStyle name="Note 5 31 2" xfId="18119"/>
    <cellStyle name="Note 5 31 2 2" xfId="45127"/>
    <cellStyle name="Note 5 31 3" xfId="31623"/>
    <cellStyle name="Note 5 32" xfId="3322"/>
    <cellStyle name="Note 5 32 2" xfId="18211"/>
    <cellStyle name="Note 5 32 2 2" xfId="45219"/>
    <cellStyle name="Note 5 32 3" xfId="31715"/>
    <cellStyle name="Note 5 33" xfId="3428"/>
    <cellStyle name="Note 5 33 2" xfId="18303"/>
    <cellStyle name="Note 5 33 2 2" xfId="45311"/>
    <cellStyle name="Note 5 33 3" xfId="31807"/>
    <cellStyle name="Note 5 34" xfId="3534"/>
    <cellStyle name="Note 5 34 2" xfId="18395"/>
    <cellStyle name="Note 5 34 2 2" xfId="45403"/>
    <cellStyle name="Note 5 34 3" xfId="31899"/>
    <cellStyle name="Note 5 35" xfId="3640"/>
    <cellStyle name="Note 5 35 2" xfId="18487"/>
    <cellStyle name="Note 5 35 2 2" xfId="45495"/>
    <cellStyle name="Note 5 35 3" xfId="31991"/>
    <cellStyle name="Note 5 36" xfId="3746"/>
    <cellStyle name="Note 5 36 2" xfId="18579"/>
    <cellStyle name="Note 5 36 2 2" xfId="45587"/>
    <cellStyle name="Note 5 36 3" xfId="32083"/>
    <cellStyle name="Note 5 37" xfId="3852"/>
    <cellStyle name="Note 5 37 2" xfId="18671"/>
    <cellStyle name="Note 5 37 2 2" xfId="45679"/>
    <cellStyle name="Note 5 37 3" xfId="32175"/>
    <cellStyle name="Note 5 38" xfId="3958"/>
    <cellStyle name="Note 5 38 2" xfId="18763"/>
    <cellStyle name="Note 5 38 2 2" xfId="45771"/>
    <cellStyle name="Note 5 38 3" xfId="32267"/>
    <cellStyle name="Note 5 39" xfId="4064"/>
    <cellStyle name="Note 5 39 2" xfId="18855"/>
    <cellStyle name="Note 5 39 2 2" xfId="45863"/>
    <cellStyle name="Note 5 39 3" xfId="32359"/>
    <cellStyle name="Note 5 4" xfId="258"/>
    <cellStyle name="Note 5 4 2" xfId="15573"/>
    <cellStyle name="Note 5 4 2 2" xfId="42581"/>
    <cellStyle name="Note 5 4 3" xfId="29077"/>
    <cellStyle name="Note 5 40" xfId="4170"/>
    <cellStyle name="Note 5 40 2" xfId="18947"/>
    <cellStyle name="Note 5 40 2 2" xfId="45955"/>
    <cellStyle name="Note 5 40 3" xfId="32451"/>
    <cellStyle name="Note 5 41" xfId="4276"/>
    <cellStyle name="Note 5 41 2" xfId="19039"/>
    <cellStyle name="Note 5 41 2 2" xfId="46047"/>
    <cellStyle name="Note 5 41 3" xfId="32543"/>
    <cellStyle name="Note 5 42" xfId="4382"/>
    <cellStyle name="Note 5 42 2" xfId="19131"/>
    <cellStyle name="Note 5 42 2 2" xfId="46139"/>
    <cellStyle name="Note 5 42 3" xfId="32635"/>
    <cellStyle name="Note 5 43" xfId="4488"/>
    <cellStyle name="Note 5 43 2" xfId="19223"/>
    <cellStyle name="Note 5 43 2 2" xfId="46231"/>
    <cellStyle name="Note 5 43 3" xfId="32727"/>
    <cellStyle name="Note 5 44" xfId="4594"/>
    <cellStyle name="Note 5 44 2" xfId="19315"/>
    <cellStyle name="Note 5 44 2 2" xfId="46323"/>
    <cellStyle name="Note 5 44 3" xfId="32819"/>
    <cellStyle name="Note 5 45" xfId="4700"/>
    <cellStyle name="Note 5 45 2" xfId="19407"/>
    <cellStyle name="Note 5 45 2 2" xfId="46415"/>
    <cellStyle name="Note 5 45 3" xfId="32911"/>
    <cellStyle name="Note 5 46" xfId="4806"/>
    <cellStyle name="Note 5 46 2" xfId="19499"/>
    <cellStyle name="Note 5 46 2 2" xfId="46507"/>
    <cellStyle name="Note 5 46 3" xfId="33003"/>
    <cellStyle name="Note 5 47" xfId="4912"/>
    <cellStyle name="Note 5 47 2" xfId="19591"/>
    <cellStyle name="Note 5 47 2 2" xfId="46599"/>
    <cellStyle name="Note 5 47 3" xfId="33095"/>
    <cellStyle name="Note 5 48" xfId="5018"/>
    <cellStyle name="Note 5 48 2" xfId="19683"/>
    <cellStyle name="Note 5 48 2 2" xfId="46691"/>
    <cellStyle name="Note 5 48 3" xfId="33187"/>
    <cellStyle name="Note 5 49" xfId="5124"/>
    <cellStyle name="Note 5 49 2" xfId="19775"/>
    <cellStyle name="Note 5 49 2 2" xfId="46783"/>
    <cellStyle name="Note 5 49 3" xfId="33279"/>
    <cellStyle name="Note 5 5" xfId="445"/>
    <cellStyle name="Note 5 5 2" xfId="15709"/>
    <cellStyle name="Note 5 5 2 2" xfId="42717"/>
    <cellStyle name="Note 5 5 3" xfId="29213"/>
    <cellStyle name="Note 5 50" xfId="5230"/>
    <cellStyle name="Note 5 50 2" xfId="19867"/>
    <cellStyle name="Note 5 50 2 2" xfId="46875"/>
    <cellStyle name="Note 5 50 3" xfId="33371"/>
    <cellStyle name="Note 5 51" xfId="5336"/>
    <cellStyle name="Note 5 51 2" xfId="19959"/>
    <cellStyle name="Note 5 51 2 2" xfId="46967"/>
    <cellStyle name="Note 5 51 3" xfId="33463"/>
    <cellStyle name="Note 5 52" xfId="5442"/>
    <cellStyle name="Note 5 52 2" xfId="20051"/>
    <cellStyle name="Note 5 52 2 2" xfId="47059"/>
    <cellStyle name="Note 5 52 3" xfId="33555"/>
    <cellStyle name="Note 5 53" xfId="5548"/>
    <cellStyle name="Note 5 53 2" xfId="20143"/>
    <cellStyle name="Note 5 53 2 2" xfId="47151"/>
    <cellStyle name="Note 5 53 3" xfId="33647"/>
    <cellStyle name="Note 5 54" xfId="5654"/>
    <cellStyle name="Note 5 54 2" xfId="20235"/>
    <cellStyle name="Note 5 54 2 2" xfId="47243"/>
    <cellStyle name="Note 5 54 3" xfId="33739"/>
    <cellStyle name="Note 5 55" xfId="5760"/>
    <cellStyle name="Note 5 55 2" xfId="20327"/>
    <cellStyle name="Note 5 55 2 2" xfId="47335"/>
    <cellStyle name="Note 5 55 3" xfId="33831"/>
    <cellStyle name="Note 5 56" xfId="5866"/>
    <cellStyle name="Note 5 56 2" xfId="20419"/>
    <cellStyle name="Note 5 56 2 2" xfId="47427"/>
    <cellStyle name="Note 5 56 3" xfId="33923"/>
    <cellStyle name="Note 5 57" xfId="5972"/>
    <cellStyle name="Note 5 57 2" xfId="20511"/>
    <cellStyle name="Note 5 57 2 2" xfId="47519"/>
    <cellStyle name="Note 5 57 3" xfId="34015"/>
    <cellStyle name="Note 5 58" xfId="6078"/>
    <cellStyle name="Note 5 58 2" xfId="20603"/>
    <cellStyle name="Note 5 58 2 2" xfId="47611"/>
    <cellStyle name="Note 5 58 3" xfId="34107"/>
    <cellStyle name="Note 5 59" xfId="6184"/>
    <cellStyle name="Note 5 59 2" xfId="20695"/>
    <cellStyle name="Note 5 59 2 2" xfId="47703"/>
    <cellStyle name="Note 5 59 3" xfId="34199"/>
    <cellStyle name="Note 5 6" xfId="567"/>
    <cellStyle name="Note 5 6 2" xfId="15820"/>
    <cellStyle name="Note 5 6 2 2" xfId="42828"/>
    <cellStyle name="Note 5 6 3" xfId="29324"/>
    <cellStyle name="Note 5 60" xfId="6290"/>
    <cellStyle name="Note 5 60 2" xfId="20787"/>
    <cellStyle name="Note 5 60 2 2" xfId="47795"/>
    <cellStyle name="Note 5 60 3" xfId="34291"/>
    <cellStyle name="Note 5 61" xfId="6396"/>
    <cellStyle name="Note 5 61 2" xfId="20879"/>
    <cellStyle name="Note 5 61 2 2" xfId="47887"/>
    <cellStyle name="Note 5 61 3" xfId="34383"/>
    <cellStyle name="Note 5 62" xfId="6502"/>
    <cellStyle name="Note 5 62 2" xfId="20971"/>
    <cellStyle name="Note 5 62 2 2" xfId="47979"/>
    <cellStyle name="Note 5 62 3" xfId="34475"/>
    <cellStyle name="Note 5 63" xfId="6607"/>
    <cellStyle name="Note 5 63 2" xfId="21062"/>
    <cellStyle name="Note 5 63 2 2" xfId="48070"/>
    <cellStyle name="Note 5 63 3" xfId="34566"/>
    <cellStyle name="Note 5 64" xfId="6712"/>
    <cellStyle name="Note 5 64 2" xfId="21153"/>
    <cellStyle name="Note 5 64 2 2" xfId="48161"/>
    <cellStyle name="Note 5 64 3" xfId="34657"/>
    <cellStyle name="Note 5 65" xfId="6817"/>
    <cellStyle name="Note 5 65 2" xfId="21244"/>
    <cellStyle name="Note 5 65 2 2" xfId="48252"/>
    <cellStyle name="Note 5 65 3" xfId="34748"/>
    <cellStyle name="Note 5 66" xfId="6922"/>
    <cellStyle name="Note 5 66 2" xfId="21335"/>
    <cellStyle name="Note 5 66 2 2" xfId="48343"/>
    <cellStyle name="Note 5 66 3" xfId="34839"/>
    <cellStyle name="Note 5 67" xfId="7027"/>
    <cellStyle name="Note 5 67 2" xfId="21426"/>
    <cellStyle name="Note 5 67 2 2" xfId="48434"/>
    <cellStyle name="Note 5 67 3" xfId="34930"/>
    <cellStyle name="Note 5 68" xfId="7131"/>
    <cellStyle name="Note 5 68 2" xfId="21516"/>
    <cellStyle name="Note 5 68 2 2" xfId="48524"/>
    <cellStyle name="Note 5 68 3" xfId="35020"/>
    <cellStyle name="Note 5 69" xfId="7235"/>
    <cellStyle name="Note 5 69 2" xfId="21606"/>
    <cellStyle name="Note 5 69 2 2" xfId="48614"/>
    <cellStyle name="Note 5 69 3" xfId="35110"/>
    <cellStyle name="Note 5 7" xfId="672"/>
    <cellStyle name="Note 5 7 2" xfId="15911"/>
    <cellStyle name="Note 5 7 2 2" xfId="42919"/>
    <cellStyle name="Note 5 7 3" xfId="29415"/>
    <cellStyle name="Note 5 70" xfId="7336"/>
    <cellStyle name="Note 5 70 2" xfId="21693"/>
    <cellStyle name="Note 5 70 2 2" xfId="48701"/>
    <cellStyle name="Note 5 70 3" xfId="35197"/>
    <cellStyle name="Note 5 71" xfId="7435"/>
    <cellStyle name="Note 5 71 2" xfId="21779"/>
    <cellStyle name="Note 5 71 2 2" xfId="48787"/>
    <cellStyle name="Note 5 71 3" xfId="35283"/>
    <cellStyle name="Note 5 72" xfId="7531"/>
    <cellStyle name="Note 5 72 2" xfId="21862"/>
    <cellStyle name="Note 5 72 2 2" xfId="48870"/>
    <cellStyle name="Note 5 72 3" xfId="35366"/>
    <cellStyle name="Note 5 73" xfId="7619"/>
    <cellStyle name="Note 5 73 2" xfId="21940"/>
    <cellStyle name="Note 5 73 2 2" xfId="48948"/>
    <cellStyle name="Note 5 73 3" xfId="35444"/>
    <cellStyle name="Note 5 74" xfId="7756"/>
    <cellStyle name="Note 5 74 2" xfId="22054"/>
    <cellStyle name="Note 5 74 2 2" xfId="49062"/>
    <cellStyle name="Note 5 74 3" xfId="35558"/>
    <cellStyle name="Note 5 75" xfId="7881"/>
    <cellStyle name="Note 5 75 2" xfId="22168"/>
    <cellStyle name="Note 5 75 2 2" xfId="49176"/>
    <cellStyle name="Note 5 75 3" xfId="35672"/>
    <cellStyle name="Note 5 76" xfId="8023"/>
    <cellStyle name="Note 5 76 2" xfId="22296"/>
    <cellStyle name="Note 5 76 2 2" xfId="49304"/>
    <cellStyle name="Note 5 76 3" xfId="35800"/>
    <cellStyle name="Note 5 77" xfId="8165"/>
    <cellStyle name="Note 5 77 2" xfId="22424"/>
    <cellStyle name="Note 5 77 2 2" xfId="49432"/>
    <cellStyle name="Note 5 77 3" xfId="35928"/>
    <cellStyle name="Note 5 78" xfId="8307"/>
    <cellStyle name="Note 5 78 2" xfId="22552"/>
    <cellStyle name="Note 5 78 2 2" xfId="49560"/>
    <cellStyle name="Note 5 78 3" xfId="36056"/>
    <cellStyle name="Note 5 79" xfId="8449"/>
    <cellStyle name="Note 5 79 2" xfId="22680"/>
    <cellStyle name="Note 5 79 2 2" xfId="49688"/>
    <cellStyle name="Note 5 79 3" xfId="36184"/>
    <cellStyle name="Note 5 8" xfId="778"/>
    <cellStyle name="Note 5 8 2" xfId="16003"/>
    <cellStyle name="Note 5 8 2 2" xfId="43011"/>
    <cellStyle name="Note 5 8 3" xfId="29507"/>
    <cellStyle name="Note 5 80" xfId="8591"/>
    <cellStyle name="Note 5 80 2" xfId="22808"/>
    <cellStyle name="Note 5 80 2 2" xfId="49816"/>
    <cellStyle name="Note 5 80 3" xfId="36312"/>
    <cellStyle name="Note 5 81" xfId="8733"/>
    <cellStyle name="Note 5 81 2" xfId="22936"/>
    <cellStyle name="Note 5 81 2 2" xfId="49944"/>
    <cellStyle name="Note 5 81 3" xfId="36440"/>
    <cellStyle name="Note 5 82" xfId="8875"/>
    <cellStyle name="Note 5 82 2" xfId="23064"/>
    <cellStyle name="Note 5 82 2 2" xfId="50072"/>
    <cellStyle name="Note 5 82 3" xfId="36568"/>
    <cellStyle name="Note 5 83" xfId="9017"/>
    <cellStyle name="Note 5 83 2" xfId="23192"/>
    <cellStyle name="Note 5 83 2 2" xfId="50200"/>
    <cellStyle name="Note 5 83 3" xfId="36696"/>
    <cellStyle name="Note 5 84" xfId="9159"/>
    <cellStyle name="Note 5 84 2" xfId="23320"/>
    <cellStyle name="Note 5 84 2 2" xfId="50328"/>
    <cellStyle name="Note 5 84 3" xfId="36824"/>
    <cellStyle name="Note 5 85" xfId="9301"/>
    <cellStyle name="Note 5 85 2" xfId="23448"/>
    <cellStyle name="Note 5 85 2 2" xfId="50456"/>
    <cellStyle name="Note 5 85 3" xfId="36952"/>
    <cellStyle name="Note 5 86" xfId="9443"/>
    <cellStyle name="Note 5 86 2" xfId="23576"/>
    <cellStyle name="Note 5 86 2 2" xfId="50584"/>
    <cellStyle name="Note 5 86 3" xfId="37080"/>
    <cellStyle name="Note 5 87" xfId="9585"/>
    <cellStyle name="Note 5 87 2" xfId="23704"/>
    <cellStyle name="Note 5 87 2 2" xfId="50712"/>
    <cellStyle name="Note 5 87 3" xfId="37208"/>
    <cellStyle name="Note 5 88" xfId="9727"/>
    <cellStyle name="Note 5 88 2" xfId="23832"/>
    <cellStyle name="Note 5 88 2 2" xfId="50840"/>
    <cellStyle name="Note 5 88 3" xfId="37336"/>
    <cellStyle name="Note 5 89" xfId="9869"/>
    <cellStyle name="Note 5 89 2" xfId="23960"/>
    <cellStyle name="Note 5 89 2 2" xfId="50968"/>
    <cellStyle name="Note 5 89 3" xfId="37464"/>
    <cellStyle name="Note 5 9" xfId="884"/>
    <cellStyle name="Note 5 9 2" xfId="16095"/>
    <cellStyle name="Note 5 9 2 2" xfId="43103"/>
    <cellStyle name="Note 5 9 3" xfId="29599"/>
    <cellStyle name="Note 5 90" xfId="10011"/>
    <cellStyle name="Note 5 90 2" xfId="24088"/>
    <cellStyle name="Note 5 90 2 2" xfId="51096"/>
    <cellStyle name="Note 5 90 3" xfId="37592"/>
    <cellStyle name="Note 5 91" xfId="10153"/>
    <cellStyle name="Note 5 91 2" xfId="24216"/>
    <cellStyle name="Note 5 91 2 2" xfId="51224"/>
    <cellStyle name="Note 5 91 3" xfId="37720"/>
    <cellStyle name="Note 5 92" xfId="10295"/>
    <cellStyle name="Note 5 92 2" xfId="24344"/>
    <cellStyle name="Note 5 92 2 2" xfId="51352"/>
    <cellStyle name="Note 5 92 3" xfId="37848"/>
    <cellStyle name="Note 5 93" xfId="10437"/>
    <cellStyle name="Note 5 93 2" xfId="24472"/>
    <cellStyle name="Note 5 93 2 2" xfId="51480"/>
    <cellStyle name="Note 5 93 3" xfId="37976"/>
    <cellStyle name="Note 5 94" xfId="10579"/>
    <cellStyle name="Note 5 94 2" xfId="24600"/>
    <cellStyle name="Note 5 94 2 2" xfId="51608"/>
    <cellStyle name="Note 5 94 3" xfId="38104"/>
    <cellStyle name="Note 5 95" xfId="10721"/>
    <cellStyle name="Note 5 95 2" xfId="24728"/>
    <cellStyle name="Note 5 95 2 2" xfId="51736"/>
    <cellStyle name="Note 5 95 3" xfId="38232"/>
    <cellStyle name="Note 5 96" xfId="10863"/>
    <cellStyle name="Note 5 96 2" xfId="24856"/>
    <cellStyle name="Note 5 96 2 2" xfId="51864"/>
    <cellStyle name="Note 5 96 3" xfId="38360"/>
    <cellStyle name="Note 5 97" xfId="11005"/>
    <cellStyle name="Note 5 97 2" xfId="24984"/>
    <cellStyle name="Note 5 97 2 2" xfId="51992"/>
    <cellStyle name="Note 5 97 3" xfId="38488"/>
    <cellStyle name="Note 5 98" xfId="11147"/>
    <cellStyle name="Note 5 98 2" xfId="25112"/>
    <cellStyle name="Note 5 98 2 2" xfId="52120"/>
    <cellStyle name="Note 5 98 3" xfId="38616"/>
    <cellStyle name="Note 5 99" xfId="11289"/>
    <cellStyle name="Note 5 99 2" xfId="25240"/>
    <cellStyle name="Note 5 99 2 2" xfId="52248"/>
    <cellStyle name="Note 5 99 3" xfId="38744"/>
    <cellStyle name="Note 6" xfId="77"/>
    <cellStyle name="Note 6 10" xfId="986"/>
    <cellStyle name="Note 6 10 2" xfId="16184"/>
    <cellStyle name="Note 6 10 2 2" xfId="43192"/>
    <cellStyle name="Note 6 10 3" xfId="29688"/>
    <cellStyle name="Note 6 100" xfId="11427"/>
    <cellStyle name="Note 6 100 2" xfId="25365"/>
    <cellStyle name="Note 6 100 2 2" xfId="52373"/>
    <cellStyle name="Note 6 100 3" xfId="38869"/>
    <cellStyle name="Note 6 101" xfId="11569"/>
    <cellStyle name="Note 6 101 2" xfId="25493"/>
    <cellStyle name="Note 6 101 2 2" xfId="52501"/>
    <cellStyle name="Note 6 101 3" xfId="38997"/>
    <cellStyle name="Note 6 102" xfId="11711"/>
    <cellStyle name="Note 6 102 2" xfId="25621"/>
    <cellStyle name="Note 6 102 2 2" xfId="52629"/>
    <cellStyle name="Note 6 102 3" xfId="39125"/>
    <cellStyle name="Note 6 103" xfId="11853"/>
    <cellStyle name="Note 6 103 2" xfId="25749"/>
    <cellStyle name="Note 6 103 2 2" xfId="52757"/>
    <cellStyle name="Note 6 103 3" xfId="39253"/>
    <cellStyle name="Note 6 104" xfId="11995"/>
    <cellStyle name="Note 6 104 2" xfId="25877"/>
    <cellStyle name="Note 6 104 2 2" xfId="52885"/>
    <cellStyle name="Note 6 104 3" xfId="39381"/>
    <cellStyle name="Note 6 105" xfId="12137"/>
    <cellStyle name="Note 6 105 2" xfId="26005"/>
    <cellStyle name="Note 6 105 2 2" xfId="53013"/>
    <cellStyle name="Note 6 105 3" xfId="39509"/>
    <cellStyle name="Note 6 106" xfId="12279"/>
    <cellStyle name="Note 6 106 2" xfId="26133"/>
    <cellStyle name="Note 6 106 2 2" xfId="53141"/>
    <cellStyle name="Note 6 106 3" xfId="39637"/>
    <cellStyle name="Note 6 107" xfId="12421"/>
    <cellStyle name="Note 6 107 2" xfId="26261"/>
    <cellStyle name="Note 6 107 2 2" xfId="53269"/>
    <cellStyle name="Note 6 107 3" xfId="39765"/>
    <cellStyle name="Note 6 108" xfId="12563"/>
    <cellStyle name="Note 6 108 2" xfId="26389"/>
    <cellStyle name="Note 6 108 2 2" xfId="53397"/>
    <cellStyle name="Note 6 108 3" xfId="39893"/>
    <cellStyle name="Note 6 109" xfId="12705"/>
    <cellStyle name="Note 6 109 2" xfId="26517"/>
    <cellStyle name="Note 6 109 2 2" xfId="53525"/>
    <cellStyle name="Note 6 109 3" xfId="40021"/>
    <cellStyle name="Note 6 11" xfId="1092"/>
    <cellStyle name="Note 6 11 2" xfId="16276"/>
    <cellStyle name="Note 6 11 2 2" xfId="43284"/>
    <cellStyle name="Note 6 11 3" xfId="29780"/>
    <cellStyle name="Note 6 110" xfId="12847"/>
    <cellStyle name="Note 6 110 2" xfId="26645"/>
    <cellStyle name="Note 6 110 2 2" xfId="53653"/>
    <cellStyle name="Note 6 110 3" xfId="40149"/>
    <cellStyle name="Note 6 111" xfId="12989"/>
    <cellStyle name="Note 6 111 2" xfId="26773"/>
    <cellStyle name="Note 6 111 2 2" xfId="53781"/>
    <cellStyle name="Note 6 111 3" xfId="40277"/>
    <cellStyle name="Note 6 112" xfId="13131"/>
    <cellStyle name="Note 6 112 2" xfId="26901"/>
    <cellStyle name="Note 6 112 2 2" xfId="53909"/>
    <cellStyle name="Note 6 112 3" xfId="40405"/>
    <cellStyle name="Note 6 113" xfId="13273"/>
    <cellStyle name="Note 6 113 2" xfId="27029"/>
    <cellStyle name="Note 6 113 2 2" xfId="54037"/>
    <cellStyle name="Note 6 113 3" xfId="40533"/>
    <cellStyle name="Note 6 114" xfId="13415"/>
    <cellStyle name="Note 6 114 2" xfId="27157"/>
    <cellStyle name="Note 6 114 2 2" xfId="54165"/>
    <cellStyle name="Note 6 114 3" xfId="40661"/>
    <cellStyle name="Note 6 115" xfId="13557"/>
    <cellStyle name="Note 6 115 2" xfId="27285"/>
    <cellStyle name="Note 6 115 2 2" xfId="54293"/>
    <cellStyle name="Note 6 115 3" xfId="40789"/>
    <cellStyle name="Note 6 116" xfId="13699"/>
    <cellStyle name="Note 6 116 2" xfId="27413"/>
    <cellStyle name="Note 6 116 2 2" xfId="54421"/>
    <cellStyle name="Note 6 116 3" xfId="40917"/>
    <cellStyle name="Note 6 117" xfId="13840"/>
    <cellStyle name="Note 6 117 2" xfId="27540"/>
    <cellStyle name="Note 6 117 2 2" xfId="54548"/>
    <cellStyle name="Note 6 117 3" xfId="41044"/>
    <cellStyle name="Note 6 118" xfId="13981"/>
    <cellStyle name="Note 6 118 2" xfId="27667"/>
    <cellStyle name="Note 6 118 2 2" xfId="54675"/>
    <cellStyle name="Note 6 118 3" xfId="41171"/>
    <cellStyle name="Note 6 119" xfId="14122"/>
    <cellStyle name="Note 6 119 2" xfId="27794"/>
    <cellStyle name="Note 6 119 2 2" xfId="54802"/>
    <cellStyle name="Note 6 119 3" xfId="41298"/>
    <cellStyle name="Note 6 12" xfId="1198"/>
    <cellStyle name="Note 6 12 2" xfId="16368"/>
    <cellStyle name="Note 6 12 2 2" xfId="43376"/>
    <cellStyle name="Note 6 12 3" xfId="29872"/>
    <cellStyle name="Note 6 120" xfId="14263"/>
    <cellStyle name="Note 6 120 2" xfId="27921"/>
    <cellStyle name="Note 6 120 2 2" xfId="54929"/>
    <cellStyle name="Note 6 120 3" xfId="41425"/>
    <cellStyle name="Note 6 121" xfId="14404"/>
    <cellStyle name="Note 6 121 2" xfId="28048"/>
    <cellStyle name="Note 6 121 2 2" xfId="55056"/>
    <cellStyle name="Note 6 121 3" xfId="41552"/>
    <cellStyle name="Note 6 122" xfId="14544"/>
    <cellStyle name="Note 6 122 2" xfId="28174"/>
    <cellStyle name="Note 6 122 2 2" xfId="55182"/>
    <cellStyle name="Note 6 122 3" xfId="41678"/>
    <cellStyle name="Note 6 123" xfId="14684"/>
    <cellStyle name="Note 6 123 2" xfId="28300"/>
    <cellStyle name="Note 6 123 2 2" xfId="55308"/>
    <cellStyle name="Note 6 123 3" xfId="41804"/>
    <cellStyle name="Note 6 124" xfId="14822"/>
    <cellStyle name="Note 6 124 2" xfId="28424"/>
    <cellStyle name="Note 6 124 2 2" xfId="55432"/>
    <cellStyle name="Note 6 124 3" xfId="41928"/>
    <cellStyle name="Note 6 125" xfId="14956"/>
    <cellStyle name="Note 6 125 2" xfId="28545"/>
    <cellStyle name="Note 6 125 2 2" xfId="55553"/>
    <cellStyle name="Note 6 125 3" xfId="42049"/>
    <cellStyle name="Note 6 126" xfId="15089"/>
    <cellStyle name="Note 6 126 2" xfId="28665"/>
    <cellStyle name="Note 6 126 2 2" xfId="55673"/>
    <cellStyle name="Note 6 126 3" xfId="42169"/>
    <cellStyle name="Note 6 127" xfId="15216"/>
    <cellStyle name="Note 6 127 2" xfId="28781"/>
    <cellStyle name="Note 6 127 2 2" xfId="55789"/>
    <cellStyle name="Note 6 127 3" xfId="42285"/>
    <cellStyle name="Note 6 128" xfId="15460"/>
    <cellStyle name="Note 6 128 2" xfId="42468"/>
    <cellStyle name="Note 6 129" xfId="28964"/>
    <cellStyle name="Note 6 13" xfId="1304"/>
    <cellStyle name="Note 6 13 2" xfId="16460"/>
    <cellStyle name="Note 6 13 2 2" xfId="43468"/>
    <cellStyle name="Note 6 13 3" xfId="29964"/>
    <cellStyle name="Note 6 14" xfId="1410"/>
    <cellStyle name="Note 6 14 2" xfId="16552"/>
    <cellStyle name="Note 6 14 2 2" xfId="43560"/>
    <cellStyle name="Note 6 14 3" xfId="30056"/>
    <cellStyle name="Note 6 15" xfId="1516"/>
    <cellStyle name="Note 6 15 2" xfId="16644"/>
    <cellStyle name="Note 6 15 2 2" xfId="43652"/>
    <cellStyle name="Note 6 15 3" xfId="30148"/>
    <cellStyle name="Note 6 16" xfId="1622"/>
    <cellStyle name="Note 6 16 2" xfId="16736"/>
    <cellStyle name="Note 6 16 2 2" xfId="43744"/>
    <cellStyle name="Note 6 16 3" xfId="30240"/>
    <cellStyle name="Note 6 17" xfId="1728"/>
    <cellStyle name="Note 6 17 2" xfId="16828"/>
    <cellStyle name="Note 6 17 2 2" xfId="43836"/>
    <cellStyle name="Note 6 17 3" xfId="30332"/>
    <cellStyle name="Note 6 18" xfId="1834"/>
    <cellStyle name="Note 6 18 2" xfId="16920"/>
    <cellStyle name="Note 6 18 2 2" xfId="43928"/>
    <cellStyle name="Note 6 18 3" xfId="30424"/>
    <cellStyle name="Note 6 19" xfId="1940"/>
    <cellStyle name="Note 6 19 2" xfId="17012"/>
    <cellStyle name="Note 6 19 2 2" xfId="44020"/>
    <cellStyle name="Note 6 19 3" xfId="30516"/>
    <cellStyle name="Note 6 2" xfId="135"/>
    <cellStyle name="Note 6 2 10" xfId="1236"/>
    <cellStyle name="Note 6 2 10 2" xfId="16396"/>
    <cellStyle name="Note 6 2 10 2 2" xfId="43404"/>
    <cellStyle name="Note 6 2 10 3" xfId="29900"/>
    <cellStyle name="Note 6 2 100" xfId="11789"/>
    <cellStyle name="Note 6 2 100 2" xfId="25687"/>
    <cellStyle name="Note 6 2 100 2 2" xfId="52695"/>
    <cellStyle name="Note 6 2 100 3" xfId="39191"/>
    <cellStyle name="Note 6 2 101" xfId="11931"/>
    <cellStyle name="Note 6 2 101 2" xfId="25815"/>
    <cellStyle name="Note 6 2 101 2 2" xfId="52823"/>
    <cellStyle name="Note 6 2 101 3" xfId="39319"/>
    <cellStyle name="Note 6 2 102" xfId="12073"/>
    <cellStyle name="Note 6 2 102 2" xfId="25943"/>
    <cellStyle name="Note 6 2 102 2 2" xfId="52951"/>
    <cellStyle name="Note 6 2 102 3" xfId="39447"/>
    <cellStyle name="Note 6 2 103" xfId="12215"/>
    <cellStyle name="Note 6 2 103 2" xfId="26071"/>
    <cellStyle name="Note 6 2 103 2 2" xfId="53079"/>
    <cellStyle name="Note 6 2 103 3" xfId="39575"/>
    <cellStyle name="Note 6 2 104" xfId="12357"/>
    <cellStyle name="Note 6 2 104 2" xfId="26199"/>
    <cellStyle name="Note 6 2 104 2 2" xfId="53207"/>
    <cellStyle name="Note 6 2 104 3" xfId="39703"/>
    <cellStyle name="Note 6 2 105" xfId="12499"/>
    <cellStyle name="Note 6 2 105 2" xfId="26327"/>
    <cellStyle name="Note 6 2 105 2 2" xfId="53335"/>
    <cellStyle name="Note 6 2 105 3" xfId="39831"/>
    <cellStyle name="Note 6 2 106" xfId="12641"/>
    <cellStyle name="Note 6 2 106 2" xfId="26455"/>
    <cellStyle name="Note 6 2 106 2 2" xfId="53463"/>
    <cellStyle name="Note 6 2 106 3" xfId="39959"/>
    <cellStyle name="Note 6 2 107" xfId="12783"/>
    <cellStyle name="Note 6 2 107 2" xfId="26583"/>
    <cellStyle name="Note 6 2 107 2 2" xfId="53591"/>
    <cellStyle name="Note 6 2 107 3" xfId="40087"/>
    <cellStyle name="Note 6 2 108" xfId="12925"/>
    <cellStyle name="Note 6 2 108 2" xfId="26711"/>
    <cellStyle name="Note 6 2 108 2 2" xfId="53719"/>
    <cellStyle name="Note 6 2 108 3" xfId="40215"/>
    <cellStyle name="Note 6 2 109" xfId="13067"/>
    <cellStyle name="Note 6 2 109 2" xfId="26839"/>
    <cellStyle name="Note 6 2 109 2 2" xfId="53847"/>
    <cellStyle name="Note 6 2 109 3" xfId="40343"/>
    <cellStyle name="Note 6 2 11" xfId="1342"/>
    <cellStyle name="Note 6 2 11 2" xfId="16488"/>
    <cellStyle name="Note 6 2 11 2 2" xfId="43496"/>
    <cellStyle name="Note 6 2 11 3" xfId="29992"/>
    <cellStyle name="Note 6 2 110" xfId="13209"/>
    <cellStyle name="Note 6 2 110 2" xfId="26967"/>
    <cellStyle name="Note 6 2 110 2 2" xfId="53975"/>
    <cellStyle name="Note 6 2 110 3" xfId="40471"/>
    <cellStyle name="Note 6 2 111" xfId="13351"/>
    <cellStyle name="Note 6 2 111 2" xfId="27095"/>
    <cellStyle name="Note 6 2 111 2 2" xfId="54103"/>
    <cellStyle name="Note 6 2 111 3" xfId="40599"/>
    <cellStyle name="Note 6 2 112" xfId="13493"/>
    <cellStyle name="Note 6 2 112 2" xfId="27223"/>
    <cellStyle name="Note 6 2 112 2 2" xfId="54231"/>
    <cellStyle name="Note 6 2 112 3" xfId="40727"/>
    <cellStyle name="Note 6 2 113" xfId="13635"/>
    <cellStyle name="Note 6 2 113 2" xfId="27351"/>
    <cellStyle name="Note 6 2 113 2 2" xfId="54359"/>
    <cellStyle name="Note 6 2 113 3" xfId="40855"/>
    <cellStyle name="Note 6 2 114" xfId="13777"/>
    <cellStyle name="Note 6 2 114 2" xfId="27479"/>
    <cellStyle name="Note 6 2 114 2 2" xfId="54487"/>
    <cellStyle name="Note 6 2 114 3" xfId="40983"/>
    <cellStyle name="Note 6 2 115" xfId="13918"/>
    <cellStyle name="Note 6 2 115 2" xfId="27606"/>
    <cellStyle name="Note 6 2 115 2 2" xfId="54614"/>
    <cellStyle name="Note 6 2 115 3" xfId="41110"/>
    <cellStyle name="Note 6 2 116" xfId="14059"/>
    <cellStyle name="Note 6 2 116 2" xfId="27733"/>
    <cellStyle name="Note 6 2 116 2 2" xfId="54741"/>
    <cellStyle name="Note 6 2 116 3" xfId="41237"/>
    <cellStyle name="Note 6 2 117" xfId="14200"/>
    <cellStyle name="Note 6 2 117 2" xfId="27860"/>
    <cellStyle name="Note 6 2 117 2 2" xfId="54868"/>
    <cellStyle name="Note 6 2 117 3" xfId="41364"/>
    <cellStyle name="Note 6 2 118" xfId="14341"/>
    <cellStyle name="Note 6 2 118 2" xfId="27987"/>
    <cellStyle name="Note 6 2 118 2 2" xfId="54995"/>
    <cellStyle name="Note 6 2 118 3" xfId="41491"/>
    <cellStyle name="Note 6 2 119" xfId="14481"/>
    <cellStyle name="Note 6 2 119 2" xfId="28113"/>
    <cellStyle name="Note 6 2 119 2 2" xfId="55121"/>
    <cellStyle name="Note 6 2 119 3" xfId="41617"/>
    <cellStyle name="Note 6 2 12" xfId="1448"/>
    <cellStyle name="Note 6 2 12 2" xfId="16580"/>
    <cellStyle name="Note 6 2 12 2 2" xfId="43588"/>
    <cellStyle name="Note 6 2 12 3" xfId="30084"/>
    <cellStyle name="Note 6 2 120" xfId="14621"/>
    <cellStyle name="Note 6 2 120 2" xfId="28239"/>
    <cellStyle name="Note 6 2 120 2 2" xfId="55247"/>
    <cellStyle name="Note 6 2 120 3" xfId="41743"/>
    <cellStyle name="Note 6 2 121" xfId="14760"/>
    <cellStyle name="Note 6 2 121 2" xfId="28364"/>
    <cellStyle name="Note 6 2 121 2 2" xfId="55372"/>
    <cellStyle name="Note 6 2 121 3" xfId="41868"/>
    <cellStyle name="Note 6 2 122" xfId="14895"/>
    <cellStyle name="Note 6 2 122 2" xfId="28486"/>
    <cellStyle name="Note 6 2 122 2 2" xfId="55494"/>
    <cellStyle name="Note 6 2 122 3" xfId="41990"/>
    <cellStyle name="Note 6 2 123" xfId="15029"/>
    <cellStyle name="Note 6 2 123 2" xfId="28607"/>
    <cellStyle name="Note 6 2 123 2 2" xfId="55615"/>
    <cellStyle name="Note 6 2 123 3" xfId="42111"/>
    <cellStyle name="Note 6 2 124" xfId="15157"/>
    <cellStyle name="Note 6 2 124 2" xfId="28724"/>
    <cellStyle name="Note 6 2 124 2 2" xfId="55732"/>
    <cellStyle name="Note 6 2 124 3" xfId="42228"/>
    <cellStyle name="Note 6 2 125" xfId="15278"/>
    <cellStyle name="Note 6 2 125 2" xfId="28838"/>
    <cellStyle name="Note 6 2 125 2 2" xfId="55846"/>
    <cellStyle name="Note 6 2 125 3" xfId="42342"/>
    <cellStyle name="Note 6 2 126" xfId="15493"/>
    <cellStyle name="Note 6 2 126 2" xfId="42501"/>
    <cellStyle name="Note 6 2 127" xfId="28997"/>
    <cellStyle name="Note 6 2 13" xfId="1554"/>
    <cellStyle name="Note 6 2 13 2" xfId="16672"/>
    <cellStyle name="Note 6 2 13 2 2" xfId="43680"/>
    <cellStyle name="Note 6 2 13 3" xfId="30176"/>
    <cellStyle name="Note 6 2 14" xfId="1660"/>
    <cellStyle name="Note 6 2 14 2" xfId="16764"/>
    <cellStyle name="Note 6 2 14 2 2" xfId="43772"/>
    <cellStyle name="Note 6 2 14 3" xfId="30268"/>
    <cellStyle name="Note 6 2 15" xfId="1766"/>
    <cellStyle name="Note 6 2 15 2" xfId="16856"/>
    <cellStyle name="Note 6 2 15 2 2" xfId="43864"/>
    <cellStyle name="Note 6 2 15 3" xfId="30360"/>
    <cellStyle name="Note 6 2 16" xfId="1872"/>
    <cellStyle name="Note 6 2 16 2" xfId="16948"/>
    <cellStyle name="Note 6 2 16 2 2" xfId="43956"/>
    <cellStyle name="Note 6 2 16 3" xfId="30452"/>
    <cellStyle name="Note 6 2 17" xfId="1978"/>
    <cellStyle name="Note 6 2 17 2" xfId="17040"/>
    <cellStyle name="Note 6 2 17 2 2" xfId="44048"/>
    <cellStyle name="Note 6 2 17 3" xfId="30544"/>
    <cellStyle name="Note 6 2 18" xfId="2084"/>
    <cellStyle name="Note 6 2 18 2" xfId="17132"/>
    <cellStyle name="Note 6 2 18 2 2" xfId="44140"/>
    <cellStyle name="Note 6 2 18 3" xfId="30636"/>
    <cellStyle name="Note 6 2 19" xfId="2190"/>
    <cellStyle name="Note 6 2 19 2" xfId="17224"/>
    <cellStyle name="Note 6 2 19 2 2" xfId="44232"/>
    <cellStyle name="Note 6 2 19 3" xfId="30728"/>
    <cellStyle name="Note 6 2 2" xfId="312"/>
    <cellStyle name="Note 6 2 2 2" xfId="15614"/>
    <cellStyle name="Note 6 2 2 2 2" xfId="42622"/>
    <cellStyle name="Note 6 2 2 3" xfId="29118"/>
    <cellStyle name="Note 6 2 20" xfId="2296"/>
    <cellStyle name="Note 6 2 20 2" xfId="17316"/>
    <cellStyle name="Note 6 2 20 2 2" xfId="44324"/>
    <cellStyle name="Note 6 2 20 3" xfId="30820"/>
    <cellStyle name="Note 6 2 21" xfId="2402"/>
    <cellStyle name="Note 6 2 21 2" xfId="17408"/>
    <cellStyle name="Note 6 2 21 2 2" xfId="44416"/>
    <cellStyle name="Note 6 2 21 3" xfId="30912"/>
    <cellStyle name="Note 6 2 22" xfId="2508"/>
    <cellStyle name="Note 6 2 22 2" xfId="17500"/>
    <cellStyle name="Note 6 2 22 2 2" xfId="44508"/>
    <cellStyle name="Note 6 2 22 3" xfId="31004"/>
    <cellStyle name="Note 6 2 23" xfId="2614"/>
    <cellStyle name="Note 6 2 23 2" xfId="17592"/>
    <cellStyle name="Note 6 2 23 2 2" xfId="44600"/>
    <cellStyle name="Note 6 2 23 3" xfId="31096"/>
    <cellStyle name="Note 6 2 24" xfId="2720"/>
    <cellStyle name="Note 6 2 24 2" xfId="17684"/>
    <cellStyle name="Note 6 2 24 2 2" xfId="44692"/>
    <cellStyle name="Note 6 2 24 3" xfId="31188"/>
    <cellStyle name="Note 6 2 25" xfId="2826"/>
    <cellStyle name="Note 6 2 25 2" xfId="17776"/>
    <cellStyle name="Note 6 2 25 2 2" xfId="44784"/>
    <cellStyle name="Note 6 2 25 3" xfId="31280"/>
    <cellStyle name="Note 6 2 26" xfId="2932"/>
    <cellStyle name="Note 6 2 26 2" xfId="17868"/>
    <cellStyle name="Note 6 2 26 2 2" xfId="44876"/>
    <cellStyle name="Note 6 2 26 3" xfId="31372"/>
    <cellStyle name="Note 6 2 27" xfId="3038"/>
    <cellStyle name="Note 6 2 27 2" xfId="17960"/>
    <cellStyle name="Note 6 2 27 2 2" xfId="44968"/>
    <cellStyle name="Note 6 2 27 3" xfId="31464"/>
    <cellStyle name="Note 6 2 28" xfId="3144"/>
    <cellStyle name="Note 6 2 28 2" xfId="18052"/>
    <cellStyle name="Note 6 2 28 2 2" xfId="45060"/>
    <cellStyle name="Note 6 2 28 3" xfId="31556"/>
    <cellStyle name="Note 6 2 29" xfId="3250"/>
    <cellStyle name="Note 6 2 29 2" xfId="18144"/>
    <cellStyle name="Note 6 2 29 2 2" xfId="45152"/>
    <cellStyle name="Note 6 2 29 3" xfId="31648"/>
    <cellStyle name="Note 6 2 3" xfId="499"/>
    <cellStyle name="Note 6 2 3 2" xfId="15755"/>
    <cellStyle name="Note 6 2 3 2 2" xfId="42763"/>
    <cellStyle name="Note 6 2 3 3" xfId="29259"/>
    <cellStyle name="Note 6 2 30" xfId="3356"/>
    <cellStyle name="Note 6 2 30 2" xfId="18236"/>
    <cellStyle name="Note 6 2 30 2 2" xfId="45244"/>
    <cellStyle name="Note 6 2 30 3" xfId="31740"/>
    <cellStyle name="Note 6 2 31" xfId="3462"/>
    <cellStyle name="Note 6 2 31 2" xfId="18328"/>
    <cellStyle name="Note 6 2 31 2 2" xfId="45336"/>
    <cellStyle name="Note 6 2 31 3" xfId="31832"/>
    <cellStyle name="Note 6 2 32" xfId="3568"/>
    <cellStyle name="Note 6 2 32 2" xfId="18420"/>
    <cellStyle name="Note 6 2 32 2 2" xfId="45428"/>
    <cellStyle name="Note 6 2 32 3" xfId="31924"/>
    <cellStyle name="Note 6 2 33" xfId="3674"/>
    <cellStyle name="Note 6 2 33 2" xfId="18512"/>
    <cellStyle name="Note 6 2 33 2 2" xfId="45520"/>
    <cellStyle name="Note 6 2 33 3" xfId="32016"/>
    <cellStyle name="Note 6 2 34" xfId="3780"/>
    <cellStyle name="Note 6 2 34 2" xfId="18604"/>
    <cellStyle name="Note 6 2 34 2 2" xfId="45612"/>
    <cellStyle name="Note 6 2 34 3" xfId="32108"/>
    <cellStyle name="Note 6 2 35" xfId="3886"/>
    <cellStyle name="Note 6 2 35 2" xfId="18696"/>
    <cellStyle name="Note 6 2 35 2 2" xfId="45704"/>
    <cellStyle name="Note 6 2 35 3" xfId="32200"/>
    <cellStyle name="Note 6 2 36" xfId="3992"/>
    <cellStyle name="Note 6 2 36 2" xfId="18788"/>
    <cellStyle name="Note 6 2 36 2 2" xfId="45796"/>
    <cellStyle name="Note 6 2 36 3" xfId="32292"/>
    <cellStyle name="Note 6 2 37" xfId="4098"/>
    <cellStyle name="Note 6 2 37 2" xfId="18880"/>
    <cellStyle name="Note 6 2 37 2 2" xfId="45888"/>
    <cellStyle name="Note 6 2 37 3" xfId="32384"/>
    <cellStyle name="Note 6 2 38" xfId="4204"/>
    <cellStyle name="Note 6 2 38 2" xfId="18972"/>
    <cellStyle name="Note 6 2 38 2 2" xfId="45980"/>
    <cellStyle name="Note 6 2 38 3" xfId="32476"/>
    <cellStyle name="Note 6 2 39" xfId="4310"/>
    <cellStyle name="Note 6 2 39 2" xfId="19064"/>
    <cellStyle name="Note 6 2 39 2 2" xfId="46072"/>
    <cellStyle name="Note 6 2 39 3" xfId="32568"/>
    <cellStyle name="Note 6 2 4" xfId="600"/>
    <cellStyle name="Note 6 2 4 2" xfId="15844"/>
    <cellStyle name="Note 6 2 4 2 2" xfId="42852"/>
    <cellStyle name="Note 6 2 4 3" xfId="29348"/>
    <cellStyle name="Note 6 2 40" xfId="4416"/>
    <cellStyle name="Note 6 2 40 2" xfId="19156"/>
    <cellStyle name="Note 6 2 40 2 2" xfId="46164"/>
    <cellStyle name="Note 6 2 40 3" xfId="32660"/>
    <cellStyle name="Note 6 2 41" xfId="4522"/>
    <cellStyle name="Note 6 2 41 2" xfId="19248"/>
    <cellStyle name="Note 6 2 41 2 2" xfId="46256"/>
    <cellStyle name="Note 6 2 41 3" xfId="32752"/>
    <cellStyle name="Note 6 2 42" xfId="4628"/>
    <cellStyle name="Note 6 2 42 2" xfId="19340"/>
    <cellStyle name="Note 6 2 42 2 2" xfId="46348"/>
    <cellStyle name="Note 6 2 42 3" xfId="32844"/>
    <cellStyle name="Note 6 2 43" xfId="4734"/>
    <cellStyle name="Note 6 2 43 2" xfId="19432"/>
    <cellStyle name="Note 6 2 43 2 2" xfId="46440"/>
    <cellStyle name="Note 6 2 43 3" xfId="32936"/>
    <cellStyle name="Note 6 2 44" xfId="4840"/>
    <cellStyle name="Note 6 2 44 2" xfId="19524"/>
    <cellStyle name="Note 6 2 44 2 2" xfId="46532"/>
    <cellStyle name="Note 6 2 44 3" xfId="33028"/>
    <cellStyle name="Note 6 2 45" xfId="4946"/>
    <cellStyle name="Note 6 2 45 2" xfId="19616"/>
    <cellStyle name="Note 6 2 45 2 2" xfId="46624"/>
    <cellStyle name="Note 6 2 45 3" xfId="33120"/>
    <cellStyle name="Note 6 2 46" xfId="5052"/>
    <cellStyle name="Note 6 2 46 2" xfId="19708"/>
    <cellStyle name="Note 6 2 46 2 2" xfId="46716"/>
    <cellStyle name="Note 6 2 46 3" xfId="33212"/>
    <cellStyle name="Note 6 2 47" xfId="5158"/>
    <cellStyle name="Note 6 2 47 2" xfId="19800"/>
    <cellStyle name="Note 6 2 47 2 2" xfId="46808"/>
    <cellStyle name="Note 6 2 47 3" xfId="33304"/>
    <cellStyle name="Note 6 2 48" xfId="5264"/>
    <cellStyle name="Note 6 2 48 2" xfId="19892"/>
    <cellStyle name="Note 6 2 48 2 2" xfId="46900"/>
    <cellStyle name="Note 6 2 48 3" xfId="33396"/>
    <cellStyle name="Note 6 2 49" xfId="5370"/>
    <cellStyle name="Note 6 2 49 2" xfId="19984"/>
    <cellStyle name="Note 6 2 49 2 2" xfId="46992"/>
    <cellStyle name="Note 6 2 49 3" xfId="33488"/>
    <cellStyle name="Note 6 2 5" xfId="706"/>
    <cellStyle name="Note 6 2 5 2" xfId="15936"/>
    <cellStyle name="Note 6 2 5 2 2" xfId="42944"/>
    <cellStyle name="Note 6 2 5 3" xfId="29440"/>
    <cellStyle name="Note 6 2 50" xfId="5476"/>
    <cellStyle name="Note 6 2 50 2" xfId="20076"/>
    <cellStyle name="Note 6 2 50 2 2" xfId="47084"/>
    <cellStyle name="Note 6 2 50 3" xfId="33580"/>
    <cellStyle name="Note 6 2 51" xfId="5582"/>
    <cellStyle name="Note 6 2 51 2" xfId="20168"/>
    <cellStyle name="Note 6 2 51 2 2" xfId="47176"/>
    <cellStyle name="Note 6 2 51 3" xfId="33672"/>
    <cellStyle name="Note 6 2 52" xfId="5688"/>
    <cellStyle name="Note 6 2 52 2" xfId="20260"/>
    <cellStyle name="Note 6 2 52 2 2" xfId="47268"/>
    <cellStyle name="Note 6 2 52 3" xfId="33764"/>
    <cellStyle name="Note 6 2 53" xfId="5794"/>
    <cellStyle name="Note 6 2 53 2" xfId="20352"/>
    <cellStyle name="Note 6 2 53 2 2" xfId="47360"/>
    <cellStyle name="Note 6 2 53 3" xfId="33856"/>
    <cellStyle name="Note 6 2 54" xfId="5900"/>
    <cellStyle name="Note 6 2 54 2" xfId="20444"/>
    <cellStyle name="Note 6 2 54 2 2" xfId="47452"/>
    <cellStyle name="Note 6 2 54 3" xfId="33948"/>
    <cellStyle name="Note 6 2 55" xfId="6006"/>
    <cellStyle name="Note 6 2 55 2" xfId="20536"/>
    <cellStyle name="Note 6 2 55 2 2" xfId="47544"/>
    <cellStyle name="Note 6 2 55 3" xfId="34040"/>
    <cellStyle name="Note 6 2 56" xfId="6112"/>
    <cellStyle name="Note 6 2 56 2" xfId="20628"/>
    <cellStyle name="Note 6 2 56 2 2" xfId="47636"/>
    <cellStyle name="Note 6 2 56 3" xfId="34132"/>
    <cellStyle name="Note 6 2 57" xfId="6218"/>
    <cellStyle name="Note 6 2 57 2" xfId="20720"/>
    <cellStyle name="Note 6 2 57 2 2" xfId="47728"/>
    <cellStyle name="Note 6 2 57 3" xfId="34224"/>
    <cellStyle name="Note 6 2 58" xfId="6324"/>
    <cellStyle name="Note 6 2 58 2" xfId="20812"/>
    <cellStyle name="Note 6 2 58 2 2" xfId="47820"/>
    <cellStyle name="Note 6 2 58 3" xfId="34316"/>
    <cellStyle name="Note 6 2 59" xfId="6430"/>
    <cellStyle name="Note 6 2 59 2" xfId="20904"/>
    <cellStyle name="Note 6 2 59 2 2" xfId="47912"/>
    <cellStyle name="Note 6 2 59 3" xfId="34408"/>
    <cellStyle name="Note 6 2 6" xfId="812"/>
    <cellStyle name="Note 6 2 6 2" xfId="16028"/>
    <cellStyle name="Note 6 2 6 2 2" xfId="43036"/>
    <cellStyle name="Note 6 2 6 3" xfId="29532"/>
    <cellStyle name="Note 6 2 60" xfId="6536"/>
    <cellStyle name="Note 6 2 60 2" xfId="20996"/>
    <cellStyle name="Note 6 2 60 2 2" xfId="48004"/>
    <cellStyle name="Note 6 2 60 3" xfId="34500"/>
    <cellStyle name="Note 6 2 61" xfId="6641"/>
    <cellStyle name="Note 6 2 61 2" xfId="21087"/>
    <cellStyle name="Note 6 2 61 2 2" xfId="48095"/>
    <cellStyle name="Note 6 2 61 3" xfId="34591"/>
    <cellStyle name="Note 6 2 62" xfId="6746"/>
    <cellStyle name="Note 6 2 62 2" xfId="21178"/>
    <cellStyle name="Note 6 2 62 2 2" xfId="48186"/>
    <cellStyle name="Note 6 2 62 3" xfId="34682"/>
    <cellStyle name="Note 6 2 63" xfId="6851"/>
    <cellStyle name="Note 6 2 63 2" xfId="21269"/>
    <cellStyle name="Note 6 2 63 2 2" xfId="48277"/>
    <cellStyle name="Note 6 2 63 3" xfId="34773"/>
    <cellStyle name="Note 6 2 64" xfId="6956"/>
    <cellStyle name="Note 6 2 64 2" xfId="21360"/>
    <cellStyle name="Note 6 2 64 2 2" xfId="48368"/>
    <cellStyle name="Note 6 2 64 3" xfId="34864"/>
    <cellStyle name="Note 6 2 65" xfId="7060"/>
    <cellStyle name="Note 6 2 65 2" xfId="21450"/>
    <cellStyle name="Note 6 2 65 2 2" xfId="48458"/>
    <cellStyle name="Note 6 2 65 3" xfId="34954"/>
    <cellStyle name="Note 6 2 66" xfId="7164"/>
    <cellStyle name="Note 6 2 66 2" xfId="21540"/>
    <cellStyle name="Note 6 2 66 2 2" xfId="48548"/>
    <cellStyle name="Note 6 2 66 3" xfId="35044"/>
    <cellStyle name="Note 6 2 67" xfId="7267"/>
    <cellStyle name="Note 6 2 67 2" xfId="21629"/>
    <cellStyle name="Note 6 2 67 2 2" xfId="48637"/>
    <cellStyle name="Note 6 2 67 3" xfId="35133"/>
    <cellStyle name="Note 6 2 68" xfId="7367"/>
    <cellStyle name="Note 6 2 68 2" xfId="21716"/>
    <cellStyle name="Note 6 2 68 2 2" xfId="48724"/>
    <cellStyle name="Note 6 2 68 3" xfId="35220"/>
    <cellStyle name="Note 6 2 69" xfId="7465"/>
    <cellStyle name="Note 6 2 69 2" xfId="21801"/>
    <cellStyle name="Note 6 2 69 2 2" xfId="48809"/>
    <cellStyle name="Note 6 2 69 3" xfId="35305"/>
    <cellStyle name="Note 6 2 7" xfId="918"/>
    <cellStyle name="Note 6 2 7 2" xfId="16120"/>
    <cellStyle name="Note 6 2 7 2 2" xfId="43128"/>
    <cellStyle name="Note 6 2 7 3" xfId="29624"/>
    <cellStyle name="Note 6 2 70" xfId="7554"/>
    <cellStyle name="Note 6 2 70 2" xfId="21879"/>
    <cellStyle name="Note 6 2 70 2 2" xfId="48887"/>
    <cellStyle name="Note 6 2 70 3" xfId="35383"/>
    <cellStyle name="Note 6 2 71" xfId="7634"/>
    <cellStyle name="Note 6 2 71 2" xfId="21951"/>
    <cellStyle name="Note 6 2 71 2 2" xfId="48959"/>
    <cellStyle name="Note 6 2 71 3" xfId="35455"/>
    <cellStyle name="Note 6 2 72" xfId="7813"/>
    <cellStyle name="Note 6 2 72 2" xfId="22103"/>
    <cellStyle name="Note 6 2 72 2 2" xfId="49111"/>
    <cellStyle name="Note 6 2 72 3" xfId="35607"/>
    <cellStyle name="Note 6 2 73" xfId="7955"/>
    <cellStyle name="Note 6 2 73 2" xfId="22231"/>
    <cellStyle name="Note 6 2 73 2 2" xfId="49239"/>
    <cellStyle name="Note 6 2 73 3" xfId="35735"/>
    <cellStyle name="Note 6 2 74" xfId="8097"/>
    <cellStyle name="Note 6 2 74 2" xfId="22359"/>
    <cellStyle name="Note 6 2 74 2 2" xfId="49367"/>
    <cellStyle name="Note 6 2 74 3" xfId="35863"/>
    <cellStyle name="Note 6 2 75" xfId="8239"/>
    <cellStyle name="Note 6 2 75 2" xfId="22487"/>
    <cellStyle name="Note 6 2 75 2 2" xfId="49495"/>
    <cellStyle name="Note 6 2 75 3" xfId="35991"/>
    <cellStyle name="Note 6 2 76" xfId="8381"/>
    <cellStyle name="Note 6 2 76 2" xfId="22615"/>
    <cellStyle name="Note 6 2 76 2 2" xfId="49623"/>
    <cellStyle name="Note 6 2 76 3" xfId="36119"/>
    <cellStyle name="Note 6 2 77" xfId="8523"/>
    <cellStyle name="Note 6 2 77 2" xfId="22743"/>
    <cellStyle name="Note 6 2 77 2 2" xfId="49751"/>
    <cellStyle name="Note 6 2 77 3" xfId="36247"/>
    <cellStyle name="Note 6 2 78" xfId="8665"/>
    <cellStyle name="Note 6 2 78 2" xfId="22871"/>
    <cellStyle name="Note 6 2 78 2 2" xfId="49879"/>
    <cellStyle name="Note 6 2 78 3" xfId="36375"/>
    <cellStyle name="Note 6 2 79" xfId="8807"/>
    <cellStyle name="Note 6 2 79 2" xfId="22999"/>
    <cellStyle name="Note 6 2 79 2 2" xfId="50007"/>
    <cellStyle name="Note 6 2 79 3" xfId="36503"/>
    <cellStyle name="Note 6 2 8" xfId="1024"/>
    <cellStyle name="Note 6 2 8 2" xfId="16212"/>
    <cellStyle name="Note 6 2 8 2 2" xfId="43220"/>
    <cellStyle name="Note 6 2 8 3" xfId="29716"/>
    <cellStyle name="Note 6 2 80" xfId="8949"/>
    <cellStyle name="Note 6 2 80 2" xfId="23127"/>
    <cellStyle name="Note 6 2 80 2 2" xfId="50135"/>
    <cellStyle name="Note 6 2 80 3" xfId="36631"/>
    <cellStyle name="Note 6 2 81" xfId="9091"/>
    <cellStyle name="Note 6 2 81 2" xfId="23255"/>
    <cellStyle name="Note 6 2 81 2 2" xfId="50263"/>
    <cellStyle name="Note 6 2 81 3" xfId="36759"/>
    <cellStyle name="Note 6 2 82" xfId="9233"/>
    <cellStyle name="Note 6 2 82 2" xfId="23383"/>
    <cellStyle name="Note 6 2 82 2 2" xfId="50391"/>
    <cellStyle name="Note 6 2 82 3" xfId="36887"/>
    <cellStyle name="Note 6 2 83" xfId="9375"/>
    <cellStyle name="Note 6 2 83 2" xfId="23511"/>
    <cellStyle name="Note 6 2 83 2 2" xfId="50519"/>
    <cellStyle name="Note 6 2 83 3" xfId="37015"/>
    <cellStyle name="Note 6 2 84" xfId="9517"/>
    <cellStyle name="Note 6 2 84 2" xfId="23639"/>
    <cellStyle name="Note 6 2 84 2 2" xfId="50647"/>
    <cellStyle name="Note 6 2 84 3" xfId="37143"/>
    <cellStyle name="Note 6 2 85" xfId="9659"/>
    <cellStyle name="Note 6 2 85 2" xfId="23767"/>
    <cellStyle name="Note 6 2 85 2 2" xfId="50775"/>
    <cellStyle name="Note 6 2 85 3" xfId="37271"/>
    <cellStyle name="Note 6 2 86" xfId="9801"/>
    <cellStyle name="Note 6 2 86 2" xfId="23895"/>
    <cellStyle name="Note 6 2 86 2 2" xfId="50903"/>
    <cellStyle name="Note 6 2 86 3" xfId="37399"/>
    <cellStyle name="Note 6 2 87" xfId="9943"/>
    <cellStyle name="Note 6 2 87 2" xfId="24023"/>
    <cellStyle name="Note 6 2 87 2 2" xfId="51031"/>
    <cellStyle name="Note 6 2 87 3" xfId="37527"/>
    <cellStyle name="Note 6 2 88" xfId="10085"/>
    <cellStyle name="Note 6 2 88 2" xfId="24151"/>
    <cellStyle name="Note 6 2 88 2 2" xfId="51159"/>
    <cellStyle name="Note 6 2 88 3" xfId="37655"/>
    <cellStyle name="Note 6 2 89" xfId="10227"/>
    <cellStyle name="Note 6 2 89 2" xfId="24279"/>
    <cellStyle name="Note 6 2 89 2 2" xfId="51287"/>
    <cellStyle name="Note 6 2 89 3" xfId="37783"/>
    <cellStyle name="Note 6 2 9" xfId="1130"/>
    <cellStyle name="Note 6 2 9 2" xfId="16304"/>
    <cellStyle name="Note 6 2 9 2 2" xfId="43312"/>
    <cellStyle name="Note 6 2 9 3" xfId="29808"/>
    <cellStyle name="Note 6 2 90" xfId="10369"/>
    <cellStyle name="Note 6 2 90 2" xfId="24407"/>
    <cellStyle name="Note 6 2 90 2 2" xfId="51415"/>
    <cellStyle name="Note 6 2 90 3" xfId="37911"/>
    <cellStyle name="Note 6 2 91" xfId="10511"/>
    <cellStyle name="Note 6 2 91 2" xfId="24535"/>
    <cellStyle name="Note 6 2 91 2 2" xfId="51543"/>
    <cellStyle name="Note 6 2 91 3" xfId="38039"/>
    <cellStyle name="Note 6 2 92" xfId="10653"/>
    <cellStyle name="Note 6 2 92 2" xfId="24663"/>
    <cellStyle name="Note 6 2 92 2 2" xfId="51671"/>
    <cellStyle name="Note 6 2 92 3" xfId="38167"/>
    <cellStyle name="Note 6 2 93" xfId="10795"/>
    <cellStyle name="Note 6 2 93 2" xfId="24791"/>
    <cellStyle name="Note 6 2 93 2 2" xfId="51799"/>
    <cellStyle name="Note 6 2 93 3" xfId="38295"/>
    <cellStyle name="Note 6 2 94" xfId="10937"/>
    <cellStyle name="Note 6 2 94 2" xfId="24919"/>
    <cellStyle name="Note 6 2 94 2 2" xfId="51927"/>
    <cellStyle name="Note 6 2 94 3" xfId="38423"/>
    <cellStyle name="Note 6 2 95" xfId="11079"/>
    <cellStyle name="Note 6 2 95 2" xfId="25047"/>
    <cellStyle name="Note 6 2 95 2 2" xfId="52055"/>
    <cellStyle name="Note 6 2 95 3" xfId="38551"/>
    <cellStyle name="Note 6 2 96" xfId="11221"/>
    <cellStyle name="Note 6 2 96 2" xfId="25175"/>
    <cellStyle name="Note 6 2 96 2 2" xfId="52183"/>
    <cellStyle name="Note 6 2 96 3" xfId="38679"/>
    <cellStyle name="Note 6 2 97" xfId="11363"/>
    <cellStyle name="Note 6 2 97 2" xfId="25303"/>
    <cellStyle name="Note 6 2 97 2 2" xfId="52311"/>
    <cellStyle name="Note 6 2 97 3" xfId="38807"/>
    <cellStyle name="Note 6 2 98" xfId="11505"/>
    <cellStyle name="Note 6 2 98 2" xfId="25431"/>
    <cellStyle name="Note 6 2 98 2 2" xfId="52439"/>
    <cellStyle name="Note 6 2 98 3" xfId="38935"/>
    <cellStyle name="Note 6 2 99" xfId="11647"/>
    <cellStyle name="Note 6 2 99 2" xfId="25559"/>
    <cellStyle name="Note 6 2 99 2 2" xfId="52567"/>
    <cellStyle name="Note 6 2 99 3" xfId="39063"/>
    <cellStyle name="Note 6 20" xfId="2046"/>
    <cellStyle name="Note 6 20 2" xfId="17104"/>
    <cellStyle name="Note 6 20 2 2" xfId="44112"/>
    <cellStyle name="Note 6 20 3" xfId="30608"/>
    <cellStyle name="Note 6 21" xfId="2152"/>
    <cellStyle name="Note 6 21 2" xfId="17196"/>
    <cellStyle name="Note 6 21 2 2" xfId="44204"/>
    <cellStyle name="Note 6 21 3" xfId="30700"/>
    <cellStyle name="Note 6 22" xfId="2258"/>
    <cellStyle name="Note 6 22 2" xfId="17288"/>
    <cellStyle name="Note 6 22 2 2" xfId="44296"/>
    <cellStyle name="Note 6 22 3" xfId="30792"/>
    <cellStyle name="Note 6 23" xfId="2364"/>
    <cellStyle name="Note 6 23 2" xfId="17380"/>
    <cellStyle name="Note 6 23 2 2" xfId="44388"/>
    <cellStyle name="Note 6 23 3" xfId="30884"/>
    <cellStyle name="Note 6 24" xfId="2470"/>
    <cellStyle name="Note 6 24 2" xfId="17472"/>
    <cellStyle name="Note 6 24 2 2" xfId="44480"/>
    <cellStyle name="Note 6 24 3" xfId="30976"/>
    <cellStyle name="Note 6 25" xfId="2576"/>
    <cellStyle name="Note 6 25 2" xfId="17564"/>
    <cellStyle name="Note 6 25 2 2" xfId="44572"/>
    <cellStyle name="Note 6 25 3" xfId="31068"/>
    <cellStyle name="Note 6 26" xfId="2682"/>
    <cellStyle name="Note 6 26 2" xfId="17656"/>
    <cellStyle name="Note 6 26 2 2" xfId="44664"/>
    <cellStyle name="Note 6 26 3" xfId="31160"/>
    <cellStyle name="Note 6 27" xfId="2788"/>
    <cellStyle name="Note 6 27 2" xfId="17748"/>
    <cellStyle name="Note 6 27 2 2" xfId="44756"/>
    <cellStyle name="Note 6 27 3" xfId="31252"/>
    <cellStyle name="Note 6 28" xfId="2894"/>
    <cellStyle name="Note 6 28 2" xfId="17840"/>
    <cellStyle name="Note 6 28 2 2" xfId="44848"/>
    <cellStyle name="Note 6 28 3" xfId="31344"/>
    <cellStyle name="Note 6 29" xfId="3000"/>
    <cellStyle name="Note 6 29 2" xfId="17932"/>
    <cellStyle name="Note 6 29 2 2" xfId="44940"/>
    <cellStyle name="Note 6 29 3" xfId="31436"/>
    <cellStyle name="Note 6 3" xfId="146"/>
    <cellStyle name="Note 6 3 10" xfId="1251"/>
    <cellStyle name="Note 6 3 10 2" xfId="16409"/>
    <cellStyle name="Note 6 3 10 2 2" xfId="43417"/>
    <cellStyle name="Note 6 3 10 3" xfId="29913"/>
    <cellStyle name="Note 6 3 100" xfId="11800"/>
    <cellStyle name="Note 6 3 100 2" xfId="25698"/>
    <cellStyle name="Note 6 3 100 2 2" xfId="52706"/>
    <cellStyle name="Note 6 3 100 3" xfId="39202"/>
    <cellStyle name="Note 6 3 101" xfId="11942"/>
    <cellStyle name="Note 6 3 101 2" xfId="25826"/>
    <cellStyle name="Note 6 3 101 2 2" xfId="52834"/>
    <cellStyle name="Note 6 3 101 3" xfId="39330"/>
    <cellStyle name="Note 6 3 102" xfId="12084"/>
    <cellStyle name="Note 6 3 102 2" xfId="25954"/>
    <cellStyle name="Note 6 3 102 2 2" xfId="52962"/>
    <cellStyle name="Note 6 3 102 3" xfId="39458"/>
    <cellStyle name="Note 6 3 103" xfId="12226"/>
    <cellStyle name="Note 6 3 103 2" xfId="26082"/>
    <cellStyle name="Note 6 3 103 2 2" xfId="53090"/>
    <cellStyle name="Note 6 3 103 3" xfId="39586"/>
    <cellStyle name="Note 6 3 104" xfId="12368"/>
    <cellStyle name="Note 6 3 104 2" xfId="26210"/>
    <cellStyle name="Note 6 3 104 2 2" xfId="53218"/>
    <cellStyle name="Note 6 3 104 3" xfId="39714"/>
    <cellStyle name="Note 6 3 105" xfId="12510"/>
    <cellStyle name="Note 6 3 105 2" xfId="26338"/>
    <cellStyle name="Note 6 3 105 2 2" xfId="53346"/>
    <cellStyle name="Note 6 3 105 3" xfId="39842"/>
    <cellStyle name="Note 6 3 106" xfId="12652"/>
    <cellStyle name="Note 6 3 106 2" xfId="26466"/>
    <cellStyle name="Note 6 3 106 2 2" xfId="53474"/>
    <cellStyle name="Note 6 3 106 3" xfId="39970"/>
    <cellStyle name="Note 6 3 107" xfId="12794"/>
    <cellStyle name="Note 6 3 107 2" xfId="26594"/>
    <cellStyle name="Note 6 3 107 2 2" xfId="53602"/>
    <cellStyle name="Note 6 3 107 3" xfId="40098"/>
    <cellStyle name="Note 6 3 108" xfId="12936"/>
    <cellStyle name="Note 6 3 108 2" xfId="26722"/>
    <cellStyle name="Note 6 3 108 2 2" xfId="53730"/>
    <cellStyle name="Note 6 3 108 3" xfId="40226"/>
    <cellStyle name="Note 6 3 109" xfId="13078"/>
    <cellStyle name="Note 6 3 109 2" xfId="26850"/>
    <cellStyle name="Note 6 3 109 2 2" xfId="53858"/>
    <cellStyle name="Note 6 3 109 3" xfId="40354"/>
    <cellStyle name="Note 6 3 11" xfId="1357"/>
    <cellStyle name="Note 6 3 11 2" xfId="16501"/>
    <cellStyle name="Note 6 3 11 2 2" xfId="43509"/>
    <cellStyle name="Note 6 3 11 3" xfId="30005"/>
    <cellStyle name="Note 6 3 110" xfId="13220"/>
    <cellStyle name="Note 6 3 110 2" xfId="26978"/>
    <cellStyle name="Note 6 3 110 2 2" xfId="53986"/>
    <cellStyle name="Note 6 3 110 3" xfId="40482"/>
    <cellStyle name="Note 6 3 111" xfId="13362"/>
    <cellStyle name="Note 6 3 111 2" xfId="27106"/>
    <cellStyle name="Note 6 3 111 2 2" xfId="54114"/>
    <cellStyle name="Note 6 3 111 3" xfId="40610"/>
    <cellStyle name="Note 6 3 112" xfId="13504"/>
    <cellStyle name="Note 6 3 112 2" xfId="27234"/>
    <cellStyle name="Note 6 3 112 2 2" xfId="54242"/>
    <cellStyle name="Note 6 3 112 3" xfId="40738"/>
    <cellStyle name="Note 6 3 113" xfId="13646"/>
    <cellStyle name="Note 6 3 113 2" xfId="27362"/>
    <cellStyle name="Note 6 3 113 2 2" xfId="54370"/>
    <cellStyle name="Note 6 3 113 3" xfId="40866"/>
    <cellStyle name="Note 6 3 114" xfId="13788"/>
    <cellStyle name="Note 6 3 114 2" xfId="27490"/>
    <cellStyle name="Note 6 3 114 2 2" xfId="54498"/>
    <cellStyle name="Note 6 3 114 3" xfId="40994"/>
    <cellStyle name="Note 6 3 115" xfId="13929"/>
    <cellStyle name="Note 6 3 115 2" xfId="27617"/>
    <cellStyle name="Note 6 3 115 2 2" xfId="54625"/>
    <cellStyle name="Note 6 3 115 3" xfId="41121"/>
    <cellStyle name="Note 6 3 116" xfId="14070"/>
    <cellStyle name="Note 6 3 116 2" xfId="27744"/>
    <cellStyle name="Note 6 3 116 2 2" xfId="54752"/>
    <cellStyle name="Note 6 3 116 3" xfId="41248"/>
    <cellStyle name="Note 6 3 117" xfId="14211"/>
    <cellStyle name="Note 6 3 117 2" xfId="27871"/>
    <cellStyle name="Note 6 3 117 2 2" xfId="54879"/>
    <cellStyle name="Note 6 3 117 3" xfId="41375"/>
    <cellStyle name="Note 6 3 118" xfId="14352"/>
    <cellStyle name="Note 6 3 118 2" xfId="27998"/>
    <cellStyle name="Note 6 3 118 2 2" xfId="55006"/>
    <cellStyle name="Note 6 3 118 3" xfId="41502"/>
    <cellStyle name="Note 6 3 119" xfId="14492"/>
    <cellStyle name="Note 6 3 119 2" xfId="28124"/>
    <cellStyle name="Note 6 3 119 2 2" xfId="55132"/>
    <cellStyle name="Note 6 3 119 3" xfId="41628"/>
    <cellStyle name="Note 6 3 12" xfId="1463"/>
    <cellStyle name="Note 6 3 12 2" xfId="16593"/>
    <cellStyle name="Note 6 3 12 2 2" xfId="43601"/>
    <cellStyle name="Note 6 3 12 3" xfId="30097"/>
    <cellStyle name="Note 6 3 120" xfId="14632"/>
    <cellStyle name="Note 6 3 120 2" xfId="28250"/>
    <cellStyle name="Note 6 3 120 2 2" xfId="55258"/>
    <cellStyle name="Note 6 3 120 3" xfId="41754"/>
    <cellStyle name="Note 6 3 121" xfId="14771"/>
    <cellStyle name="Note 6 3 121 2" xfId="28375"/>
    <cellStyle name="Note 6 3 121 2 2" xfId="55383"/>
    <cellStyle name="Note 6 3 121 3" xfId="41879"/>
    <cellStyle name="Note 6 3 122" xfId="14906"/>
    <cellStyle name="Note 6 3 122 2" xfId="28497"/>
    <cellStyle name="Note 6 3 122 2 2" xfId="55505"/>
    <cellStyle name="Note 6 3 122 3" xfId="42001"/>
    <cellStyle name="Note 6 3 123" xfId="15040"/>
    <cellStyle name="Note 6 3 123 2" xfId="28618"/>
    <cellStyle name="Note 6 3 123 2 2" xfId="55626"/>
    <cellStyle name="Note 6 3 123 3" xfId="42122"/>
    <cellStyle name="Note 6 3 124" xfId="15167"/>
    <cellStyle name="Note 6 3 124 2" xfId="28734"/>
    <cellStyle name="Note 6 3 124 2 2" xfId="55742"/>
    <cellStyle name="Note 6 3 124 3" xfId="42238"/>
    <cellStyle name="Note 6 3 125" xfId="15287"/>
    <cellStyle name="Note 6 3 125 2" xfId="28847"/>
    <cellStyle name="Note 6 3 125 2 2" xfId="55855"/>
    <cellStyle name="Note 6 3 125 3" xfId="42351"/>
    <cellStyle name="Note 6 3 126" xfId="15502"/>
    <cellStyle name="Note 6 3 126 2" xfId="42510"/>
    <cellStyle name="Note 6 3 127" xfId="29006"/>
    <cellStyle name="Note 6 3 13" xfId="1569"/>
    <cellStyle name="Note 6 3 13 2" xfId="16685"/>
    <cellStyle name="Note 6 3 13 2 2" xfId="43693"/>
    <cellStyle name="Note 6 3 13 3" xfId="30189"/>
    <cellStyle name="Note 6 3 14" xfId="1675"/>
    <cellStyle name="Note 6 3 14 2" xfId="16777"/>
    <cellStyle name="Note 6 3 14 2 2" xfId="43785"/>
    <cellStyle name="Note 6 3 14 3" xfId="30281"/>
    <cellStyle name="Note 6 3 15" xfId="1781"/>
    <cellStyle name="Note 6 3 15 2" xfId="16869"/>
    <cellStyle name="Note 6 3 15 2 2" xfId="43877"/>
    <cellStyle name="Note 6 3 15 3" xfId="30373"/>
    <cellStyle name="Note 6 3 16" xfId="1887"/>
    <cellStyle name="Note 6 3 16 2" xfId="16961"/>
    <cellStyle name="Note 6 3 16 2 2" xfId="43969"/>
    <cellStyle name="Note 6 3 16 3" xfId="30465"/>
    <cellStyle name="Note 6 3 17" xfId="1993"/>
    <cellStyle name="Note 6 3 17 2" xfId="17053"/>
    <cellStyle name="Note 6 3 17 2 2" xfId="44061"/>
    <cellStyle name="Note 6 3 17 3" xfId="30557"/>
    <cellStyle name="Note 6 3 18" xfId="2099"/>
    <cellStyle name="Note 6 3 18 2" xfId="17145"/>
    <cellStyle name="Note 6 3 18 2 2" xfId="44153"/>
    <cellStyle name="Note 6 3 18 3" xfId="30649"/>
    <cellStyle name="Note 6 3 19" xfId="2205"/>
    <cellStyle name="Note 6 3 19 2" xfId="17237"/>
    <cellStyle name="Note 6 3 19 2 2" xfId="44245"/>
    <cellStyle name="Note 6 3 19 3" xfId="30741"/>
    <cellStyle name="Note 6 3 2" xfId="323"/>
    <cellStyle name="Note 6 3 2 2" xfId="15625"/>
    <cellStyle name="Note 6 3 2 2 2" xfId="42633"/>
    <cellStyle name="Note 6 3 2 3" xfId="29129"/>
    <cellStyle name="Note 6 3 20" xfId="2311"/>
    <cellStyle name="Note 6 3 20 2" xfId="17329"/>
    <cellStyle name="Note 6 3 20 2 2" xfId="44337"/>
    <cellStyle name="Note 6 3 20 3" xfId="30833"/>
    <cellStyle name="Note 6 3 21" xfId="2417"/>
    <cellStyle name="Note 6 3 21 2" xfId="17421"/>
    <cellStyle name="Note 6 3 21 2 2" xfId="44429"/>
    <cellStyle name="Note 6 3 21 3" xfId="30925"/>
    <cellStyle name="Note 6 3 22" xfId="2523"/>
    <cellStyle name="Note 6 3 22 2" xfId="17513"/>
    <cellStyle name="Note 6 3 22 2 2" xfId="44521"/>
    <cellStyle name="Note 6 3 22 3" xfId="31017"/>
    <cellStyle name="Note 6 3 23" xfId="2629"/>
    <cellStyle name="Note 6 3 23 2" xfId="17605"/>
    <cellStyle name="Note 6 3 23 2 2" xfId="44613"/>
    <cellStyle name="Note 6 3 23 3" xfId="31109"/>
    <cellStyle name="Note 6 3 24" xfId="2735"/>
    <cellStyle name="Note 6 3 24 2" xfId="17697"/>
    <cellStyle name="Note 6 3 24 2 2" xfId="44705"/>
    <cellStyle name="Note 6 3 24 3" xfId="31201"/>
    <cellStyle name="Note 6 3 25" xfId="2841"/>
    <cellStyle name="Note 6 3 25 2" xfId="17789"/>
    <cellStyle name="Note 6 3 25 2 2" xfId="44797"/>
    <cellStyle name="Note 6 3 25 3" xfId="31293"/>
    <cellStyle name="Note 6 3 26" xfId="2947"/>
    <cellStyle name="Note 6 3 26 2" xfId="17881"/>
    <cellStyle name="Note 6 3 26 2 2" xfId="44889"/>
    <cellStyle name="Note 6 3 26 3" xfId="31385"/>
    <cellStyle name="Note 6 3 27" xfId="3053"/>
    <cellStyle name="Note 6 3 27 2" xfId="17973"/>
    <cellStyle name="Note 6 3 27 2 2" xfId="44981"/>
    <cellStyle name="Note 6 3 27 3" xfId="31477"/>
    <cellStyle name="Note 6 3 28" xfId="3159"/>
    <cellStyle name="Note 6 3 28 2" xfId="18065"/>
    <cellStyle name="Note 6 3 28 2 2" xfId="45073"/>
    <cellStyle name="Note 6 3 28 3" xfId="31569"/>
    <cellStyle name="Note 6 3 29" xfId="3265"/>
    <cellStyle name="Note 6 3 29 2" xfId="18157"/>
    <cellStyle name="Note 6 3 29 2 2" xfId="45165"/>
    <cellStyle name="Note 6 3 29 3" xfId="31661"/>
    <cellStyle name="Note 6 3 3" xfId="510"/>
    <cellStyle name="Note 6 3 3 2" xfId="15766"/>
    <cellStyle name="Note 6 3 3 2 2" xfId="42774"/>
    <cellStyle name="Note 6 3 3 3" xfId="29270"/>
    <cellStyle name="Note 6 3 30" xfId="3371"/>
    <cellStyle name="Note 6 3 30 2" xfId="18249"/>
    <cellStyle name="Note 6 3 30 2 2" xfId="45257"/>
    <cellStyle name="Note 6 3 30 3" xfId="31753"/>
    <cellStyle name="Note 6 3 31" xfId="3477"/>
    <cellStyle name="Note 6 3 31 2" xfId="18341"/>
    <cellStyle name="Note 6 3 31 2 2" xfId="45349"/>
    <cellStyle name="Note 6 3 31 3" xfId="31845"/>
    <cellStyle name="Note 6 3 32" xfId="3583"/>
    <cellStyle name="Note 6 3 32 2" xfId="18433"/>
    <cellStyle name="Note 6 3 32 2 2" xfId="45441"/>
    <cellStyle name="Note 6 3 32 3" xfId="31937"/>
    <cellStyle name="Note 6 3 33" xfId="3689"/>
    <cellStyle name="Note 6 3 33 2" xfId="18525"/>
    <cellStyle name="Note 6 3 33 2 2" xfId="45533"/>
    <cellStyle name="Note 6 3 33 3" xfId="32029"/>
    <cellStyle name="Note 6 3 34" xfId="3795"/>
    <cellStyle name="Note 6 3 34 2" xfId="18617"/>
    <cellStyle name="Note 6 3 34 2 2" xfId="45625"/>
    <cellStyle name="Note 6 3 34 3" xfId="32121"/>
    <cellStyle name="Note 6 3 35" xfId="3901"/>
    <cellStyle name="Note 6 3 35 2" xfId="18709"/>
    <cellStyle name="Note 6 3 35 2 2" xfId="45717"/>
    <cellStyle name="Note 6 3 35 3" xfId="32213"/>
    <cellStyle name="Note 6 3 36" xfId="4007"/>
    <cellStyle name="Note 6 3 36 2" xfId="18801"/>
    <cellStyle name="Note 6 3 36 2 2" xfId="45809"/>
    <cellStyle name="Note 6 3 36 3" xfId="32305"/>
    <cellStyle name="Note 6 3 37" xfId="4113"/>
    <cellStyle name="Note 6 3 37 2" xfId="18893"/>
    <cellStyle name="Note 6 3 37 2 2" xfId="45901"/>
    <cellStyle name="Note 6 3 37 3" xfId="32397"/>
    <cellStyle name="Note 6 3 38" xfId="4219"/>
    <cellStyle name="Note 6 3 38 2" xfId="18985"/>
    <cellStyle name="Note 6 3 38 2 2" xfId="45993"/>
    <cellStyle name="Note 6 3 38 3" xfId="32489"/>
    <cellStyle name="Note 6 3 39" xfId="4325"/>
    <cellStyle name="Note 6 3 39 2" xfId="19077"/>
    <cellStyle name="Note 6 3 39 2 2" xfId="46085"/>
    <cellStyle name="Note 6 3 39 3" xfId="32581"/>
    <cellStyle name="Note 6 3 4" xfId="615"/>
    <cellStyle name="Note 6 3 4 2" xfId="15857"/>
    <cellStyle name="Note 6 3 4 2 2" xfId="42865"/>
    <cellStyle name="Note 6 3 4 3" xfId="29361"/>
    <cellStyle name="Note 6 3 40" xfId="4431"/>
    <cellStyle name="Note 6 3 40 2" xfId="19169"/>
    <cellStyle name="Note 6 3 40 2 2" xfId="46177"/>
    <cellStyle name="Note 6 3 40 3" xfId="32673"/>
    <cellStyle name="Note 6 3 41" xfId="4537"/>
    <cellStyle name="Note 6 3 41 2" xfId="19261"/>
    <cellStyle name="Note 6 3 41 2 2" xfId="46269"/>
    <cellStyle name="Note 6 3 41 3" xfId="32765"/>
    <cellStyle name="Note 6 3 42" xfId="4643"/>
    <cellStyle name="Note 6 3 42 2" xfId="19353"/>
    <cellStyle name="Note 6 3 42 2 2" xfId="46361"/>
    <cellStyle name="Note 6 3 42 3" xfId="32857"/>
    <cellStyle name="Note 6 3 43" xfId="4749"/>
    <cellStyle name="Note 6 3 43 2" xfId="19445"/>
    <cellStyle name="Note 6 3 43 2 2" xfId="46453"/>
    <cellStyle name="Note 6 3 43 3" xfId="32949"/>
    <cellStyle name="Note 6 3 44" xfId="4855"/>
    <cellStyle name="Note 6 3 44 2" xfId="19537"/>
    <cellStyle name="Note 6 3 44 2 2" xfId="46545"/>
    <cellStyle name="Note 6 3 44 3" xfId="33041"/>
    <cellStyle name="Note 6 3 45" xfId="4961"/>
    <cellStyle name="Note 6 3 45 2" xfId="19629"/>
    <cellStyle name="Note 6 3 45 2 2" xfId="46637"/>
    <cellStyle name="Note 6 3 45 3" xfId="33133"/>
    <cellStyle name="Note 6 3 46" xfId="5067"/>
    <cellStyle name="Note 6 3 46 2" xfId="19721"/>
    <cellStyle name="Note 6 3 46 2 2" xfId="46729"/>
    <cellStyle name="Note 6 3 46 3" xfId="33225"/>
    <cellStyle name="Note 6 3 47" xfId="5173"/>
    <cellStyle name="Note 6 3 47 2" xfId="19813"/>
    <cellStyle name="Note 6 3 47 2 2" xfId="46821"/>
    <cellStyle name="Note 6 3 47 3" xfId="33317"/>
    <cellStyle name="Note 6 3 48" xfId="5279"/>
    <cellStyle name="Note 6 3 48 2" xfId="19905"/>
    <cellStyle name="Note 6 3 48 2 2" xfId="46913"/>
    <cellStyle name="Note 6 3 48 3" xfId="33409"/>
    <cellStyle name="Note 6 3 49" xfId="5385"/>
    <cellStyle name="Note 6 3 49 2" xfId="19997"/>
    <cellStyle name="Note 6 3 49 2 2" xfId="47005"/>
    <cellStyle name="Note 6 3 49 3" xfId="33501"/>
    <cellStyle name="Note 6 3 5" xfId="721"/>
    <cellStyle name="Note 6 3 5 2" xfId="15949"/>
    <cellStyle name="Note 6 3 5 2 2" xfId="42957"/>
    <cellStyle name="Note 6 3 5 3" xfId="29453"/>
    <cellStyle name="Note 6 3 50" xfId="5491"/>
    <cellStyle name="Note 6 3 50 2" xfId="20089"/>
    <cellStyle name="Note 6 3 50 2 2" xfId="47097"/>
    <cellStyle name="Note 6 3 50 3" xfId="33593"/>
    <cellStyle name="Note 6 3 51" xfId="5597"/>
    <cellStyle name="Note 6 3 51 2" xfId="20181"/>
    <cellStyle name="Note 6 3 51 2 2" xfId="47189"/>
    <cellStyle name="Note 6 3 51 3" xfId="33685"/>
    <cellStyle name="Note 6 3 52" xfId="5703"/>
    <cellStyle name="Note 6 3 52 2" xfId="20273"/>
    <cellStyle name="Note 6 3 52 2 2" xfId="47281"/>
    <cellStyle name="Note 6 3 52 3" xfId="33777"/>
    <cellStyle name="Note 6 3 53" xfId="5809"/>
    <cellStyle name="Note 6 3 53 2" xfId="20365"/>
    <cellStyle name="Note 6 3 53 2 2" xfId="47373"/>
    <cellStyle name="Note 6 3 53 3" xfId="33869"/>
    <cellStyle name="Note 6 3 54" xfId="5915"/>
    <cellStyle name="Note 6 3 54 2" xfId="20457"/>
    <cellStyle name="Note 6 3 54 2 2" xfId="47465"/>
    <cellStyle name="Note 6 3 54 3" xfId="33961"/>
    <cellStyle name="Note 6 3 55" xfId="6021"/>
    <cellStyle name="Note 6 3 55 2" xfId="20549"/>
    <cellStyle name="Note 6 3 55 2 2" xfId="47557"/>
    <cellStyle name="Note 6 3 55 3" xfId="34053"/>
    <cellStyle name="Note 6 3 56" xfId="6127"/>
    <cellStyle name="Note 6 3 56 2" xfId="20641"/>
    <cellStyle name="Note 6 3 56 2 2" xfId="47649"/>
    <cellStyle name="Note 6 3 56 3" xfId="34145"/>
    <cellStyle name="Note 6 3 57" xfId="6233"/>
    <cellStyle name="Note 6 3 57 2" xfId="20733"/>
    <cellStyle name="Note 6 3 57 2 2" xfId="47741"/>
    <cellStyle name="Note 6 3 57 3" xfId="34237"/>
    <cellStyle name="Note 6 3 58" xfId="6339"/>
    <cellStyle name="Note 6 3 58 2" xfId="20825"/>
    <cellStyle name="Note 6 3 58 2 2" xfId="47833"/>
    <cellStyle name="Note 6 3 58 3" xfId="34329"/>
    <cellStyle name="Note 6 3 59" xfId="6445"/>
    <cellStyle name="Note 6 3 59 2" xfId="20917"/>
    <cellStyle name="Note 6 3 59 2 2" xfId="47925"/>
    <cellStyle name="Note 6 3 59 3" xfId="34421"/>
    <cellStyle name="Note 6 3 6" xfId="827"/>
    <cellStyle name="Note 6 3 6 2" xfId="16041"/>
    <cellStyle name="Note 6 3 6 2 2" xfId="43049"/>
    <cellStyle name="Note 6 3 6 3" xfId="29545"/>
    <cellStyle name="Note 6 3 60" xfId="6551"/>
    <cellStyle name="Note 6 3 60 2" xfId="21009"/>
    <cellStyle name="Note 6 3 60 2 2" xfId="48017"/>
    <cellStyle name="Note 6 3 60 3" xfId="34513"/>
    <cellStyle name="Note 6 3 61" xfId="6656"/>
    <cellStyle name="Note 6 3 61 2" xfId="21100"/>
    <cellStyle name="Note 6 3 61 2 2" xfId="48108"/>
    <cellStyle name="Note 6 3 61 3" xfId="34604"/>
    <cellStyle name="Note 6 3 62" xfId="6761"/>
    <cellStyle name="Note 6 3 62 2" xfId="21191"/>
    <cellStyle name="Note 6 3 62 2 2" xfId="48199"/>
    <cellStyle name="Note 6 3 62 3" xfId="34695"/>
    <cellStyle name="Note 6 3 63" xfId="6866"/>
    <cellStyle name="Note 6 3 63 2" xfId="21282"/>
    <cellStyle name="Note 6 3 63 2 2" xfId="48290"/>
    <cellStyle name="Note 6 3 63 3" xfId="34786"/>
    <cellStyle name="Note 6 3 64" xfId="6971"/>
    <cellStyle name="Note 6 3 64 2" xfId="21373"/>
    <cellStyle name="Note 6 3 64 2 2" xfId="48381"/>
    <cellStyle name="Note 6 3 64 3" xfId="34877"/>
    <cellStyle name="Note 6 3 65" xfId="7075"/>
    <cellStyle name="Note 6 3 65 2" xfId="21463"/>
    <cellStyle name="Note 6 3 65 2 2" xfId="48471"/>
    <cellStyle name="Note 6 3 65 3" xfId="34967"/>
    <cellStyle name="Note 6 3 66" xfId="7179"/>
    <cellStyle name="Note 6 3 66 2" xfId="21553"/>
    <cellStyle name="Note 6 3 66 2 2" xfId="48561"/>
    <cellStyle name="Note 6 3 66 3" xfId="35057"/>
    <cellStyle name="Note 6 3 67" xfId="7282"/>
    <cellStyle name="Note 6 3 67 2" xfId="21642"/>
    <cellStyle name="Note 6 3 67 2 2" xfId="48650"/>
    <cellStyle name="Note 6 3 67 3" xfId="35146"/>
    <cellStyle name="Note 6 3 68" xfId="7382"/>
    <cellStyle name="Note 6 3 68 2" xfId="21729"/>
    <cellStyle name="Note 6 3 68 2 2" xfId="48737"/>
    <cellStyle name="Note 6 3 68 3" xfId="35233"/>
    <cellStyle name="Note 6 3 69" xfId="7480"/>
    <cellStyle name="Note 6 3 69 2" xfId="21814"/>
    <cellStyle name="Note 6 3 69 2 2" xfId="48822"/>
    <cellStyle name="Note 6 3 69 3" xfId="35318"/>
    <cellStyle name="Note 6 3 7" xfId="933"/>
    <cellStyle name="Note 6 3 7 2" xfId="16133"/>
    <cellStyle name="Note 6 3 7 2 2" xfId="43141"/>
    <cellStyle name="Note 6 3 7 3" xfId="29637"/>
    <cellStyle name="Note 6 3 70" xfId="7569"/>
    <cellStyle name="Note 6 3 70 2" xfId="21892"/>
    <cellStyle name="Note 6 3 70 2 2" xfId="48900"/>
    <cellStyle name="Note 6 3 70 3" xfId="35396"/>
    <cellStyle name="Note 6 3 71" xfId="7645"/>
    <cellStyle name="Note 6 3 71 2" xfId="21961"/>
    <cellStyle name="Note 6 3 71 2 2" xfId="48969"/>
    <cellStyle name="Note 6 3 71 3" xfId="35465"/>
    <cellStyle name="Note 6 3 72" xfId="7824"/>
    <cellStyle name="Note 6 3 72 2" xfId="22114"/>
    <cellStyle name="Note 6 3 72 2 2" xfId="49122"/>
    <cellStyle name="Note 6 3 72 3" xfId="35618"/>
    <cellStyle name="Note 6 3 73" xfId="7966"/>
    <cellStyle name="Note 6 3 73 2" xfId="22242"/>
    <cellStyle name="Note 6 3 73 2 2" xfId="49250"/>
    <cellStyle name="Note 6 3 73 3" xfId="35746"/>
    <cellStyle name="Note 6 3 74" xfId="8108"/>
    <cellStyle name="Note 6 3 74 2" xfId="22370"/>
    <cellStyle name="Note 6 3 74 2 2" xfId="49378"/>
    <cellStyle name="Note 6 3 74 3" xfId="35874"/>
    <cellStyle name="Note 6 3 75" xfId="8250"/>
    <cellStyle name="Note 6 3 75 2" xfId="22498"/>
    <cellStyle name="Note 6 3 75 2 2" xfId="49506"/>
    <cellStyle name="Note 6 3 75 3" xfId="36002"/>
    <cellStyle name="Note 6 3 76" xfId="8392"/>
    <cellStyle name="Note 6 3 76 2" xfId="22626"/>
    <cellStyle name="Note 6 3 76 2 2" xfId="49634"/>
    <cellStyle name="Note 6 3 76 3" xfId="36130"/>
    <cellStyle name="Note 6 3 77" xfId="8534"/>
    <cellStyle name="Note 6 3 77 2" xfId="22754"/>
    <cellStyle name="Note 6 3 77 2 2" xfId="49762"/>
    <cellStyle name="Note 6 3 77 3" xfId="36258"/>
    <cellStyle name="Note 6 3 78" xfId="8676"/>
    <cellStyle name="Note 6 3 78 2" xfId="22882"/>
    <cellStyle name="Note 6 3 78 2 2" xfId="49890"/>
    <cellStyle name="Note 6 3 78 3" xfId="36386"/>
    <cellStyle name="Note 6 3 79" xfId="8818"/>
    <cellStyle name="Note 6 3 79 2" xfId="23010"/>
    <cellStyle name="Note 6 3 79 2 2" xfId="50018"/>
    <cellStyle name="Note 6 3 79 3" xfId="36514"/>
    <cellStyle name="Note 6 3 8" xfId="1039"/>
    <cellStyle name="Note 6 3 8 2" xfId="16225"/>
    <cellStyle name="Note 6 3 8 2 2" xfId="43233"/>
    <cellStyle name="Note 6 3 8 3" xfId="29729"/>
    <cellStyle name="Note 6 3 80" xfId="8960"/>
    <cellStyle name="Note 6 3 80 2" xfId="23138"/>
    <cellStyle name="Note 6 3 80 2 2" xfId="50146"/>
    <cellStyle name="Note 6 3 80 3" xfId="36642"/>
    <cellStyle name="Note 6 3 81" xfId="9102"/>
    <cellStyle name="Note 6 3 81 2" xfId="23266"/>
    <cellStyle name="Note 6 3 81 2 2" xfId="50274"/>
    <cellStyle name="Note 6 3 81 3" xfId="36770"/>
    <cellStyle name="Note 6 3 82" xfId="9244"/>
    <cellStyle name="Note 6 3 82 2" xfId="23394"/>
    <cellStyle name="Note 6 3 82 2 2" xfId="50402"/>
    <cellStyle name="Note 6 3 82 3" xfId="36898"/>
    <cellStyle name="Note 6 3 83" xfId="9386"/>
    <cellStyle name="Note 6 3 83 2" xfId="23522"/>
    <cellStyle name="Note 6 3 83 2 2" xfId="50530"/>
    <cellStyle name="Note 6 3 83 3" xfId="37026"/>
    <cellStyle name="Note 6 3 84" xfId="9528"/>
    <cellStyle name="Note 6 3 84 2" xfId="23650"/>
    <cellStyle name="Note 6 3 84 2 2" xfId="50658"/>
    <cellStyle name="Note 6 3 84 3" xfId="37154"/>
    <cellStyle name="Note 6 3 85" xfId="9670"/>
    <cellStyle name="Note 6 3 85 2" xfId="23778"/>
    <cellStyle name="Note 6 3 85 2 2" xfId="50786"/>
    <cellStyle name="Note 6 3 85 3" xfId="37282"/>
    <cellStyle name="Note 6 3 86" xfId="9812"/>
    <cellStyle name="Note 6 3 86 2" xfId="23906"/>
    <cellStyle name="Note 6 3 86 2 2" xfId="50914"/>
    <cellStyle name="Note 6 3 86 3" xfId="37410"/>
    <cellStyle name="Note 6 3 87" xfId="9954"/>
    <cellStyle name="Note 6 3 87 2" xfId="24034"/>
    <cellStyle name="Note 6 3 87 2 2" xfId="51042"/>
    <cellStyle name="Note 6 3 87 3" xfId="37538"/>
    <cellStyle name="Note 6 3 88" xfId="10096"/>
    <cellStyle name="Note 6 3 88 2" xfId="24162"/>
    <cellStyle name="Note 6 3 88 2 2" xfId="51170"/>
    <cellStyle name="Note 6 3 88 3" xfId="37666"/>
    <cellStyle name="Note 6 3 89" xfId="10238"/>
    <cellStyle name="Note 6 3 89 2" xfId="24290"/>
    <cellStyle name="Note 6 3 89 2 2" xfId="51298"/>
    <cellStyle name="Note 6 3 89 3" xfId="37794"/>
    <cellStyle name="Note 6 3 9" xfId="1145"/>
    <cellStyle name="Note 6 3 9 2" xfId="16317"/>
    <cellStyle name="Note 6 3 9 2 2" xfId="43325"/>
    <cellStyle name="Note 6 3 9 3" xfId="29821"/>
    <cellStyle name="Note 6 3 90" xfId="10380"/>
    <cellStyle name="Note 6 3 90 2" xfId="24418"/>
    <cellStyle name="Note 6 3 90 2 2" xfId="51426"/>
    <cellStyle name="Note 6 3 90 3" xfId="37922"/>
    <cellStyle name="Note 6 3 91" xfId="10522"/>
    <cellStyle name="Note 6 3 91 2" xfId="24546"/>
    <cellStyle name="Note 6 3 91 2 2" xfId="51554"/>
    <cellStyle name="Note 6 3 91 3" xfId="38050"/>
    <cellStyle name="Note 6 3 92" xfId="10664"/>
    <cellStyle name="Note 6 3 92 2" xfId="24674"/>
    <cellStyle name="Note 6 3 92 2 2" xfId="51682"/>
    <cellStyle name="Note 6 3 92 3" xfId="38178"/>
    <cellStyle name="Note 6 3 93" xfId="10806"/>
    <cellStyle name="Note 6 3 93 2" xfId="24802"/>
    <cellStyle name="Note 6 3 93 2 2" xfId="51810"/>
    <cellStyle name="Note 6 3 93 3" xfId="38306"/>
    <cellStyle name="Note 6 3 94" xfId="10948"/>
    <cellStyle name="Note 6 3 94 2" xfId="24930"/>
    <cellStyle name="Note 6 3 94 2 2" xfId="51938"/>
    <cellStyle name="Note 6 3 94 3" xfId="38434"/>
    <cellStyle name="Note 6 3 95" xfId="11090"/>
    <cellStyle name="Note 6 3 95 2" xfId="25058"/>
    <cellStyle name="Note 6 3 95 2 2" xfId="52066"/>
    <cellStyle name="Note 6 3 95 3" xfId="38562"/>
    <cellStyle name="Note 6 3 96" xfId="11232"/>
    <cellStyle name="Note 6 3 96 2" xfId="25186"/>
    <cellStyle name="Note 6 3 96 2 2" xfId="52194"/>
    <cellStyle name="Note 6 3 96 3" xfId="38690"/>
    <cellStyle name="Note 6 3 97" xfId="11374"/>
    <cellStyle name="Note 6 3 97 2" xfId="25314"/>
    <cellStyle name="Note 6 3 97 2 2" xfId="52322"/>
    <cellStyle name="Note 6 3 97 3" xfId="38818"/>
    <cellStyle name="Note 6 3 98" xfId="11516"/>
    <cellStyle name="Note 6 3 98 2" xfId="25442"/>
    <cellStyle name="Note 6 3 98 2 2" xfId="52450"/>
    <cellStyle name="Note 6 3 98 3" xfId="38946"/>
    <cellStyle name="Note 6 3 99" xfId="11658"/>
    <cellStyle name="Note 6 3 99 2" xfId="25570"/>
    <cellStyle name="Note 6 3 99 2 2" xfId="52578"/>
    <cellStyle name="Note 6 3 99 3" xfId="39074"/>
    <cellStyle name="Note 6 30" xfId="3106"/>
    <cellStyle name="Note 6 30 2" xfId="18024"/>
    <cellStyle name="Note 6 30 2 2" xfId="45032"/>
    <cellStyle name="Note 6 30 3" xfId="31528"/>
    <cellStyle name="Note 6 31" xfId="3212"/>
    <cellStyle name="Note 6 31 2" xfId="18116"/>
    <cellStyle name="Note 6 31 2 2" xfId="45124"/>
    <cellStyle name="Note 6 31 3" xfId="31620"/>
    <cellStyle name="Note 6 32" xfId="3318"/>
    <cellStyle name="Note 6 32 2" xfId="18208"/>
    <cellStyle name="Note 6 32 2 2" xfId="45216"/>
    <cellStyle name="Note 6 32 3" xfId="31712"/>
    <cellStyle name="Note 6 33" xfId="3424"/>
    <cellStyle name="Note 6 33 2" xfId="18300"/>
    <cellStyle name="Note 6 33 2 2" xfId="45308"/>
    <cellStyle name="Note 6 33 3" xfId="31804"/>
    <cellStyle name="Note 6 34" xfId="3530"/>
    <cellStyle name="Note 6 34 2" xfId="18392"/>
    <cellStyle name="Note 6 34 2 2" xfId="45400"/>
    <cellStyle name="Note 6 34 3" xfId="31896"/>
    <cellStyle name="Note 6 35" xfId="3636"/>
    <cellStyle name="Note 6 35 2" xfId="18484"/>
    <cellStyle name="Note 6 35 2 2" xfId="45492"/>
    <cellStyle name="Note 6 35 3" xfId="31988"/>
    <cellStyle name="Note 6 36" xfId="3742"/>
    <cellStyle name="Note 6 36 2" xfId="18576"/>
    <cellStyle name="Note 6 36 2 2" xfId="45584"/>
    <cellStyle name="Note 6 36 3" xfId="32080"/>
    <cellStyle name="Note 6 37" xfId="3848"/>
    <cellStyle name="Note 6 37 2" xfId="18668"/>
    <cellStyle name="Note 6 37 2 2" xfId="45676"/>
    <cellStyle name="Note 6 37 3" xfId="32172"/>
    <cellStyle name="Note 6 38" xfId="3954"/>
    <cellStyle name="Note 6 38 2" xfId="18760"/>
    <cellStyle name="Note 6 38 2 2" xfId="45768"/>
    <cellStyle name="Note 6 38 3" xfId="32264"/>
    <cellStyle name="Note 6 39" xfId="4060"/>
    <cellStyle name="Note 6 39 2" xfId="18852"/>
    <cellStyle name="Note 6 39 2 2" xfId="45860"/>
    <cellStyle name="Note 6 39 3" xfId="32356"/>
    <cellStyle name="Note 6 4" xfId="260"/>
    <cellStyle name="Note 6 4 2" xfId="15575"/>
    <cellStyle name="Note 6 4 2 2" xfId="42583"/>
    <cellStyle name="Note 6 4 3" xfId="29079"/>
    <cellStyle name="Note 6 40" xfId="4166"/>
    <cellStyle name="Note 6 40 2" xfId="18944"/>
    <cellStyle name="Note 6 40 2 2" xfId="45952"/>
    <cellStyle name="Note 6 40 3" xfId="32448"/>
    <cellStyle name="Note 6 41" xfId="4272"/>
    <cellStyle name="Note 6 41 2" xfId="19036"/>
    <cellStyle name="Note 6 41 2 2" xfId="46044"/>
    <cellStyle name="Note 6 41 3" xfId="32540"/>
    <cellStyle name="Note 6 42" xfId="4378"/>
    <cellStyle name="Note 6 42 2" xfId="19128"/>
    <cellStyle name="Note 6 42 2 2" xfId="46136"/>
    <cellStyle name="Note 6 42 3" xfId="32632"/>
    <cellStyle name="Note 6 43" xfId="4484"/>
    <cellStyle name="Note 6 43 2" xfId="19220"/>
    <cellStyle name="Note 6 43 2 2" xfId="46228"/>
    <cellStyle name="Note 6 43 3" xfId="32724"/>
    <cellStyle name="Note 6 44" xfId="4590"/>
    <cellStyle name="Note 6 44 2" xfId="19312"/>
    <cellStyle name="Note 6 44 2 2" xfId="46320"/>
    <cellStyle name="Note 6 44 3" xfId="32816"/>
    <cellStyle name="Note 6 45" xfId="4696"/>
    <cellStyle name="Note 6 45 2" xfId="19404"/>
    <cellStyle name="Note 6 45 2 2" xfId="46412"/>
    <cellStyle name="Note 6 45 3" xfId="32908"/>
    <cellStyle name="Note 6 46" xfId="4802"/>
    <cellStyle name="Note 6 46 2" xfId="19496"/>
    <cellStyle name="Note 6 46 2 2" xfId="46504"/>
    <cellStyle name="Note 6 46 3" xfId="33000"/>
    <cellStyle name="Note 6 47" xfId="4908"/>
    <cellStyle name="Note 6 47 2" xfId="19588"/>
    <cellStyle name="Note 6 47 2 2" xfId="46596"/>
    <cellStyle name="Note 6 47 3" xfId="33092"/>
    <cellStyle name="Note 6 48" xfId="5014"/>
    <cellStyle name="Note 6 48 2" xfId="19680"/>
    <cellStyle name="Note 6 48 2 2" xfId="46688"/>
    <cellStyle name="Note 6 48 3" xfId="33184"/>
    <cellStyle name="Note 6 49" xfId="5120"/>
    <cellStyle name="Note 6 49 2" xfId="19772"/>
    <cellStyle name="Note 6 49 2 2" xfId="46780"/>
    <cellStyle name="Note 6 49 3" xfId="33276"/>
    <cellStyle name="Note 6 5" xfId="447"/>
    <cellStyle name="Note 6 5 2" xfId="15711"/>
    <cellStyle name="Note 6 5 2 2" xfId="42719"/>
    <cellStyle name="Note 6 5 3" xfId="29215"/>
    <cellStyle name="Note 6 50" xfId="5226"/>
    <cellStyle name="Note 6 50 2" xfId="19864"/>
    <cellStyle name="Note 6 50 2 2" xfId="46872"/>
    <cellStyle name="Note 6 50 3" xfId="33368"/>
    <cellStyle name="Note 6 51" xfId="5332"/>
    <cellStyle name="Note 6 51 2" xfId="19956"/>
    <cellStyle name="Note 6 51 2 2" xfId="46964"/>
    <cellStyle name="Note 6 51 3" xfId="33460"/>
    <cellStyle name="Note 6 52" xfId="5438"/>
    <cellStyle name="Note 6 52 2" xfId="20048"/>
    <cellStyle name="Note 6 52 2 2" xfId="47056"/>
    <cellStyle name="Note 6 52 3" xfId="33552"/>
    <cellStyle name="Note 6 53" xfId="5544"/>
    <cellStyle name="Note 6 53 2" xfId="20140"/>
    <cellStyle name="Note 6 53 2 2" xfId="47148"/>
    <cellStyle name="Note 6 53 3" xfId="33644"/>
    <cellStyle name="Note 6 54" xfId="5650"/>
    <cellStyle name="Note 6 54 2" xfId="20232"/>
    <cellStyle name="Note 6 54 2 2" xfId="47240"/>
    <cellStyle name="Note 6 54 3" xfId="33736"/>
    <cellStyle name="Note 6 55" xfId="5756"/>
    <cellStyle name="Note 6 55 2" xfId="20324"/>
    <cellStyle name="Note 6 55 2 2" xfId="47332"/>
    <cellStyle name="Note 6 55 3" xfId="33828"/>
    <cellStyle name="Note 6 56" xfId="5862"/>
    <cellStyle name="Note 6 56 2" xfId="20416"/>
    <cellStyle name="Note 6 56 2 2" xfId="47424"/>
    <cellStyle name="Note 6 56 3" xfId="33920"/>
    <cellStyle name="Note 6 57" xfId="5968"/>
    <cellStyle name="Note 6 57 2" xfId="20508"/>
    <cellStyle name="Note 6 57 2 2" xfId="47516"/>
    <cellStyle name="Note 6 57 3" xfId="34012"/>
    <cellStyle name="Note 6 58" xfId="6074"/>
    <cellStyle name="Note 6 58 2" xfId="20600"/>
    <cellStyle name="Note 6 58 2 2" xfId="47608"/>
    <cellStyle name="Note 6 58 3" xfId="34104"/>
    <cellStyle name="Note 6 59" xfId="6180"/>
    <cellStyle name="Note 6 59 2" xfId="20692"/>
    <cellStyle name="Note 6 59 2 2" xfId="47700"/>
    <cellStyle name="Note 6 59 3" xfId="34196"/>
    <cellStyle name="Note 6 6" xfId="563"/>
    <cellStyle name="Note 6 6 2" xfId="15817"/>
    <cellStyle name="Note 6 6 2 2" xfId="42825"/>
    <cellStyle name="Note 6 6 3" xfId="29321"/>
    <cellStyle name="Note 6 60" xfId="6286"/>
    <cellStyle name="Note 6 60 2" xfId="20784"/>
    <cellStyle name="Note 6 60 2 2" xfId="47792"/>
    <cellStyle name="Note 6 60 3" xfId="34288"/>
    <cellStyle name="Note 6 61" xfId="6392"/>
    <cellStyle name="Note 6 61 2" xfId="20876"/>
    <cellStyle name="Note 6 61 2 2" xfId="47884"/>
    <cellStyle name="Note 6 61 3" xfId="34380"/>
    <cellStyle name="Note 6 62" xfId="6498"/>
    <cellStyle name="Note 6 62 2" xfId="20968"/>
    <cellStyle name="Note 6 62 2 2" xfId="47976"/>
    <cellStyle name="Note 6 62 3" xfId="34472"/>
    <cellStyle name="Note 6 63" xfId="6603"/>
    <cellStyle name="Note 6 63 2" xfId="21059"/>
    <cellStyle name="Note 6 63 2 2" xfId="48067"/>
    <cellStyle name="Note 6 63 3" xfId="34563"/>
    <cellStyle name="Note 6 64" xfId="6708"/>
    <cellStyle name="Note 6 64 2" xfId="21150"/>
    <cellStyle name="Note 6 64 2 2" xfId="48158"/>
    <cellStyle name="Note 6 64 3" xfId="34654"/>
    <cellStyle name="Note 6 65" xfId="6813"/>
    <cellStyle name="Note 6 65 2" xfId="21241"/>
    <cellStyle name="Note 6 65 2 2" xfId="48249"/>
    <cellStyle name="Note 6 65 3" xfId="34745"/>
    <cellStyle name="Note 6 66" xfId="6918"/>
    <cellStyle name="Note 6 66 2" xfId="21332"/>
    <cellStyle name="Note 6 66 2 2" xfId="48340"/>
    <cellStyle name="Note 6 66 3" xfId="34836"/>
    <cellStyle name="Note 6 67" xfId="7023"/>
    <cellStyle name="Note 6 67 2" xfId="21423"/>
    <cellStyle name="Note 6 67 2 2" xfId="48431"/>
    <cellStyle name="Note 6 67 3" xfId="34927"/>
    <cellStyle name="Note 6 68" xfId="7127"/>
    <cellStyle name="Note 6 68 2" xfId="21513"/>
    <cellStyle name="Note 6 68 2 2" xfId="48521"/>
    <cellStyle name="Note 6 68 3" xfId="35017"/>
    <cellStyle name="Note 6 69" xfId="7231"/>
    <cellStyle name="Note 6 69 2" xfId="21603"/>
    <cellStyle name="Note 6 69 2 2" xfId="48611"/>
    <cellStyle name="Note 6 69 3" xfId="35107"/>
    <cellStyle name="Note 6 7" xfId="668"/>
    <cellStyle name="Note 6 7 2" xfId="15908"/>
    <cellStyle name="Note 6 7 2 2" xfId="42916"/>
    <cellStyle name="Note 6 7 3" xfId="29412"/>
    <cellStyle name="Note 6 70" xfId="7333"/>
    <cellStyle name="Note 6 70 2" xfId="21691"/>
    <cellStyle name="Note 6 70 2 2" xfId="48699"/>
    <cellStyle name="Note 6 70 3" xfId="35195"/>
    <cellStyle name="Note 6 71" xfId="7432"/>
    <cellStyle name="Note 6 71 2" xfId="21777"/>
    <cellStyle name="Note 6 71 2 2" xfId="48785"/>
    <cellStyle name="Note 6 71 3" xfId="35281"/>
    <cellStyle name="Note 6 72" xfId="7529"/>
    <cellStyle name="Note 6 72 2" xfId="21861"/>
    <cellStyle name="Note 6 72 2 2" xfId="48869"/>
    <cellStyle name="Note 6 72 3" xfId="35365"/>
    <cellStyle name="Note 6 73" xfId="7618"/>
    <cellStyle name="Note 6 73 2" xfId="21939"/>
    <cellStyle name="Note 6 73 2 2" xfId="48947"/>
    <cellStyle name="Note 6 73 3" xfId="35443"/>
    <cellStyle name="Note 6 74" xfId="7758"/>
    <cellStyle name="Note 6 74 2" xfId="22056"/>
    <cellStyle name="Note 6 74 2 2" xfId="49064"/>
    <cellStyle name="Note 6 74 3" xfId="35560"/>
    <cellStyle name="Note 6 75" xfId="7877"/>
    <cellStyle name="Note 6 75 2" xfId="22165"/>
    <cellStyle name="Note 6 75 2 2" xfId="49173"/>
    <cellStyle name="Note 6 75 3" xfId="35669"/>
    <cellStyle name="Note 6 76" xfId="8019"/>
    <cellStyle name="Note 6 76 2" xfId="22293"/>
    <cellStyle name="Note 6 76 2 2" xfId="49301"/>
    <cellStyle name="Note 6 76 3" xfId="35797"/>
    <cellStyle name="Note 6 77" xfId="8161"/>
    <cellStyle name="Note 6 77 2" xfId="22421"/>
    <cellStyle name="Note 6 77 2 2" xfId="49429"/>
    <cellStyle name="Note 6 77 3" xfId="35925"/>
    <cellStyle name="Note 6 78" xfId="8303"/>
    <cellStyle name="Note 6 78 2" xfId="22549"/>
    <cellStyle name="Note 6 78 2 2" xfId="49557"/>
    <cellStyle name="Note 6 78 3" xfId="36053"/>
    <cellStyle name="Note 6 79" xfId="8445"/>
    <cellStyle name="Note 6 79 2" xfId="22677"/>
    <cellStyle name="Note 6 79 2 2" xfId="49685"/>
    <cellStyle name="Note 6 79 3" xfId="36181"/>
    <cellStyle name="Note 6 8" xfId="774"/>
    <cellStyle name="Note 6 8 2" xfId="16000"/>
    <cellStyle name="Note 6 8 2 2" xfId="43008"/>
    <cellStyle name="Note 6 8 3" xfId="29504"/>
    <cellStyle name="Note 6 80" xfId="8587"/>
    <cellStyle name="Note 6 80 2" xfId="22805"/>
    <cellStyle name="Note 6 80 2 2" xfId="49813"/>
    <cellStyle name="Note 6 80 3" xfId="36309"/>
    <cellStyle name="Note 6 81" xfId="8729"/>
    <cellStyle name="Note 6 81 2" xfId="22933"/>
    <cellStyle name="Note 6 81 2 2" xfId="49941"/>
    <cellStyle name="Note 6 81 3" xfId="36437"/>
    <cellStyle name="Note 6 82" xfId="8871"/>
    <cellStyle name="Note 6 82 2" xfId="23061"/>
    <cellStyle name="Note 6 82 2 2" xfId="50069"/>
    <cellStyle name="Note 6 82 3" xfId="36565"/>
    <cellStyle name="Note 6 83" xfId="9013"/>
    <cellStyle name="Note 6 83 2" xfId="23189"/>
    <cellStyle name="Note 6 83 2 2" xfId="50197"/>
    <cellStyle name="Note 6 83 3" xfId="36693"/>
    <cellStyle name="Note 6 84" xfId="9155"/>
    <cellStyle name="Note 6 84 2" xfId="23317"/>
    <cellStyle name="Note 6 84 2 2" xfId="50325"/>
    <cellStyle name="Note 6 84 3" xfId="36821"/>
    <cellStyle name="Note 6 85" xfId="9297"/>
    <cellStyle name="Note 6 85 2" xfId="23445"/>
    <cellStyle name="Note 6 85 2 2" xfId="50453"/>
    <cellStyle name="Note 6 85 3" xfId="36949"/>
    <cellStyle name="Note 6 86" xfId="9439"/>
    <cellStyle name="Note 6 86 2" xfId="23573"/>
    <cellStyle name="Note 6 86 2 2" xfId="50581"/>
    <cellStyle name="Note 6 86 3" xfId="37077"/>
    <cellStyle name="Note 6 87" xfId="9581"/>
    <cellStyle name="Note 6 87 2" xfId="23701"/>
    <cellStyle name="Note 6 87 2 2" xfId="50709"/>
    <cellStyle name="Note 6 87 3" xfId="37205"/>
    <cellStyle name="Note 6 88" xfId="9723"/>
    <cellStyle name="Note 6 88 2" xfId="23829"/>
    <cellStyle name="Note 6 88 2 2" xfId="50837"/>
    <cellStyle name="Note 6 88 3" xfId="37333"/>
    <cellStyle name="Note 6 89" xfId="9865"/>
    <cellStyle name="Note 6 89 2" xfId="23957"/>
    <cellStyle name="Note 6 89 2 2" xfId="50965"/>
    <cellStyle name="Note 6 89 3" xfId="37461"/>
    <cellStyle name="Note 6 9" xfId="880"/>
    <cellStyle name="Note 6 9 2" xfId="16092"/>
    <cellStyle name="Note 6 9 2 2" xfId="43100"/>
    <cellStyle name="Note 6 9 3" xfId="29596"/>
    <cellStyle name="Note 6 90" xfId="10007"/>
    <cellStyle name="Note 6 90 2" xfId="24085"/>
    <cellStyle name="Note 6 90 2 2" xfId="51093"/>
    <cellStyle name="Note 6 90 3" xfId="37589"/>
    <cellStyle name="Note 6 91" xfId="10149"/>
    <cellStyle name="Note 6 91 2" xfId="24213"/>
    <cellStyle name="Note 6 91 2 2" xfId="51221"/>
    <cellStyle name="Note 6 91 3" xfId="37717"/>
    <cellStyle name="Note 6 92" xfId="10291"/>
    <cellStyle name="Note 6 92 2" xfId="24341"/>
    <cellStyle name="Note 6 92 2 2" xfId="51349"/>
    <cellStyle name="Note 6 92 3" xfId="37845"/>
    <cellStyle name="Note 6 93" xfId="10433"/>
    <cellStyle name="Note 6 93 2" xfId="24469"/>
    <cellStyle name="Note 6 93 2 2" xfId="51477"/>
    <cellStyle name="Note 6 93 3" xfId="37973"/>
    <cellStyle name="Note 6 94" xfId="10575"/>
    <cellStyle name="Note 6 94 2" xfId="24597"/>
    <cellStyle name="Note 6 94 2 2" xfId="51605"/>
    <cellStyle name="Note 6 94 3" xfId="38101"/>
    <cellStyle name="Note 6 95" xfId="10717"/>
    <cellStyle name="Note 6 95 2" xfId="24725"/>
    <cellStyle name="Note 6 95 2 2" xfId="51733"/>
    <cellStyle name="Note 6 95 3" xfId="38229"/>
    <cellStyle name="Note 6 96" xfId="10859"/>
    <cellStyle name="Note 6 96 2" xfId="24853"/>
    <cellStyle name="Note 6 96 2 2" xfId="51861"/>
    <cellStyle name="Note 6 96 3" xfId="38357"/>
    <cellStyle name="Note 6 97" xfId="11001"/>
    <cellStyle name="Note 6 97 2" xfId="24981"/>
    <cellStyle name="Note 6 97 2 2" xfId="51989"/>
    <cellStyle name="Note 6 97 3" xfId="38485"/>
    <cellStyle name="Note 6 98" xfId="11143"/>
    <cellStyle name="Note 6 98 2" xfId="25109"/>
    <cellStyle name="Note 6 98 2 2" xfId="52117"/>
    <cellStyle name="Note 6 98 3" xfId="38613"/>
    <cellStyle name="Note 6 99" xfId="11285"/>
    <cellStyle name="Note 6 99 2" xfId="25237"/>
    <cellStyle name="Note 6 99 2 2" xfId="52245"/>
    <cellStyle name="Note 6 99 3" xfId="38741"/>
    <cellStyle name="Note 7" xfId="69"/>
    <cellStyle name="Note 7 10" xfId="806"/>
    <cellStyle name="Note 7 10 2" xfId="16023"/>
    <cellStyle name="Note 7 10 2 2" xfId="43031"/>
    <cellStyle name="Note 7 10 3" xfId="29527"/>
    <cellStyle name="Note 7 100" xfId="11175"/>
    <cellStyle name="Note 7 100 2" xfId="25134"/>
    <cellStyle name="Note 7 100 2 2" xfId="52142"/>
    <cellStyle name="Note 7 100 3" xfId="38638"/>
    <cellStyle name="Note 7 101" xfId="11317"/>
    <cellStyle name="Note 7 101 2" xfId="25262"/>
    <cellStyle name="Note 7 101 2 2" xfId="52270"/>
    <cellStyle name="Note 7 101 3" xfId="38766"/>
    <cellStyle name="Note 7 102" xfId="11459"/>
    <cellStyle name="Note 7 102 2" xfId="25390"/>
    <cellStyle name="Note 7 102 2 2" xfId="52398"/>
    <cellStyle name="Note 7 102 3" xfId="38894"/>
    <cellStyle name="Note 7 103" xfId="11601"/>
    <cellStyle name="Note 7 103 2" xfId="25518"/>
    <cellStyle name="Note 7 103 2 2" xfId="52526"/>
    <cellStyle name="Note 7 103 3" xfId="39022"/>
    <cellStyle name="Note 7 104" xfId="11743"/>
    <cellStyle name="Note 7 104 2" xfId="25646"/>
    <cellStyle name="Note 7 104 2 2" xfId="52654"/>
    <cellStyle name="Note 7 104 3" xfId="39150"/>
    <cellStyle name="Note 7 105" xfId="11885"/>
    <cellStyle name="Note 7 105 2" xfId="25774"/>
    <cellStyle name="Note 7 105 2 2" xfId="52782"/>
    <cellStyle name="Note 7 105 3" xfId="39278"/>
    <cellStyle name="Note 7 106" xfId="12027"/>
    <cellStyle name="Note 7 106 2" xfId="25902"/>
    <cellStyle name="Note 7 106 2 2" xfId="52910"/>
    <cellStyle name="Note 7 106 3" xfId="39406"/>
    <cellStyle name="Note 7 107" xfId="12169"/>
    <cellStyle name="Note 7 107 2" xfId="26030"/>
    <cellStyle name="Note 7 107 2 2" xfId="53038"/>
    <cellStyle name="Note 7 107 3" xfId="39534"/>
    <cellStyle name="Note 7 108" xfId="12311"/>
    <cellStyle name="Note 7 108 2" xfId="26158"/>
    <cellStyle name="Note 7 108 2 2" xfId="53166"/>
    <cellStyle name="Note 7 108 3" xfId="39662"/>
    <cellStyle name="Note 7 109" xfId="12453"/>
    <cellStyle name="Note 7 109 2" xfId="26286"/>
    <cellStyle name="Note 7 109 2 2" xfId="53294"/>
    <cellStyle name="Note 7 109 3" xfId="39790"/>
    <cellStyle name="Note 7 11" xfId="912"/>
    <cellStyle name="Note 7 11 2" xfId="16115"/>
    <cellStyle name="Note 7 11 2 2" xfId="43123"/>
    <cellStyle name="Note 7 11 3" xfId="29619"/>
    <cellStyle name="Note 7 110" xfId="12595"/>
    <cellStyle name="Note 7 110 2" xfId="26414"/>
    <cellStyle name="Note 7 110 2 2" xfId="53422"/>
    <cellStyle name="Note 7 110 3" xfId="39918"/>
    <cellStyle name="Note 7 111" xfId="12737"/>
    <cellStyle name="Note 7 111 2" xfId="26542"/>
    <cellStyle name="Note 7 111 2 2" xfId="53550"/>
    <cellStyle name="Note 7 111 3" xfId="40046"/>
    <cellStyle name="Note 7 112" xfId="12879"/>
    <cellStyle name="Note 7 112 2" xfId="26670"/>
    <cellStyle name="Note 7 112 2 2" xfId="53678"/>
    <cellStyle name="Note 7 112 3" xfId="40174"/>
    <cellStyle name="Note 7 113" xfId="13021"/>
    <cellStyle name="Note 7 113 2" xfId="26798"/>
    <cellStyle name="Note 7 113 2 2" xfId="53806"/>
    <cellStyle name="Note 7 113 3" xfId="40302"/>
    <cellStyle name="Note 7 114" xfId="13163"/>
    <cellStyle name="Note 7 114 2" xfId="26926"/>
    <cellStyle name="Note 7 114 2 2" xfId="53934"/>
    <cellStyle name="Note 7 114 3" xfId="40430"/>
    <cellStyle name="Note 7 115" xfId="13305"/>
    <cellStyle name="Note 7 115 2" xfId="27054"/>
    <cellStyle name="Note 7 115 2 2" xfId="54062"/>
    <cellStyle name="Note 7 115 3" xfId="40558"/>
    <cellStyle name="Note 7 116" xfId="13447"/>
    <cellStyle name="Note 7 116 2" xfId="27182"/>
    <cellStyle name="Note 7 116 2 2" xfId="54190"/>
    <cellStyle name="Note 7 116 3" xfId="40686"/>
    <cellStyle name="Note 7 117" xfId="13589"/>
    <cellStyle name="Note 7 117 2" xfId="27310"/>
    <cellStyle name="Note 7 117 2 2" xfId="54318"/>
    <cellStyle name="Note 7 117 3" xfId="40814"/>
    <cellStyle name="Note 7 118" xfId="13731"/>
    <cellStyle name="Note 7 118 2" xfId="27438"/>
    <cellStyle name="Note 7 118 2 2" xfId="54446"/>
    <cellStyle name="Note 7 118 3" xfId="40942"/>
    <cellStyle name="Note 7 119" xfId="13872"/>
    <cellStyle name="Note 7 119 2" xfId="27565"/>
    <cellStyle name="Note 7 119 2 2" xfId="54573"/>
    <cellStyle name="Note 7 119 3" xfId="41069"/>
    <cellStyle name="Note 7 12" xfId="1018"/>
    <cellStyle name="Note 7 12 2" xfId="16207"/>
    <cellStyle name="Note 7 12 2 2" xfId="43215"/>
    <cellStyle name="Note 7 12 3" xfId="29711"/>
    <cellStyle name="Note 7 120" xfId="14013"/>
    <cellStyle name="Note 7 120 2" xfId="27692"/>
    <cellStyle name="Note 7 120 2 2" xfId="54700"/>
    <cellStyle name="Note 7 120 3" xfId="41196"/>
    <cellStyle name="Note 7 121" xfId="14154"/>
    <cellStyle name="Note 7 121 2" xfId="27819"/>
    <cellStyle name="Note 7 121 2 2" xfId="54827"/>
    <cellStyle name="Note 7 121 3" xfId="41323"/>
    <cellStyle name="Note 7 122" xfId="14295"/>
    <cellStyle name="Note 7 122 2" xfId="27946"/>
    <cellStyle name="Note 7 122 2 2" xfId="54954"/>
    <cellStyle name="Note 7 122 3" xfId="41450"/>
    <cellStyle name="Note 7 123" xfId="14435"/>
    <cellStyle name="Note 7 123 2" xfId="28072"/>
    <cellStyle name="Note 7 123 2 2" xfId="55080"/>
    <cellStyle name="Note 7 123 3" xfId="41576"/>
    <cellStyle name="Note 7 124" xfId="14575"/>
    <cellStyle name="Note 7 124 2" xfId="28198"/>
    <cellStyle name="Note 7 124 2 2" xfId="55206"/>
    <cellStyle name="Note 7 124 3" xfId="41702"/>
    <cellStyle name="Note 7 125" xfId="14714"/>
    <cellStyle name="Note 7 125 2" xfId="28323"/>
    <cellStyle name="Note 7 125 2 2" xfId="55331"/>
    <cellStyle name="Note 7 125 3" xfId="41827"/>
    <cellStyle name="Note 7 126" xfId="14849"/>
    <cellStyle name="Note 7 126 2" xfId="28445"/>
    <cellStyle name="Note 7 126 2 2" xfId="55453"/>
    <cellStyle name="Note 7 126 3" xfId="41949"/>
    <cellStyle name="Note 7 127" xfId="14983"/>
    <cellStyle name="Note 7 127 2" xfId="28566"/>
    <cellStyle name="Note 7 127 2 2" xfId="55574"/>
    <cellStyle name="Note 7 127 3" xfId="42070"/>
    <cellStyle name="Note 7 128" xfId="15456"/>
    <cellStyle name="Note 7 128 2" xfId="42464"/>
    <cellStyle name="Note 7 129" xfId="28960"/>
    <cellStyle name="Note 7 13" xfId="1124"/>
    <cellStyle name="Note 7 13 2" xfId="16299"/>
    <cellStyle name="Note 7 13 2 2" xfId="43307"/>
    <cellStyle name="Note 7 13 3" xfId="29803"/>
    <cellStyle name="Note 7 14" xfId="1230"/>
    <cellStyle name="Note 7 14 2" xfId="16391"/>
    <cellStyle name="Note 7 14 2 2" xfId="43399"/>
    <cellStyle name="Note 7 14 3" xfId="29895"/>
    <cellStyle name="Note 7 15" xfId="1336"/>
    <cellStyle name="Note 7 15 2" xfId="16483"/>
    <cellStyle name="Note 7 15 2 2" xfId="43491"/>
    <cellStyle name="Note 7 15 3" xfId="29987"/>
    <cellStyle name="Note 7 16" xfId="1442"/>
    <cellStyle name="Note 7 16 2" xfId="16575"/>
    <cellStyle name="Note 7 16 2 2" xfId="43583"/>
    <cellStyle name="Note 7 16 3" xfId="30079"/>
    <cellStyle name="Note 7 17" xfId="1548"/>
    <cellStyle name="Note 7 17 2" xfId="16667"/>
    <cellStyle name="Note 7 17 2 2" xfId="43675"/>
    <cellStyle name="Note 7 17 3" xfId="30171"/>
    <cellStyle name="Note 7 18" xfId="1654"/>
    <cellStyle name="Note 7 18 2" xfId="16759"/>
    <cellStyle name="Note 7 18 2 2" xfId="43767"/>
    <cellStyle name="Note 7 18 3" xfId="30263"/>
    <cellStyle name="Note 7 19" xfId="1760"/>
    <cellStyle name="Note 7 19 2" xfId="16851"/>
    <cellStyle name="Note 7 19 2 2" xfId="43859"/>
    <cellStyle name="Note 7 19 3" xfId="30355"/>
    <cellStyle name="Note 7 2" xfId="131"/>
    <cellStyle name="Note 7 2 10" xfId="1216"/>
    <cellStyle name="Note 7 2 10 2" xfId="16379"/>
    <cellStyle name="Note 7 2 10 2 2" xfId="43387"/>
    <cellStyle name="Note 7 2 10 3" xfId="29883"/>
    <cellStyle name="Note 7 2 100" xfId="11785"/>
    <cellStyle name="Note 7 2 100 2" xfId="25683"/>
    <cellStyle name="Note 7 2 100 2 2" xfId="52691"/>
    <cellStyle name="Note 7 2 100 3" xfId="39187"/>
    <cellStyle name="Note 7 2 101" xfId="11927"/>
    <cellStyle name="Note 7 2 101 2" xfId="25811"/>
    <cellStyle name="Note 7 2 101 2 2" xfId="52819"/>
    <cellStyle name="Note 7 2 101 3" xfId="39315"/>
    <cellStyle name="Note 7 2 102" xfId="12069"/>
    <cellStyle name="Note 7 2 102 2" xfId="25939"/>
    <cellStyle name="Note 7 2 102 2 2" xfId="52947"/>
    <cellStyle name="Note 7 2 102 3" xfId="39443"/>
    <cellStyle name="Note 7 2 103" xfId="12211"/>
    <cellStyle name="Note 7 2 103 2" xfId="26067"/>
    <cellStyle name="Note 7 2 103 2 2" xfId="53075"/>
    <cellStyle name="Note 7 2 103 3" xfId="39571"/>
    <cellStyle name="Note 7 2 104" xfId="12353"/>
    <cellStyle name="Note 7 2 104 2" xfId="26195"/>
    <cellStyle name="Note 7 2 104 2 2" xfId="53203"/>
    <cellStyle name="Note 7 2 104 3" xfId="39699"/>
    <cellStyle name="Note 7 2 105" xfId="12495"/>
    <cellStyle name="Note 7 2 105 2" xfId="26323"/>
    <cellStyle name="Note 7 2 105 2 2" xfId="53331"/>
    <cellStyle name="Note 7 2 105 3" xfId="39827"/>
    <cellStyle name="Note 7 2 106" xfId="12637"/>
    <cellStyle name="Note 7 2 106 2" xfId="26451"/>
    <cellStyle name="Note 7 2 106 2 2" xfId="53459"/>
    <cellStyle name="Note 7 2 106 3" xfId="39955"/>
    <cellStyle name="Note 7 2 107" xfId="12779"/>
    <cellStyle name="Note 7 2 107 2" xfId="26579"/>
    <cellStyle name="Note 7 2 107 2 2" xfId="53587"/>
    <cellStyle name="Note 7 2 107 3" xfId="40083"/>
    <cellStyle name="Note 7 2 108" xfId="12921"/>
    <cellStyle name="Note 7 2 108 2" xfId="26707"/>
    <cellStyle name="Note 7 2 108 2 2" xfId="53715"/>
    <cellStyle name="Note 7 2 108 3" xfId="40211"/>
    <cellStyle name="Note 7 2 109" xfId="13063"/>
    <cellStyle name="Note 7 2 109 2" xfId="26835"/>
    <cellStyle name="Note 7 2 109 2 2" xfId="53843"/>
    <cellStyle name="Note 7 2 109 3" xfId="40339"/>
    <cellStyle name="Note 7 2 11" xfId="1322"/>
    <cellStyle name="Note 7 2 11 2" xfId="16471"/>
    <cellStyle name="Note 7 2 11 2 2" xfId="43479"/>
    <cellStyle name="Note 7 2 11 3" xfId="29975"/>
    <cellStyle name="Note 7 2 110" xfId="13205"/>
    <cellStyle name="Note 7 2 110 2" xfId="26963"/>
    <cellStyle name="Note 7 2 110 2 2" xfId="53971"/>
    <cellStyle name="Note 7 2 110 3" xfId="40467"/>
    <cellStyle name="Note 7 2 111" xfId="13347"/>
    <cellStyle name="Note 7 2 111 2" xfId="27091"/>
    <cellStyle name="Note 7 2 111 2 2" xfId="54099"/>
    <cellStyle name="Note 7 2 111 3" xfId="40595"/>
    <cellStyle name="Note 7 2 112" xfId="13489"/>
    <cellStyle name="Note 7 2 112 2" xfId="27219"/>
    <cellStyle name="Note 7 2 112 2 2" xfId="54227"/>
    <cellStyle name="Note 7 2 112 3" xfId="40723"/>
    <cellStyle name="Note 7 2 113" xfId="13631"/>
    <cellStyle name="Note 7 2 113 2" xfId="27347"/>
    <cellStyle name="Note 7 2 113 2 2" xfId="54355"/>
    <cellStyle name="Note 7 2 113 3" xfId="40851"/>
    <cellStyle name="Note 7 2 114" xfId="13773"/>
    <cellStyle name="Note 7 2 114 2" xfId="27475"/>
    <cellStyle name="Note 7 2 114 2 2" xfId="54483"/>
    <cellStyle name="Note 7 2 114 3" xfId="40979"/>
    <cellStyle name="Note 7 2 115" xfId="13914"/>
    <cellStyle name="Note 7 2 115 2" xfId="27602"/>
    <cellStyle name="Note 7 2 115 2 2" xfId="54610"/>
    <cellStyle name="Note 7 2 115 3" xfId="41106"/>
    <cellStyle name="Note 7 2 116" xfId="14055"/>
    <cellStyle name="Note 7 2 116 2" xfId="27729"/>
    <cellStyle name="Note 7 2 116 2 2" xfId="54737"/>
    <cellStyle name="Note 7 2 116 3" xfId="41233"/>
    <cellStyle name="Note 7 2 117" xfId="14196"/>
    <cellStyle name="Note 7 2 117 2" xfId="27856"/>
    <cellStyle name="Note 7 2 117 2 2" xfId="54864"/>
    <cellStyle name="Note 7 2 117 3" xfId="41360"/>
    <cellStyle name="Note 7 2 118" xfId="14337"/>
    <cellStyle name="Note 7 2 118 2" xfId="27983"/>
    <cellStyle name="Note 7 2 118 2 2" xfId="54991"/>
    <cellStyle name="Note 7 2 118 3" xfId="41487"/>
    <cellStyle name="Note 7 2 119" xfId="14477"/>
    <cellStyle name="Note 7 2 119 2" xfId="28109"/>
    <cellStyle name="Note 7 2 119 2 2" xfId="55117"/>
    <cellStyle name="Note 7 2 119 3" xfId="41613"/>
    <cellStyle name="Note 7 2 12" xfId="1428"/>
    <cellStyle name="Note 7 2 12 2" xfId="16563"/>
    <cellStyle name="Note 7 2 12 2 2" xfId="43571"/>
    <cellStyle name="Note 7 2 12 3" xfId="30067"/>
    <cellStyle name="Note 7 2 120" xfId="14617"/>
    <cellStyle name="Note 7 2 120 2" xfId="28235"/>
    <cellStyle name="Note 7 2 120 2 2" xfId="55243"/>
    <cellStyle name="Note 7 2 120 3" xfId="41739"/>
    <cellStyle name="Note 7 2 121" xfId="14756"/>
    <cellStyle name="Note 7 2 121 2" xfId="28360"/>
    <cellStyle name="Note 7 2 121 2 2" xfId="55368"/>
    <cellStyle name="Note 7 2 121 3" xfId="41864"/>
    <cellStyle name="Note 7 2 122" xfId="14891"/>
    <cellStyle name="Note 7 2 122 2" xfId="28482"/>
    <cellStyle name="Note 7 2 122 2 2" xfId="55490"/>
    <cellStyle name="Note 7 2 122 3" xfId="41986"/>
    <cellStyle name="Note 7 2 123" xfId="15025"/>
    <cellStyle name="Note 7 2 123 2" xfId="28603"/>
    <cellStyle name="Note 7 2 123 2 2" xfId="55611"/>
    <cellStyle name="Note 7 2 123 3" xfId="42107"/>
    <cellStyle name="Note 7 2 124" xfId="15153"/>
    <cellStyle name="Note 7 2 124 2" xfId="28720"/>
    <cellStyle name="Note 7 2 124 2 2" xfId="55728"/>
    <cellStyle name="Note 7 2 124 3" xfId="42224"/>
    <cellStyle name="Note 7 2 125" xfId="15274"/>
    <cellStyle name="Note 7 2 125 2" xfId="28834"/>
    <cellStyle name="Note 7 2 125 2 2" xfId="55842"/>
    <cellStyle name="Note 7 2 125 3" xfId="42338"/>
    <cellStyle name="Note 7 2 126" xfId="15489"/>
    <cellStyle name="Note 7 2 126 2" xfId="42497"/>
    <cellStyle name="Note 7 2 127" xfId="28993"/>
    <cellStyle name="Note 7 2 13" xfId="1534"/>
    <cellStyle name="Note 7 2 13 2" xfId="16655"/>
    <cellStyle name="Note 7 2 13 2 2" xfId="43663"/>
    <cellStyle name="Note 7 2 13 3" xfId="30159"/>
    <cellStyle name="Note 7 2 14" xfId="1640"/>
    <cellStyle name="Note 7 2 14 2" xfId="16747"/>
    <cellStyle name="Note 7 2 14 2 2" xfId="43755"/>
    <cellStyle name="Note 7 2 14 3" xfId="30251"/>
    <cellStyle name="Note 7 2 15" xfId="1746"/>
    <cellStyle name="Note 7 2 15 2" xfId="16839"/>
    <cellStyle name="Note 7 2 15 2 2" xfId="43847"/>
    <cellStyle name="Note 7 2 15 3" xfId="30343"/>
    <cellStyle name="Note 7 2 16" xfId="1852"/>
    <cellStyle name="Note 7 2 16 2" xfId="16931"/>
    <cellStyle name="Note 7 2 16 2 2" xfId="43939"/>
    <cellStyle name="Note 7 2 16 3" xfId="30435"/>
    <cellStyle name="Note 7 2 17" xfId="1958"/>
    <cellStyle name="Note 7 2 17 2" xfId="17023"/>
    <cellStyle name="Note 7 2 17 2 2" xfId="44031"/>
    <cellStyle name="Note 7 2 17 3" xfId="30527"/>
    <cellStyle name="Note 7 2 18" xfId="2064"/>
    <cellStyle name="Note 7 2 18 2" xfId="17115"/>
    <cellStyle name="Note 7 2 18 2 2" xfId="44123"/>
    <cellStyle name="Note 7 2 18 3" xfId="30619"/>
    <cellStyle name="Note 7 2 19" xfId="2170"/>
    <cellStyle name="Note 7 2 19 2" xfId="17207"/>
    <cellStyle name="Note 7 2 19 2 2" xfId="44215"/>
    <cellStyle name="Note 7 2 19 3" xfId="30711"/>
    <cellStyle name="Note 7 2 2" xfId="308"/>
    <cellStyle name="Note 7 2 2 2" xfId="15610"/>
    <cellStyle name="Note 7 2 2 2 2" xfId="42618"/>
    <cellStyle name="Note 7 2 2 3" xfId="29114"/>
    <cellStyle name="Note 7 2 20" xfId="2276"/>
    <cellStyle name="Note 7 2 20 2" xfId="17299"/>
    <cellStyle name="Note 7 2 20 2 2" xfId="44307"/>
    <cellStyle name="Note 7 2 20 3" xfId="30803"/>
    <cellStyle name="Note 7 2 21" xfId="2382"/>
    <cellStyle name="Note 7 2 21 2" xfId="17391"/>
    <cellStyle name="Note 7 2 21 2 2" xfId="44399"/>
    <cellStyle name="Note 7 2 21 3" xfId="30895"/>
    <cellStyle name="Note 7 2 22" xfId="2488"/>
    <cellStyle name="Note 7 2 22 2" xfId="17483"/>
    <cellStyle name="Note 7 2 22 2 2" xfId="44491"/>
    <cellStyle name="Note 7 2 22 3" xfId="30987"/>
    <cellStyle name="Note 7 2 23" xfId="2594"/>
    <cellStyle name="Note 7 2 23 2" xfId="17575"/>
    <cellStyle name="Note 7 2 23 2 2" xfId="44583"/>
    <cellStyle name="Note 7 2 23 3" xfId="31079"/>
    <cellStyle name="Note 7 2 24" xfId="2700"/>
    <cellStyle name="Note 7 2 24 2" xfId="17667"/>
    <cellStyle name="Note 7 2 24 2 2" xfId="44675"/>
    <cellStyle name="Note 7 2 24 3" xfId="31171"/>
    <cellStyle name="Note 7 2 25" xfId="2806"/>
    <cellStyle name="Note 7 2 25 2" xfId="17759"/>
    <cellStyle name="Note 7 2 25 2 2" xfId="44767"/>
    <cellStyle name="Note 7 2 25 3" xfId="31263"/>
    <cellStyle name="Note 7 2 26" xfId="2912"/>
    <cellStyle name="Note 7 2 26 2" xfId="17851"/>
    <cellStyle name="Note 7 2 26 2 2" xfId="44859"/>
    <cellStyle name="Note 7 2 26 3" xfId="31355"/>
    <cellStyle name="Note 7 2 27" xfId="3018"/>
    <cellStyle name="Note 7 2 27 2" xfId="17943"/>
    <cellStyle name="Note 7 2 27 2 2" xfId="44951"/>
    <cellStyle name="Note 7 2 27 3" xfId="31447"/>
    <cellStyle name="Note 7 2 28" xfId="3124"/>
    <cellStyle name="Note 7 2 28 2" xfId="18035"/>
    <cellStyle name="Note 7 2 28 2 2" xfId="45043"/>
    <cellStyle name="Note 7 2 28 3" xfId="31539"/>
    <cellStyle name="Note 7 2 29" xfId="3230"/>
    <cellStyle name="Note 7 2 29 2" xfId="18127"/>
    <cellStyle name="Note 7 2 29 2 2" xfId="45135"/>
    <cellStyle name="Note 7 2 29 3" xfId="31631"/>
    <cellStyle name="Note 7 2 3" xfId="495"/>
    <cellStyle name="Note 7 2 3 2" xfId="15751"/>
    <cellStyle name="Note 7 2 3 2 2" xfId="42759"/>
    <cellStyle name="Note 7 2 3 3" xfId="29255"/>
    <cellStyle name="Note 7 2 30" xfId="3336"/>
    <cellStyle name="Note 7 2 30 2" xfId="18219"/>
    <cellStyle name="Note 7 2 30 2 2" xfId="45227"/>
    <cellStyle name="Note 7 2 30 3" xfId="31723"/>
    <cellStyle name="Note 7 2 31" xfId="3442"/>
    <cellStyle name="Note 7 2 31 2" xfId="18311"/>
    <cellStyle name="Note 7 2 31 2 2" xfId="45319"/>
    <cellStyle name="Note 7 2 31 3" xfId="31815"/>
    <cellStyle name="Note 7 2 32" xfId="3548"/>
    <cellStyle name="Note 7 2 32 2" xfId="18403"/>
    <cellStyle name="Note 7 2 32 2 2" xfId="45411"/>
    <cellStyle name="Note 7 2 32 3" xfId="31907"/>
    <cellStyle name="Note 7 2 33" xfId="3654"/>
    <cellStyle name="Note 7 2 33 2" xfId="18495"/>
    <cellStyle name="Note 7 2 33 2 2" xfId="45503"/>
    <cellStyle name="Note 7 2 33 3" xfId="31999"/>
    <cellStyle name="Note 7 2 34" xfId="3760"/>
    <cellStyle name="Note 7 2 34 2" xfId="18587"/>
    <cellStyle name="Note 7 2 34 2 2" xfId="45595"/>
    <cellStyle name="Note 7 2 34 3" xfId="32091"/>
    <cellStyle name="Note 7 2 35" xfId="3866"/>
    <cellStyle name="Note 7 2 35 2" xfId="18679"/>
    <cellStyle name="Note 7 2 35 2 2" xfId="45687"/>
    <cellStyle name="Note 7 2 35 3" xfId="32183"/>
    <cellStyle name="Note 7 2 36" xfId="3972"/>
    <cellStyle name="Note 7 2 36 2" xfId="18771"/>
    <cellStyle name="Note 7 2 36 2 2" xfId="45779"/>
    <cellStyle name="Note 7 2 36 3" xfId="32275"/>
    <cellStyle name="Note 7 2 37" xfId="4078"/>
    <cellStyle name="Note 7 2 37 2" xfId="18863"/>
    <cellStyle name="Note 7 2 37 2 2" xfId="45871"/>
    <cellStyle name="Note 7 2 37 3" xfId="32367"/>
    <cellStyle name="Note 7 2 38" xfId="4184"/>
    <cellStyle name="Note 7 2 38 2" xfId="18955"/>
    <cellStyle name="Note 7 2 38 2 2" xfId="45963"/>
    <cellStyle name="Note 7 2 38 3" xfId="32459"/>
    <cellStyle name="Note 7 2 39" xfId="4290"/>
    <cellStyle name="Note 7 2 39 2" xfId="19047"/>
    <cellStyle name="Note 7 2 39 2 2" xfId="46055"/>
    <cellStyle name="Note 7 2 39 3" xfId="32551"/>
    <cellStyle name="Note 7 2 4" xfId="580"/>
    <cellStyle name="Note 7 2 4 2" xfId="15827"/>
    <cellStyle name="Note 7 2 4 2 2" xfId="42835"/>
    <cellStyle name="Note 7 2 4 3" xfId="29331"/>
    <cellStyle name="Note 7 2 40" xfId="4396"/>
    <cellStyle name="Note 7 2 40 2" xfId="19139"/>
    <cellStyle name="Note 7 2 40 2 2" xfId="46147"/>
    <cellStyle name="Note 7 2 40 3" xfId="32643"/>
    <cellStyle name="Note 7 2 41" xfId="4502"/>
    <cellStyle name="Note 7 2 41 2" xfId="19231"/>
    <cellStyle name="Note 7 2 41 2 2" xfId="46239"/>
    <cellStyle name="Note 7 2 41 3" xfId="32735"/>
    <cellStyle name="Note 7 2 42" xfId="4608"/>
    <cellStyle name="Note 7 2 42 2" xfId="19323"/>
    <cellStyle name="Note 7 2 42 2 2" xfId="46331"/>
    <cellStyle name="Note 7 2 42 3" xfId="32827"/>
    <cellStyle name="Note 7 2 43" xfId="4714"/>
    <cellStyle name="Note 7 2 43 2" xfId="19415"/>
    <cellStyle name="Note 7 2 43 2 2" xfId="46423"/>
    <cellStyle name="Note 7 2 43 3" xfId="32919"/>
    <cellStyle name="Note 7 2 44" xfId="4820"/>
    <cellStyle name="Note 7 2 44 2" xfId="19507"/>
    <cellStyle name="Note 7 2 44 2 2" xfId="46515"/>
    <cellStyle name="Note 7 2 44 3" xfId="33011"/>
    <cellStyle name="Note 7 2 45" xfId="4926"/>
    <cellStyle name="Note 7 2 45 2" xfId="19599"/>
    <cellStyle name="Note 7 2 45 2 2" xfId="46607"/>
    <cellStyle name="Note 7 2 45 3" xfId="33103"/>
    <cellStyle name="Note 7 2 46" xfId="5032"/>
    <cellStyle name="Note 7 2 46 2" xfId="19691"/>
    <cellStyle name="Note 7 2 46 2 2" xfId="46699"/>
    <cellStyle name="Note 7 2 46 3" xfId="33195"/>
    <cellStyle name="Note 7 2 47" xfId="5138"/>
    <cellStyle name="Note 7 2 47 2" xfId="19783"/>
    <cellStyle name="Note 7 2 47 2 2" xfId="46791"/>
    <cellStyle name="Note 7 2 47 3" xfId="33287"/>
    <cellStyle name="Note 7 2 48" xfId="5244"/>
    <cellStyle name="Note 7 2 48 2" xfId="19875"/>
    <cellStyle name="Note 7 2 48 2 2" xfId="46883"/>
    <cellStyle name="Note 7 2 48 3" xfId="33379"/>
    <cellStyle name="Note 7 2 49" xfId="5350"/>
    <cellStyle name="Note 7 2 49 2" xfId="19967"/>
    <cellStyle name="Note 7 2 49 2 2" xfId="46975"/>
    <cellStyle name="Note 7 2 49 3" xfId="33471"/>
    <cellStyle name="Note 7 2 5" xfId="686"/>
    <cellStyle name="Note 7 2 5 2" xfId="15919"/>
    <cellStyle name="Note 7 2 5 2 2" xfId="42927"/>
    <cellStyle name="Note 7 2 5 3" xfId="29423"/>
    <cellStyle name="Note 7 2 50" xfId="5456"/>
    <cellStyle name="Note 7 2 50 2" xfId="20059"/>
    <cellStyle name="Note 7 2 50 2 2" xfId="47067"/>
    <cellStyle name="Note 7 2 50 3" xfId="33563"/>
    <cellStyle name="Note 7 2 51" xfId="5562"/>
    <cellStyle name="Note 7 2 51 2" xfId="20151"/>
    <cellStyle name="Note 7 2 51 2 2" xfId="47159"/>
    <cellStyle name="Note 7 2 51 3" xfId="33655"/>
    <cellStyle name="Note 7 2 52" xfId="5668"/>
    <cellStyle name="Note 7 2 52 2" xfId="20243"/>
    <cellStyle name="Note 7 2 52 2 2" xfId="47251"/>
    <cellStyle name="Note 7 2 52 3" xfId="33747"/>
    <cellStyle name="Note 7 2 53" xfId="5774"/>
    <cellStyle name="Note 7 2 53 2" xfId="20335"/>
    <cellStyle name="Note 7 2 53 2 2" xfId="47343"/>
    <cellStyle name="Note 7 2 53 3" xfId="33839"/>
    <cellStyle name="Note 7 2 54" xfId="5880"/>
    <cellStyle name="Note 7 2 54 2" xfId="20427"/>
    <cellStyle name="Note 7 2 54 2 2" xfId="47435"/>
    <cellStyle name="Note 7 2 54 3" xfId="33931"/>
    <cellStyle name="Note 7 2 55" xfId="5986"/>
    <cellStyle name="Note 7 2 55 2" xfId="20519"/>
    <cellStyle name="Note 7 2 55 2 2" xfId="47527"/>
    <cellStyle name="Note 7 2 55 3" xfId="34023"/>
    <cellStyle name="Note 7 2 56" xfId="6092"/>
    <cellStyle name="Note 7 2 56 2" xfId="20611"/>
    <cellStyle name="Note 7 2 56 2 2" xfId="47619"/>
    <cellStyle name="Note 7 2 56 3" xfId="34115"/>
    <cellStyle name="Note 7 2 57" xfId="6198"/>
    <cellStyle name="Note 7 2 57 2" xfId="20703"/>
    <cellStyle name="Note 7 2 57 2 2" xfId="47711"/>
    <cellStyle name="Note 7 2 57 3" xfId="34207"/>
    <cellStyle name="Note 7 2 58" xfId="6304"/>
    <cellStyle name="Note 7 2 58 2" xfId="20795"/>
    <cellStyle name="Note 7 2 58 2 2" xfId="47803"/>
    <cellStyle name="Note 7 2 58 3" xfId="34299"/>
    <cellStyle name="Note 7 2 59" xfId="6410"/>
    <cellStyle name="Note 7 2 59 2" xfId="20887"/>
    <cellStyle name="Note 7 2 59 2 2" xfId="47895"/>
    <cellStyle name="Note 7 2 59 3" xfId="34391"/>
    <cellStyle name="Note 7 2 6" xfId="792"/>
    <cellStyle name="Note 7 2 6 2" xfId="16011"/>
    <cellStyle name="Note 7 2 6 2 2" xfId="43019"/>
    <cellStyle name="Note 7 2 6 3" xfId="29515"/>
    <cellStyle name="Note 7 2 60" xfId="6516"/>
    <cellStyle name="Note 7 2 60 2" xfId="20979"/>
    <cellStyle name="Note 7 2 60 2 2" xfId="47987"/>
    <cellStyle name="Note 7 2 60 3" xfId="34483"/>
    <cellStyle name="Note 7 2 61" xfId="6621"/>
    <cellStyle name="Note 7 2 61 2" xfId="21070"/>
    <cellStyle name="Note 7 2 61 2 2" xfId="48078"/>
    <cellStyle name="Note 7 2 61 3" xfId="34574"/>
    <cellStyle name="Note 7 2 62" xfId="6726"/>
    <cellStyle name="Note 7 2 62 2" xfId="21161"/>
    <cellStyle name="Note 7 2 62 2 2" xfId="48169"/>
    <cellStyle name="Note 7 2 62 3" xfId="34665"/>
    <cellStyle name="Note 7 2 63" xfId="6831"/>
    <cellStyle name="Note 7 2 63 2" xfId="21252"/>
    <cellStyle name="Note 7 2 63 2 2" xfId="48260"/>
    <cellStyle name="Note 7 2 63 3" xfId="34756"/>
    <cellStyle name="Note 7 2 64" xfId="6936"/>
    <cellStyle name="Note 7 2 64 2" xfId="21343"/>
    <cellStyle name="Note 7 2 64 2 2" xfId="48351"/>
    <cellStyle name="Note 7 2 64 3" xfId="34847"/>
    <cellStyle name="Note 7 2 65" xfId="7041"/>
    <cellStyle name="Note 7 2 65 2" xfId="21434"/>
    <cellStyle name="Note 7 2 65 2 2" xfId="48442"/>
    <cellStyle name="Note 7 2 65 3" xfId="34938"/>
    <cellStyle name="Note 7 2 66" xfId="7145"/>
    <cellStyle name="Note 7 2 66 2" xfId="21524"/>
    <cellStyle name="Note 7 2 66 2 2" xfId="48532"/>
    <cellStyle name="Note 7 2 66 3" xfId="35028"/>
    <cellStyle name="Note 7 2 67" xfId="7248"/>
    <cellStyle name="Note 7 2 67 2" xfId="21613"/>
    <cellStyle name="Note 7 2 67 2 2" xfId="48621"/>
    <cellStyle name="Note 7 2 67 3" xfId="35117"/>
    <cellStyle name="Note 7 2 68" xfId="7348"/>
    <cellStyle name="Note 7 2 68 2" xfId="21700"/>
    <cellStyle name="Note 7 2 68 2 2" xfId="48708"/>
    <cellStyle name="Note 7 2 68 3" xfId="35204"/>
    <cellStyle name="Note 7 2 69" xfId="7447"/>
    <cellStyle name="Note 7 2 69 2" xfId="21786"/>
    <cellStyle name="Note 7 2 69 2 2" xfId="48794"/>
    <cellStyle name="Note 7 2 69 3" xfId="35290"/>
    <cellStyle name="Note 7 2 7" xfId="898"/>
    <cellStyle name="Note 7 2 7 2" xfId="16103"/>
    <cellStyle name="Note 7 2 7 2 2" xfId="43111"/>
    <cellStyle name="Note 7 2 7 3" xfId="29607"/>
    <cellStyle name="Note 7 2 70" xfId="7541"/>
    <cellStyle name="Note 7 2 70 2" xfId="21868"/>
    <cellStyle name="Note 7 2 70 2 2" xfId="48876"/>
    <cellStyle name="Note 7 2 70 3" xfId="35372"/>
    <cellStyle name="Note 7 2 71" xfId="7626"/>
    <cellStyle name="Note 7 2 71 2" xfId="21945"/>
    <cellStyle name="Note 7 2 71 2 2" xfId="48953"/>
    <cellStyle name="Note 7 2 71 3" xfId="35449"/>
    <cellStyle name="Note 7 2 72" xfId="7809"/>
    <cellStyle name="Note 7 2 72 2" xfId="22099"/>
    <cellStyle name="Note 7 2 72 2 2" xfId="49107"/>
    <cellStyle name="Note 7 2 72 3" xfId="35603"/>
    <cellStyle name="Note 7 2 73" xfId="7951"/>
    <cellStyle name="Note 7 2 73 2" xfId="22227"/>
    <cellStyle name="Note 7 2 73 2 2" xfId="49235"/>
    <cellStyle name="Note 7 2 73 3" xfId="35731"/>
    <cellStyle name="Note 7 2 74" xfId="8093"/>
    <cellStyle name="Note 7 2 74 2" xfId="22355"/>
    <cellStyle name="Note 7 2 74 2 2" xfId="49363"/>
    <cellStyle name="Note 7 2 74 3" xfId="35859"/>
    <cellStyle name="Note 7 2 75" xfId="8235"/>
    <cellStyle name="Note 7 2 75 2" xfId="22483"/>
    <cellStyle name="Note 7 2 75 2 2" xfId="49491"/>
    <cellStyle name="Note 7 2 75 3" xfId="35987"/>
    <cellStyle name="Note 7 2 76" xfId="8377"/>
    <cellStyle name="Note 7 2 76 2" xfId="22611"/>
    <cellStyle name="Note 7 2 76 2 2" xfId="49619"/>
    <cellStyle name="Note 7 2 76 3" xfId="36115"/>
    <cellStyle name="Note 7 2 77" xfId="8519"/>
    <cellStyle name="Note 7 2 77 2" xfId="22739"/>
    <cellStyle name="Note 7 2 77 2 2" xfId="49747"/>
    <cellStyle name="Note 7 2 77 3" xfId="36243"/>
    <cellStyle name="Note 7 2 78" xfId="8661"/>
    <cellStyle name="Note 7 2 78 2" xfId="22867"/>
    <cellStyle name="Note 7 2 78 2 2" xfId="49875"/>
    <cellStyle name="Note 7 2 78 3" xfId="36371"/>
    <cellStyle name="Note 7 2 79" xfId="8803"/>
    <cellStyle name="Note 7 2 79 2" xfId="22995"/>
    <cellStyle name="Note 7 2 79 2 2" xfId="50003"/>
    <cellStyle name="Note 7 2 79 3" xfId="36499"/>
    <cellStyle name="Note 7 2 8" xfId="1004"/>
    <cellStyle name="Note 7 2 8 2" xfId="16195"/>
    <cellStyle name="Note 7 2 8 2 2" xfId="43203"/>
    <cellStyle name="Note 7 2 8 3" xfId="29699"/>
    <cellStyle name="Note 7 2 80" xfId="8945"/>
    <cellStyle name="Note 7 2 80 2" xfId="23123"/>
    <cellStyle name="Note 7 2 80 2 2" xfId="50131"/>
    <cellStyle name="Note 7 2 80 3" xfId="36627"/>
    <cellStyle name="Note 7 2 81" xfId="9087"/>
    <cellStyle name="Note 7 2 81 2" xfId="23251"/>
    <cellStyle name="Note 7 2 81 2 2" xfId="50259"/>
    <cellStyle name="Note 7 2 81 3" xfId="36755"/>
    <cellStyle name="Note 7 2 82" xfId="9229"/>
    <cellStyle name="Note 7 2 82 2" xfId="23379"/>
    <cellStyle name="Note 7 2 82 2 2" xfId="50387"/>
    <cellStyle name="Note 7 2 82 3" xfId="36883"/>
    <cellStyle name="Note 7 2 83" xfId="9371"/>
    <cellStyle name="Note 7 2 83 2" xfId="23507"/>
    <cellStyle name="Note 7 2 83 2 2" xfId="50515"/>
    <cellStyle name="Note 7 2 83 3" xfId="37011"/>
    <cellStyle name="Note 7 2 84" xfId="9513"/>
    <cellStyle name="Note 7 2 84 2" xfId="23635"/>
    <cellStyle name="Note 7 2 84 2 2" xfId="50643"/>
    <cellStyle name="Note 7 2 84 3" xfId="37139"/>
    <cellStyle name="Note 7 2 85" xfId="9655"/>
    <cellStyle name="Note 7 2 85 2" xfId="23763"/>
    <cellStyle name="Note 7 2 85 2 2" xfId="50771"/>
    <cellStyle name="Note 7 2 85 3" xfId="37267"/>
    <cellStyle name="Note 7 2 86" xfId="9797"/>
    <cellStyle name="Note 7 2 86 2" xfId="23891"/>
    <cellStyle name="Note 7 2 86 2 2" xfId="50899"/>
    <cellStyle name="Note 7 2 86 3" xfId="37395"/>
    <cellStyle name="Note 7 2 87" xfId="9939"/>
    <cellStyle name="Note 7 2 87 2" xfId="24019"/>
    <cellStyle name="Note 7 2 87 2 2" xfId="51027"/>
    <cellStyle name="Note 7 2 87 3" xfId="37523"/>
    <cellStyle name="Note 7 2 88" xfId="10081"/>
    <cellStyle name="Note 7 2 88 2" xfId="24147"/>
    <cellStyle name="Note 7 2 88 2 2" xfId="51155"/>
    <cellStyle name="Note 7 2 88 3" xfId="37651"/>
    <cellStyle name="Note 7 2 89" xfId="10223"/>
    <cellStyle name="Note 7 2 89 2" xfId="24275"/>
    <cellStyle name="Note 7 2 89 2 2" xfId="51283"/>
    <cellStyle name="Note 7 2 89 3" xfId="37779"/>
    <cellStyle name="Note 7 2 9" xfId="1110"/>
    <cellStyle name="Note 7 2 9 2" xfId="16287"/>
    <cellStyle name="Note 7 2 9 2 2" xfId="43295"/>
    <cellStyle name="Note 7 2 9 3" xfId="29791"/>
    <cellStyle name="Note 7 2 90" xfId="10365"/>
    <cellStyle name="Note 7 2 90 2" xfId="24403"/>
    <cellStyle name="Note 7 2 90 2 2" xfId="51411"/>
    <cellStyle name="Note 7 2 90 3" xfId="37907"/>
    <cellStyle name="Note 7 2 91" xfId="10507"/>
    <cellStyle name="Note 7 2 91 2" xfId="24531"/>
    <cellStyle name="Note 7 2 91 2 2" xfId="51539"/>
    <cellStyle name="Note 7 2 91 3" xfId="38035"/>
    <cellStyle name="Note 7 2 92" xfId="10649"/>
    <cellStyle name="Note 7 2 92 2" xfId="24659"/>
    <cellStyle name="Note 7 2 92 2 2" xfId="51667"/>
    <cellStyle name="Note 7 2 92 3" xfId="38163"/>
    <cellStyle name="Note 7 2 93" xfId="10791"/>
    <cellStyle name="Note 7 2 93 2" xfId="24787"/>
    <cellStyle name="Note 7 2 93 2 2" xfId="51795"/>
    <cellStyle name="Note 7 2 93 3" xfId="38291"/>
    <cellStyle name="Note 7 2 94" xfId="10933"/>
    <cellStyle name="Note 7 2 94 2" xfId="24915"/>
    <cellStyle name="Note 7 2 94 2 2" xfId="51923"/>
    <cellStyle name="Note 7 2 94 3" xfId="38419"/>
    <cellStyle name="Note 7 2 95" xfId="11075"/>
    <cellStyle name="Note 7 2 95 2" xfId="25043"/>
    <cellStyle name="Note 7 2 95 2 2" xfId="52051"/>
    <cellStyle name="Note 7 2 95 3" xfId="38547"/>
    <cellStyle name="Note 7 2 96" xfId="11217"/>
    <cellStyle name="Note 7 2 96 2" xfId="25171"/>
    <cellStyle name="Note 7 2 96 2 2" xfId="52179"/>
    <cellStyle name="Note 7 2 96 3" xfId="38675"/>
    <cellStyle name="Note 7 2 97" xfId="11359"/>
    <cellStyle name="Note 7 2 97 2" xfId="25299"/>
    <cellStyle name="Note 7 2 97 2 2" xfId="52307"/>
    <cellStyle name="Note 7 2 97 3" xfId="38803"/>
    <cellStyle name="Note 7 2 98" xfId="11501"/>
    <cellStyle name="Note 7 2 98 2" xfId="25427"/>
    <cellStyle name="Note 7 2 98 2 2" xfId="52435"/>
    <cellStyle name="Note 7 2 98 3" xfId="38931"/>
    <cellStyle name="Note 7 2 99" xfId="11643"/>
    <cellStyle name="Note 7 2 99 2" xfId="25555"/>
    <cellStyle name="Note 7 2 99 2 2" xfId="52563"/>
    <cellStyle name="Note 7 2 99 3" xfId="39059"/>
    <cellStyle name="Note 7 20" xfId="1866"/>
    <cellStyle name="Note 7 20 2" xfId="16943"/>
    <cellStyle name="Note 7 20 2 2" xfId="43951"/>
    <cellStyle name="Note 7 20 3" xfId="30447"/>
    <cellStyle name="Note 7 21" xfId="1972"/>
    <cellStyle name="Note 7 21 2" xfId="17035"/>
    <cellStyle name="Note 7 21 2 2" xfId="44043"/>
    <cellStyle name="Note 7 21 3" xfId="30539"/>
    <cellStyle name="Note 7 22" xfId="2078"/>
    <cellStyle name="Note 7 22 2" xfId="17127"/>
    <cellStyle name="Note 7 22 2 2" xfId="44135"/>
    <cellStyle name="Note 7 22 3" xfId="30631"/>
    <cellStyle name="Note 7 23" xfId="2184"/>
    <cellStyle name="Note 7 23 2" xfId="17219"/>
    <cellStyle name="Note 7 23 2 2" xfId="44227"/>
    <cellStyle name="Note 7 23 3" xfId="30723"/>
    <cellStyle name="Note 7 24" xfId="2290"/>
    <cellStyle name="Note 7 24 2" xfId="17311"/>
    <cellStyle name="Note 7 24 2 2" xfId="44319"/>
    <cellStyle name="Note 7 24 3" xfId="30815"/>
    <cellStyle name="Note 7 25" xfId="2396"/>
    <cellStyle name="Note 7 25 2" xfId="17403"/>
    <cellStyle name="Note 7 25 2 2" xfId="44411"/>
    <cellStyle name="Note 7 25 3" xfId="30907"/>
    <cellStyle name="Note 7 26" xfId="2502"/>
    <cellStyle name="Note 7 26 2" xfId="17495"/>
    <cellStyle name="Note 7 26 2 2" xfId="44503"/>
    <cellStyle name="Note 7 26 3" xfId="30999"/>
    <cellStyle name="Note 7 27" xfId="2608"/>
    <cellStyle name="Note 7 27 2" xfId="17587"/>
    <cellStyle name="Note 7 27 2 2" xfId="44595"/>
    <cellStyle name="Note 7 27 3" xfId="31091"/>
    <cellStyle name="Note 7 28" xfId="2714"/>
    <cellStyle name="Note 7 28 2" xfId="17679"/>
    <cellStyle name="Note 7 28 2 2" xfId="44687"/>
    <cellStyle name="Note 7 28 3" xfId="31183"/>
    <cellStyle name="Note 7 29" xfId="2820"/>
    <cellStyle name="Note 7 29 2" xfId="17771"/>
    <cellStyle name="Note 7 29 2 2" xfId="44779"/>
    <cellStyle name="Note 7 29 3" xfId="31275"/>
    <cellStyle name="Note 7 3" xfId="142"/>
    <cellStyle name="Note 7 3 10" xfId="1247"/>
    <cellStyle name="Note 7 3 10 2" xfId="16405"/>
    <cellStyle name="Note 7 3 10 2 2" xfId="43413"/>
    <cellStyle name="Note 7 3 10 3" xfId="29909"/>
    <cellStyle name="Note 7 3 100" xfId="11796"/>
    <cellStyle name="Note 7 3 100 2" xfId="25694"/>
    <cellStyle name="Note 7 3 100 2 2" xfId="52702"/>
    <cellStyle name="Note 7 3 100 3" xfId="39198"/>
    <cellStyle name="Note 7 3 101" xfId="11938"/>
    <cellStyle name="Note 7 3 101 2" xfId="25822"/>
    <cellStyle name="Note 7 3 101 2 2" xfId="52830"/>
    <cellStyle name="Note 7 3 101 3" xfId="39326"/>
    <cellStyle name="Note 7 3 102" xfId="12080"/>
    <cellStyle name="Note 7 3 102 2" xfId="25950"/>
    <cellStyle name="Note 7 3 102 2 2" xfId="52958"/>
    <cellStyle name="Note 7 3 102 3" xfId="39454"/>
    <cellStyle name="Note 7 3 103" xfId="12222"/>
    <cellStyle name="Note 7 3 103 2" xfId="26078"/>
    <cellStyle name="Note 7 3 103 2 2" xfId="53086"/>
    <cellStyle name="Note 7 3 103 3" xfId="39582"/>
    <cellStyle name="Note 7 3 104" xfId="12364"/>
    <cellStyle name="Note 7 3 104 2" xfId="26206"/>
    <cellStyle name="Note 7 3 104 2 2" xfId="53214"/>
    <cellStyle name="Note 7 3 104 3" xfId="39710"/>
    <cellStyle name="Note 7 3 105" xfId="12506"/>
    <cellStyle name="Note 7 3 105 2" xfId="26334"/>
    <cellStyle name="Note 7 3 105 2 2" xfId="53342"/>
    <cellStyle name="Note 7 3 105 3" xfId="39838"/>
    <cellStyle name="Note 7 3 106" xfId="12648"/>
    <cellStyle name="Note 7 3 106 2" xfId="26462"/>
    <cellStyle name="Note 7 3 106 2 2" xfId="53470"/>
    <cellStyle name="Note 7 3 106 3" xfId="39966"/>
    <cellStyle name="Note 7 3 107" xfId="12790"/>
    <cellStyle name="Note 7 3 107 2" xfId="26590"/>
    <cellStyle name="Note 7 3 107 2 2" xfId="53598"/>
    <cellStyle name="Note 7 3 107 3" xfId="40094"/>
    <cellStyle name="Note 7 3 108" xfId="12932"/>
    <cellStyle name="Note 7 3 108 2" xfId="26718"/>
    <cellStyle name="Note 7 3 108 2 2" xfId="53726"/>
    <cellStyle name="Note 7 3 108 3" xfId="40222"/>
    <cellStyle name="Note 7 3 109" xfId="13074"/>
    <cellStyle name="Note 7 3 109 2" xfId="26846"/>
    <cellStyle name="Note 7 3 109 2 2" xfId="53854"/>
    <cellStyle name="Note 7 3 109 3" xfId="40350"/>
    <cellStyle name="Note 7 3 11" xfId="1353"/>
    <cellStyle name="Note 7 3 11 2" xfId="16497"/>
    <cellStyle name="Note 7 3 11 2 2" xfId="43505"/>
    <cellStyle name="Note 7 3 11 3" xfId="30001"/>
    <cellStyle name="Note 7 3 110" xfId="13216"/>
    <cellStyle name="Note 7 3 110 2" xfId="26974"/>
    <cellStyle name="Note 7 3 110 2 2" xfId="53982"/>
    <cellStyle name="Note 7 3 110 3" xfId="40478"/>
    <cellStyle name="Note 7 3 111" xfId="13358"/>
    <cellStyle name="Note 7 3 111 2" xfId="27102"/>
    <cellStyle name="Note 7 3 111 2 2" xfId="54110"/>
    <cellStyle name="Note 7 3 111 3" xfId="40606"/>
    <cellStyle name="Note 7 3 112" xfId="13500"/>
    <cellStyle name="Note 7 3 112 2" xfId="27230"/>
    <cellStyle name="Note 7 3 112 2 2" xfId="54238"/>
    <cellStyle name="Note 7 3 112 3" xfId="40734"/>
    <cellStyle name="Note 7 3 113" xfId="13642"/>
    <cellStyle name="Note 7 3 113 2" xfId="27358"/>
    <cellStyle name="Note 7 3 113 2 2" xfId="54366"/>
    <cellStyle name="Note 7 3 113 3" xfId="40862"/>
    <cellStyle name="Note 7 3 114" xfId="13784"/>
    <cellStyle name="Note 7 3 114 2" xfId="27486"/>
    <cellStyle name="Note 7 3 114 2 2" xfId="54494"/>
    <cellStyle name="Note 7 3 114 3" xfId="40990"/>
    <cellStyle name="Note 7 3 115" xfId="13925"/>
    <cellStyle name="Note 7 3 115 2" xfId="27613"/>
    <cellStyle name="Note 7 3 115 2 2" xfId="54621"/>
    <cellStyle name="Note 7 3 115 3" xfId="41117"/>
    <cellStyle name="Note 7 3 116" xfId="14066"/>
    <cellStyle name="Note 7 3 116 2" xfId="27740"/>
    <cellStyle name="Note 7 3 116 2 2" xfId="54748"/>
    <cellStyle name="Note 7 3 116 3" xfId="41244"/>
    <cellStyle name="Note 7 3 117" xfId="14207"/>
    <cellStyle name="Note 7 3 117 2" xfId="27867"/>
    <cellStyle name="Note 7 3 117 2 2" xfId="54875"/>
    <cellStyle name="Note 7 3 117 3" xfId="41371"/>
    <cellStyle name="Note 7 3 118" xfId="14348"/>
    <cellStyle name="Note 7 3 118 2" xfId="27994"/>
    <cellStyle name="Note 7 3 118 2 2" xfId="55002"/>
    <cellStyle name="Note 7 3 118 3" xfId="41498"/>
    <cellStyle name="Note 7 3 119" xfId="14488"/>
    <cellStyle name="Note 7 3 119 2" xfId="28120"/>
    <cellStyle name="Note 7 3 119 2 2" xfId="55128"/>
    <cellStyle name="Note 7 3 119 3" xfId="41624"/>
    <cellStyle name="Note 7 3 12" xfId="1459"/>
    <cellStyle name="Note 7 3 12 2" xfId="16589"/>
    <cellStyle name="Note 7 3 12 2 2" xfId="43597"/>
    <cellStyle name="Note 7 3 12 3" xfId="30093"/>
    <cellStyle name="Note 7 3 120" xfId="14628"/>
    <cellStyle name="Note 7 3 120 2" xfId="28246"/>
    <cellStyle name="Note 7 3 120 2 2" xfId="55254"/>
    <cellStyle name="Note 7 3 120 3" xfId="41750"/>
    <cellStyle name="Note 7 3 121" xfId="14767"/>
    <cellStyle name="Note 7 3 121 2" xfId="28371"/>
    <cellStyle name="Note 7 3 121 2 2" xfId="55379"/>
    <cellStyle name="Note 7 3 121 3" xfId="41875"/>
    <cellStyle name="Note 7 3 122" xfId="14902"/>
    <cellStyle name="Note 7 3 122 2" xfId="28493"/>
    <cellStyle name="Note 7 3 122 2 2" xfId="55501"/>
    <cellStyle name="Note 7 3 122 3" xfId="41997"/>
    <cellStyle name="Note 7 3 123" xfId="15036"/>
    <cellStyle name="Note 7 3 123 2" xfId="28614"/>
    <cellStyle name="Note 7 3 123 2 2" xfId="55622"/>
    <cellStyle name="Note 7 3 123 3" xfId="42118"/>
    <cellStyle name="Note 7 3 124" xfId="15163"/>
    <cellStyle name="Note 7 3 124 2" xfId="28730"/>
    <cellStyle name="Note 7 3 124 2 2" xfId="55738"/>
    <cellStyle name="Note 7 3 124 3" xfId="42234"/>
    <cellStyle name="Note 7 3 125" xfId="15283"/>
    <cellStyle name="Note 7 3 125 2" xfId="28843"/>
    <cellStyle name="Note 7 3 125 2 2" xfId="55851"/>
    <cellStyle name="Note 7 3 125 3" xfId="42347"/>
    <cellStyle name="Note 7 3 126" xfId="15498"/>
    <cellStyle name="Note 7 3 126 2" xfId="42506"/>
    <cellStyle name="Note 7 3 127" xfId="29002"/>
    <cellStyle name="Note 7 3 13" xfId="1565"/>
    <cellStyle name="Note 7 3 13 2" xfId="16681"/>
    <cellStyle name="Note 7 3 13 2 2" xfId="43689"/>
    <cellStyle name="Note 7 3 13 3" xfId="30185"/>
    <cellStyle name="Note 7 3 14" xfId="1671"/>
    <cellStyle name="Note 7 3 14 2" xfId="16773"/>
    <cellStyle name="Note 7 3 14 2 2" xfId="43781"/>
    <cellStyle name="Note 7 3 14 3" xfId="30277"/>
    <cellStyle name="Note 7 3 15" xfId="1777"/>
    <cellStyle name="Note 7 3 15 2" xfId="16865"/>
    <cellStyle name="Note 7 3 15 2 2" xfId="43873"/>
    <cellStyle name="Note 7 3 15 3" xfId="30369"/>
    <cellStyle name="Note 7 3 16" xfId="1883"/>
    <cellStyle name="Note 7 3 16 2" xfId="16957"/>
    <cellStyle name="Note 7 3 16 2 2" xfId="43965"/>
    <cellStyle name="Note 7 3 16 3" xfId="30461"/>
    <cellStyle name="Note 7 3 17" xfId="1989"/>
    <cellStyle name="Note 7 3 17 2" xfId="17049"/>
    <cellStyle name="Note 7 3 17 2 2" xfId="44057"/>
    <cellStyle name="Note 7 3 17 3" xfId="30553"/>
    <cellStyle name="Note 7 3 18" xfId="2095"/>
    <cellStyle name="Note 7 3 18 2" xfId="17141"/>
    <cellStyle name="Note 7 3 18 2 2" xfId="44149"/>
    <cellStyle name="Note 7 3 18 3" xfId="30645"/>
    <cellStyle name="Note 7 3 19" xfId="2201"/>
    <cellStyle name="Note 7 3 19 2" xfId="17233"/>
    <cellStyle name="Note 7 3 19 2 2" xfId="44241"/>
    <cellStyle name="Note 7 3 19 3" xfId="30737"/>
    <cellStyle name="Note 7 3 2" xfId="319"/>
    <cellStyle name="Note 7 3 2 2" xfId="15621"/>
    <cellStyle name="Note 7 3 2 2 2" xfId="42629"/>
    <cellStyle name="Note 7 3 2 3" xfId="29125"/>
    <cellStyle name="Note 7 3 20" xfId="2307"/>
    <cellStyle name="Note 7 3 20 2" xfId="17325"/>
    <cellStyle name="Note 7 3 20 2 2" xfId="44333"/>
    <cellStyle name="Note 7 3 20 3" xfId="30829"/>
    <cellStyle name="Note 7 3 21" xfId="2413"/>
    <cellStyle name="Note 7 3 21 2" xfId="17417"/>
    <cellStyle name="Note 7 3 21 2 2" xfId="44425"/>
    <cellStyle name="Note 7 3 21 3" xfId="30921"/>
    <cellStyle name="Note 7 3 22" xfId="2519"/>
    <cellStyle name="Note 7 3 22 2" xfId="17509"/>
    <cellStyle name="Note 7 3 22 2 2" xfId="44517"/>
    <cellStyle name="Note 7 3 22 3" xfId="31013"/>
    <cellStyle name="Note 7 3 23" xfId="2625"/>
    <cellStyle name="Note 7 3 23 2" xfId="17601"/>
    <cellStyle name="Note 7 3 23 2 2" xfId="44609"/>
    <cellStyle name="Note 7 3 23 3" xfId="31105"/>
    <cellStyle name="Note 7 3 24" xfId="2731"/>
    <cellStyle name="Note 7 3 24 2" xfId="17693"/>
    <cellStyle name="Note 7 3 24 2 2" xfId="44701"/>
    <cellStyle name="Note 7 3 24 3" xfId="31197"/>
    <cellStyle name="Note 7 3 25" xfId="2837"/>
    <cellStyle name="Note 7 3 25 2" xfId="17785"/>
    <cellStyle name="Note 7 3 25 2 2" xfId="44793"/>
    <cellStyle name="Note 7 3 25 3" xfId="31289"/>
    <cellStyle name="Note 7 3 26" xfId="2943"/>
    <cellStyle name="Note 7 3 26 2" xfId="17877"/>
    <cellStyle name="Note 7 3 26 2 2" xfId="44885"/>
    <cellStyle name="Note 7 3 26 3" xfId="31381"/>
    <cellStyle name="Note 7 3 27" xfId="3049"/>
    <cellStyle name="Note 7 3 27 2" xfId="17969"/>
    <cellStyle name="Note 7 3 27 2 2" xfId="44977"/>
    <cellStyle name="Note 7 3 27 3" xfId="31473"/>
    <cellStyle name="Note 7 3 28" xfId="3155"/>
    <cellStyle name="Note 7 3 28 2" xfId="18061"/>
    <cellStyle name="Note 7 3 28 2 2" xfId="45069"/>
    <cellStyle name="Note 7 3 28 3" xfId="31565"/>
    <cellStyle name="Note 7 3 29" xfId="3261"/>
    <cellStyle name="Note 7 3 29 2" xfId="18153"/>
    <cellStyle name="Note 7 3 29 2 2" xfId="45161"/>
    <cellStyle name="Note 7 3 29 3" xfId="31657"/>
    <cellStyle name="Note 7 3 3" xfId="506"/>
    <cellStyle name="Note 7 3 3 2" xfId="15762"/>
    <cellStyle name="Note 7 3 3 2 2" xfId="42770"/>
    <cellStyle name="Note 7 3 3 3" xfId="29266"/>
    <cellStyle name="Note 7 3 30" xfId="3367"/>
    <cellStyle name="Note 7 3 30 2" xfId="18245"/>
    <cellStyle name="Note 7 3 30 2 2" xfId="45253"/>
    <cellStyle name="Note 7 3 30 3" xfId="31749"/>
    <cellStyle name="Note 7 3 31" xfId="3473"/>
    <cellStyle name="Note 7 3 31 2" xfId="18337"/>
    <cellStyle name="Note 7 3 31 2 2" xfId="45345"/>
    <cellStyle name="Note 7 3 31 3" xfId="31841"/>
    <cellStyle name="Note 7 3 32" xfId="3579"/>
    <cellStyle name="Note 7 3 32 2" xfId="18429"/>
    <cellStyle name="Note 7 3 32 2 2" xfId="45437"/>
    <cellStyle name="Note 7 3 32 3" xfId="31933"/>
    <cellStyle name="Note 7 3 33" xfId="3685"/>
    <cellStyle name="Note 7 3 33 2" xfId="18521"/>
    <cellStyle name="Note 7 3 33 2 2" xfId="45529"/>
    <cellStyle name="Note 7 3 33 3" xfId="32025"/>
    <cellStyle name="Note 7 3 34" xfId="3791"/>
    <cellStyle name="Note 7 3 34 2" xfId="18613"/>
    <cellStyle name="Note 7 3 34 2 2" xfId="45621"/>
    <cellStyle name="Note 7 3 34 3" xfId="32117"/>
    <cellStyle name="Note 7 3 35" xfId="3897"/>
    <cellStyle name="Note 7 3 35 2" xfId="18705"/>
    <cellStyle name="Note 7 3 35 2 2" xfId="45713"/>
    <cellStyle name="Note 7 3 35 3" xfId="32209"/>
    <cellStyle name="Note 7 3 36" xfId="4003"/>
    <cellStyle name="Note 7 3 36 2" xfId="18797"/>
    <cellStyle name="Note 7 3 36 2 2" xfId="45805"/>
    <cellStyle name="Note 7 3 36 3" xfId="32301"/>
    <cellStyle name="Note 7 3 37" xfId="4109"/>
    <cellStyle name="Note 7 3 37 2" xfId="18889"/>
    <cellStyle name="Note 7 3 37 2 2" xfId="45897"/>
    <cellStyle name="Note 7 3 37 3" xfId="32393"/>
    <cellStyle name="Note 7 3 38" xfId="4215"/>
    <cellStyle name="Note 7 3 38 2" xfId="18981"/>
    <cellStyle name="Note 7 3 38 2 2" xfId="45989"/>
    <cellStyle name="Note 7 3 38 3" xfId="32485"/>
    <cellStyle name="Note 7 3 39" xfId="4321"/>
    <cellStyle name="Note 7 3 39 2" xfId="19073"/>
    <cellStyle name="Note 7 3 39 2 2" xfId="46081"/>
    <cellStyle name="Note 7 3 39 3" xfId="32577"/>
    <cellStyle name="Note 7 3 4" xfId="611"/>
    <cellStyle name="Note 7 3 4 2" xfId="15853"/>
    <cellStyle name="Note 7 3 4 2 2" xfId="42861"/>
    <cellStyle name="Note 7 3 4 3" xfId="29357"/>
    <cellStyle name="Note 7 3 40" xfId="4427"/>
    <cellStyle name="Note 7 3 40 2" xfId="19165"/>
    <cellStyle name="Note 7 3 40 2 2" xfId="46173"/>
    <cellStyle name="Note 7 3 40 3" xfId="32669"/>
    <cellStyle name="Note 7 3 41" xfId="4533"/>
    <cellStyle name="Note 7 3 41 2" xfId="19257"/>
    <cellStyle name="Note 7 3 41 2 2" xfId="46265"/>
    <cellStyle name="Note 7 3 41 3" xfId="32761"/>
    <cellStyle name="Note 7 3 42" xfId="4639"/>
    <cellStyle name="Note 7 3 42 2" xfId="19349"/>
    <cellStyle name="Note 7 3 42 2 2" xfId="46357"/>
    <cellStyle name="Note 7 3 42 3" xfId="32853"/>
    <cellStyle name="Note 7 3 43" xfId="4745"/>
    <cellStyle name="Note 7 3 43 2" xfId="19441"/>
    <cellStyle name="Note 7 3 43 2 2" xfId="46449"/>
    <cellStyle name="Note 7 3 43 3" xfId="32945"/>
    <cellStyle name="Note 7 3 44" xfId="4851"/>
    <cellStyle name="Note 7 3 44 2" xfId="19533"/>
    <cellStyle name="Note 7 3 44 2 2" xfId="46541"/>
    <cellStyle name="Note 7 3 44 3" xfId="33037"/>
    <cellStyle name="Note 7 3 45" xfId="4957"/>
    <cellStyle name="Note 7 3 45 2" xfId="19625"/>
    <cellStyle name="Note 7 3 45 2 2" xfId="46633"/>
    <cellStyle name="Note 7 3 45 3" xfId="33129"/>
    <cellStyle name="Note 7 3 46" xfId="5063"/>
    <cellStyle name="Note 7 3 46 2" xfId="19717"/>
    <cellStyle name="Note 7 3 46 2 2" xfId="46725"/>
    <cellStyle name="Note 7 3 46 3" xfId="33221"/>
    <cellStyle name="Note 7 3 47" xfId="5169"/>
    <cellStyle name="Note 7 3 47 2" xfId="19809"/>
    <cellStyle name="Note 7 3 47 2 2" xfId="46817"/>
    <cellStyle name="Note 7 3 47 3" xfId="33313"/>
    <cellStyle name="Note 7 3 48" xfId="5275"/>
    <cellStyle name="Note 7 3 48 2" xfId="19901"/>
    <cellStyle name="Note 7 3 48 2 2" xfId="46909"/>
    <cellStyle name="Note 7 3 48 3" xfId="33405"/>
    <cellStyle name="Note 7 3 49" xfId="5381"/>
    <cellStyle name="Note 7 3 49 2" xfId="19993"/>
    <cellStyle name="Note 7 3 49 2 2" xfId="47001"/>
    <cellStyle name="Note 7 3 49 3" xfId="33497"/>
    <cellStyle name="Note 7 3 5" xfId="717"/>
    <cellStyle name="Note 7 3 5 2" xfId="15945"/>
    <cellStyle name="Note 7 3 5 2 2" xfId="42953"/>
    <cellStyle name="Note 7 3 5 3" xfId="29449"/>
    <cellStyle name="Note 7 3 50" xfId="5487"/>
    <cellStyle name="Note 7 3 50 2" xfId="20085"/>
    <cellStyle name="Note 7 3 50 2 2" xfId="47093"/>
    <cellStyle name="Note 7 3 50 3" xfId="33589"/>
    <cellStyle name="Note 7 3 51" xfId="5593"/>
    <cellStyle name="Note 7 3 51 2" xfId="20177"/>
    <cellStyle name="Note 7 3 51 2 2" xfId="47185"/>
    <cellStyle name="Note 7 3 51 3" xfId="33681"/>
    <cellStyle name="Note 7 3 52" xfId="5699"/>
    <cellStyle name="Note 7 3 52 2" xfId="20269"/>
    <cellStyle name="Note 7 3 52 2 2" xfId="47277"/>
    <cellStyle name="Note 7 3 52 3" xfId="33773"/>
    <cellStyle name="Note 7 3 53" xfId="5805"/>
    <cellStyle name="Note 7 3 53 2" xfId="20361"/>
    <cellStyle name="Note 7 3 53 2 2" xfId="47369"/>
    <cellStyle name="Note 7 3 53 3" xfId="33865"/>
    <cellStyle name="Note 7 3 54" xfId="5911"/>
    <cellStyle name="Note 7 3 54 2" xfId="20453"/>
    <cellStyle name="Note 7 3 54 2 2" xfId="47461"/>
    <cellStyle name="Note 7 3 54 3" xfId="33957"/>
    <cellStyle name="Note 7 3 55" xfId="6017"/>
    <cellStyle name="Note 7 3 55 2" xfId="20545"/>
    <cellStyle name="Note 7 3 55 2 2" xfId="47553"/>
    <cellStyle name="Note 7 3 55 3" xfId="34049"/>
    <cellStyle name="Note 7 3 56" xfId="6123"/>
    <cellStyle name="Note 7 3 56 2" xfId="20637"/>
    <cellStyle name="Note 7 3 56 2 2" xfId="47645"/>
    <cellStyle name="Note 7 3 56 3" xfId="34141"/>
    <cellStyle name="Note 7 3 57" xfId="6229"/>
    <cellStyle name="Note 7 3 57 2" xfId="20729"/>
    <cellStyle name="Note 7 3 57 2 2" xfId="47737"/>
    <cellStyle name="Note 7 3 57 3" xfId="34233"/>
    <cellStyle name="Note 7 3 58" xfId="6335"/>
    <cellStyle name="Note 7 3 58 2" xfId="20821"/>
    <cellStyle name="Note 7 3 58 2 2" xfId="47829"/>
    <cellStyle name="Note 7 3 58 3" xfId="34325"/>
    <cellStyle name="Note 7 3 59" xfId="6441"/>
    <cellStyle name="Note 7 3 59 2" xfId="20913"/>
    <cellStyle name="Note 7 3 59 2 2" xfId="47921"/>
    <cellStyle name="Note 7 3 59 3" xfId="34417"/>
    <cellStyle name="Note 7 3 6" xfId="823"/>
    <cellStyle name="Note 7 3 6 2" xfId="16037"/>
    <cellStyle name="Note 7 3 6 2 2" xfId="43045"/>
    <cellStyle name="Note 7 3 6 3" xfId="29541"/>
    <cellStyle name="Note 7 3 60" xfId="6547"/>
    <cellStyle name="Note 7 3 60 2" xfId="21005"/>
    <cellStyle name="Note 7 3 60 2 2" xfId="48013"/>
    <cellStyle name="Note 7 3 60 3" xfId="34509"/>
    <cellStyle name="Note 7 3 61" xfId="6652"/>
    <cellStyle name="Note 7 3 61 2" xfId="21096"/>
    <cellStyle name="Note 7 3 61 2 2" xfId="48104"/>
    <cellStyle name="Note 7 3 61 3" xfId="34600"/>
    <cellStyle name="Note 7 3 62" xfId="6757"/>
    <cellStyle name="Note 7 3 62 2" xfId="21187"/>
    <cellStyle name="Note 7 3 62 2 2" xfId="48195"/>
    <cellStyle name="Note 7 3 62 3" xfId="34691"/>
    <cellStyle name="Note 7 3 63" xfId="6862"/>
    <cellStyle name="Note 7 3 63 2" xfId="21278"/>
    <cellStyle name="Note 7 3 63 2 2" xfId="48286"/>
    <cellStyle name="Note 7 3 63 3" xfId="34782"/>
    <cellStyle name="Note 7 3 64" xfId="6967"/>
    <cellStyle name="Note 7 3 64 2" xfId="21369"/>
    <cellStyle name="Note 7 3 64 2 2" xfId="48377"/>
    <cellStyle name="Note 7 3 64 3" xfId="34873"/>
    <cellStyle name="Note 7 3 65" xfId="7071"/>
    <cellStyle name="Note 7 3 65 2" xfId="21459"/>
    <cellStyle name="Note 7 3 65 2 2" xfId="48467"/>
    <cellStyle name="Note 7 3 65 3" xfId="34963"/>
    <cellStyle name="Note 7 3 66" xfId="7175"/>
    <cellStyle name="Note 7 3 66 2" xfId="21549"/>
    <cellStyle name="Note 7 3 66 2 2" xfId="48557"/>
    <cellStyle name="Note 7 3 66 3" xfId="35053"/>
    <cellStyle name="Note 7 3 67" xfId="7278"/>
    <cellStyle name="Note 7 3 67 2" xfId="21638"/>
    <cellStyle name="Note 7 3 67 2 2" xfId="48646"/>
    <cellStyle name="Note 7 3 67 3" xfId="35142"/>
    <cellStyle name="Note 7 3 68" xfId="7378"/>
    <cellStyle name="Note 7 3 68 2" xfId="21725"/>
    <cellStyle name="Note 7 3 68 2 2" xfId="48733"/>
    <cellStyle name="Note 7 3 68 3" xfId="35229"/>
    <cellStyle name="Note 7 3 69" xfId="7476"/>
    <cellStyle name="Note 7 3 69 2" xfId="21810"/>
    <cellStyle name="Note 7 3 69 2 2" xfId="48818"/>
    <cellStyle name="Note 7 3 69 3" xfId="35314"/>
    <cellStyle name="Note 7 3 7" xfId="929"/>
    <cellStyle name="Note 7 3 7 2" xfId="16129"/>
    <cellStyle name="Note 7 3 7 2 2" xfId="43137"/>
    <cellStyle name="Note 7 3 7 3" xfId="29633"/>
    <cellStyle name="Note 7 3 70" xfId="7565"/>
    <cellStyle name="Note 7 3 70 2" xfId="21888"/>
    <cellStyle name="Note 7 3 70 2 2" xfId="48896"/>
    <cellStyle name="Note 7 3 70 3" xfId="35392"/>
    <cellStyle name="Note 7 3 71" xfId="7641"/>
    <cellStyle name="Note 7 3 71 2" xfId="21957"/>
    <cellStyle name="Note 7 3 71 2 2" xfId="48965"/>
    <cellStyle name="Note 7 3 71 3" xfId="35461"/>
    <cellStyle name="Note 7 3 72" xfId="7820"/>
    <cellStyle name="Note 7 3 72 2" xfId="22110"/>
    <cellStyle name="Note 7 3 72 2 2" xfId="49118"/>
    <cellStyle name="Note 7 3 72 3" xfId="35614"/>
    <cellStyle name="Note 7 3 73" xfId="7962"/>
    <cellStyle name="Note 7 3 73 2" xfId="22238"/>
    <cellStyle name="Note 7 3 73 2 2" xfId="49246"/>
    <cellStyle name="Note 7 3 73 3" xfId="35742"/>
    <cellStyle name="Note 7 3 74" xfId="8104"/>
    <cellStyle name="Note 7 3 74 2" xfId="22366"/>
    <cellStyle name="Note 7 3 74 2 2" xfId="49374"/>
    <cellStyle name="Note 7 3 74 3" xfId="35870"/>
    <cellStyle name="Note 7 3 75" xfId="8246"/>
    <cellStyle name="Note 7 3 75 2" xfId="22494"/>
    <cellStyle name="Note 7 3 75 2 2" xfId="49502"/>
    <cellStyle name="Note 7 3 75 3" xfId="35998"/>
    <cellStyle name="Note 7 3 76" xfId="8388"/>
    <cellStyle name="Note 7 3 76 2" xfId="22622"/>
    <cellStyle name="Note 7 3 76 2 2" xfId="49630"/>
    <cellStyle name="Note 7 3 76 3" xfId="36126"/>
    <cellStyle name="Note 7 3 77" xfId="8530"/>
    <cellStyle name="Note 7 3 77 2" xfId="22750"/>
    <cellStyle name="Note 7 3 77 2 2" xfId="49758"/>
    <cellStyle name="Note 7 3 77 3" xfId="36254"/>
    <cellStyle name="Note 7 3 78" xfId="8672"/>
    <cellStyle name="Note 7 3 78 2" xfId="22878"/>
    <cellStyle name="Note 7 3 78 2 2" xfId="49886"/>
    <cellStyle name="Note 7 3 78 3" xfId="36382"/>
    <cellStyle name="Note 7 3 79" xfId="8814"/>
    <cellStyle name="Note 7 3 79 2" xfId="23006"/>
    <cellStyle name="Note 7 3 79 2 2" xfId="50014"/>
    <cellStyle name="Note 7 3 79 3" xfId="36510"/>
    <cellStyle name="Note 7 3 8" xfId="1035"/>
    <cellStyle name="Note 7 3 8 2" xfId="16221"/>
    <cellStyle name="Note 7 3 8 2 2" xfId="43229"/>
    <cellStyle name="Note 7 3 8 3" xfId="29725"/>
    <cellStyle name="Note 7 3 80" xfId="8956"/>
    <cellStyle name="Note 7 3 80 2" xfId="23134"/>
    <cellStyle name="Note 7 3 80 2 2" xfId="50142"/>
    <cellStyle name="Note 7 3 80 3" xfId="36638"/>
    <cellStyle name="Note 7 3 81" xfId="9098"/>
    <cellStyle name="Note 7 3 81 2" xfId="23262"/>
    <cellStyle name="Note 7 3 81 2 2" xfId="50270"/>
    <cellStyle name="Note 7 3 81 3" xfId="36766"/>
    <cellStyle name="Note 7 3 82" xfId="9240"/>
    <cellStyle name="Note 7 3 82 2" xfId="23390"/>
    <cellStyle name="Note 7 3 82 2 2" xfId="50398"/>
    <cellStyle name="Note 7 3 82 3" xfId="36894"/>
    <cellStyle name="Note 7 3 83" xfId="9382"/>
    <cellStyle name="Note 7 3 83 2" xfId="23518"/>
    <cellStyle name="Note 7 3 83 2 2" xfId="50526"/>
    <cellStyle name="Note 7 3 83 3" xfId="37022"/>
    <cellStyle name="Note 7 3 84" xfId="9524"/>
    <cellStyle name="Note 7 3 84 2" xfId="23646"/>
    <cellStyle name="Note 7 3 84 2 2" xfId="50654"/>
    <cellStyle name="Note 7 3 84 3" xfId="37150"/>
    <cellStyle name="Note 7 3 85" xfId="9666"/>
    <cellStyle name="Note 7 3 85 2" xfId="23774"/>
    <cellStyle name="Note 7 3 85 2 2" xfId="50782"/>
    <cellStyle name="Note 7 3 85 3" xfId="37278"/>
    <cellStyle name="Note 7 3 86" xfId="9808"/>
    <cellStyle name="Note 7 3 86 2" xfId="23902"/>
    <cellStyle name="Note 7 3 86 2 2" xfId="50910"/>
    <cellStyle name="Note 7 3 86 3" xfId="37406"/>
    <cellStyle name="Note 7 3 87" xfId="9950"/>
    <cellStyle name="Note 7 3 87 2" xfId="24030"/>
    <cellStyle name="Note 7 3 87 2 2" xfId="51038"/>
    <cellStyle name="Note 7 3 87 3" xfId="37534"/>
    <cellStyle name="Note 7 3 88" xfId="10092"/>
    <cellStyle name="Note 7 3 88 2" xfId="24158"/>
    <cellStyle name="Note 7 3 88 2 2" xfId="51166"/>
    <cellStyle name="Note 7 3 88 3" xfId="37662"/>
    <cellStyle name="Note 7 3 89" xfId="10234"/>
    <cellStyle name="Note 7 3 89 2" xfId="24286"/>
    <cellStyle name="Note 7 3 89 2 2" xfId="51294"/>
    <cellStyle name="Note 7 3 89 3" xfId="37790"/>
    <cellStyle name="Note 7 3 9" xfId="1141"/>
    <cellStyle name="Note 7 3 9 2" xfId="16313"/>
    <cellStyle name="Note 7 3 9 2 2" xfId="43321"/>
    <cellStyle name="Note 7 3 9 3" xfId="29817"/>
    <cellStyle name="Note 7 3 90" xfId="10376"/>
    <cellStyle name="Note 7 3 90 2" xfId="24414"/>
    <cellStyle name="Note 7 3 90 2 2" xfId="51422"/>
    <cellStyle name="Note 7 3 90 3" xfId="37918"/>
    <cellStyle name="Note 7 3 91" xfId="10518"/>
    <cellStyle name="Note 7 3 91 2" xfId="24542"/>
    <cellStyle name="Note 7 3 91 2 2" xfId="51550"/>
    <cellStyle name="Note 7 3 91 3" xfId="38046"/>
    <cellStyle name="Note 7 3 92" xfId="10660"/>
    <cellStyle name="Note 7 3 92 2" xfId="24670"/>
    <cellStyle name="Note 7 3 92 2 2" xfId="51678"/>
    <cellStyle name="Note 7 3 92 3" xfId="38174"/>
    <cellStyle name="Note 7 3 93" xfId="10802"/>
    <cellStyle name="Note 7 3 93 2" xfId="24798"/>
    <cellStyle name="Note 7 3 93 2 2" xfId="51806"/>
    <cellStyle name="Note 7 3 93 3" xfId="38302"/>
    <cellStyle name="Note 7 3 94" xfId="10944"/>
    <cellStyle name="Note 7 3 94 2" xfId="24926"/>
    <cellStyle name="Note 7 3 94 2 2" xfId="51934"/>
    <cellStyle name="Note 7 3 94 3" xfId="38430"/>
    <cellStyle name="Note 7 3 95" xfId="11086"/>
    <cellStyle name="Note 7 3 95 2" xfId="25054"/>
    <cellStyle name="Note 7 3 95 2 2" xfId="52062"/>
    <cellStyle name="Note 7 3 95 3" xfId="38558"/>
    <cellStyle name="Note 7 3 96" xfId="11228"/>
    <cellStyle name="Note 7 3 96 2" xfId="25182"/>
    <cellStyle name="Note 7 3 96 2 2" xfId="52190"/>
    <cellStyle name="Note 7 3 96 3" xfId="38686"/>
    <cellStyle name="Note 7 3 97" xfId="11370"/>
    <cellStyle name="Note 7 3 97 2" xfId="25310"/>
    <cellStyle name="Note 7 3 97 2 2" xfId="52318"/>
    <cellStyle name="Note 7 3 97 3" xfId="38814"/>
    <cellStyle name="Note 7 3 98" xfId="11512"/>
    <cellStyle name="Note 7 3 98 2" xfId="25438"/>
    <cellStyle name="Note 7 3 98 2 2" xfId="52446"/>
    <cellStyle name="Note 7 3 98 3" xfId="38942"/>
    <cellStyle name="Note 7 3 99" xfId="11654"/>
    <cellStyle name="Note 7 3 99 2" xfId="25566"/>
    <cellStyle name="Note 7 3 99 2 2" xfId="52574"/>
    <cellStyle name="Note 7 3 99 3" xfId="39070"/>
    <cellStyle name="Note 7 30" xfId="2926"/>
    <cellStyle name="Note 7 30 2" xfId="17863"/>
    <cellStyle name="Note 7 30 2 2" xfId="44871"/>
    <cellStyle name="Note 7 30 3" xfId="31367"/>
    <cellStyle name="Note 7 31" xfId="3032"/>
    <cellStyle name="Note 7 31 2" xfId="17955"/>
    <cellStyle name="Note 7 31 2 2" xfId="44963"/>
    <cellStyle name="Note 7 31 3" xfId="31459"/>
    <cellStyle name="Note 7 32" xfId="3138"/>
    <cellStyle name="Note 7 32 2" xfId="18047"/>
    <cellStyle name="Note 7 32 2 2" xfId="45055"/>
    <cellStyle name="Note 7 32 3" xfId="31551"/>
    <cellStyle name="Note 7 33" xfId="3244"/>
    <cellStyle name="Note 7 33 2" xfId="18139"/>
    <cellStyle name="Note 7 33 2 2" xfId="45147"/>
    <cellStyle name="Note 7 33 3" xfId="31643"/>
    <cellStyle name="Note 7 34" xfId="3350"/>
    <cellStyle name="Note 7 34 2" xfId="18231"/>
    <cellStyle name="Note 7 34 2 2" xfId="45239"/>
    <cellStyle name="Note 7 34 3" xfId="31735"/>
    <cellStyle name="Note 7 35" xfId="3456"/>
    <cellStyle name="Note 7 35 2" xfId="18323"/>
    <cellStyle name="Note 7 35 2 2" xfId="45331"/>
    <cellStyle name="Note 7 35 3" xfId="31827"/>
    <cellStyle name="Note 7 36" xfId="3562"/>
    <cellStyle name="Note 7 36 2" xfId="18415"/>
    <cellStyle name="Note 7 36 2 2" xfId="45423"/>
    <cellStyle name="Note 7 36 3" xfId="31919"/>
    <cellStyle name="Note 7 37" xfId="3668"/>
    <cellStyle name="Note 7 37 2" xfId="18507"/>
    <cellStyle name="Note 7 37 2 2" xfId="45515"/>
    <cellStyle name="Note 7 37 3" xfId="32011"/>
    <cellStyle name="Note 7 38" xfId="3774"/>
    <cellStyle name="Note 7 38 2" xfId="18599"/>
    <cellStyle name="Note 7 38 2 2" xfId="45607"/>
    <cellStyle name="Note 7 38 3" xfId="32103"/>
    <cellStyle name="Note 7 39" xfId="3880"/>
    <cellStyle name="Note 7 39 2" xfId="18691"/>
    <cellStyle name="Note 7 39 2 2" xfId="45699"/>
    <cellStyle name="Note 7 39 3" xfId="32195"/>
    <cellStyle name="Note 7 4" xfId="252"/>
    <cellStyle name="Note 7 4 2" xfId="15569"/>
    <cellStyle name="Note 7 4 2 2" xfId="42577"/>
    <cellStyle name="Note 7 4 3" xfId="29073"/>
    <cellStyle name="Note 7 40" xfId="3986"/>
    <cellStyle name="Note 7 40 2" xfId="18783"/>
    <cellStyle name="Note 7 40 2 2" xfId="45791"/>
    <cellStyle name="Note 7 40 3" xfId="32287"/>
    <cellStyle name="Note 7 41" xfId="4092"/>
    <cellStyle name="Note 7 41 2" xfId="18875"/>
    <cellStyle name="Note 7 41 2 2" xfId="45883"/>
    <cellStyle name="Note 7 41 3" xfId="32379"/>
    <cellStyle name="Note 7 42" xfId="4198"/>
    <cellStyle name="Note 7 42 2" xfId="18967"/>
    <cellStyle name="Note 7 42 2 2" xfId="45975"/>
    <cellStyle name="Note 7 42 3" xfId="32471"/>
    <cellStyle name="Note 7 43" xfId="4304"/>
    <cellStyle name="Note 7 43 2" xfId="19059"/>
    <cellStyle name="Note 7 43 2 2" xfId="46067"/>
    <cellStyle name="Note 7 43 3" xfId="32563"/>
    <cellStyle name="Note 7 44" xfId="4410"/>
    <cellStyle name="Note 7 44 2" xfId="19151"/>
    <cellStyle name="Note 7 44 2 2" xfId="46159"/>
    <cellStyle name="Note 7 44 3" xfId="32655"/>
    <cellStyle name="Note 7 45" xfId="4516"/>
    <cellStyle name="Note 7 45 2" xfId="19243"/>
    <cellStyle name="Note 7 45 2 2" xfId="46251"/>
    <cellStyle name="Note 7 45 3" xfId="32747"/>
    <cellStyle name="Note 7 46" xfId="4622"/>
    <cellStyle name="Note 7 46 2" xfId="19335"/>
    <cellStyle name="Note 7 46 2 2" xfId="46343"/>
    <cellStyle name="Note 7 46 3" xfId="32839"/>
    <cellStyle name="Note 7 47" xfId="4728"/>
    <cellStyle name="Note 7 47 2" xfId="19427"/>
    <cellStyle name="Note 7 47 2 2" xfId="46435"/>
    <cellStyle name="Note 7 47 3" xfId="32931"/>
    <cellStyle name="Note 7 48" xfId="4834"/>
    <cellStyle name="Note 7 48 2" xfId="19519"/>
    <cellStyle name="Note 7 48 2 2" xfId="46527"/>
    <cellStyle name="Note 7 48 3" xfId="33023"/>
    <cellStyle name="Note 7 49" xfId="4940"/>
    <cellStyle name="Note 7 49 2" xfId="19611"/>
    <cellStyle name="Note 7 49 2 2" xfId="46619"/>
    <cellStyle name="Note 7 49 3" xfId="33115"/>
    <cellStyle name="Note 7 5" xfId="439"/>
    <cellStyle name="Note 7 5 2" xfId="15703"/>
    <cellStyle name="Note 7 5 2 2" xfId="42711"/>
    <cellStyle name="Note 7 5 3" xfId="29207"/>
    <cellStyle name="Note 7 50" xfId="5046"/>
    <cellStyle name="Note 7 50 2" xfId="19703"/>
    <cellStyle name="Note 7 50 2 2" xfId="46711"/>
    <cellStyle name="Note 7 50 3" xfId="33207"/>
    <cellStyle name="Note 7 51" xfId="5152"/>
    <cellStyle name="Note 7 51 2" xfId="19795"/>
    <cellStyle name="Note 7 51 2 2" xfId="46803"/>
    <cellStyle name="Note 7 51 3" xfId="33299"/>
    <cellStyle name="Note 7 52" xfId="5258"/>
    <cellStyle name="Note 7 52 2" xfId="19887"/>
    <cellStyle name="Note 7 52 2 2" xfId="46895"/>
    <cellStyle name="Note 7 52 3" xfId="33391"/>
    <cellStyle name="Note 7 53" xfId="5364"/>
    <cellStyle name="Note 7 53 2" xfId="19979"/>
    <cellStyle name="Note 7 53 2 2" xfId="46987"/>
    <cellStyle name="Note 7 53 3" xfId="33483"/>
    <cellStyle name="Note 7 54" xfId="5470"/>
    <cellStyle name="Note 7 54 2" xfId="20071"/>
    <cellStyle name="Note 7 54 2 2" xfId="47079"/>
    <cellStyle name="Note 7 54 3" xfId="33575"/>
    <cellStyle name="Note 7 55" xfId="5576"/>
    <cellStyle name="Note 7 55 2" xfId="20163"/>
    <cellStyle name="Note 7 55 2 2" xfId="47171"/>
    <cellStyle name="Note 7 55 3" xfId="33667"/>
    <cellStyle name="Note 7 56" xfId="5682"/>
    <cellStyle name="Note 7 56 2" xfId="20255"/>
    <cellStyle name="Note 7 56 2 2" xfId="47263"/>
    <cellStyle name="Note 7 56 3" xfId="33759"/>
    <cellStyle name="Note 7 57" xfId="5788"/>
    <cellStyle name="Note 7 57 2" xfId="20347"/>
    <cellStyle name="Note 7 57 2 2" xfId="47355"/>
    <cellStyle name="Note 7 57 3" xfId="33851"/>
    <cellStyle name="Note 7 58" xfId="5894"/>
    <cellStyle name="Note 7 58 2" xfId="20439"/>
    <cellStyle name="Note 7 58 2 2" xfId="47447"/>
    <cellStyle name="Note 7 58 3" xfId="33943"/>
    <cellStyle name="Note 7 59" xfId="6000"/>
    <cellStyle name="Note 7 59 2" xfId="20531"/>
    <cellStyle name="Note 7 59 2 2" xfId="47539"/>
    <cellStyle name="Note 7 59 3" xfId="34035"/>
    <cellStyle name="Note 7 6" xfId="268"/>
    <cellStyle name="Note 7 6 2" xfId="15579"/>
    <cellStyle name="Note 7 6 2 2" xfId="42587"/>
    <cellStyle name="Note 7 6 3" xfId="29083"/>
    <cellStyle name="Note 7 60" xfId="6106"/>
    <cellStyle name="Note 7 60 2" xfId="20623"/>
    <cellStyle name="Note 7 60 2 2" xfId="47631"/>
    <cellStyle name="Note 7 60 3" xfId="34127"/>
    <cellStyle name="Note 7 61" xfId="6212"/>
    <cellStyle name="Note 7 61 2" xfId="20715"/>
    <cellStyle name="Note 7 61 2 2" xfId="47723"/>
    <cellStyle name="Note 7 61 3" xfId="34219"/>
    <cellStyle name="Note 7 62" xfId="6318"/>
    <cellStyle name="Note 7 62 2" xfId="20807"/>
    <cellStyle name="Note 7 62 2 2" xfId="47815"/>
    <cellStyle name="Note 7 62 3" xfId="34311"/>
    <cellStyle name="Note 7 63" xfId="6424"/>
    <cellStyle name="Note 7 63 2" xfId="20899"/>
    <cellStyle name="Note 7 63 2 2" xfId="47907"/>
    <cellStyle name="Note 7 63 3" xfId="34403"/>
    <cellStyle name="Note 7 64" xfId="6530"/>
    <cellStyle name="Note 7 64 2" xfId="20991"/>
    <cellStyle name="Note 7 64 2 2" xfId="47999"/>
    <cellStyle name="Note 7 64 3" xfId="34495"/>
    <cellStyle name="Note 7 65" xfId="6635"/>
    <cellStyle name="Note 7 65 2" xfId="21082"/>
    <cellStyle name="Note 7 65 2 2" xfId="48090"/>
    <cellStyle name="Note 7 65 3" xfId="34586"/>
    <cellStyle name="Note 7 66" xfId="6740"/>
    <cellStyle name="Note 7 66 2" xfId="21173"/>
    <cellStyle name="Note 7 66 2 2" xfId="48181"/>
    <cellStyle name="Note 7 66 3" xfId="34677"/>
    <cellStyle name="Note 7 67" xfId="6845"/>
    <cellStyle name="Note 7 67 2" xfId="21264"/>
    <cellStyle name="Note 7 67 2 2" xfId="48272"/>
    <cellStyle name="Note 7 67 3" xfId="34768"/>
    <cellStyle name="Note 7 68" xfId="6950"/>
    <cellStyle name="Note 7 68 2" xfId="21355"/>
    <cellStyle name="Note 7 68 2 2" xfId="48363"/>
    <cellStyle name="Note 7 68 3" xfId="34859"/>
    <cellStyle name="Note 7 69" xfId="7054"/>
    <cellStyle name="Note 7 69 2" xfId="21445"/>
    <cellStyle name="Note 7 69 2 2" xfId="48453"/>
    <cellStyle name="Note 7 69 3" xfId="34949"/>
    <cellStyle name="Note 7 7" xfId="461"/>
    <cellStyle name="Note 7 7 2" xfId="15722"/>
    <cellStyle name="Note 7 7 2 2" xfId="42730"/>
    <cellStyle name="Note 7 7 3" xfId="29226"/>
    <cellStyle name="Note 7 70" xfId="7158"/>
    <cellStyle name="Note 7 70 2" xfId="21535"/>
    <cellStyle name="Note 7 70 2 2" xfId="48543"/>
    <cellStyle name="Note 7 70 3" xfId="35039"/>
    <cellStyle name="Note 7 71" xfId="7261"/>
    <cellStyle name="Note 7 71 2" xfId="21624"/>
    <cellStyle name="Note 7 71 2 2" xfId="48632"/>
    <cellStyle name="Note 7 71 3" xfId="35128"/>
    <cellStyle name="Note 7 72" xfId="7361"/>
    <cellStyle name="Note 7 72 2" xfId="21711"/>
    <cellStyle name="Note 7 72 2 2" xfId="48719"/>
    <cellStyle name="Note 7 72 3" xfId="35215"/>
    <cellStyle name="Note 7 73" xfId="7459"/>
    <cellStyle name="Note 7 73 2" xfId="21796"/>
    <cellStyle name="Note 7 73 2 2" xfId="48804"/>
    <cellStyle name="Note 7 73 3" xfId="35300"/>
    <cellStyle name="Note 7 74" xfId="7750"/>
    <cellStyle name="Note 7 74 2" xfId="22048"/>
    <cellStyle name="Note 7 74 2 2" xfId="49056"/>
    <cellStyle name="Note 7 74 3" xfId="35552"/>
    <cellStyle name="Note 7 75" xfId="7692"/>
    <cellStyle name="Note 7 75 2" xfId="22008"/>
    <cellStyle name="Note 7 75 2 2" xfId="49016"/>
    <cellStyle name="Note 7 75 3" xfId="35512"/>
    <cellStyle name="Note 7 76" xfId="7772"/>
    <cellStyle name="Note 7 76 2" xfId="22067"/>
    <cellStyle name="Note 7 76 2 2" xfId="49075"/>
    <cellStyle name="Note 7 76 3" xfId="35571"/>
    <cellStyle name="Note 7 77" xfId="7909"/>
    <cellStyle name="Note 7 77 2" xfId="22190"/>
    <cellStyle name="Note 7 77 2 2" xfId="49198"/>
    <cellStyle name="Note 7 77 3" xfId="35694"/>
    <cellStyle name="Note 7 78" xfId="8051"/>
    <cellStyle name="Note 7 78 2" xfId="22318"/>
    <cellStyle name="Note 7 78 2 2" xfId="49326"/>
    <cellStyle name="Note 7 78 3" xfId="35822"/>
    <cellStyle name="Note 7 79" xfId="8193"/>
    <cellStyle name="Note 7 79 2" xfId="22446"/>
    <cellStyle name="Note 7 79 2 2" xfId="49454"/>
    <cellStyle name="Note 7 79 3" xfId="35950"/>
    <cellStyle name="Note 7 8" xfId="594"/>
    <cellStyle name="Note 7 8 2" xfId="15839"/>
    <cellStyle name="Note 7 8 2 2" xfId="42847"/>
    <cellStyle name="Note 7 8 3" xfId="29343"/>
    <cellStyle name="Note 7 80" xfId="8335"/>
    <cellStyle name="Note 7 80 2" xfId="22574"/>
    <cellStyle name="Note 7 80 2 2" xfId="49582"/>
    <cellStyle name="Note 7 80 3" xfId="36078"/>
    <cellStyle name="Note 7 81" xfId="8477"/>
    <cellStyle name="Note 7 81 2" xfId="22702"/>
    <cellStyle name="Note 7 81 2 2" xfId="49710"/>
    <cellStyle name="Note 7 81 3" xfId="36206"/>
    <cellStyle name="Note 7 82" xfId="8619"/>
    <cellStyle name="Note 7 82 2" xfId="22830"/>
    <cellStyle name="Note 7 82 2 2" xfId="49838"/>
    <cellStyle name="Note 7 82 3" xfId="36334"/>
    <cellStyle name="Note 7 83" xfId="8761"/>
    <cellStyle name="Note 7 83 2" xfId="22958"/>
    <cellStyle name="Note 7 83 2 2" xfId="49966"/>
    <cellStyle name="Note 7 83 3" xfId="36462"/>
    <cellStyle name="Note 7 84" xfId="8903"/>
    <cellStyle name="Note 7 84 2" xfId="23086"/>
    <cellStyle name="Note 7 84 2 2" xfId="50094"/>
    <cellStyle name="Note 7 84 3" xfId="36590"/>
    <cellStyle name="Note 7 85" xfId="9045"/>
    <cellStyle name="Note 7 85 2" xfId="23214"/>
    <cellStyle name="Note 7 85 2 2" xfId="50222"/>
    <cellStyle name="Note 7 85 3" xfId="36718"/>
    <cellStyle name="Note 7 86" xfId="9187"/>
    <cellStyle name="Note 7 86 2" xfId="23342"/>
    <cellStyle name="Note 7 86 2 2" xfId="50350"/>
    <cellStyle name="Note 7 86 3" xfId="36846"/>
    <cellStyle name="Note 7 87" xfId="9329"/>
    <cellStyle name="Note 7 87 2" xfId="23470"/>
    <cellStyle name="Note 7 87 2 2" xfId="50478"/>
    <cellStyle name="Note 7 87 3" xfId="36974"/>
    <cellStyle name="Note 7 88" xfId="9471"/>
    <cellStyle name="Note 7 88 2" xfId="23598"/>
    <cellStyle name="Note 7 88 2 2" xfId="50606"/>
    <cellStyle name="Note 7 88 3" xfId="37102"/>
    <cellStyle name="Note 7 89" xfId="9613"/>
    <cellStyle name="Note 7 89 2" xfId="23726"/>
    <cellStyle name="Note 7 89 2 2" xfId="50734"/>
    <cellStyle name="Note 7 89 3" xfId="37230"/>
    <cellStyle name="Note 7 9" xfId="700"/>
    <cellStyle name="Note 7 9 2" xfId="15931"/>
    <cellStyle name="Note 7 9 2 2" xfId="42939"/>
    <cellStyle name="Note 7 9 3" xfId="29435"/>
    <cellStyle name="Note 7 90" xfId="9755"/>
    <cellStyle name="Note 7 90 2" xfId="23854"/>
    <cellStyle name="Note 7 90 2 2" xfId="50862"/>
    <cellStyle name="Note 7 90 3" xfId="37358"/>
    <cellStyle name="Note 7 91" xfId="9897"/>
    <cellStyle name="Note 7 91 2" xfId="23982"/>
    <cellStyle name="Note 7 91 2 2" xfId="50990"/>
    <cellStyle name="Note 7 91 3" xfId="37486"/>
    <cellStyle name="Note 7 92" xfId="10039"/>
    <cellStyle name="Note 7 92 2" xfId="24110"/>
    <cellStyle name="Note 7 92 2 2" xfId="51118"/>
    <cellStyle name="Note 7 92 3" xfId="37614"/>
    <cellStyle name="Note 7 93" xfId="10181"/>
    <cellStyle name="Note 7 93 2" xfId="24238"/>
    <cellStyle name="Note 7 93 2 2" xfId="51246"/>
    <cellStyle name="Note 7 93 3" xfId="37742"/>
    <cellStyle name="Note 7 94" xfId="10323"/>
    <cellStyle name="Note 7 94 2" xfId="24366"/>
    <cellStyle name="Note 7 94 2 2" xfId="51374"/>
    <cellStyle name="Note 7 94 3" xfId="37870"/>
    <cellStyle name="Note 7 95" xfId="10465"/>
    <cellStyle name="Note 7 95 2" xfId="24494"/>
    <cellStyle name="Note 7 95 2 2" xfId="51502"/>
    <cellStyle name="Note 7 95 3" xfId="37998"/>
    <cellStyle name="Note 7 96" xfId="10607"/>
    <cellStyle name="Note 7 96 2" xfId="24622"/>
    <cellStyle name="Note 7 96 2 2" xfId="51630"/>
    <cellStyle name="Note 7 96 3" xfId="38126"/>
    <cellStyle name="Note 7 97" xfId="10749"/>
    <cellStyle name="Note 7 97 2" xfId="24750"/>
    <cellStyle name="Note 7 97 2 2" xfId="51758"/>
    <cellStyle name="Note 7 97 3" xfId="38254"/>
    <cellStyle name="Note 7 98" xfId="10891"/>
    <cellStyle name="Note 7 98 2" xfId="24878"/>
    <cellStyle name="Note 7 98 2 2" xfId="51886"/>
    <cellStyle name="Note 7 98 3" xfId="38382"/>
    <cellStyle name="Note 7 99" xfId="11033"/>
    <cellStyle name="Note 7 99 2" xfId="25006"/>
    <cellStyle name="Note 7 99 2 2" xfId="52014"/>
    <cellStyle name="Note 7 99 3" xfId="38510"/>
    <cellStyle name="Note 8" xfId="79"/>
    <cellStyle name="Note 8 10" xfId="1015"/>
    <cellStyle name="Note 8 10 2" xfId="16205"/>
    <cellStyle name="Note 8 10 2 2" xfId="43213"/>
    <cellStyle name="Note 8 10 3" xfId="29709"/>
    <cellStyle name="Note 8 100" xfId="11456"/>
    <cellStyle name="Note 8 100 2" xfId="25387"/>
    <cellStyle name="Note 8 100 2 2" xfId="52395"/>
    <cellStyle name="Note 8 100 3" xfId="38891"/>
    <cellStyle name="Note 8 101" xfId="11598"/>
    <cellStyle name="Note 8 101 2" xfId="25515"/>
    <cellStyle name="Note 8 101 2 2" xfId="52523"/>
    <cellStyle name="Note 8 101 3" xfId="39019"/>
    <cellStyle name="Note 8 102" xfId="11740"/>
    <cellStyle name="Note 8 102 2" xfId="25643"/>
    <cellStyle name="Note 8 102 2 2" xfId="52651"/>
    <cellStyle name="Note 8 102 3" xfId="39147"/>
    <cellStyle name="Note 8 103" xfId="11882"/>
    <cellStyle name="Note 8 103 2" xfId="25771"/>
    <cellStyle name="Note 8 103 2 2" xfId="52779"/>
    <cellStyle name="Note 8 103 3" xfId="39275"/>
    <cellStyle name="Note 8 104" xfId="12024"/>
    <cellStyle name="Note 8 104 2" xfId="25899"/>
    <cellStyle name="Note 8 104 2 2" xfId="52907"/>
    <cellStyle name="Note 8 104 3" xfId="39403"/>
    <cellStyle name="Note 8 105" xfId="12166"/>
    <cellStyle name="Note 8 105 2" xfId="26027"/>
    <cellStyle name="Note 8 105 2 2" xfId="53035"/>
    <cellStyle name="Note 8 105 3" xfId="39531"/>
    <cellStyle name="Note 8 106" xfId="12308"/>
    <cellStyle name="Note 8 106 2" xfId="26155"/>
    <cellStyle name="Note 8 106 2 2" xfId="53163"/>
    <cellStyle name="Note 8 106 3" xfId="39659"/>
    <cellStyle name="Note 8 107" xfId="12450"/>
    <cellStyle name="Note 8 107 2" xfId="26283"/>
    <cellStyle name="Note 8 107 2 2" xfId="53291"/>
    <cellStyle name="Note 8 107 3" xfId="39787"/>
    <cellStyle name="Note 8 108" xfId="12592"/>
    <cellStyle name="Note 8 108 2" xfId="26411"/>
    <cellStyle name="Note 8 108 2 2" xfId="53419"/>
    <cellStyle name="Note 8 108 3" xfId="39915"/>
    <cellStyle name="Note 8 109" xfId="12734"/>
    <cellStyle name="Note 8 109 2" xfId="26539"/>
    <cellStyle name="Note 8 109 2 2" xfId="53547"/>
    <cellStyle name="Note 8 109 3" xfId="40043"/>
    <cellStyle name="Note 8 11" xfId="1121"/>
    <cellStyle name="Note 8 11 2" xfId="16297"/>
    <cellStyle name="Note 8 11 2 2" xfId="43305"/>
    <cellStyle name="Note 8 11 3" xfId="29801"/>
    <cellStyle name="Note 8 110" xfId="12876"/>
    <cellStyle name="Note 8 110 2" xfId="26667"/>
    <cellStyle name="Note 8 110 2 2" xfId="53675"/>
    <cellStyle name="Note 8 110 3" xfId="40171"/>
    <cellStyle name="Note 8 111" xfId="13018"/>
    <cellStyle name="Note 8 111 2" xfId="26795"/>
    <cellStyle name="Note 8 111 2 2" xfId="53803"/>
    <cellStyle name="Note 8 111 3" xfId="40299"/>
    <cellStyle name="Note 8 112" xfId="13160"/>
    <cellStyle name="Note 8 112 2" xfId="26923"/>
    <cellStyle name="Note 8 112 2 2" xfId="53931"/>
    <cellStyle name="Note 8 112 3" xfId="40427"/>
    <cellStyle name="Note 8 113" xfId="13302"/>
    <cellStyle name="Note 8 113 2" xfId="27051"/>
    <cellStyle name="Note 8 113 2 2" xfId="54059"/>
    <cellStyle name="Note 8 113 3" xfId="40555"/>
    <cellStyle name="Note 8 114" xfId="13444"/>
    <cellStyle name="Note 8 114 2" xfId="27179"/>
    <cellStyle name="Note 8 114 2 2" xfId="54187"/>
    <cellStyle name="Note 8 114 3" xfId="40683"/>
    <cellStyle name="Note 8 115" xfId="13586"/>
    <cellStyle name="Note 8 115 2" xfId="27307"/>
    <cellStyle name="Note 8 115 2 2" xfId="54315"/>
    <cellStyle name="Note 8 115 3" xfId="40811"/>
    <cellStyle name="Note 8 116" xfId="13728"/>
    <cellStyle name="Note 8 116 2" xfId="27435"/>
    <cellStyle name="Note 8 116 2 2" xfId="54443"/>
    <cellStyle name="Note 8 116 3" xfId="40939"/>
    <cellStyle name="Note 8 117" xfId="13869"/>
    <cellStyle name="Note 8 117 2" xfId="27562"/>
    <cellStyle name="Note 8 117 2 2" xfId="54570"/>
    <cellStyle name="Note 8 117 3" xfId="41066"/>
    <cellStyle name="Note 8 118" xfId="14010"/>
    <cellStyle name="Note 8 118 2" xfId="27689"/>
    <cellStyle name="Note 8 118 2 2" xfId="54697"/>
    <cellStyle name="Note 8 118 3" xfId="41193"/>
    <cellStyle name="Note 8 119" xfId="14151"/>
    <cellStyle name="Note 8 119 2" xfId="27816"/>
    <cellStyle name="Note 8 119 2 2" xfId="54824"/>
    <cellStyle name="Note 8 119 3" xfId="41320"/>
    <cellStyle name="Note 8 12" xfId="1227"/>
    <cellStyle name="Note 8 12 2" xfId="16389"/>
    <cellStyle name="Note 8 12 2 2" xfId="43397"/>
    <cellStyle name="Note 8 12 3" xfId="29893"/>
    <cellStyle name="Note 8 120" xfId="14292"/>
    <cellStyle name="Note 8 120 2" xfId="27943"/>
    <cellStyle name="Note 8 120 2 2" xfId="54951"/>
    <cellStyle name="Note 8 120 3" xfId="41447"/>
    <cellStyle name="Note 8 121" xfId="14432"/>
    <cellStyle name="Note 8 121 2" xfId="28069"/>
    <cellStyle name="Note 8 121 2 2" xfId="55077"/>
    <cellStyle name="Note 8 121 3" xfId="41573"/>
    <cellStyle name="Note 8 122" xfId="14572"/>
    <cellStyle name="Note 8 122 2" xfId="28195"/>
    <cellStyle name="Note 8 122 2 2" xfId="55203"/>
    <cellStyle name="Note 8 122 3" xfId="41699"/>
    <cellStyle name="Note 8 123" xfId="14711"/>
    <cellStyle name="Note 8 123 2" xfId="28320"/>
    <cellStyle name="Note 8 123 2 2" xfId="55328"/>
    <cellStyle name="Note 8 123 3" xfId="41824"/>
    <cellStyle name="Note 8 124" xfId="14846"/>
    <cellStyle name="Note 8 124 2" xfId="28442"/>
    <cellStyle name="Note 8 124 2 2" xfId="55450"/>
    <cellStyle name="Note 8 124 3" xfId="41946"/>
    <cellStyle name="Note 8 125" xfId="14980"/>
    <cellStyle name="Note 8 125 2" xfId="28563"/>
    <cellStyle name="Note 8 125 2 2" xfId="55571"/>
    <cellStyle name="Note 8 125 3" xfId="42067"/>
    <cellStyle name="Note 8 126" xfId="15111"/>
    <cellStyle name="Note 8 126 2" xfId="28682"/>
    <cellStyle name="Note 8 126 2 2" xfId="55690"/>
    <cellStyle name="Note 8 126 3" xfId="42186"/>
    <cellStyle name="Note 8 127" xfId="15234"/>
    <cellStyle name="Note 8 127 2" xfId="28797"/>
    <cellStyle name="Note 8 127 2 2" xfId="55805"/>
    <cellStyle name="Note 8 127 3" xfId="42301"/>
    <cellStyle name="Note 8 128" xfId="15461"/>
    <cellStyle name="Note 8 128 2" xfId="42469"/>
    <cellStyle name="Note 8 129" xfId="28965"/>
    <cellStyle name="Note 8 13" xfId="1333"/>
    <cellStyle name="Note 8 13 2" xfId="16481"/>
    <cellStyle name="Note 8 13 2 2" xfId="43489"/>
    <cellStyle name="Note 8 13 3" xfId="29985"/>
    <cellStyle name="Note 8 14" xfId="1439"/>
    <cellStyle name="Note 8 14 2" xfId="16573"/>
    <cellStyle name="Note 8 14 2 2" xfId="43581"/>
    <cellStyle name="Note 8 14 3" xfId="30077"/>
    <cellStyle name="Note 8 15" xfId="1545"/>
    <cellStyle name="Note 8 15 2" xfId="16665"/>
    <cellStyle name="Note 8 15 2 2" xfId="43673"/>
    <cellStyle name="Note 8 15 3" xfId="30169"/>
    <cellStyle name="Note 8 16" xfId="1651"/>
    <cellStyle name="Note 8 16 2" xfId="16757"/>
    <cellStyle name="Note 8 16 2 2" xfId="43765"/>
    <cellStyle name="Note 8 16 3" xfId="30261"/>
    <cellStyle name="Note 8 17" xfId="1757"/>
    <cellStyle name="Note 8 17 2" xfId="16849"/>
    <cellStyle name="Note 8 17 2 2" xfId="43857"/>
    <cellStyle name="Note 8 17 3" xfId="30353"/>
    <cellStyle name="Note 8 18" xfId="1863"/>
    <cellStyle name="Note 8 18 2" xfId="16941"/>
    <cellStyle name="Note 8 18 2 2" xfId="43949"/>
    <cellStyle name="Note 8 18 3" xfId="30445"/>
    <cellStyle name="Note 8 19" xfId="1969"/>
    <cellStyle name="Note 8 19 2" xfId="17033"/>
    <cellStyle name="Note 8 19 2 2" xfId="44041"/>
    <cellStyle name="Note 8 19 3" xfId="30537"/>
    <cellStyle name="Note 8 2" xfId="136"/>
    <cellStyle name="Note 8 2 10" xfId="1133"/>
    <cellStyle name="Note 8 2 10 2" xfId="16307"/>
    <cellStyle name="Note 8 2 10 2 2" xfId="43315"/>
    <cellStyle name="Note 8 2 10 3" xfId="29811"/>
    <cellStyle name="Note 8 2 100" xfId="11790"/>
    <cellStyle name="Note 8 2 100 2" xfId="25688"/>
    <cellStyle name="Note 8 2 100 2 2" xfId="52696"/>
    <cellStyle name="Note 8 2 100 3" xfId="39192"/>
    <cellStyle name="Note 8 2 101" xfId="11932"/>
    <cellStyle name="Note 8 2 101 2" xfId="25816"/>
    <cellStyle name="Note 8 2 101 2 2" xfId="52824"/>
    <cellStyle name="Note 8 2 101 3" xfId="39320"/>
    <cellStyle name="Note 8 2 102" xfId="12074"/>
    <cellStyle name="Note 8 2 102 2" xfId="25944"/>
    <cellStyle name="Note 8 2 102 2 2" xfId="52952"/>
    <cellStyle name="Note 8 2 102 3" xfId="39448"/>
    <cellStyle name="Note 8 2 103" xfId="12216"/>
    <cellStyle name="Note 8 2 103 2" xfId="26072"/>
    <cellStyle name="Note 8 2 103 2 2" xfId="53080"/>
    <cellStyle name="Note 8 2 103 3" xfId="39576"/>
    <cellStyle name="Note 8 2 104" xfId="12358"/>
    <cellStyle name="Note 8 2 104 2" xfId="26200"/>
    <cellStyle name="Note 8 2 104 2 2" xfId="53208"/>
    <cellStyle name="Note 8 2 104 3" xfId="39704"/>
    <cellStyle name="Note 8 2 105" xfId="12500"/>
    <cellStyle name="Note 8 2 105 2" xfId="26328"/>
    <cellStyle name="Note 8 2 105 2 2" xfId="53336"/>
    <cellStyle name="Note 8 2 105 3" xfId="39832"/>
    <cellStyle name="Note 8 2 106" xfId="12642"/>
    <cellStyle name="Note 8 2 106 2" xfId="26456"/>
    <cellStyle name="Note 8 2 106 2 2" xfId="53464"/>
    <cellStyle name="Note 8 2 106 3" xfId="39960"/>
    <cellStyle name="Note 8 2 107" xfId="12784"/>
    <cellStyle name="Note 8 2 107 2" xfId="26584"/>
    <cellStyle name="Note 8 2 107 2 2" xfId="53592"/>
    <cellStyle name="Note 8 2 107 3" xfId="40088"/>
    <cellStyle name="Note 8 2 108" xfId="12926"/>
    <cellStyle name="Note 8 2 108 2" xfId="26712"/>
    <cellStyle name="Note 8 2 108 2 2" xfId="53720"/>
    <cellStyle name="Note 8 2 108 3" xfId="40216"/>
    <cellStyle name="Note 8 2 109" xfId="13068"/>
    <cellStyle name="Note 8 2 109 2" xfId="26840"/>
    <cellStyle name="Note 8 2 109 2 2" xfId="53848"/>
    <cellStyle name="Note 8 2 109 3" xfId="40344"/>
    <cellStyle name="Note 8 2 11" xfId="1239"/>
    <cellStyle name="Note 8 2 11 2" xfId="16399"/>
    <cellStyle name="Note 8 2 11 2 2" xfId="43407"/>
    <cellStyle name="Note 8 2 11 3" xfId="29903"/>
    <cellStyle name="Note 8 2 110" xfId="13210"/>
    <cellStyle name="Note 8 2 110 2" xfId="26968"/>
    <cellStyle name="Note 8 2 110 2 2" xfId="53976"/>
    <cellStyle name="Note 8 2 110 3" xfId="40472"/>
    <cellStyle name="Note 8 2 111" xfId="13352"/>
    <cellStyle name="Note 8 2 111 2" xfId="27096"/>
    <cellStyle name="Note 8 2 111 2 2" xfId="54104"/>
    <cellStyle name="Note 8 2 111 3" xfId="40600"/>
    <cellStyle name="Note 8 2 112" xfId="13494"/>
    <cellStyle name="Note 8 2 112 2" xfId="27224"/>
    <cellStyle name="Note 8 2 112 2 2" xfId="54232"/>
    <cellStyle name="Note 8 2 112 3" xfId="40728"/>
    <cellStyle name="Note 8 2 113" xfId="13636"/>
    <cellStyle name="Note 8 2 113 2" xfId="27352"/>
    <cellStyle name="Note 8 2 113 2 2" xfId="54360"/>
    <cellStyle name="Note 8 2 113 3" xfId="40856"/>
    <cellStyle name="Note 8 2 114" xfId="13778"/>
    <cellStyle name="Note 8 2 114 2" xfId="27480"/>
    <cellStyle name="Note 8 2 114 2 2" xfId="54488"/>
    <cellStyle name="Note 8 2 114 3" xfId="40984"/>
    <cellStyle name="Note 8 2 115" xfId="13919"/>
    <cellStyle name="Note 8 2 115 2" xfId="27607"/>
    <cellStyle name="Note 8 2 115 2 2" xfId="54615"/>
    <cellStyle name="Note 8 2 115 3" xfId="41111"/>
    <cellStyle name="Note 8 2 116" xfId="14060"/>
    <cellStyle name="Note 8 2 116 2" xfId="27734"/>
    <cellStyle name="Note 8 2 116 2 2" xfId="54742"/>
    <cellStyle name="Note 8 2 116 3" xfId="41238"/>
    <cellStyle name="Note 8 2 117" xfId="14201"/>
    <cellStyle name="Note 8 2 117 2" xfId="27861"/>
    <cellStyle name="Note 8 2 117 2 2" xfId="54869"/>
    <cellStyle name="Note 8 2 117 3" xfId="41365"/>
    <cellStyle name="Note 8 2 118" xfId="14342"/>
    <cellStyle name="Note 8 2 118 2" xfId="27988"/>
    <cellStyle name="Note 8 2 118 2 2" xfId="54996"/>
    <cellStyle name="Note 8 2 118 3" xfId="41492"/>
    <cellStyle name="Note 8 2 119" xfId="14482"/>
    <cellStyle name="Note 8 2 119 2" xfId="28114"/>
    <cellStyle name="Note 8 2 119 2 2" xfId="55122"/>
    <cellStyle name="Note 8 2 119 3" xfId="41618"/>
    <cellStyle name="Note 8 2 12" xfId="1345"/>
    <cellStyle name="Note 8 2 12 2" xfId="16491"/>
    <cellStyle name="Note 8 2 12 2 2" xfId="43499"/>
    <cellStyle name="Note 8 2 12 3" xfId="29995"/>
    <cellStyle name="Note 8 2 120" xfId="14622"/>
    <cellStyle name="Note 8 2 120 2" xfId="28240"/>
    <cellStyle name="Note 8 2 120 2 2" xfId="55248"/>
    <cellStyle name="Note 8 2 120 3" xfId="41744"/>
    <cellStyle name="Note 8 2 121" xfId="14761"/>
    <cellStyle name="Note 8 2 121 2" xfId="28365"/>
    <cellStyle name="Note 8 2 121 2 2" xfId="55373"/>
    <cellStyle name="Note 8 2 121 3" xfId="41869"/>
    <cellStyle name="Note 8 2 122" xfId="14896"/>
    <cellStyle name="Note 8 2 122 2" xfId="28487"/>
    <cellStyle name="Note 8 2 122 2 2" xfId="55495"/>
    <cellStyle name="Note 8 2 122 3" xfId="41991"/>
    <cellStyle name="Note 8 2 123" xfId="15030"/>
    <cellStyle name="Note 8 2 123 2" xfId="28608"/>
    <cellStyle name="Note 8 2 123 2 2" xfId="55616"/>
    <cellStyle name="Note 8 2 123 3" xfId="42112"/>
    <cellStyle name="Note 8 2 124" xfId="15158"/>
    <cellStyle name="Note 8 2 124 2" xfId="28725"/>
    <cellStyle name="Note 8 2 124 2 2" xfId="55733"/>
    <cellStyle name="Note 8 2 124 3" xfId="42229"/>
    <cellStyle name="Note 8 2 125" xfId="15279"/>
    <cellStyle name="Note 8 2 125 2" xfId="28839"/>
    <cellStyle name="Note 8 2 125 2 2" xfId="55847"/>
    <cellStyle name="Note 8 2 125 3" xfId="42343"/>
    <cellStyle name="Note 8 2 126" xfId="15494"/>
    <cellStyle name="Note 8 2 126 2" xfId="42502"/>
    <cellStyle name="Note 8 2 127" xfId="28998"/>
    <cellStyle name="Note 8 2 13" xfId="1451"/>
    <cellStyle name="Note 8 2 13 2" xfId="16583"/>
    <cellStyle name="Note 8 2 13 2 2" xfId="43591"/>
    <cellStyle name="Note 8 2 13 3" xfId="30087"/>
    <cellStyle name="Note 8 2 14" xfId="1557"/>
    <cellStyle name="Note 8 2 14 2" xfId="16675"/>
    <cellStyle name="Note 8 2 14 2 2" xfId="43683"/>
    <cellStyle name="Note 8 2 14 3" xfId="30179"/>
    <cellStyle name="Note 8 2 15" xfId="1663"/>
    <cellStyle name="Note 8 2 15 2" xfId="16767"/>
    <cellStyle name="Note 8 2 15 2 2" xfId="43775"/>
    <cellStyle name="Note 8 2 15 3" xfId="30271"/>
    <cellStyle name="Note 8 2 16" xfId="1769"/>
    <cellStyle name="Note 8 2 16 2" xfId="16859"/>
    <cellStyle name="Note 8 2 16 2 2" xfId="43867"/>
    <cellStyle name="Note 8 2 16 3" xfId="30363"/>
    <cellStyle name="Note 8 2 17" xfId="1875"/>
    <cellStyle name="Note 8 2 17 2" xfId="16951"/>
    <cellStyle name="Note 8 2 17 2 2" xfId="43959"/>
    <cellStyle name="Note 8 2 17 3" xfId="30455"/>
    <cellStyle name="Note 8 2 18" xfId="1981"/>
    <cellStyle name="Note 8 2 18 2" xfId="17043"/>
    <cellStyle name="Note 8 2 18 2 2" xfId="44051"/>
    <cellStyle name="Note 8 2 18 3" xfId="30547"/>
    <cellStyle name="Note 8 2 19" xfId="2087"/>
    <cellStyle name="Note 8 2 19 2" xfId="17135"/>
    <cellStyle name="Note 8 2 19 2 2" xfId="44143"/>
    <cellStyle name="Note 8 2 19 3" xfId="30639"/>
    <cellStyle name="Note 8 2 2" xfId="313"/>
    <cellStyle name="Note 8 2 2 2" xfId="15615"/>
    <cellStyle name="Note 8 2 2 2 2" xfId="42623"/>
    <cellStyle name="Note 8 2 2 3" xfId="29119"/>
    <cellStyle name="Note 8 2 20" xfId="2193"/>
    <cellStyle name="Note 8 2 20 2" xfId="17227"/>
    <cellStyle name="Note 8 2 20 2 2" xfId="44235"/>
    <cellStyle name="Note 8 2 20 3" xfId="30731"/>
    <cellStyle name="Note 8 2 21" xfId="2299"/>
    <cellStyle name="Note 8 2 21 2" xfId="17319"/>
    <cellStyle name="Note 8 2 21 2 2" xfId="44327"/>
    <cellStyle name="Note 8 2 21 3" xfId="30823"/>
    <cellStyle name="Note 8 2 22" xfId="2405"/>
    <cellStyle name="Note 8 2 22 2" xfId="17411"/>
    <cellStyle name="Note 8 2 22 2 2" xfId="44419"/>
    <cellStyle name="Note 8 2 22 3" xfId="30915"/>
    <cellStyle name="Note 8 2 23" xfId="2511"/>
    <cellStyle name="Note 8 2 23 2" xfId="17503"/>
    <cellStyle name="Note 8 2 23 2 2" xfId="44511"/>
    <cellStyle name="Note 8 2 23 3" xfId="31007"/>
    <cellStyle name="Note 8 2 24" xfId="2617"/>
    <cellStyle name="Note 8 2 24 2" xfId="17595"/>
    <cellStyle name="Note 8 2 24 2 2" xfId="44603"/>
    <cellStyle name="Note 8 2 24 3" xfId="31099"/>
    <cellStyle name="Note 8 2 25" xfId="2723"/>
    <cellStyle name="Note 8 2 25 2" xfId="17687"/>
    <cellStyle name="Note 8 2 25 2 2" xfId="44695"/>
    <cellStyle name="Note 8 2 25 3" xfId="31191"/>
    <cellStyle name="Note 8 2 26" xfId="2829"/>
    <cellStyle name="Note 8 2 26 2" xfId="17779"/>
    <cellStyle name="Note 8 2 26 2 2" xfId="44787"/>
    <cellStyle name="Note 8 2 26 3" xfId="31283"/>
    <cellStyle name="Note 8 2 27" xfId="2935"/>
    <cellStyle name="Note 8 2 27 2" xfId="17871"/>
    <cellStyle name="Note 8 2 27 2 2" xfId="44879"/>
    <cellStyle name="Note 8 2 27 3" xfId="31375"/>
    <cellStyle name="Note 8 2 28" xfId="3041"/>
    <cellStyle name="Note 8 2 28 2" xfId="17963"/>
    <cellStyle name="Note 8 2 28 2 2" xfId="44971"/>
    <cellStyle name="Note 8 2 28 3" xfId="31467"/>
    <cellStyle name="Note 8 2 29" xfId="3147"/>
    <cellStyle name="Note 8 2 29 2" xfId="18055"/>
    <cellStyle name="Note 8 2 29 2 2" xfId="45063"/>
    <cellStyle name="Note 8 2 29 3" xfId="31559"/>
    <cellStyle name="Note 8 2 3" xfId="500"/>
    <cellStyle name="Note 8 2 3 2" xfId="15756"/>
    <cellStyle name="Note 8 2 3 2 2" xfId="42764"/>
    <cellStyle name="Note 8 2 3 3" xfId="29260"/>
    <cellStyle name="Note 8 2 30" xfId="3253"/>
    <cellStyle name="Note 8 2 30 2" xfId="18147"/>
    <cellStyle name="Note 8 2 30 2 2" xfId="45155"/>
    <cellStyle name="Note 8 2 30 3" xfId="31651"/>
    <cellStyle name="Note 8 2 31" xfId="3359"/>
    <cellStyle name="Note 8 2 31 2" xfId="18239"/>
    <cellStyle name="Note 8 2 31 2 2" xfId="45247"/>
    <cellStyle name="Note 8 2 31 3" xfId="31743"/>
    <cellStyle name="Note 8 2 32" xfId="3465"/>
    <cellStyle name="Note 8 2 32 2" xfId="18331"/>
    <cellStyle name="Note 8 2 32 2 2" xfId="45339"/>
    <cellStyle name="Note 8 2 32 3" xfId="31835"/>
    <cellStyle name="Note 8 2 33" xfId="3571"/>
    <cellStyle name="Note 8 2 33 2" xfId="18423"/>
    <cellStyle name="Note 8 2 33 2 2" xfId="45431"/>
    <cellStyle name="Note 8 2 33 3" xfId="31927"/>
    <cellStyle name="Note 8 2 34" xfId="3677"/>
    <cellStyle name="Note 8 2 34 2" xfId="18515"/>
    <cellStyle name="Note 8 2 34 2 2" xfId="45523"/>
    <cellStyle name="Note 8 2 34 3" xfId="32019"/>
    <cellStyle name="Note 8 2 35" xfId="3783"/>
    <cellStyle name="Note 8 2 35 2" xfId="18607"/>
    <cellStyle name="Note 8 2 35 2 2" xfId="45615"/>
    <cellStyle name="Note 8 2 35 3" xfId="32111"/>
    <cellStyle name="Note 8 2 36" xfId="3889"/>
    <cellStyle name="Note 8 2 36 2" xfId="18699"/>
    <cellStyle name="Note 8 2 36 2 2" xfId="45707"/>
    <cellStyle name="Note 8 2 36 3" xfId="32203"/>
    <cellStyle name="Note 8 2 37" xfId="3995"/>
    <cellStyle name="Note 8 2 37 2" xfId="18791"/>
    <cellStyle name="Note 8 2 37 2 2" xfId="45799"/>
    <cellStyle name="Note 8 2 37 3" xfId="32295"/>
    <cellStyle name="Note 8 2 38" xfId="4101"/>
    <cellStyle name="Note 8 2 38 2" xfId="18883"/>
    <cellStyle name="Note 8 2 38 2 2" xfId="45891"/>
    <cellStyle name="Note 8 2 38 3" xfId="32387"/>
    <cellStyle name="Note 8 2 39" xfId="4207"/>
    <cellStyle name="Note 8 2 39 2" xfId="18975"/>
    <cellStyle name="Note 8 2 39 2 2" xfId="45983"/>
    <cellStyle name="Note 8 2 39 3" xfId="32479"/>
    <cellStyle name="Note 8 2 4" xfId="481"/>
    <cellStyle name="Note 8 2 4 2" xfId="15737"/>
    <cellStyle name="Note 8 2 4 2 2" xfId="42745"/>
    <cellStyle name="Note 8 2 4 3" xfId="29241"/>
    <cellStyle name="Note 8 2 40" xfId="4313"/>
    <cellStyle name="Note 8 2 40 2" xfId="19067"/>
    <cellStyle name="Note 8 2 40 2 2" xfId="46075"/>
    <cellStyle name="Note 8 2 40 3" xfId="32571"/>
    <cellStyle name="Note 8 2 41" xfId="4419"/>
    <cellStyle name="Note 8 2 41 2" xfId="19159"/>
    <cellStyle name="Note 8 2 41 2 2" xfId="46167"/>
    <cellStyle name="Note 8 2 41 3" xfId="32663"/>
    <cellStyle name="Note 8 2 42" xfId="4525"/>
    <cellStyle name="Note 8 2 42 2" xfId="19251"/>
    <cellStyle name="Note 8 2 42 2 2" xfId="46259"/>
    <cellStyle name="Note 8 2 42 3" xfId="32755"/>
    <cellStyle name="Note 8 2 43" xfId="4631"/>
    <cellStyle name="Note 8 2 43 2" xfId="19343"/>
    <cellStyle name="Note 8 2 43 2 2" xfId="46351"/>
    <cellStyle name="Note 8 2 43 3" xfId="32847"/>
    <cellStyle name="Note 8 2 44" xfId="4737"/>
    <cellStyle name="Note 8 2 44 2" xfId="19435"/>
    <cellStyle name="Note 8 2 44 2 2" xfId="46443"/>
    <cellStyle name="Note 8 2 44 3" xfId="32939"/>
    <cellStyle name="Note 8 2 45" xfId="4843"/>
    <cellStyle name="Note 8 2 45 2" xfId="19527"/>
    <cellStyle name="Note 8 2 45 2 2" xfId="46535"/>
    <cellStyle name="Note 8 2 45 3" xfId="33031"/>
    <cellStyle name="Note 8 2 46" xfId="4949"/>
    <cellStyle name="Note 8 2 46 2" xfId="19619"/>
    <cellStyle name="Note 8 2 46 2 2" xfId="46627"/>
    <cellStyle name="Note 8 2 46 3" xfId="33123"/>
    <cellStyle name="Note 8 2 47" xfId="5055"/>
    <cellStyle name="Note 8 2 47 2" xfId="19711"/>
    <cellStyle name="Note 8 2 47 2 2" xfId="46719"/>
    <cellStyle name="Note 8 2 47 3" xfId="33215"/>
    <cellStyle name="Note 8 2 48" xfId="5161"/>
    <cellStyle name="Note 8 2 48 2" xfId="19803"/>
    <cellStyle name="Note 8 2 48 2 2" xfId="46811"/>
    <cellStyle name="Note 8 2 48 3" xfId="33307"/>
    <cellStyle name="Note 8 2 49" xfId="5267"/>
    <cellStyle name="Note 8 2 49 2" xfId="19895"/>
    <cellStyle name="Note 8 2 49 2 2" xfId="46903"/>
    <cellStyle name="Note 8 2 49 3" xfId="33399"/>
    <cellStyle name="Note 8 2 5" xfId="603"/>
    <cellStyle name="Note 8 2 5 2" xfId="15847"/>
    <cellStyle name="Note 8 2 5 2 2" xfId="42855"/>
    <cellStyle name="Note 8 2 5 3" xfId="29351"/>
    <cellStyle name="Note 8 2 50" xfId="5373"/>
    <cellStyle name="Note 8 2 50 2" xfId="19987"/>
    <cellStyle name="Note 8 2 50 2 2" xfId="46995"/>
    <cellStyle name="Note 8 2 50 3" xfId="33491"/>
    <cellStyle name="Note 8 2 51" xfId="5479"/>
    <cellStyle name="Note 8 2 51 2" xfId="20079"/>
    <cellStyle name="Note 8 2 51 2 2" xfId="47087"/>
    <cellStyle name="Note 8 2 51 3" xfId="33583"/>
    <cellStyle name="Note 8 2 52" xfId="5585"/>
    <cellStyle name="Note 8 2 52 2" xfId="20171"/>
    <cellStyle name="Note 8 2 52 2 2" xfId="47179"/>
    <cellStyle name="Note 8 2 52 3" xfId="33675"/>
    <cellStyle name="Note 8 2 53" xfId="5691"/>
    <cellStyle name="Note 8 2 53 2" xfId="20263"/>
    <cellStyle name="Note 8 2 53 2 2" xfId="47271"/>
    <cellStyle name="Note 8 2 53 3" xfId="33767"/>
    <cellStyle name="Note 8 2 54" xfId="5797"/>
    <cellStyle name="Note 8 2 54 2" xfId="20355"/>
    <cellStyle name="Note 8 2 54 2 2" xfId="47363"/>
    <cellStyle name="Note 8 2 54 3" xfId="33859"/>
    <cellStyle name="Note 8 2 55" xfId="5903"/>
    <cellStyle name="Note 8 2 55 2" xfId="20447"/>
    <cellStyle name="Note 8 2 55 2 2" xfId="47455"/>
    <cellStyle name="Note 8 2 55 3" xfId="33951"/>
    <cellStyle name="Note 8 2 56" xfId="6009"/>
    <cellStyle name="Note 8 2 56 2" xfId="20539"/>
    <cellStyle name="Note 8 2 56 2 2" xfId="47547"/>
    <cellStyle name="Note 8 2 56 3" xfId="34043"/>
    <cellStyle name="Note 8 2 57" xfId="6115"/>
    <cellStyle name="Note 8 2 57 2" xfId="20631"/>
    <cellStyle name="Note 8 2 57 2 2" xfId="47639"/>
    <cellStyle name="Note 8 2 57 3" xfId="34135"/>
    <cellStyle name="Note 8 2 58" xfId="6221"/>
    <cellStyle name="Note 8 2 58 2" xfId="20723"/>
    <cellStyle name="Note 8 2 58 2 2" xfId="47731"/>
    <cellStyle name="Note 8 2 58 3" xfId="34227"/>
    <cellStyle name="Note 8 2 59" xfId="6327"/>
    <cellStyle name="Note 8 2 59 2" xfId="20815"/>
    <cellStyle name="Note 8 2 59 2 2" xfId="47823"/>
    <cellStyle name="Note 8 2 59 3" xfId="34319"/>
    <cellStyle name="Note 8 2 6" xfId="709"/>
    <cellStyle name="Note 8 2 6 2" xfId="15939"/>
    <cellStyle name="Note 8 2 6 2 2" xfId="42947"/>
    <cellStyle name="Note 8 2 6 3" xfId="29443"/>
    <cellStyle name="Note 8 2 60" xfId="6433"/>
    <cellStyle name="Note 8 2 60 2" xfId="20907"/>
    <cellStyle name="Note 8 2 60 2 2" xfId="47915"/>
    <cellStyle name="Note 8 2 60 3" xfId="34411"/>
    <cellStyle name="Note 8 2 61" xfId="6539"/>
    <cellStyle name="Note 8 2 61 2" xfId="20999"/>
    <cellStyle name="Note 8 2 61 2 2" xfId="48007"/>
    <cellStyle name="Note 8 2 61 3" xfId="34503"/>
    <cellStyle name="Note 8 2 62" xfId="6644"/>
    <cellStyle name="Note 8 2 62 2" xfId="21090"/>
    <cellStyle name="Note 8 2 62 2 2" xfId="48098"/>
    <cellStyle name="Note 8 2 62 3" xfId="34594"/>
    <cellStyle name="Note 8 2 63" xfId="6749"/>
    <cellStyle name="Note 8 2 63 2" xfId="21181"/>
    <cellStyle name="Note 8 2 63 2 2" xfId="48189"/>
    <cellStyle name="Note 8 2 63 3" xfId="34685"/>
    <cellStyle name="Note 8 2 64" xfId="6854"/>
    <cellStyle name="Note 8 2 64 2" xfId="21272"/>
    <cellStyle name="Note 8 2 64 2 2" xfId="48280"/>
    <cellStyle name="Note 8 2 64 3" xfId="34776"/>
    <cellStyle name="Note 8 2 65" xfId="6959"/>
    <cellStyle name="Note 8 2 65 2" xfId="21363"/>
    <cellStyle name="Note 8 2 65 2 2" xfId="48371"/>
    <cellStyle name="Note 8 2 65 3" xfId="34867"/>
    <cellStyle name="Note 8 2 66" xfId="7063"/>
    <cellStyle name="Note 8 2 66 2" xfId="21453"/>
    <cellStyle name="Note 8 2 66 2 2" xfId="48461"/>
    <cellStyle name="Note 8 2 66 3" xfId="34957"/>
    <cellStyle name="Note 8 2 67" xfId="7167"/>
    <cellStyle name="Note 8 2 67 2" xfId="21543"/>
    <cellStyle name="Note 8 2 67 2 2" xfId="48551"/>
    <cellStyle name="Note 8 2 67 3" xfId="35047"/>
    <cellStyle name="Note 8 2 68" xfId="7270"/>
    <cellStyle name="Note 8 2 68 2" xfId="21632"/>
    <cellStyle name="Note 8 2 68 2 2" xfId="48640"/>
    <cellStyle name="Note 8 2 68 3" xfId="35136"/>
    <cellStyle name="Note 8 2 69" xfId="7370"/>
    <cellStyle name="Note 8 2 69 2" xfId="21719"/>
    <cellStyle name="Note 8 2 69 2 2" xfId="48727"/>
    <cellStyle name="Note 8 2 69 3" xfId="35223"/>
    <cellStyle name="Note 8 2 7" xfId="815"/>
    <cellStyle name="Note 8 2 7 2" xfId="16031"/>
    <cellStyle name="Note 8 2 7 2 2" xfId="43039"/>
    <cellStyle name="Note 8 2 7 3" xfId="29535"/>
    <cellStyle name="Note 8 2 70" xfId="7468"/>
    <cellStyle name="Note 8 2 70 2" xfId="21804"/>
    <cellStyle name="Note 8 2 70 2 2" xfId="48812"/>
    <cellStyle name="Note 8 2 70 3" xfId="35308"/>
    <cellStyle name="Note 8 2 71" xfId="7557"/>
    <cellStyle name="Note 8 2 71 2" xfId="21882"/>
    <cellStyle name="Note 8 2 71 2 2" xfId="48890"/>
    <cellStyle name="Note 8 2 71 3" xfId="35386"/>
    <cellStyle name="Note 8 2 72" xfId="7814"/>
    <cellStyle name="Note 8 2 72 2" xfId="22104"/>
    <cellStyle name="Note 8 2 72 2 2" xfId="49112"/>
    <cellStyle name="Note 8 2 72 3" xfId="35608"/>
    <cellStyle name="Note 8 2 73" xfId="7956"/>
    <cellStyle name="Note 8 2 73 2" xfId="22232"/>
    <cellStyle name="Note 8 2 73 2 2" xfId="49240"/>
    <cellStyle name="Note 8 2 73 3" xfId="35736"/>
    <cellStyle name="Note 8 2 74" xfId="8098"/>
    <cellStyle name="Note 8 2 74 2" xfId="22360"/>
    <cellStyle name="Note 8 2 74 2 2" xfId="49368"/>
    <cellStyle name="Note 8 2 74 3" xfId="35864"/>
    <cellStyle name="Note 8 2 75" xfId="8240"/>
    <cellStyle name="Note 8 2 75 2" xfId="22488"/>
    <cellStyle name="Note 8 2 75 2 2" xfId="49496"/>
    <cellStyle name="Note 8 2 75 3" xfId="35992"/>
    <cellStyle name="Note 8 2 76" xfId="8382"/>
    <cellStyle name="Note 8 2 76 2" xfId="22616"/>
    <cellStyle name="Note 8 2 76 2 2" xfId="49624"/>
    <cellStyle name="Note 8 2 76 3" xfId="36120"/>
    <cellStyle name="Note 8 2 77" xfId="8524"/>
    <cellStyle name="Note 8 2 77 2" xfId="22744"/>
    <cellStyle name="Note 8 2 77 2 2" xfId="49752"/>
    <cellStyle name="Note 8 2 77 3" xfId="36248"/>
    <cellStyle name="Note 8 2 78" xfId="8666"/>
    <cellStyle name="Note 8 2 78 2" xfId="22872"/>
    <cellStyle name="Note 8 2 78 2 2" xfId="49880"/>
    <cellStyle name="Note 8 2 78 3" xfId="36376"/>
    <cellStyle name="Note 8 2 79" xfId="8808"/>
    <cellStyle name="Note 8 2 79 2" xfId="23000"/>
    <cellStyle name="Note 8 2 79 2 2" xfId="50008"/>
    <cellStyle name="Note 8 2 79 3" xfId="36504"/>
    <cellStyle name="Note 8 2 8" xfId="921"/>
    <cellStyle name="Note 8 2 8 2" xfId="16123"/>
    <cellStyle name="Note 8 2 8 2 2" xfId="43131"/>
    <cellStyle name="Note 8 2 8 3" xfId="29627"/>
    <cellStyle name="Note 8 2 80" xfId="8950"/>
    <cellStyle name="Note 8 2 80 2" xfId="23128"/>
    <cellStyle name="Note 8 2 80 2 2" xfId="50136"/>
    <cellStyle name="Note 8 2 80 3" xfId="36632"/>
    <cellStyle name="Note 8 2 81" xfId="9092"/>
    <cellStyle name="Note 8 2 81 2" xfId="23256"/>
    <cellStyle name="Note 8 2 81 2 2" xfId="50264"/>
    <cellStyle name="Note 8 2 81 3" xfId="36760"/>
    <cellStyle name="Note 8 2 82" xfId="9234"/>
    <cellStyle name="Note 8 2 82 2" xfId="23384"/>
    <cellStyle name="Note 8 2 82 2 2" xfId="50392"/>
    <cellStyle name="Note 8 2 82 3" xfId="36888"/>
    <cellStyle name="Note 8 2 83" xfId="9376"/>
    <cellStyle name="Note 8 2 83 2" xfId="23512"/>
    <cellStyle name="Note 8 2 83 2 2" xfId="50520"/>
    <cellStyle name="Note 8 2 83 3" xfId="37016"/>
    <cellStyle name="Note 8 2 84" xfId="9518"/>
    <cellStyle name="Note 8 2 84 2" xfId="23640"/>
    <cellStyle name="Note 8 2 84 2 2" xfId="50648"/>
    <cellStyle name="Note 8 2 84 3" xfId="37144"/>
    <cellStyle name="Note 8 2 85" xfId="9660"/>
    <cellStyle name="Note 8 2 85 2" xfId="23768"/>
    <cellStyle name="Note 8 2 85 2 2" xfId="50776"/>
    <cellStyle name="Note 8 2 85 3" xfId="37272"/>
    <cellStyle name="Note 8 2 86" xfId="9802"/>
    <cellStyle name="Note 8 2 86 2" xfId="23896"/>
    <cellStyle name="Note 8 2 86 2 2" xfId="50904"/>
    <cellStyle name="Note 8 2 86 3" xfId="37400"/>
    <cellStyle name="Note 8 2 87" xfId="9944"/>
    <cellStyle name="Note 8 2 87 2" xfId="24024"/>
    <cellStyle name="Note 8 2 87 2 2" xfId="51032"/>
    <cellStyle name="Note 8 2 87 3" xfId="37528"/>
    <cellStyle name="Note 8 2 88" xfId="10086"/>
    <cellStyle name="Note 8 2 88 2" xfId="24152"/>
    <cellStyle name="Note 8 2 88 2 2" xfId="51160"/>
    <cellStyle name="Note 8 2 88 3" xfId="37656"/>
    <cellStyle name="Note 8 2 89" xfId="10228"/>
    <cellStyle name="Note 8 2 89 2" xfId="24280"/>
    <cellStyle name="Note 8 2 89 2 2" xfId="51288"/>
    <cellStyle name="Note 8 2 89 3" xfId="37784"/>
    <cellStyle name="Note 8 2 9" xfId="1027"/>
    <cellStyle name="Note 8 2 9 2" xfId="16215"/>
    <cellStyle name="Note 8 2 9 2 2" xfId="43223"/>
    <cellStyle name="Note 8 2 9 3" xfId="29719"/>
    <cellStyle name="Note 8 2 90" xfId="10370"/>
    <cellStyle name="Note 8 2 90 2" xfId="24408"/>
    <cellStyle name="Note 8 2 90 2 2" xfId="51416"/>
    <cellStyle name="Note 8 2 90 3" xfId="37912"/>
    <cellStyle name="Note 8 2 91" xfId="10512"/>
    <cellStyle name="Note 8 2 91 2" xfId="24536"/>
    <cellStyle name="Note 8 2 91 2 2" xfId="51544"/>
    <cellStyle name="Note 8 2 91 3" xfId="38040"/>
    <cellStyle name="Note 8 2 92" xfId="10654"/>
    <cellStyle name="Note 8 2 92 2" xfId="24664"/>
    <cellStyle name="Note 8 2 92 2 2" xfId="51672"/>
    <cellStyle name="Note 8 2 92 3" xfId="38168"/>
    <cellStyle name="Note 8 2 93" xfId="10796"/>
    <cellStyle name="Note 8 2 93 2" xfId="24792"/>
    <cellStyle name="Note 8 2 93 2 2" xfId="51800"/>
    <cellStyle name="Note 8 2 93 3" xfId="38296"/>
    <cellStyle name="Note 8 2 94" xfId="10938"/>
    <cellStyle name="Note 8 2 94 2" xfId="24920"/>
    <cellStyle name="Note 8 2 94 2 2" xfId="51928"/>
    <cellStyle name="Note 8 2 94 3" xfId="38424"/>
    <cellStyle name="Note 8 2 95" xfId="11080"/>
    <cellStyle name="Note 8 2 95 2" xfId="25048"/>
    <cellStyle name="Note 8 2 95 2 2" xfId="52056"/>
    <cellStyle name="Note 8 2 95 3" xfId="38552"/>
    <cellStyle name="Note 8 2 96" xfId="11222"/>
    <cellStyle name="Note 8 2 96 2" xfId="25176"/>
    <cellStyle name="Note 8 2 96 2 2" xfId="52184"/>
    <cellStyle name="Note 8 2 96 3" xfId="38680"/>
    <cellStyle name="Note 8 2 97" xfId="11364"/>
    <cellStyle name="Note 8 2 97 2" xfId="25304"/>
    <cellStyle name="Note 8 2 97 2 2" xfId="52312"/>
    <cellStyle name="Note 8 2 97 3" xfId="38808"/>
    <cellStyle name="Note 8 2 98" xfId="11506"/>
    <cellStyle name="Note 8 2 98 2" xfId="25432"/>
    <cellStyle name="Note 8 2 98 2 2" xfId="52440"/>
    <cellStyle name="Note 8 2 98 3" xfId="38936"/>
    <cellStyle name="Note 8 2 99" xfId="11648"/>
    <cellStyle name="Note 8 2 99 2" xfId="25560"/>
    <cellStyle name="Note 8 2 99 2 2" xfId="52568"/>
    <cellStyle name="Note 8 2 99 3" xfId="39064"/>
    <cellStyle name="Note 8 20" xfId="2075"/>
    <cellStyle name="Note 8 20 2" xfId="17125"/>
    <cellStyle name="Note 8 20 2 2" xfId="44133"/>
    <cellStyle name="Note 8 20 3" xfId="30629"/>
    <cellStyle name="Note 8 21" xfId="2181"/>
    <cellStyle name="Note 8 21 2" xfId="17217"/>
    <cellStyle name="Note 8 21 2 2" xfId="44225"/>
    <cellStyle name="Note 8 21 3" xfId="30721"/>
    <cellStyle name="Note 8 22" xfId="2287"/>
    <cellStyle name="Note 8 22 2" xfId="17309"/>
    <cellStyle name="Note 8 22 2 2" xfId="44317"/>
    <cellStyle name="Note 8 22 3" xfId="30813"/>
    <cellStyle name="Note 8 23" xfId="2393"/>
    <cellStyle name="Note 8 23 2" xfId="17401"/>
    <cellStyle name="Note 8 23 2 2" xfId="44409"/>
    <cellStyle name="Note 8 23 3" xfId="30905"/>
    <cellStyle name="Note 8 24" xfId="2499"/>
    <cellStyle name="Note 8 24 2" xfId="17493"/>
    <cellStyle name="Note 8 24 2 2" xfId="44501"/>
    <cellStyle name="Note 8 24 3" xfId="30997"/>
    <cellStyle name="Note 8 25" xfId="2605"/>
    <cellStyle name="Note 8 25 2" xfId="17585"/>
    <cellStyle name="Note 8 25 2 2" xfId="44593"/>
    <cellStyle name="Note 8 25 3" xfId="31089"/>
    <cellStyle name="Note 8 26" xfId="2711"/>
    <cellStyle name="Note 8 26 2" xfId="17677"/>
    <cellStyle name="Note 8 26 2 2" xfId="44685"/>
    <cellStyle name="Note 8 26 3" xfId="31181"/>
    <cellStyle name="Note 8 27" xfId="2817"/>
    <cellStyle name="Note 8 27 2" xfId="17769"/>
    <cellStyle name="Note 8 27 2 2" xfId="44777"/>
    <cellStyle name="Note 8 27 3" xfId="31273"/>
    <cellStyle name="Note 8 28" xfId="2923"/>
    <cellStyle name="Note 8 28 2" xfId="17861"/>
    <cellStyle name="Note 8 28 2 2" xfId="44869"/>
    <cellStyle name="Note 8 28 3" xfId="31365"/>
    <cellStyle name="Note 8 29" xfId="3029"/>
    <cellStyle name="Note 8 29 2" xfId="17953"/>
    <cellStyle name="Note 8 29 2 2" xfId="44961"/>
    <cellStyle name="Note 8 29 3" xfId="31457"/>
    <cellStyle name="Note 8 3" xfId="147"/>
    <cellStyle name="Note 8 3 10" xfId="1252"/>
    <cellStyle name="Note 8 3 10 2" xfId="16410"/>
    <cellStyle name="Note 8 3 10 2 2" xfId="43418"/>
    <cellStyle name="Note 8 3 10 3" xfId="29914"/>
    <cellStyle name="Note 8 3 100" xfId="11801"/>
    <cellStyle name="Note 8 3 100 2" xfId="25699"/>
    <cellStyle name="Note 8 3 100 2 2" xfId="52707"/>
    <cellStyle name="Note 8 3 100 3" xfId="39203"/>
    <cellStyle name="Note 8 3 101" xfId="11943"/>
    <cellStyle name="Note 8 3 101 2" xfId="25827"/>
    <cellStyle name="Note 8 3 101 2 2" xfId="52835"/>
    <cellStyle name="Note 8 3 101 3" xfId="39331"/>
    <cellStyle name="Note 8 3 102" xfId="12085"/>
    <cellStyle name="Note 8 3 102 2" xfId="25955"/>
    <cellStyle name="Note 8 3 102 2 2" xfId="52963"/>
    <cellStyle name="Note 8 3 102 3" xfId="39459"/>
    <cellStyle name="Note 8 3 103" xfId="12227"/>
    <cellStyle name="Note 8 3 103 2" xfId="26083"/>
    <cellStyle name="Note 8 3 103 2 2" xfId="53091"/>
    <cellStyle name="Note 8 3 103 3" xfId="39587"/>
    <cellStyle name="Note 8 3 104" xfId="12369"/>
    <cellStyle name="Note 8 3 104 2" xfId="26211"/>
    <cellStyle name="Note 8 3 104 2 2" xfId="53219"/>
    <cellStyle name="Note 8 3 104 3" xfId="39715"/>
    <cellStyle name="Note 8 3 105" xfId="12511"/>
    <cellStyle name="Note 8 3 105 2" xfId="26339"/>
    <cellStyle name="Note 8 3 105 2 2" xfId="53347"/>
    <cellStyle name="Note 8 3 105 3" xfId="39843"/>
    <cellStyle name="Note 8 3 106" xfId="12653"/>
    <cellStyle name="Note 8 3 106 2" xfId="26467"/>
    <cellStyle name="Note 8 3 106 2 2" xfId="53475"/>
    <cellStyle name="Note 8 3 106 3" xfId="39971"/>
    <cellStyle name="Note 8 3 107" xfId="12795"/>
    <cellStyle name="Note 8 3 107 2" xfId="26595"/>
    <cellStyle name="Note 8 3 107 2 2" xfId="53603"/>
    <cellStyle name="Note 8 3 107 3" xfId="40099"/>
    <cellStyle name="Note 8 3 108" xfId="12937"/>
    <cellStyle name="Note 8 3 108 2" xfId="26723"/>
    <cellStyle name="Note 8 3 108 2 2" xfId="53731"/>
    <cellStyle name="Note 8 3 108 3" xfId="40227"/>
    <cellStyle name="Note 8 3 109" xfId="13079"/>
    <cellStyle name="Note 8 3 109 2" xfId="26851"/>
    <cellStyle name="Note 8 3 109 2 2" xfId="53859"/>
    <cellStyle name="Note 8 3 109 3" xfId="40355"/>
    <cellStyle name="Note 8 3 11" xfId="1358"/>
    <cellStyle name="Note 8 3 11 2" xfId="16502"/>
    <cellStyle name="Note 8 3 11 2 2" xfId="43510"/>
    <cellStyle name="Note 8 3 11 3" xfId="30006"/>
    <cellStyle name="Note 8 3 110" xfId="13221"/>
    <cellStyle name="Note 8 3 110 2" xfId="26979"/>
    <cellStyle name="Note 8 3 110 2 2" xfId="53987"/>
    <cellStyle name="Note 8 3 110 3" xfId="40483"/>
    <cellStyle name="Note 8 3 111" xfId="13363"/>
    <cellStyle name="Note 8 3 111 2" xfId="27107"/>
    <cellStyle name="Note 8 3 111 2 2" xfId="54115"/>
    <cellStyle name="Note 8 3 111 3" xfId="40611"/>
    <cellStyle name="Note 8 3 112" xfId="13505"/>
    <cellStyle name="Note 8 3 112 2" xfId="27235"/>
    <cellStyle name="Note 8 3 112 2 2" xfId="54243"/>
    <cellStyle name="Note 8 3 112 3" xfId="40739"/>
    <cellStyle name="Note 8 3 113" xfId="13647"/>
    <cellStyle name="Note 8 3 113 2" xfId="27363"/>
    <cellStyle name="Note 8 3 113 2 2" xfId="54371"/>
    <cellStyle name="Note 8 3 113 3" xfId="40867"/>
    <cellStyle name="Note 8 3 114" xfId="13789"/>
    <cellStyle name="Note 8 3 114 2" xfId="27491"/>
    <cellStyle name="Note 8 3 114 2 2" xfId="54499"/>
    <cellStyle name="Note 8 3 114 3" xfId="40995"/>
    <cellStyle name="Note 8 3 115" xfId="13930"/>
    <cellStyle name="Note 8 3 115 2" xfId="27618"/>
    <cellStyle name="Note 8 3 115 2 2" xfId="54626"/>
    <cellStyle name="Note 8 3 115 3" xfId="41122"/>
    <cellStyle name="Note 8 3 116" xfId="14071"/>
    <cellStyle name="Note 8 3 116 2" xfId="27745"/>
    <cellStyle name="Note 8 3 116 2 2" xfId="54753"/>
    <cellStyle name="Note 8 3 116 3" xfId="41249"/>
    <cellStyle name="Note 8 3 117" xfId="14212"/>
    <cellStyle name="Note 8 3 117 2" xfId="27872"/>
    <cellStyle name="Note 8 3 117 2 2" xfId="54880"/>
    <cellStyle name="Note 8 3 117 3" xfId="41376"/>
    <cellStyle name="Note 8 3 118" xfId="14353"/>
    <cellStyle name="Note 8 3 118 2" xfId="27999"/>
    <cellStyle name="Note 8 3 118 2 2" xfId="55007"/>
    <cellStyle name="Note 8 3 118 3" xfId="41503"/>
    <cellStyle name="Note 8 3 119" xfId="14493"/>
    <cellStyle name="Note 8 3 119 2" xfId="28125"/>
    <cellStyle name="Note 8 3 119 2 2" xfId="55133"/>
    <cellStyle name="Note 8 3 119 3" xfId="41629"/>
    <cellStyle name="Note 8 3 12" xfId="1464"/>
    <cellStyle name="Note 8 3 12 2" xfId="16594"/>
    <cellStyle name="Note 8 3 12 2 2" xfId="43602"/>
    <cellStyle name="Note 8 3 12 3" xfId="30098"/>
    <cellStyle name="Note 8 3 120" xfId="14633"/>
    <cellStyle name="Note 8 3 120 2" xfId="28251"/>
    <cellStyle name="Note 8 3 120 2 2" xfId="55259"/>
    <cellStyle name="Note 8 3 120 3" xfId="41755"/>
    <cellStyle name="Note 8 3 121" xfId="14772"/>
    <cellStyle name="Note 8 3 121 2" xfId="28376"/>
    <cellStyle name="Note 8 3 121 2 2" xfId="55384"/>
    <cellStyle name="Note 8 3 121 3" xfId="41880"/>
    <cellStyle name="Note 8 3 122" xfId="14907"/>
    <cellStyle name="Note 8 3 122 2" xfId="28498"/>
    <cellStyle name="Note 8 3 122 2 2" xfId="55506"/>
    <cellStyle name="Note 8 3 122 3" xfId="42002"/>
    <cellStyle name="Note 8 3 123" xfId="15041"/>
    <cellStyle name="Note 8 3 123 2" xfId="28619"/>
    <cellStyle name="Note 8 3 123 2 2" xfId="55627"/>
    <cellStyle name="Note 8 3 123 3" xfId="42123"/>
    <cellStyle name="Note 8 3 124" xfId="15168"/>
    <cellStyle name="Note 8 3 124 2" xfId="28735"/>
    <cellStyle name="Note 8 3 124 2 2" xfId="55743"/>
    <cellStyle name="Note 8 3 124 3" xfId="42239"/>
    <cellStyle name="Note 8 3 125" xfId="15288"/>
    <cellStyle name="Note 8 3 125 2" xfId="28848"/>
    <cellStyle name="Note 8 3 125 2 2" xfId="55856"/>
    <cellStyle name="Note 8 3 125 3" xfId="42352"/>
    <cellStyle name="Note 8 3 126" xfId="15503"/>
    <cellStyle name="Note 8 3 126 2" xfId="42511"/>
    <cellStyle name="Note 8 3 127" xfId="29007"/>
    <cellStyle name="Note 8 3 13" xfId="1570"/>
    <cellStyle name="Note 8 3 13 2" xfId="16686"/>
    <cellStyle name="Note 8 3 13 2 2" xfId="43694"/>
    <cellStyle name="Note 8 3 13 3" xfId="30190"/>
    <cellStyle name="Note 8 3 14" xfId="1676"/>
    <cellStyle name="Note 8 3 14 2" xfId="16778"/>
    <cellStyle name="Note 8 3 14 2 2" xfId="43786"/>
    <cellStyle name="Note 8 3 14 3" xfId="30282"/>
    <cellStyle name="Note 8 3 15" xfId="1782"/>
    <cellStyle name="Note 8 3 15 2" xfId="16870"/>
    <cellStyle name="Note 8 3 15 2 2" xfId="43878"/>
    <cellStyle name="Note 8 3 15 3" xfId="30374"/>
    <cellStyle name="Note 8 3 16" xfId="1888"/>
    <cellStyle name="Note 8 3 16 2" xfId="16962"/>
    <cellStyle name="Note 8 3 16 2 2" xfId="43970"/>
    <cellStyle name="Note 8 3 16 3" xfId="30466"/>
    <cellStyle name="Note 8 3 17" xfId="1994"/>
    <cellStyle name="Note 8 3 17 2" xfId="17054"/>
    <cellStyle name="Note 8 3 17 2 2" xfId="44062"/>
    <cellStyle name="Note 8 3 17 3" xfId="30558"/>
    <cellStyle name="Note 8 3 18" xfId="2100"/>
    <cellStyle name="Note 8 3 18 2" xfId="17146"/>
    <cellStyle name="Note 8 3 18 2 2" xfId="44154"/>
    <cellStyle name="Note 8 3 18 3" xfId="30650"/>
    <cellStyle name="Note 8 3 19" xfId="2206"/>
    <cellStyle name="Note 8 3 19 2" xfId="17238"/>
    <cellStyle name="Note 8 3 19 2 2" xfId="44246"/>
    <cellStyle name="Note 8 3 19 3" xfId="30742"/>
    <cellStyle name="Note 8 3 2" xfId="324"/>
    <cellStyle name="Note 8 3 2 2" xfId="15626"/>
    <cellStyle name="Note 8 3 2 2 2" xfId="42634"/>
    <cellStyle name="Note 8 3 2 3" xfId="29130"/>
    <cellStyle name="Note 8 3 20" xfId="2312"/>
    <cellStyle name="Note 8 3 20 2" xfId="17330"/>
    <cellStyle name="Note 8 3 20 2 2" xfId="44338"/>
    <cellStyle name="Note 8 3 20 3" xfId="30834"/>
    <cellStyle name="Note 8 3 21" xfId="2418"/>
    <cellStyle name="Note 8 3 21 2" xfId="17422"/>
    <cellStyle name="Note 8 3 21 2 2" xfId="44430"/>
    <cellStyle name="Note 8 3 21 3" xfId="30926"/>
    <cellStyle name="Note 8 3 22" xfId="2524"/>
    <cellStyle name="Note 8 3 22 2" xfId="17514"/>
    <cellStyle name="Note 8 3 22 2 2" xfId="44522"/>
    <cellStyle name="Note 8 3 22 3" xfId="31018"/>
    <cellStyle name="Note 8 3 23" xfId="2630"/>
    <cellStyle name="Note 8 3 23 2" xfId="17606"/>
    <cellStyle name="Note 8 3 23 2 2" xfId="44614"/>
    <cellStyle name="Note 8 3 23 3" xfId="31110"/>
    <cellStyle name="Note 8 3 24" xfId="2736"/>
    <cellStyle name="Note 8 3 24 2" xfId="17698"/>
    <cellStyle name="Note 8 3 24 2 2" xfId="44706"/>
    <cellStyle name="Note 8 3 24 3" xfId="31202"/>
    <cellStyle name="Note 8 3 25" xfId="2842"/>
    <cellStyle name="Note 8 3 25 2" xfId="17790"/>
    <cellStyle name="Note 8 3 25 2 2" xfId="44798"/>
    <cellStyle name="Note 8 3 25 3" xfId="31294"/>
    <cellStyle name="Note 8 3 26" xfId="2948"/>
    <cellStyle name="Note 8 3 26 2" xfId="17882"/>
    <cellStyle name="Note 8 3 26 2 2" xfId="44890"/>
    <cellStyle name="Note 8 3 26 3" xfId="31386"/>
    <cellStyle name="Note 8 3 27" xfId="3054"/>
    <cellStyle name="Note 8 3 27 2" xfId="17974"/>
    <cellStyle name="Note 8 3 27 2 2" xfId="44982"/>
    <cellStyle name="Note 8 3 27 3" xfId="31478"/>
    <cellStyle name="Note 8 3 28" xfId="3160"/>
    <cellStyle name="Note 8 3 28 2" xfId="18066"/>
    <cellStyle name="Note 8 3 28 2 2" xfId="45074"/>
    <cellStyle name="Note 8 3 28 3" xfId="31570"/>
    <cellStyle name="Note 8 3 29" xfId="3266"/>
    <cellStyle name="Note 8 3 29 2" xfId="18158"/>
    <cellStyle name="Note 8 3 29 2 2" xfId="45166"/>
    <cellStyle name="Note 8 3 29 3" xfId="31662"/>
    <cellStyle name="Note 8 3 3" xfId="511"/>
    <cellStyle name="Note 8 3 3 2" xfId="15767"/>
    <cellStyle name="Note 8 3 3 2 2" xfId="42775"/>
    <cellStyle name="Note 8 3 3 3" xfId="29271"/>
    <cellStyle name="Note 8 3 30" xfId="3372"/>
    <cellStyle name="Note 8 3 30 2" xfId="18250"/>
    <cellStyle name="Note 8 3 30 2 2" xfId="45258"/>
    <cellStyle name="Note 8 3 30 3" xfId="31754"/>
    <cellStyle name="Note 8 3 31" xfId="3478"/>
    <cellStyle name="Note 8 3 31 2" xfId="18342"/>
    <cellStyle name="Note 8 3 31 2 2" xfId="45350"/>
    <cellStyle name="Note 8 3 31 3" xfId="31846"/>
    <cellStyle name="Note 8 3 32" xfId="3584"/>
    <cellStyle name="Note 8 3 32 2" xfId="18434"/>
    <cellStyle name="Note 8 3 32 2 2" xfId="45442"/>
    <cellStyle name="Note 8 3 32 3" xfId="31938"/>
    <cellStyle name="Note 8 3 33" xfId="3690"/>
    <cellStyle name="Note 8 3 33 2" xfId="18526"/>
    <cellStyle name="Note 8 3 33 2 2" xfId="45534"/>
    <cellStyle name="Note 8 3 33 3" xfId="32030"/>
    <cellStyle name="Note 8 3 34" xfId="3796"/>
    <cellStyle name="Note 8 3 34 2" xfId="18618"/>
    <cellStyle name="Note 8 3 34 2 2" xfId="45626"/>
    <cellStyle name="Note 8 3 34 3" xfId="32122"/>
    <cellStyle name="Note 8 3 35" xfId="3902"/>
    <cellStyle name="Note 8 3 35 2" xfId="18710"/>
    <cellStyle name="Note 8 3 35 2 2" xfId="45718"/>
    <cellStyle name="Note 8 3 35 3" xfId="32214"/>
    <cellStyle name="Note 8 3 36" xfId="4008"/>
    <cellStyle name="Note 8 3 36 2" xfId="18802"/>
    <cellStyle name="Note 8 3 36 2 2" xfId="45810"/>
    <cellStyle name="Note 8 3 36 3" xfId="32306"/>
    <cellStyle name="Note 8 3 37" xfId="4114"/>
    <cellStyle name="Note 8 3 37 2" xfId="18894"/>
    <cellStyle name="Note 8 3 37 2 2" xfId="45902"/>
    <cellStyle name="Note 8 3 37 3" xfId="32398"/>
    <cellStyle name="Note 8 3 38" xfId="4220"/>
    <cellStyle name="Note 8 3 38 2" xfId="18986"/>
    <cellStyle name="Note 8 3 38 2 2" xfId="45994"/>
    <cellStyle name="Note 8 3 38 3" xfId="32490"/>
    <cellStyle name="Note 8 3 39" xfId="4326"/>
    <cellStyle name="Note 8 3 39 2" xfId="19078"/>
    <cellStyle name="Note 8 3 39 2 2" xfId="46086"/>
    <cellStyle name="Note 8 3 39 3" xfId="32582"/>
    <cellStyle name="Note 8 3 4" xfId="616"/>
    <cellStyle name="Note 8 3 4 2" xfId="15858"/>
    <cellStyle name="Note 8 3 4 2 2" xfId="42866"/>
    <cellStyle name="Note 8 3 4 3" xfId="29362"/>
    <cellStyle name="Note 8 3 40" xfId="4432"/>
    <cellStyle name="Note 8 3 40 2" xfId="19170"/>
    <cellStyle name="Note 8 3 40 2 2" xfId="46178"/>
    <cellStyle name="Note 8 3 40 3" xfId="32674"/>
    <cellStyle name="Note 8 3 41" xfId="4538"/>
    <cellStyle name="Note 8 3 41 2" xfId="19262"/>
    <cellStyle name="Note 8 3 41 2 2" xfId="46270"/>
    <cellStyle name="Note 8 3 41 3" xfId="32766"/>
    <cellStyle name="Note 8 3 42" xfId="4644"/>
    <cellStyle name="Note 8 3 42 2" xfId="19354"/>
    <cellStyle name="Note 8 3 42 2 2" xfId="46362"/>
    <cellStyle name="Note 8 3 42 3" xfId="32858"/>
    <cellStyle name="Note 8 3 43" xfId="4750"/>
    <cellStyle name="Note 8 3 43 2" xfId="19446"/>
    <cellStyle name="Note 8 3 43 2 2" xfId="46454"/>
    <cellStyle name="Note 8 3 43 3" xfId="32950"/>
    <cellStyle name="Note 8 3 44" xfId="4856"/>
    <cellStyle name="Note 8 3 44 2" xfId="19538"/>
    <cellStyle name="Note 8 3 44 2 2" xfId="46546"/>
    <cellStyle name="Note 8 3 44 3" xfId="33042"/>
    <cellStyle name="Note 8 3 45" xfId="4962"/>
    <cellStyle name="Note 8 3 45 2" xfId="19630"/>
    <cellStyle name="Note 8 3 45 2 2" xfId="46638"/>
    <cellStyle name="Note 8 3 45 3" xfId="33134"/>
    <cellStyle name="Note 8 3 46" xfId="5068"/>
    <cellStyle name="Note 8 3 46 2" xfId="19722"/>
    <cellStyle name="Note 8 3 46 2 2" xfId="46730"/>
    <cellStyle name="Note 8 3 46 3" xfId="33226"/>
    <cellStyle name="Note 8 3 47" xfId="5174"/>
    <cellStyle name="Note 8 3 47 2" xfId="19814"/>
    <cellStyle name="Note 8 3 47 2 2" xfId="46822"/>
    <cellStyle name="Note 8 3 47 3" xfId="33318"/>
    <cellStyle name="Note 8 3 48" xfId="5280"/>
    <cellStyle name="Note 8 3 48 2" xfId="19906"/>
    <cellStyle name="Note 8 3 48 2 2" xfId="46914"/>
    <cellStyle name="Note 8 3 48 3" xfId="33410"/>
    <cellStyle name="Note 8 3 49" xfId="5386"/>
    <cellStyle name="Note 8 3 49 2" xfId="19998"/>
    <cellStyle name="Note 8 3 49 2 2" xfId="47006"/>
    <cellStyle name="Note 8 3 49 3" xfId="33502"/>
    <cellStyle name="Note 8 3 5" xfId="722"/>
    <cellStyle name="Note 8 3 5 2" xfId="15950"/>
    <cellStyle name="Note 8 3 5 2 2" xfId="42958"/>
    <cellStyle name="Note 8 3 5 3" xfId="29454"/>
    <cellStyle name="Note 8 3 50" xfId="5492"/>
    <cellStyle name="Note 8 3 50 2" xfId="20090"/>
    <cellStyle name="Note 8 3 50 2 2" xfId="47098"/>
    <cellStyle name="Note 8 3 50 3" xfId="33594"/>
    <cellStyle name="Note 8 3 51" xfId="5598"/>
    <cellStyle name="Note 8 3 51 2" xfId="20182"/>
    <cellStyle name="Note 8 3 51 2 2" xfId="47190"/>
    <cellStyle name="Note 8 3 51 3" xfId="33686"/>
    <cellStyle name="Note 8 3 52" xfId="5704"/>
    <cellStyle name="Note 8 3 52 2" xfId="20274"/>
    <cellStyle name="Note 8 3 52 2 2" xfId="47282"/>
    <cellStyle name="Note 8 3 52 3" xfId="33778"/>
    <cellStyle name="Note 8 3 53" xfId="5810"/>
    <cellStyle name="Note 8 3 53 2" xfId="20366"/>
    <cellStyle name="Note 8 3 53 2 2" xfId="47374"/>
    <cellStyle name="Note 8 3 53 3" xfId="33870"/>
    <cellStyle name="Note 8 3 54" xfId="5916"/>
    <cellStyle name="Note 8 3 54 2" xfId="20458"/>
    <cellStyle name="Note 8 3 54 2 2" xfId="47466"/>
    <cellStyle name="Note 8 3 54 3" xfId="33962"/>
    <cellStyle name="Note 8 3 55" xfId="6022"/>
    <cellStyle name="Note 8 3 55 2" xfId="20550"/>
    <cellStyle name="Note 8 3 55 2 2" xfId="47558"/>
    <cellStyle name="Note 8 3 55 3" xfId="34054"/>
    <cellStyle name="Note 8 3 56" xfId="6128"/>
    <cellStyle name="Note 8 3 56 2" xfId="20642"/>
    <cellStyle name="Note 8 3 56 2 2" xfId="47650"/>
    <cellStyle name="Note 8 3 56 3" xfId="34146"/>
    <cellStyle name="Note 8 3 57" xfId="6234"/>
    <cellStyle name="Note 8 3 57 2" xfId="20734"/>
    <cellStyle name="Note 8 3 57 2 2" xfId="47742"/>
    <cellStyle name="Note 8 3 57 3" xfId="34238"/>
    <cellStyle name="Note 8 3 58" xfId="6340"/>
    <cellStyle name="Note 8 3 58 2" xfId="20826"/>
    <cellStyle name="Note 8 3 58 2 2" xfId="47834"/>
    <cellStyle name="Note 8 3 58 3" xfId="34330"/>
    <cellStyle name="Note 8 3 59" xfId="6446"/>
    <cellStyle name="Note 8 3 59 2" xfId="20918"/>
    <cellStyle name="Note 8 3 59 2 2" xfId="47926"/>
    <cellStyle name="Note 8 3 59 3" xfId="34422"/>
    <cellStyle name="Note 8 3 6" xfId="828"/>
    <cellStyle name="Note 8 3 6 2" xfId="16042"/>
    <cellStyle name="Note 8 3 6 2 2" xfId="43050"/>
    <cellStyle name="Note 8 3 6 3" xfId="29546"/>
    <cellStyle name="Note 8 3 60" xfId="6552"/>
    <cellStyle name="Note 8 3 60 2" xfId="21010"/>
    <cellStyle name="Note 8 3 60 2 2" xfId="48018"/>
    <cellStyle name="Note 8 3 60 3" xfId="34514"/>
    <cellStyle name="Note 8 3 61" xfId="6657"/>
    <cellStyle name="Note 8 3 61 2" xfId="21101"/>
    <cellStyle name="Note 8 3 61 2 2" xfId="48109"/>
    <cellStyle name="Note 8 3 61 3" xfId="34605"/>
    <cellStyle name="Note 8 3 62" xfId="6762"/>
    <cellStyle name="Note 8 3 62 2" xfId="21192"/>
    <cellStyle name="Note 8 3 62 2 2" xfId="48200"/>
    <cellStyle name="Note 8 3 62 3" xfId="34696"/>
    <cellStyle name="Note 8 3 63" xfId="6867"/>
    <cellStyle name="Note 8 3 63 2" xfId="21283"/>
    <cellStyle name="Note 8 3 63 2 2" xfId="48291"/>
    <cellStyle name="Note 8 3 63 3" xfId="34787"/>
    <cellStyle name="Note 8 3 64" xfId="6972"/>
    <cellStyle name="Note 8 3 64 2" xfId="21374"/>
    <cellStyle name="Note 8 3 64 2 2" xfId="48382"/>
    <cellStyle name="Note 8 3 64 3" xfId="34878"/>
    <cellStyle name="Note 8 3 65" xfId="7076"/>
    <cellStyle name="Note 8 3 65 2" xfId="21464"/>
    <cellStyle name="Note 8 3 65 2 2" xfId="48472"/>
    <cellStyle name="Note 8 3 65 3" xfId="34968"/>
    <cellStyle name="Note 8 3 66" xfId="7180"/>
    <cellStyle name="Note 8 3 66 2" xfId="21554"/>
    <cellStyle name="Note 8 3 66 2 2" xfId="48562"/>
    <cellStyle name="Note 8 3 66 3" xfId="35058"/>
    <cellStyle name="Note 8 3 67" xfId="7283"/>
    <cellStyle name="Note 8 3 67 2" xfId="21643"/>
    <cellStyle name="Note 8 3 67 2 2" xfId="48651"/>
    <cellStyle name="Note 8 3 67 3" xfId="35147"/>
    <cellStyle name="Note 8 3 68" xfId="7383"/>
    <cellStyle name="Note 8 3 68 2" xfId="21730"/>
    <cellStyle name="Note 8 3 68 2 2" xfId="48738"/>
    <cellStyle name="Note 8 3 68 3" xfId="35234"/>
    <cellStyle name="Note 8 3 69" xfId="7481"/>
    <cellStyle name="Note 8 3 69 2" xfId="21815"/>
    <cellStyle name="Note 8 3 69 2 2" xfId="48823"/>
    <cellStyle name="Note 8 3 69 3" xfId="35319"/>
    <cellStyle name="Note 8 3 7" xfId="934"/>
    <cellStyle name="Note 8 3 7 2" xfId="16134"/>
    <cellStyle name="Note 8 3 7 2 2" xfId="43142"/>
    <cellStyle name="Note 8 3 7 3" xfId="29638"/>
    <cellStyle name="Note 8 3 70" xfId="7570"/>
    <cellStyle name="Note 8 3 70 2" xfId="21893"/>
    <cellStyle name="Note 8 3 70 2 2" xfId="48901"/>
    <cellStyle name="Note 8 3 70 3" xfId="35397"/>
    <cellStyle name="Note 8 3 71" xfId="7646"/>
    <cellStyle name="Note 8 3 71 2" xfId="21962"/>
    <cellStyle name="Note 8 3 71 2 2" xfId="48970"/>
    <cellStyle name="Note 8 3 71 3" xfId="35466"/>
    <cellStyle name="Note 8 3 72" xfId="7825"/>
    <cellStyle name="Note 8 3 72 2" xfId="22115"/>
    <cellStyle name="Note 8 3 72 2 2" xfId="49123"/>
    <cellStyle name="Note 8 3 72 3" xfId="35619"/>
    <cellStyle name="Note 8 3 73" xfId="7967"/>
    <cellStyle name="Note 8 3 73 2" xfId="22243"/>
    <cellStyle name="Note 8 3 73 2 2" xfId="49251"/>
    <cellStyle name="Note 8 3 73 3" xfId="35747"/>
    <cellStyle name="Note 8 3 74" xfId="8109"/>
    <cellStyle name="Note 8 3 74 2" xfId="22371"/>
    <cellStyle name="Note 8 3 74 2 2" xfId="49379"/>
    <cellStyle name="Note 8 3 74 3" xfId="35875"/>
    <cellStyle name="Note 8 3 75" xfId="8251"/>
    <cellStyle name="Note 8 3 75 2" xfId="22499"/>
    <cellStyle name="Note 8 3 75 2 2" xfId="49507"/>
    <cellStyle name="Note 8 3 75 3" xfId="36003"/>
    <cellStyle name="Note 8 3 76" xfId="8393"/>
    <cellStyle name="Note 8 3 76 2" xfId="22627"/>
    <cellStyle name="Note 8 3 76 2 2" xfId="49635"/>
    <cellStyle name="Note 8 3 76 3" xfId="36131"/>
    <cellStyle name="Note 8 3 77" xfId="8535"/>
    <cellStyle name="Note 8 3 77 2" xfId="22755"/>
    <cellStyle name="Note 8 3 77 2 2" xfId="49763"/>
    <cellStyle name="Note 8 3 77 3" xfId="36259"/>
    <cellStyle name="Note 8 3 78" xfId="8677"/>
    <cellStyle name="Note 8 3 78 2" xfId="22883"/>
    <cellStyle name="Note 8 3 78 2 2" xfId="49891"/>
    <cellStyle name="Note 8 3 78 3" xfId="36387"/>
    <cellStyle name="Note 8 3 79" xfId="8819"/>
    <cellStyle name="Note 8 3 79 2" xfId="23011"/>
    <cellStyle name="Note 8 3 79 2 2" xfId="50019"/>
    <cellStyle name="Note 8 3 79 3" xfId="36515"/>
    <cellStyle name="Note 8 3 8" xfId="1040"/>
    <cellStyle name="Note 8 3 8 2" xfId="16226"/>
    <cellStyle name="Note 8 3 8 2 2" xfId="43234"/>
    <cellStyle name="Note 8 3 8 3" xfId="29730"/>
    <cellStyle name="Note 8 3 80" xfId="8961"/>
    <cellStyle name="Note 8 3 80 2" xfId="23139"/>
    <cellStyle name="Note 8 3 80 2 2" xfId="50147"/>
    <cellStyle name="Note 8 3 80 3" xfId="36643"/>
    <cellStyle name="Note 8 3 81" xfId="9103"/>
    <cellStyle name="Note 8 3 81 2" xfId="23267"/>
    <cellStyle name="Note 8 3 81 2 2" xfId="50275"/>
    <cellStyle name="Note 8 3 81 3" xfId="36771"/>
    <cellStyle name="Note 8 3 82" xfId="9245"/>
    <cellStyle name="Note 8 3 82 2" xfId="23395"/>
    <cellStyle name="Note 8 3 82 2 2" xfId="50403"/>
    <cellStyle name="Note 8 3 82 3" xfId="36899"/>
    <cellStyle name="Note 8 3 83" xfId="9387"/>
    <cellStyle name="Note 8 3 83 2" xfId="23523"/>
    <cellStyle name="Note 8 3 83 2 2" xfId="50531"/>
    <cellStyle name="Note 8 3 83 3" xfId="37027"/>
    <cellStyle name="Note 8 3 84" xfId="9529"/>
    <cellStyle name="Note 8 3 84 2" xfId="23651"/>
    <cellStyle name="Note 8 3 84 2 2" xfId="50659"/>
    <cellStyle name="Note 8 3 84 3" xfId="37155"/>
    <cellStyle name="Note 8 3 85" xfId="9671"/>
    <cellStyle name="Note 8 3 85 2" xfId="23779"/>
    <cellStyle name="Note 8 3 85 2 2" xfId="50787"/>
    <cellStyle name="Note 8 3 85 3" xfId="37283"/>
    <cellStyle name="Note 8 3 86" xfId="9813"/>
    <cellStyle name="Note 8 3 86 2" xfId="23907"/>
    <cellStyle name="Note 8 3 86 2 2" xfId="50915"/>
    <cellStyle name="Note 8 3 86 3" xfId="37411"/>
    <cellStyle name="Note 8 3 87" xfId="9955"/>
    <cellStyle name="Note 8 3 87 2" xfId="24035"/>
    <cellStyle name="Note 8 3 87 2 2" xfId="51043"/>
    <cellStyle name="Note 8 3 87 3" xfId="37539"/>
    <cellStyle name="Note 8 3 88" xfId="10097"/>
    <cellStyle name="Note 8 3 88 2" xfId="24163"/>
    <cellStyle name="Note 8 3 88 2 2" xfId="51171"/>
    <cellStyle name="Note 8 3 88 3" xfId="37667"/>
    <cellStyle name="Note 8 3 89" xfId="10239"/>
    <cellStyle name="Note 8 3 89 2" xfId="24291"/>
    <cellStyle name="Note 8 3 89 2 2" xfId="51299"/>
    <cellStyle name="Note 8 3 89 3" xfId="37795"/>
    <cellStyle name="Note 8 3 9" xfId="1146"/>
    <cellStyle name="Note 8 3 9 2" xfId="16318"/>
    <cellStyle name="Note 8 3 9 2 2" xfId="43326"/>
    <cellStyle name="Note 8 3 9 3" xfId="29822"/>
    <cellStyle name="Note 8 3 90" xfId="10381"/>
    <cellStyle name="Note 8 3 90 2" xfId="24419"/>
    <cellStyle name="Note 8 3 90 2 2" xfId="51427"/>
    <cellStyle name="Note 8 3 90 3" xfId="37923"/>
    <cellStyle name="Note 8 3 91" xfId="10523"/>
    <cellStyle name="Note 8 3 91 2" xfId="24547"/>
    <cellStyle name="Note 8 3 91 2 2" xfId="51555"/>
    <cellStyle name="Note 8 3 91 3" xfId="38051"/>
    <cellStyle name="Note 8 3 92" xfId="10665"/>
    <cellStyle name="Note 8 3 92 2" xfId="24675"/>
    <cellStyle name="Note 8 3 92 2 2" xfId="51683"/>
    <cellStyle name="Note 8 3 92 3" xfId="38179"/>
    <cellStyle name="Note 8 3 93" xfId="10807"/>
    <cellStyle name="Note 8 3 93 2" xfId="24803"/>
    <cellStyle name="Note 8 3 93 2 2" xfId="51811"/>
    <cellStyle name="Note 8 3 93 3" xfId="38307"/>
    <cellStyle name="Note 8 3 94" xfId="10949"/>
    <cellStyle name="Note 8 3 94 2" xfId="24931"/>
    <cellStyle name="Note 8 3 94 2 2" xfId="51939"/>
    <cellStyle name="Note 8 3 94 3" xfId="38435"/>
    <cellStyle name="Note 8 3 95" xfId="11091"/>
    <cellStyle name="Note 8 3 95 2" xfId="25059"/>
    <cellStyle name="Note 8 3 95 2 2" xfId="52067"/>
    <cellStyle name="Note 8 3 95 3" xfId="38563"/>
    <cellStyle name="Note 8 3 96" xfId="11233"/>
    <cellStyle name="Note 8 3 96 2" xfId="25187"/>
    <cellStyle name="Note 8 3 96 2 2" xfId="52195"/>
    <cellStyle name="Note 8 3 96 3" xfId="38691"/>
    <cellStyle name="Note 8 3 97" xfId="11375"/>
    <cellStyle name="Note 8 3 97 2" xfId="25315"/>
    <cellStyle name="Note 8 3 97 2 2" xfId="52323"/>
    <cellStyle name="Note 8 3 97 3" xfId="38819"/>
    <cellStyle name="Note 8 3 98" xfId="11517"/>
    <cellStyle name="Note 8 3 98 2" xfId="25443"/>
    <cellStyle name="Note 8 3 98 2 2" xfId="52451"/>
    <cellStyle name="Note 8 3 98 3" xfId="38947"/>
    <cellStyle name="Note 8 3 99" xfId="11659"/>
    <cellStyle name="Note 8 3 99 2" xfId="25571"/>
    <cellStyle name="Note 8 3 99 2 2" xfId="52579"/>
    <cellStyle name="Note 8 3 99 3" xfId="39075"/>
    <cellStyle name="Note 8 30" xfId="3135"/>
    <cellStyle name="Note 8 30 2" xfId="18045"/>
    <cellStyle name="Note 8 30 2 2" xfId="45053"/>
    <cellStyle name="Note 8 30 3" xfId="31549"/>
    <cellStyle name="Note 8 31" xfId="3241"/>
    <cellStyle name="Note 8 31 2" xfId="18137"/>
    <cellStyle name="Note 8 31 2 2" xfId="45145"/>
    <cellStyle name="Note 8 31 3" xfId="31641"/>
    <cellStyle name="Note 8 32" xfId="3347"/>
    <cellStyle name="Note 8 32 2" xfId="18229"/>
    <cellStyle name="Note 8 32 2 2" xfId="45237"/>
    <cellStyle name="Note 8 32 3" xfId="31733"/>
    <cellStyle name="Note 8 33" xfId="3453"/>
    <cellStyle name="Note 8 33 2" xfId="18321"/>
    <cellStyle name="Note 8 33 2 2" xfId="45329"/>
    <cellStyle name="Note 8 33 3" xfId="31825"/>
    <cellStyle name="Note 8 34" xfId="3559"/>
    <cellStyle name="Note 8 34 2" xfId="18413"/>
    <cellStyle name="Note 8 34 2 2" xfId="45421"/>
    <cellStyle name="Note 8 34 3" xfId="31917"/>
    <cellStyle name="Note 8 35" xfId="3665"/>
    <cellStyle name="Note 8 35 2" xfId="18505"/>
    <cellStyle name="Note 8 35 2 2" xfId="45513"/>
    <cellStyle name="Note 8 35 3" xfId="32009"/>
    <cellStyle name="Note 8 36" xfId="3771"/>
    <cellStyle name="Note 8 36 2" xfId="18597"/>
    <cellStyle name="Note 8 36 2 2" xfId="45605"/>
    <cellStyle name="Note 8 36 3" xfId="32101"/>
    <cellStyle name="Note 8 37" xfId="3877"/>
    <cellStyle name="Note 8 37 2" xfId="18689"/>
    <cellStyle name="Note 8 37 2 2" xfId="45697"/>
    <cellStyle name="Note 8 37 3" xfId="32193"/>
    <cellStyle name="Note 8 38" xfId="3983"/>
    <cellStyle name="Note 8 38 2" xfId="18781"/>
    <cellStyle name="Note 8 38 2 2" xfId="45789"/>
    <cellStyle name="Note 8 38 3" xfId="32285"/>
    <cellStyle name="Note 8 39" xfId="4089"/>
    <cellStyle name="Note 8 39 2" xfId="18873"/>
    <cellStyle name="Note 8 39 2 2" xfId="45881"/>
    <cellStyle name="Note 8 39 3" xfId="32377"/>
    <cellStyle name="Note 8 4" xfId="262"/>
    <cellStyle name="Note 8 4 2" xfId="15577"/>
    <cellStyle name="Note 8 4 2 2" xfId="42585"/>
    <cellStyle name="Note 8 4 3" xfId="29081"/>
    <cellStyle name="Note 8 40" xfId="4195"/>
    <cellStyle name="Note 8 40 2" xfId="18965"/>
    <cellStyle name="Note 8 40 2 2" xfId="45973"/>
    <cellStyle name="Note 8 40 3" xfId="32469"/>
    <cellStyle name="Note 8 41" xfId="4301"/>
    <cellStyle name="Note 8 41 2" xfId="19057"/>
    <cellStyle name="Note 8 41 2 2" xfId="46065"/>
    <cellStyle name="Note 8 41 3" xfId="32561"/>
    <cellStyle name="Note 8 42" xfId="4407"/>
    <cellStyle name="Note 8 42 2" xfId="19149"/>
    <cellStyle name="Note 8 42 2 2" xfId="46157"/>
    <cellStyle name="Note 8 42 3" xfId="32653"/>
    <cellStyle name="Note 8 43" xfId="4513"/>
    <cellStyle name="Note 8 43 2" xfId="19241"/>
    <cellStyle name="Note 8 43 2 2" xfId="46249"/>
    <cellStyle name="Note 8 43 3" xfId="32745"/>
    <cellStyle name="Note 8 44" xfId="4619"/>
    <cellStyle name="Note 8 44 2" xfId="19333"/>
    <cellStyle name="Note 8 44 2 2" xfId="46341"/>
    <cellStyle name="Note 8 44 3" xfId="32837"/>
    <cellStyle name="Note 8 45" xfId="4725"/>
    <cellStyle name="Note 8 45 2" xfId="19425"/>
    <cellStyle name="Note 8 45 2 2" xfId="46433"/>
    <cellStyle name="Note 8 45 3" xfId="32929"/>
    <cellStyle name="Note 8 46" xfId="4831"/>
    <cellStyle name="Note 8 46 2" xfId="19517"/>
    <cellStyle name="Note 8 46 2 2" xfId="46525"/>
    <cellStyle name="Note 8 46 3" xfId="33021"/>
    <cellStyle name="Note 8 47" xfId="4937"/>
    <cellStyle name="Note 8 47 2" xfId="19609"/>
    <cellStyle name="Note 8 47 2 2" xfId="46617"/>
    <cellStyle name="Note 8 47 3" xfId="33113"/>
    <cellStyle name="Note 8 48" xfId="5043"/>
    <cellStyle name="Note 8 48 2" xfId="19701"/>
    <cellStyle name="Note 8 48 2 2" xfId="46709"/>
    <cellStyle name="Note 8 48 3" xfId="33205"/>
    <cellStyle name="Note 8 49" xfId="5149"/>
    <cellStyle name="Note 8 49 2" xfId="19793"/>
    <cellStyle name="Note 8 49 2 2" xfId="46801"/>
    <cellStyle name="Note 8 49 3" xfId="33297"/>
    <cellStyle name="Note 8 5" xfId="449"/>
    <cellStyle name="Note 8 5 2" xfId="15713"/>
    <cellStyle name="Note 8 5 2 2" xfId="42721"/>
    <cellStyle name="Note 8 5 3" xfId="29217"/>
    <cellStyle name="Note 8 50" xfId="5255"/>
    <cellStyle name="Note 8 50 2" xfId="19885"/>
    <cellStyle name="Note 8 50 2 2" xfId="46893"/>
    <cellStyle name="Note 8 50 3" xfId="33389"/>
    <cellStyle name="Note 8 51" xfId="5361"/>
    <cellStyle name="Note 8 51 2" xfId="19977"/>
    <cellStyle name="Note 8 51 2 2" xfId="46985"/>
    <cellStyle name="Note 8 51 3" xfId="33481"/>
    <cellStyle name="Note 8 52" xfId="5467"/>
    <cellStyle name="Note 8 52 2" xfId="20069"/>
    <cellStyle name="Note 8 52 2 2" xfId="47077"/>
    <cellStyle name="Note 8 52 3" xfId="33573"/>
    <cellStyle name="Note 8 53" xfId="5573"/>
    <cellStyle name="Note 8 53 2" xfId="20161"/>
    <cellStyle name="Note 8 53 2 2" xfId="47169"/>
    <cellStyle name="Note 8 53 3" xfId="33665"/>
    <cellStyle name="Note 8 54" xfId="5679"/>
    <cellStyle name="Note 8 54 2" xfId="20253"/>
    <cellStyle name="Note 8 54 2 2" xfId="47261"/>
    <cellStyle name="Note 8 54 3" xfId="33757"/>
    <cellStyle name="Note 8 55" xfId="5785"/>
    <cellStyle name="Note 8 55 2" xfId="20345"/>
    <cellStyle name="Note 8 55 2 2" xfId="47353"/>
    <cellStyle name="Note 8 55 3" xfId="33849"/>
    <cellStyle name="Note 8 56" xfId="5891"/>
    <cellStyle name="Note 8 56 2" xfId="20437"/>
    <cellStyle name="Note 8 56 2 2" xfId="47445"/>
    <cellStyle name="Note 8 56 3" xfId="33941"/>
    <cellStyle name="Note 8 57" xfId="5997"/>
    <cellStyle name="Note 8 57 2" xfId="20529"/>
    <cellStyle name="Note 8 57 2 2" xfId="47537"/>
    <cellStyle name="Note 8 57 3" xfId="34033"/>
    <cellStyle name="Note 8 58" xfId="6103"/>
    <cellStyle name="Note 8 58 2" xfId="20621"/>
    <cellStyle name="Note 8 58 2 2" xfId="47629"/>
    <cellStyle name="Note 8 58 3" xfId="34125"/>
    <cellStyle name="Note 8 59" xfId="6209"/>
    <cellStyle name="Note 8 59 2" xfId="20713"/>
    <cellStyle name="Note 8 59 2 2" xfId="47721"/>
    <cellStyle name="Note 8 59 3" xfId="34217"/>
    <cellStyle name="Note 8 6" xfId="591"/>
    <cellStyle name="Note 8 6 2" xfId="15837"/>
    <cellStyle name="Note 8 6 2 2" xfId="42845"/>
    <cellStyle name="Note 8 6 3" xfId="29341"/>
    <cellStyle name="Note 8 60" xfId="6315"/>
    <cellStyle name="Note 8 60 2" xfId="20805"/>
    <cellStyle name="Note 8 60 2 2" xfId="47813"/>
    <cellStyle name="Note 8 60 3" xfId="34309"/>
    <cellStyle name="Note 8 61" xfId="6421"/>
    <cellStyle name="Note 8 61 2" xfId="20897"/>
    <cellStyle name="Note 8 61 2 2" xfId="47905"/>
    <cellStyle name="Note 8 61 3" xfId="34401"/>
    <cellStyle name="Note 8 62" xfId="6527"/>
    <cellStyle name="Note 8 62 2" xfId="20989"/>
    <cellStyle name="Note 8 62 2 2" xfId="47997"/>
    <cellStyle name="Note 8 62 3" xfId="34493"/>
    <cellStyle name="Note 8 63" xfId="6632"/>
    <cellStyle name="Note 8 63 2" xfId="21080"/>
    <cellStyle name="Note 8 63 2 2" xfId="48088"/>
    <cellStyle name="Note 8 63 3" xfId="34584"/>
    <cellStyle name="Note 8 64" xfId="6737"/>
    <cellStyle name="Note 8 64 2" xfId="21171"/>
    <cellStyle name="Note 8 64 2 2" xfId="48179"/>
    <cellStyle name="Note 8 64 3" xfId="34675"/>
    <cellStyle name="Note 8 65" xfId="6842"/>
    <cellStyle name="Note 8 65 2" xfId="21262"/>
    <cellStyle name="Note 8 65 2 2" xfId="48270"/>
    <cellStyle name="Note 8 65 3" xfId="34766"/>
    <cellStyle name="Note 8 66" xfId="6947"/>
    <cellStyle name="Note 8 66 2" xfId="21353"/>
    <cellStyle name="Note 8 66 2 2" xfId="48361"/>
    <cellStyle name="Note 8 66 3" xfId="34857"/>
    <cellStyle name="Note 8 67" xfId="7051"/>
    <cellStyle name="Note 8 67 2" xfId="21443"/>
    <cellStyle name="Note 8 67 2 2" xfId="48451"/>
    <cellStyle name="Note 8 67 3" xfId="34947"/>
    <cellStyle name="Note 8 68" xfId="7155"/>
    <cellStyle name="Note 8 68 2" xfId="21533"/>
    <cellStyle name="Note 8 68 2 2" xfId="48541"/>
    <cellStyle name="Note 8 68 3" xfId="35037"/>
    <cellStyle name="Note 8 69" xfId="7258"/>
    <cellStyle name="Note 8 69 2" xfId="21622"/>
    <cellStyle name="Note 8 69 2 2" xfId="48630"/>
    <cellStyle name="Note 8 69 3" xfId="35126"/>
    <cellStyle name="Note 8 7" xfId="697"/>
    <cellStyle name="Note 8 7 2" xfId="15929"/>
    <cellStyle name="Note 8 7 2 2" xfId="42937"/>
    <cellStyle name="Note 8 7 3" xfId="29433"/>
    <cellStyle name="Note 8 70" xfId="7358"/>
    <cellStyle name="Note 8 70 2" xfId="21709"/>
    <cellStyle name="Note 8 70 2 2" xfId="48717"/>
    <cellStyle name="Note 8 70 3" xfId="35213"/>
    <cellStyle name="Note 8 71" xfId="7456"/>
    <cellStyle name="Note 8 71 2" xfId="21794"/>
    <cellStyle name="Note 8 71 2 2" xfId="48802"/>
    <cellStyle name="Note 8 71 3" xfId="35298"/>
    <cellStyle name="Note 8 72" xfId="7548"/>
    <cellStyle name="Note 8 72 2" xfId="21875"/>
    <cellStyle name="Note 8 72 2 2" xfId="48883"/>
    <cellStyle name="Note 8 72 3" xfId="35379"/>
    <cellStyle name="Note 8 73" xfId="7631"/>
    <cellStyle name="Note 8 73 2" xfId="21950"/>
    <cellStyle name="Note 8 73 2 2" xfId="48958"/>
    <cellStyle name="Note 8 73 3" xfId="35454"/>
    <cellStyle name="Note 8 74" xfId="7760"/>
    <cellStyle name="Note 8 74 2" xfId="22058"/>
    <cellStyle name="Note 8 74 2 2" xfId="49066"/>
    <cellStyle name="Note 8 74 3" xfId="35562"/>
    <cellStyle name="Note 8 75" xfId="7906"/>
    <cellStyle name="Note 8 75 2" xfId="22187"/>
    <cellStyle name="Note 8 75 2 2" xfId="49195"/>
    <cellStyle name="Note 8 75 3" xfId="35691"/>
    <cellStyle name="Note 8 76" xfId="8048"/>
    <cellStyle name="Note 8 76 2" xfId="22315"/>
    <cellStyle name="Note 8 76 2 2" xfId="49323"/>
    <cellStyle name="Note 8 76 3" xfId="35819"/>
    <cellStyle name="Note 8 77" xfId="8190"/>
    <cellStyle name="Note 8 77 2" xfId="22443"/>
    <cellStyle name="Note 8 77 2 2" xfId="49451"/>
    <cellStyle name="Note 8 77 3" xfId="35947"/>
    <cellStyle name="Note 8 78" xfId="8332"/>
    <cellStyle name="Note 8 78 2" xfId="22571"/>
    <cellStyle name="Note 8 78 2 2" xfId="49579"/>
    <cellStyle name="Note 8 78 3" xfId="36075"/>
    <cellStyle name="Note 8 79" xfId="8474"/>
    <cellStyle name="Note 8 79 2" xfId="22699"/>
    <cellStyle name="Note 8 79 2 2" xfId="49707"/>
    <cellStyle name="Note 8 79 3" xfId="36203"/>
    <cellStyle name="Note 8 8" xfId="803"/>
    <cellStyle name="Note 8 8 2" xfId="16021"/>
    <cellStyle name="Note 8 8 2 2" xfId="43029"/>
    <cellStyle name="Note 8 8 3" xfId="29525"/>
    <cellStyle name="Note 8 80" xfId="8616"/>
    <cellStyle name="Note 8 80 2" xfId="22827"/>
    <cellStyle name="Note 8 80 2 2" xfId="49835"/>
    <cellStyle name="Note 8 80 3" xfId="36331"/>
    <cellStyle name="Note 8 81" xfId="8758"/>
    <cellStyle name="Note 8 81 2" xfId="22955"/>
    <cellStyle name="Note 8 81 2 2" xfId="49963"/>
    <cellStyle name="Note 8 81 3" xfId="36459"/>
    <cellStyle name="Note 8 82" xfId="8900"/>
    <cellStyle name="Note 8 82 2" xfId="23083"/>
    <cellStyle name="Note 8 82 2 2" xfId="50091"/>
    <cellStyle name="Note 8 82 3" xfId="36587"/>
    <cellStyle name="Note 8 83" xfId="9042"/>
    <cellStyle name="Note 8 83 2" xfId="23211"/>
    <cellStyle name="Note 8 83 2 2" xfId="50219"/>
    <cellStyle name="Note 8 83 3" xfId="36715"/>
    <cellStyle name="Note 8 84" xfId="9184"/>
    <cellStyle name="Note 8 84 2" xfId="23339"/>
    <cellStyle name="Note 8 84 2 2" xfId="50347"/>
    <cellStyle name="Note 8 84 3" xfId="36843"/>
    <cellStyle name="Note 8 85" xfId="9326"/>
    <cellStyle name="Note 8 85 2" xfId="23467"/>
    <cellStyle name="Note 8 85 2 2" xfId="50475"/>
    <cellStyle name="Note 8 85 3" xfId="36971"/>
    <cellStyle name="Note 8 86" xfId="9468"/>
    <cellStyle name="Note 8 86 2" xfId="23595"/>
    <cellStyle name="Note 8 86 2 2" xfId="50603"/>
    <cellStyle name="Note 8 86 3" xfId="37099"/>
    <cellStyle name="Note 8 87" xfId="9610"/>
    <cellStyle name="Note 8 87 2" xfId="23723"/>
    <cellStyle name="Note 8 87 2 2" xfId="50731"/>
    <cellStyle name="Note 8 87 3" xfId="37227"/>
    <cellStyle name="Note 8 88" xfId="9752"/>
    <cellStyle name="Note 8 88 2" xfId="23851"/>
    <cellStyle name="Note 8 88 2 2" xfId="50859"/>
    <cellStyle name="Note 8 88 3" xfId="37355"/>
    <cellStyle name="Note 8 89" xfId="9894"/>
    <cellStyle name="Note 8 89 2" xfId="23979"/>
    <cellStyle name="Note 8 89 2 2" xfId="50987"/>
    <cellStyle name="Note 8 89 3" xfId="37483"/>
    <cellStyle name="Note 8 9" xfId="909"/>
    <cellStyle name="Note 8 9 2" xfId="16113"/>
    <cellStyle name="Note 8 9 2 2" xfId="43121"/>
    <cellStyle name="Note 8 9 3" xfId="29617"/>
    <cellStyle name="Note 8 90" xfId="10036"/>
    <cellStyle name="Note 8 90 2" xfId="24107"/>
    <cellStyle name="Note 8 90 2 2" xfId="51115"/>
    <cellStyle name="Note 8 90 3" xfId="37611"/>
    <cellStyle name="Note 8 91" xfId="10178"/>
    <cellStyle name="Note 8 91 2" xfId="24235"/>
    <cellStyle name="Note 8 91 2 2" xfId="51243"/>
    <cellStyle name="Note 8 91 3" xfId="37739"/>
    <cellStyle name="Note 8 92" xfId="10320"/>
    <cellStyle name="Note 8 92 2" xfId="24363"/>
    <cellStyle name="Note 8 92 2 2" xfId="51371"/>
    <cellStyle name="Note 8 92 3" xfId="37867"/>
    <cellStyle name="Note 8 93" xfId="10462"/>
    <cellStyle name="Note 8 93 2" xfId="24491"/>
    <cellStyle name="Note 8 93 2 2" xfId="51499"/>
    <cellStyle name="Note 8 93 3" xfId="37995"/>
    <cellStyle name="Note 8 94" xfId="10604"/>
    <cellStyle name="Note 8 94 2" xfId="24619"/>
    <cellStyle name="Note 8 94 2 2" xfId="51627"/>
    <cellStyle name="Note 8 94 3" xfId="38123"/>
    <cellStyle name="Note 8 95" xfId="10746"/>
    <cellStyle name="Note 8 95 2" xfId="24747"/>
    <cellStyle name="Note 8 95 2 2" xfId="51755"/>
    <cellStyle name="Note 8 95 3" xfId="38251"/>
    <cellStyle name="Note 8 96" xfId="10888"/>
    <cellStyle name="Note 8 96 2" xfId="24875"/>
    <cellStyle name="Note 8 96 2 2" xfId="51883"/>
    <cellStyle name="Note 8 96 3" xfId="38379"/>
    <cellStyle name="Note 8 97" xfId="11030"/>
    <cellStyle name="Note 8 97 2" xfId="25003"/>
    <cellStyle name="Note 8 97 2 2" xfId="52011"/>
    <cellStyle name="Note 8 97 3" xfId="38507"/>
    <cellStyle name="Note 8 98" xfId="11172"/>
    <cellStyle name="Note 8 98 2" xfId="25131"/>
    <cellStyle name="Note 8 98 2 2" xfId="52139"/>
    <cellStyle name="Note 8 98 3" xfId="38635"/>
    <cellStyle name="Note 8 99" xfId="11314"/>
    <cellStyle name="Note 8 99 2" xfId="25259"/>
    <cellStyle name="Note 8 99 2 2" xfId="52267"/>
    <cellStyle name="Note 8 99 3" xfId="38763"/>
    <cellStyle name="Note 9" xfId="93"/>
    <cellStyle name="Note 9 10" xfId="1014"/>
    <cellStyle name="Note 9 10 2" xfId="16204"/>
    <cellStyle name="Note 9 10 2 2" xfId="43212"/>
    <cellStyle name="Note 9 10 3" xfId="29708"/>
    <cellStyle name="Note 9 100" xfId="11455"/>
    <cellStyle name="Note 9 100 2" xfId="25386"/>
    <cellStyle name="Note 9 100 2 2" xfId="52394"/>
    <cellStyle name="Note 9 100 3" xfId="38890"/>
    <cellStyle name="Note 9 101" xfId="11597"/>
    <cellStyle name="Note 9 101 2" xfId="25514"/>
    <cellStyle name="Note 9 101 2 2" xfId="52522"/>
    <cellStyle name="Note 9 101 3" xfId="39018"/>
    <cellStyle name="Note 9 102" xfId="11739"/>
    <cellStyle name="Note 9 102 2" xfId="25642"/>
    <cellStyle name="Note 9 102 2 2" xfId="52650"/>
    <cellStyle name="Note 9 102 3" xfId="39146"/>
    <cellStyle name="Note 9 103" xfId="11881"/>
    <cellStyle name="Note 9 103 2" xfId="25770"/>
    <cellStyle name="Note 9 103 2 2" xfId="52778"/>
    <cellStyle name="Note 9 103 3" xfId="39274"/>
    <cellStyle name="Note 9 104" xfId="12023"/>
    <cellStyle name="Note 9 104 2" xfId="25898"/>
    <cellStyle name="Note 9 104 2 2" xfId="52906"/>
    <cellStyle name="Note 9 104 3" xfId="39402"/>
    <cellStyle name="Note 9 105" xfId="12165"/>
    <cellStyle name="Note 9 105 2" xfId="26026"/>
    <cellStyle name="Note 9 105 2 2" xfId="53034"/>
    <cellStyle name="Note 9 105 3" xfId="39530"/>
    <cellStyle name="Note 9 106" xfId="12307"/>
    <cellStyle name="Note 9 106 2" xfId="26154"/>
    <cellStyle name="Note 9 106 2 2" xfId="53162"/>
    <cellStyle name="Note 9 106 3" xfId="39658"/>
    <cellStyle name="Note 9 107" xfId="12449"/>
    <cellStyle name="Note 9 107 2" xfId="26282"/>
    <cellStyle name="Note 9 107 2 2" xfId="53290"/>
    <cellStyle name="Note 9 107 3" xfId="39786"/>
    <cellStyle name="Note 9 108" xfId="12591"/>
    <cellStyle name="Note 9 108 2" xfId="26410"/>
    <cellStyle name="Note 9 108 2 2" xfId="53418"/>
    <cellStyle name="Note 9 108 3" xfId="39914"/>
    <cellStyle name="Note 9 109" xfId="12733"/>
    <cellStyle name="Note 9 109 2" xfId="26538"/>
    <cellStyle name="Note 9 109 2 2" xfId="53546"/>
    <cellStyle name="Note 9 109 3" xfId="40042"/>
    <cellStyle name="Note 9 11" xfId="1120"/>
    <cellStyle name="Note 9 11 2" xfId="16296"/>
    <cellStyle name="Note 9 11 2 2" xfId="43304"/>
    <cellStyle name="Note 9 11 3" xfId="29800"/>
    <cellStyle name="Note 9 110" xfId="12875"/>
    <cellStyle name="Note 9 110 2" xfId="26666"/>
    <cellStyle name="Note 9 110 2 2" xfId="53674"/>
    <cellStyle name="Note 9 110 3" xfId="40170"/>
    <cellStyle name="Note 9 111" xfId="13017"/>
    <cellStyle name="Note 9 111 2" xfId="26794"/>
    <cellStyle name="Note 9 111 2 2" xfId="53802"/>
    <cellStyle name="Note 9 111 3" xfId="40298"/>
    <cellStyle name="Note 9 112" xfId="13159"/>
    <cellStyle name="Note 9 112 2" xfId="26922"/>
    <cellStyle name="Note 9 112 2 2" xfId="53930"/>
    <cellStyle name="Note 9 112 3" xfId="40426"/>
    <cellStyle name="Note 9 113" xfId="13301"/>
    <cellStyle name="Note 9 113 2" xfId="27050"/>
    <cellStyle name="Note 9 113 2 2" xfId="54058"/>
    <cellStyle name="Note 9 113 3" xfId="40554"/>
    <cellStyle name="Note 9 114" xfId="13443"/>
    <cellStyle name="Note 9 114 2" xfId="27178"/>
    <cellStyle name="Note 9 114 2 2" xfId="54186"/>
    <cellStyle name="Note 9 114 3" xfId="40682"/>
    <cellStyle name="Note 9 115" xfId="13585"/>
    <cellStyle name="Note 9 115 2" xfId="27306"/>
    <cellStyle name="Note 9 115 2 2" xfId="54314"/>
    <cellStyle name="Note 9 115 3" xfId="40810"/>
    <cellStyle name="Note 9 116" xfId="13727"/>
    <cellStyle name="Note 9 116 2" xfId="27434"/>
    <cellStyle name="Note 9 116 2 2" xfId="54442"/>
    <cellStyle name="Note 9 116 3" xfId="40938"/>
    <cellStyle name="Note 9 117" xfId="13868"/>
    <cellStyle name="Note 9 117 2" xfId="27561"/>
    <cellStyle name="Note 9 117 2 2" xfId="54569"/>
    <cellStyle name="Note 9 117 3" xfId="41065"/>
    <cellStyle name="Note 9 118" xfId="14009"/>
    <cellStyle name="Note 9 118 2" xfId="27688"/>
    <cellStyle name="Note 9 118 2 2" xfId="54696"/>
    <cellStyle name="Note 9 118 3" xfId="41192"/>
    <cellStyle name="Note 9 119" xfId="14150"/>
    <cellStyle name="Note 9 119 2" xfId="27815"/>
    <cellStyle name="Note 9 119 2 2" xfId="54823"/>
    <cellStyle name="Note 9 119 3" xfId="41319"/>
    <cellStyle name="Note 9 12" xfId="1226"/>
    <cellStyle name="Note 9 12 2" xfId="16388"/>
    <cellStyle name="Note 9 12 2 2" xfId="43396"/>
    <cellStyle name="Note 9 12 3" xfId="29892"/>
    <cellStyle name="Note 9 120" xfId="14291"/>
    <cellStyle name="Note 9 120 2" xfId="27942"/>
    <cellStyle name="Note 9 120 2 2" xfId="54950"/>
    <cellStyle name="Note 9 120 3" xfId="41446"/>
    <cellStyle name="Note 9 121" xfId="14431"/>
    <cellStyle name="Note 9 121 2" xfId="28068"/>
    <cellStyle name="Note 9 121 2 2" xfId="55076"/>
    <cellStyle name="Note 9 121 3" xfId="41572"/>
    <cellStyle name="Note 9 122" xfId="14571"/>
    <cellStyle name="Note 9 122 2" xfId="28194"/>
    <cellStyle name="Note 9 122 2 2" xfId="55202"/>
    <cellStyle name="Note 9 122 3" xfId="41698"/>
    <cellStyle name="Note 9 123" xfId="14710"/>
    <cellStyle name="Note 9 123 2" xfId="28319"/>
    <cellStyle name="Note 9 123 2 2" xfId="55327"/>
    <cellStyle name="Note 9 123 3" xfId="41823"/>
    <cellStyle name="Note 9 124" xfId="14845"/>
    <cellStyle name="Note 9 124 2" xfId="28441"/>
    <cellStyle name="Note 9 124 2 2" xfId="55449"/>
    <cellStyle name="Note 9 124 3" xfId="41945"/>
    <cellStyle name="Note 9 125" xfId="14979"/>
    <cellStyle name="Note 9 125 2" xfId="28562"/>
    <cellStyle name="Note 9 125 2 2" xfId="55570"/>
    <cellStyle name="Note 9 125 3" xfId="42066"/>
    <cellStyle name="Note 9 126" xfId="15110"/>
    <cellStyle name="Note 9 126 2" xfId="28681"/>
    <cellStyle name="Note 9 126 2 2" xfId="55689"/>
    <cellStyle name="Note 9 126 3" xfId="42185"/>
    <cellStyle name="Note 9 127" xfId="15233"/>
    <cellStyle name="Note 9 127 2" xfId="28796"/>
    <cellStyle name="Note 9 127 2 2" xfId="55804"/>
    <cellStyle name="Note 9 127 3" xfId="42300"/>
    <cellStyle name="Note 9 128" xfId="15463"/>
    <cellStyle name="Note 9 128 2" xfId="42471"/>
    <cellStyle name="Note 9 129" xfId="28967"/>
    <cellStyle name="Note 9 13" xfId="1332"/>
    <cellStyle name="Note 9 13 2" xfId="16480"/>
    <cellStyle name="Note 9 13 2 2" xfId="43488"/>
    <cellStyle name="Note 9 13 3" xfId="29984"/>
    <cellStyle name="Note 9 14" xfId="1438"/>
    <cellStyle name="Note 9 14 2" xfId="16572"/>
    <cellStyle name="Note 9 14 2 2" xfId="43580"/>
    <cellStyle name="Note 9 14 3" xfId="30076"/>
    <cellStyle name="Note 9 15" xfId="1544"/>
    <cellStyle name="Note 9 15 2" xfId="16664"/>
    <cellStyle name="Note 9 15 2 2" xfId="43672"/>
    <cellStyle name="Note 9 15 3" xfId="30168"/>
    <cellStyle name="Note 9 16" xfId="1650"/>
    <cellStyle name="Note 9 16 2" xfId="16756"/>
    <cellStyle name="Note 9 16 2 2" xfId="43764"/>
    <cellStyle name="Note 9 16 3" xfId="30260"/>
    <cellStyle name="Note 9 17" xfId="1756"/>
    <cellStyle name="Note 9 17 2" xfId="16848"/>
    <cellStyle name="Note 9 17 2 2" xfId="43856"/>
    <cellStyle name="Note 9 17 3" xfId="30352"/>
    <cellStyle name="Note 9 18" xfId="1862"/>
    <cellStyle name="Note 9 18 2" xfId="16940"/>
    <cellStyle name="Note 9 18 2 2" xfId="43948"/>
    <cellStyle name="Note 9 18 3" xfId="30444"/>
    <cellStyle name="Note 9 19" xfId="1968"/>
    <cellStyle name="Note 9 19 2" xfId="17032"/>
    <cellStyle name="Note 9 19 2 2" xfId="44040"/>
    <cellStyle name="Note 9 19 3" xfId="30536"/>
    <cellStyle name="Note 9 2" xfId="140"/>
    <cellStyle name="Note 9 2 10" xfId="1245"/>
    <cellStyle name="Note 9 2 10 2" xfId="16403"/>
    <cellStyle name="Note 9 2 10 2 2" xfId="43411"/>
    <cellStyle name="Note 9 2 10 3" xfId="29907"/>
    <cellStyle name="Note 9 2 100" xfId="11794"/>
    <cellStyle name="Note 9 2 100 2" xfId="25692"/>
    <cellStyle name="Note 9 2 100 2 2" xfId="52700"/>
    <cellStyle name="Note 9 2 100 3" xfId="39196"/>
    <cellStyle name="Note 9 2 101" xfId="11936"/>
    <cellStyle name="Note 9 2 101 2" xfId="25820"/>
    <cellStyle name="Note 9 2 101 2 2" xfId="52828"/>
    <cellStyle name="Note 9 2 101 3" xfId="39324"/>
    <cellStyle name="Note 9 2 102" xfId="12078"/>
    <cellStyle name="Note 9 2 102 2" xfId="25948"/>
    <cellStyle name="Note 9 2 102 2 2" xfId="52956"/>
    <cellStyle name="Note 9 2 102 3" xfId="39452"/>
    <cellStyle name="Note 9 2 103" xfId="12220"/>
    <cellStyle name="Note 9 2 103 2" xfId="26076"/>
    <cellStyle name="Note 9 2 103 2 2" xfId="53084"/>
    <cellStyle name="Note 9 2 103 3" xfId="39580"/>
    <cellStyle name="Note 9 2 104" xfId="12362"/>
    <cellStyle name="Note 9 2 104 2" xfId="26204"/>
    <cellStyle name="Note 9 2 104 2 2" xfId="53212"/>
    <cellStyle name="Note 9 2 104 3" xfId="39708"/>
    <cellStyle name="Note 9 2 105" xfId="12504"/>
    <cellStyle name="Note 9 2 105 2" xfId="26332"/>
    <cellStyle name="Note 9 2 105 2 2" xfId="53340"/>
    <cellStyle name="Note 9 2 105 3" xfId="39836"/>
    <cellStyle name="Note 9 2 106" xfId="12646"/>
    <cellStyle name="Note 9 2 106 2" xfId="26460"/>
    <cellStyle name="Note 9 2 106 2 2" xfId="53468"/>
    <cellStyle name="Note 9 2 106 3" xfId="39964"/>
    <cellStyle name="Note 9 2 107" xfId="12788"/>
    <cellStyle name="Note 9 2 107 2" xfId="26588"/>
    <cellStyle name="Note 9 2 107 2 2" xfId="53596"/>
    <cellStyle name="Note 9 2 107 3" xfId="40092"/>
    <cellStyle name="Note 9 2 108" xfId="12930"/>
    <cellStyle name="Note 9 2 108 2" xfId="26716"/>
    <cellStyle name="Note 9 2 108 2 2" xfId="53724"/>
    <cellStyle name="Note 9 2 108 3" xfId="40220"/>
    <cellStyle name="Note 9 2 109" xfId="13072"/>
    <cellStyle name="Note 9 2 109 2" xfId="26844"/>
    <cellStyle name="Note 9 2 109 2 2" xfId="53852"/>
    <cellStyle name="Note 9 2 109 3" xfId="40348"/>
    <cellStyle name="Note 9 2 11" xfId="1351"/>
    <cellStyle name="Note 9 2 11 2" xfId="16495"/>
    <cellStyle name="Note 9 2 11 2 2" xfId="43503"/>
    <cellStyle name="Note 9 2 11 3" xfId="29999"/>
    <cellStyle name="Note 9 2 110" xfId="13214"/>
    <cellStyle name="Note 9 2 110 2" xfId="26972"/>
    <cellStyle name="Note 9 2 110 2 2" xfId="53980"/>
    <cellStyle name="Note 9 2 110 3" xfId="40476"/>
    <cellStyle name="Note 9 2 111" xfId="13356"/>
    <cellStyle name="Note 9 2 111 2" xfId="27100"/>
    <cellStyle name="Note 9 2 111 2 2" xfId="54108"/>
    <cellStyle name="Note 9 2 111 3" xfId="40604"/>
    <cellStyle name="Note 9 2 112" xfId="13498"/>
    <cellStyle name="Note 9 2 112 2" xfId="27228"/>
    <cellStyle name="Note 9 2 112 2 2" xfId="54236"/>
    <cellStyle name="Note 9 2 112 3" xfId="40732"/>
    <cellStyle name="Note 9 2 113" xfId="13640"/>
    <cellStyle name="Note 9 2 113 2" xfId="27356"/>
    <cellStyle name="Note 9 2 113 2 2" xfId="54364"/>
    <cellStyle name="Note 9 2 113 3" xfId="40860"/>
    <cellStyle name="Note 9 2 114" xfId="13782"/>
    <cellStyle name="Note 9 2 114 2" xfId="27484"/>
    <cellStyle name="Note 9 2 114 2 2" xfId="54492"/>
    <cellStyle name="Note 9 2 114 3" xfId="40988"/>
    <cellStyle name="Note 9 2 115" xfId="13923"/>
    <cellStyle name="Note 9 2 115 2" xfId="27611"/>
    <cellStyle name="Note 9 2 115 2 2" xfId="54619"/>
    <cellStyle name="Note 9 2 115 3" xfId="41115"/>
    <cellStyle name="Note 9 2 116" xfId="14064"/>
    <cellStyle name="Note 9 2 116 2" xfId="27738"/>
    <cellStyle name="Note 9 2 116 2 2" xfId="54746"/>
    <cellStyle name="Note 9 2 116 3" xfId="41242"/>
    <cellStyle name="Note 9 2 117" xfId="14205"/>
    <cellStyle name="Note 9 2 117 2" xfId="27865"/>
    <cellStyle name="Note 9 2 117 2 2" xfId="54873"/>
    <cellStyle name="Note 9 2 117 3" xfId="41369"/>
    <cellStyle name="Note 9 2 118" xfId="14346"/>
    <cellStyle name="Note 9 2 118 2" xfId="27992"/>
    <cellStyle name="Note 9 2 118 2 2" xfId="55000"/>
    <cellStyle name="Note 9 2 118 3" xfId="41496"/>
    <cellStyle name="Note 9 2 119" xfId="14486"/>
    <cellStyle name="Note 9 2 119 2" xfId="28118"/>
    <cellStyle name="Note 9 2 119 2 2" xfId="55126"/>
    <cellStyle name="Note 9 2 119 3" xfId="41622"/>
    <cellStyle name="Note 9 2 12" xfId="1457"/>
    <cellStyle name="Note 9 2 12 2" xfId="16587"/>
    <cellStyle name="Note 9 2 12 2 2" xfId="43595"/>
    <cellStyle name="Note 9 2 12 3" xfId="30091"/>
    <cellStyle name="Note 9 2 120" xfId="14626"/>
    <cellStyle name="Note 9 2 120 2" xfId="28244"/>
    <cellStyle name="Note 9 2 120 2 2" xfId="55252"/>
    <cellStyle name="Note 9 2 120 3" xfId="41748"/>
    <cellStyle name="Note 9 2 121" xfId="14765"/>
    <cellStyle name="Note 9 2 121 2" xfId="28369"/>
    <cellStyle name="Note 9 2 121 2 2" xfId="55377"/>
    <cellStyle name="Note 9 2 121 3" xfId="41873"/>
    <cellStyle name="Note 9 2 122" xfId="14900"/>
    <cellStyle name="Note 9 2 122 2" xfId="28491"/>
    <cellStyle name="Note 9 2 122 2 2" xfId="55499"/>
    <cellStyle name="Note 9 2 122 3" xfId="41995"/>
    <cellStyle name="Note 9 2 123" xfId="15034"/>
    <cellStyle name="Note 9 2 123 2" xfId="28612"/>
    <cellStyle name="Note 9 2 123 2 2" xfId="55620"/>
    <cellStyle name="Note 9 2 123 3" xfId="42116"/>
    <cellStyle name="Note 9 2 124" xfId="15161"/>
    <cellStyle name="Note 9 2 124 2" xfId="28728"/>
    <cellStyle name="Note 9 2 124 2 2" xfId="55736"/>
    <cellStyle name="Note 9 2 124 3" xfId="42232"/>
    <cellStyle name="Note 9 2 125" xfId="15281"/>
    <cellStyle name="Note 9 2 125 2" xfId="28841"/>
    <cellStyle name="Note 9 2 125 2 2" xfId="55849"/>
    <cellStyle name="Note 9 2 125 3" xfId="42345"/>
    <cellStyle name="Note 9 2 126" xfId="15496"/>
    <cellStyle name="Note 9 2 126 2" xfId="42504"/>
    <cellStyle name="Note 9 2 127" xfId="29000"/>
    <cellStyle name="Note 9 2 13" xfId="1563"/>
    <cellStyle name="Note 9 2 13 2" xfId="16679"/>
    <cellStyle name="Note 9 2 13 2 2" xfId="43687"/>
    <cellStyle name="Note 9 2 13 3" xfId="30183"/>
    <cellStyle name="Note 9 2 14" xfId="1669"/>
    <cellStyle name="Note 9 2 14 2" xfId="16771"/>
    <cellStyle name="Note 9 2 14 2 2" xfId="43779"/>
    <cellStyle name="Note 9 2 14 3" xfId="30275"/>
    <cellStyle name="Note 9 2 15" xfId="1775"/>
    <cellStyle name="Note 9 2 15 2" xfId="16863"/>
    <cellStyle name="Note 9 2 15 2 2" xfId="43871"/>
    <cellStyle name="Note 9 2 15 3" xfId="30367"/>
    <cellStyle name="Note 9 2 16" xfId="1881"/>
    <cellStyle name="Note 9 2 16 2" xfId="16955"/>
    <cellStyle name="Note 9 2 16 2 2" xfId="43963"/>
    <cellStyle name="Note 9 2 16 3" xfId="30459"/>
    <cellStyle name="Note 9 2 17" xfId="1987"/>
    <cellStyle name="Note 9 2 17 2" xfId="17047"/>
    <cellStyle name="Note 9 2 17 2 2" xfId="44055"/>
    <cellStyle name="Note 9 2 17 3" xfId="30551"/>
    <cellStyle name="Note 9 2 18" xfId="2093"/>
    <cellStyle name="Note 9 2 18 2" xfId="17139"/>
    <cellStyle name="Note 9 2 18 2 2" xfId="44147"/>
    <cellStyle name="Note 9 2 18 3" xfId="30643"/>
    <cellStyle name="Note 9 2 19" xfId="2199"/>
    <cellStyle name="Note 9 2 19 2" xfId="17231"/>
    <cellStyle name="Note 9 2 19 2 2" xfId="44239"/>
    <cellStyle name="Note 9 2 19 3" xfId="30735"/>
    <cellStyle name="Note 9 2 2" xfId="317"/>
    <cellStyle name="Note 9 2 2 2" xfId="15619"/>
    <cellStyle name="Note 9 2 2 2 2" xfId="42627"/>
    <cellStyle name="Note 9 2 2 3" xfId="29123"/>
    <cellStyle name="Note 9 2 20" xfId="2305"/>
    <cellStyle name="Note 9 2 20 2" xfId="17323"/>
    <cellStyle name="Note 9 2 20 2 2" xfId="44331"/>
    <cellStyle name="Note 9 2 20 3" xfId="30827"/>
    <cellStyle name="Note 9 2 21" xfId="2411"/>
    <cellStyle name="Note 9 2 21 2" xfId="17415"/>
    <cellStyle name="Note 9 2 21 2 2" xfId="44423"/>
    <cellStyle name="Note 9 2 21 3" xfId="30919"/>
    <cellStyle name="Note 9 2 22" xfId="2517"/>
    <cellStyle name="Note 9 2 22 2" xfId="17507"/>
    <cellStyle name="Note 9 2 22 2 2" xfId="44515"/>
    <cellStyle name="Note 9 2 22 3" xfId="31011"/>
    <cellStyle name="Note 9 2 23" xfId="2623"/>
    <cellStyle name="Note 9 2 23 2" xfId="17599"/>
    <cellStyle name="Note 9 2 23 2 2" xfId="44607"/>
    <cellStyle name="Note 9 2 23 3" xfId="31103"/>
    <cellStyle name="Note 9 2 24" xfId="2729"/>
    <cellStyle name="Note 9 2 24 2" xfId="17691"/>
    <cellStyle name="Note 9 2 24 2 2" xfId="44699"/>
    <cellStyle name="Note 9 2 24 3" xfId="31195"/>
    <cellStyle name="Note 9 2 25" xfId="2835"/>
    <cellStyle name="Note 9 2 25 2" xfId="17783"/>
    <cellStyle name="Note 9 2 25 2 2" xfId="44791"/>
    <cellStyle name="Note 9 2 25 3" xfId="31287"/>
    <cellStyle name="Note 9 2 26" xfId="2941"/>
    <cellStyle name="Note 9 2 26 2" xfId="17875"/>
    <cellStyle name="Note 9 2 26 2 2" xfId="44883"/>
    <cellStyle name="Note 9 2 26 3" xfId="31379"/>
    <cellStyle name="Note 9 2 27" xfId="3047"/>
    <cellStyle name="Note 9 2 27 2" xfId="17967"/>
    <cellStyle name="Note 9 2 27 2 2" xfId="44975"/>
    <cellStyle name="Note 9 2 27 3" xfId="31471"/>
    <cellStyle name="Note 9 2 28" xfId="3153"/>
    <cellStyle name="Note 9 2 28 2" xfId="18059"/>
    <cellStyle name="Note 9 2 28 2 2" xfId="45067"/>
    <cellStyle name="Note 9 2 28 3" xfId="31563"/>
    <cellStyle name="Note 9 2 29" xfId="3259"/>
    <cellStyle name="Note 9 2 29 2" xfId="18151"/>
    <cellStyle name="Note 9 2 29 2 2" xfId="45159"/>
    <cellStyle name="Note 9 2 29 3" xfId="31655"/>
    <cellStyle name="Note 9 2 3" xfId="504"/>
    <cellStyle name="Note 9 2 3 2" xfId="15760"/>
    <cellStyle name="Note 9 2 3 2 2" xfId="42768"/>
    <cellStyle name="Note 9 2 3 3" xfId="29264"/>
    <cellStyle name="Note 9 2 30" xfId="3365"/>
    <cellStyle name="Note 9 2 30 2" xfId="18243"/>
    <cellStyle name="Note 9 2 30 2 2" xfId="45251"/>
    <cellStyle name="Note 9 2 30 3" xfId="31747"/>
    <cellStyle name="Note 9 2 31" xfId="3471"/>
    <cellStyle name="Note 9 2 31 2" xfId="18335"/>
    <cellStyle name="Note 9 2 31 2 2" xfId="45343"/>
    <cellStyle name="Note 9 2 31 3" xfId="31839"/>
    <cellStyle name="Note 9 2 32" xfId="3577"/>
    <cellStyle name="Note 9 2 32 2" xfId="18427"/>
    <cellStyle name="Note 9 2 32 2 2" xfId="45435"/>
    <cellStyle name="Note 9 2 32 3" xfId="31931"/>
    <cellStyle name="Note 9 2 33" xfId="3683"/>
    <cellStyle name="Note 9 2 33 2" xfId="18519"/>
    <cellStyle name="Note 9 2 33 2 2" xfId="45527"/>
    <cellStyle name="Note 9 2 33 3" xfId="32023"/>
    <cellStyle name="Note 9 2 34" xfId="3789"/>
    <cellStyle name="Note 9 2 34 2" xfId="18611"/>
    <cellStyle name="Note 9 2 34 2 2" xfId="45619"/>
    <cellStyle name="Note 9 2 34 3" xfId="32115"/>
    <cellStyle name="Note 9 2 35" xfId="3895"/>
    <cellStyle name="Note 9 2 35 2" xfId="18703"/>
    <cellStyle name="Note 9 2 35 2 2" xfId="45711"/>
    <cellStyle name="Note 9 2 35 3" xfId="32207"/>
    <cellStyle name="Note 9 2 36" xfId="4001"/>
    <cellStyle name="Note 9 2 36 2" xfId="18795"/>
    <cellStyle name="Note 9 2 36 2 2" xfId="45803"/>
    <cellStyle name="Note 9 2 36 3" xfId="32299"/>
    <cellStyle name="Note 9 2 37" xfId="4107"/>
    <cellStyle name="Note 9 2 37 2" xfId="18887"/>
    <cellStyle name="Note 9 2 37 2 2" xfId="45895"/>
    <cellStyle name="Note 9 2 37 3" xfId="32391"/>
    <cellStyle name="Note 9 2 38" xfId="4213"/>
    <cellStyle name="Note 9 2 38 2" xfId="18979"/>
    <cellStyle name="Note 9 2 38 2 2" xfId="45987"/>
    <cellStyle name="Note 9 2 38 3" xfId="32483"/>
    <cellStyle name="Note 9 2 39" xfId="4319"/>
    <cellStyle name="Note 9 2 39 2" xfId="19071"/>
    <cellStyle name="Note 9 2 39 2 2" xfId="46079"/>
    <cellStyle name="Note 9 2 39 3" xfId="32575"/>
    <cellStyle name="Note 9 2 4" xfId="609"/>
    <cellStyle name="Note 9 2 4 2" xfId="15851"/>
    <cellStyle name="Note 9 2 4 2 2" xfId="42859"/>
    <cellStyle name="Note 9 2 4 3" xfId="29355"/>
    <cellStyle name="Note 9 2 40" xfId="4425"/>
    <cellStyle name="Note 9 2 40 2" xfId="19163"/>
    <cellStyle name="Note 9 2 40 2 2" xfId="46171"/>
    <cellStyle name="Note 9 2 40 3" xfId="32667"/>
    <cellStyle name="Note 9 2 41" xfId="4531"/>
    <cellStyle name="Note 9 2 41 2" xfId="19255"/>
    <cellStyle name="Note 9 2 41 2 2" xfId="46263"/>
    <cellStyle name="Note 9 2 41 3" xfId="32759"/>
    <cellStyle name="Note 9 2 42" xfId="4637"/>
    <cellStyle name="Note 9 2 42 2" xfId="19347"/>
    <cellStyle name="Note 9 2 42 2 2" xfId="46355"/>
    <cellStyle name="Note 9 2 42 3" xfId="32851"/>
    <cellStyle name="Note 9 2 43" xfId="4743"/>
    <cellStyle name="Note 9 2 43 2" xfId="19439"/>
    <cellStyle name="Note 9 2 43 2 2" xfId="46447"/>
    <cellStyle name="Note 9 2 43 3" xfId="32943"/>
    <cellStyle name="Note 9 2 44" xfId="4849"/>
    <cellStyle name="Note 9 2 44 2" xfId="19531"/>
    <cellStyle name="Note 9 2 44 2 2" xfId="46539"/>
    <cellStyle name="Note 9 2 44 3" xfId="33035"/>
    <cellStyle name="Note 9 2 45" xfId="4955"/>
    <cellStyle name="Note 9 2 45 2" xfId="19623"/>
    <cellStyle name="Note 9 2 45 2 2" xfId="46631"/>
    <cellStyle name="Note 9 2 45 3" xfId="33127"/>
    <cellStyle name="Note 9 2 46" xfId="5061"/>
    <cellStyle name="Note 9 2 46 2" xfId="19715"/>
    <cellStyle name="Note 9 2 46 2 2" xfId="46723"/>
    <cellStyle name="Note 9 2 46 3" xfId="33219"/>
    <cellStyle name="Note 9 2 47" xfId="5167"/>
    <cellStyle name="Note 9 2 47 2" xfId="19807"/>
    <cellStyle name="Note 9 2 47 2 2" xfId="46815"/>
    <cellStyle name="Note 9 2 47 3" xfId="33311"/>
    <cellStyle name="Note 9 2 48" xfId="5273"/>
    <cellStyle name="Note 9 2 48 2" xfId="19899"/>
    <cellStyle name="Note 9 2 48 2 2" xfId="46907"/>
    <cellStyle name="Note 9 2 48 3" xfId="33403"/>
    <cellStyle name="Note 9 2 49" xfId="5379"/>
    <cellStyle name="Note 9 2 49 2" xfId="19991"/>
    <cellStyle name="Note 9 2 49 2 2" xfId="46999"/>
    <cellStyle name="Note 9 2 49 3" xfId="33495"/>
    <cellStyle name="Note 9 2 5" xfId="715"/>
    <cellStyle name="Note 9 2 5 2" xfId="15943"/>
    <cellStyle name="Note 9 2 5 2 2" xfId="42951"/>
    <cellStyle name="Note 9 2 5 3" xfId="29447"/>
    <cellStyle name="Note 9 2 50" xfId="5485"/>
    <cellStyle name="Note 9 2 50 2" xfId="20083"/>
    <cellStyle name="Note 9 2 50 2 2" xfId="47091"/>
    <cellStyle name="Note 9 2 50 3" xfId="33587"/>
    <cellStyle name="Note 9 2 51" xfId="5591"/>
    <cellStyle name="Note 9 2 51 2" xfId="20175"/>
    <cellStyle name="Note 9 2 51 2 2" xfId="47183"/>
    <cellStyle name="Note 9 2 51 3" xfId="33679"/>
    <cellStyle name="Note 9 2 52" xfId="5697"/>
    <cellStyle name="Note 9 2 52 2" xfId="20267"/>
    <cellStyle name="Note 9 2 52 2 2" xfId="47275"/>
    <cellStyle name="Note 9 2 52 3" xfId="33771"/>
    <cellStyle name="Note 9 2 53" xfId="5803"/>
    <cellStyle name="Note 9 2 53 2" xfId="20359"/>
    <cellStyle name="Note 9 2 53 2 2" xfId="47367"/>
    <cellStyle name="Note 9 2 53 3" xfId="33863"/>
    <cellStyle name="Note 9 2 54" xfId="5909"/>
    <cellStyle name="Note 9 2 54 2" xfId="20451"/>
    <cellStyle name="Note 9 2 54 2 2" xfId="47459"/>
    <cellStyle name="Note 9 2 54 3" xfId="33955"/>
    <cellStyle name="Note 9 2 55" xfId="6015"/>
    <cellStyle name="Note 9 2 55 2" xfId="20543"/>
    <cellStyle name="Note 9 2 55 2 2" xfId="47551"/>
    <cellStyle name="Note 9 2 55 3" xfId="34047"/>
    <cellStyle name="Note 9 2 56" xfId="6121"/>
    <cellStyle name="Note 9 2 56 2" xfId="20635"/>
    <cellStyle name="Note 9 2 56 2 2" xfId="47643"/>
    <cellStyle name="Note 9 2 56 3" xfId="34139"/>
    <cellStyle name="Note 9 2 57" xfId="6227"/>
    <cellStyle name="Note 9 2 57 2" xfId="20727"/>
    <cellStyle name="Note 9 2 57 2 2" xfId="47735"/>
    <cellStyle name="Note 9 2 57 3" xfId="34231"/>
    <cellStyle name="Note 9 2 58" xfId="6333"/>
    <cellStyle name="Note 9 2 58 2" xfId="20819"/>
    <cellStyle name="Note 9 2 58 2 2" xfId="47827"/>
    <cellStyle name="Note 9 2 58 3" xfId="34323"/>
    <cellStyle name="Note 9 2 59" xfId="6439"/>
    <cellStyle name="Note 9 2 59 2" xfId="20911"/>
    <cellStyle name="Note 9 2 59 2 2" xfId="47919"/>
    <cellStyle name="Note 9 2 59 3" xfId="34415"/>
    <cellStyle name="Note 9 2 6" xfId="821"/>
    <cellStyle name="Note 9 2 6 2" xfId="16035"/>
    <cellStyle name="Note 9 2 6 2 2" xfId="43043"/>
    <cellStyle name="Note 9 2 6 3" xfId="29539"/>
    <cellStyle name="Note 9 2 60" xfId="6545"/>
    <cellStyle name="Note 9 2 60 2" xfId="21003"/>
    <cellStyle name="Note 9 2 60 2 2" xfId="48011"/>
    <cellStyle name="Note 9 2 60 3" xfId="34507"/>
    <cellStyle name="Note 9 2 61" xfId="6650"/>
    <cellStyle name="Note 9 2 61 2" xfId="21094"/>
    <cellStyle name="Note 9 2 61 2 2" xfId="48102"/>
    <cellStyle name="Note 9 2 61 3" xfId="34598"/>
    <cellStyle name="Note 9 2 62" xfId="6755"/>
    <cellStyle name="Note 9 2 62 2" xfId="21185"/>
    <cellStyle name="Note 9 2 62 2 2" xfId="48193"/>
    <cellStyle name="Note 9 2 62 3" xfId="34689"/>
    <cellStyle name="Note 9 2 63" xfId="6860"/>
    <cellStyle name="Note 9 2 63 2" xfId="21276"/>
    <cellStyle name="Note 9 2 63 2 2" xfId="48284"/>
    <cellStyle name="Note 9 2 63 3" xfId="34780"/>
    <cellStyle name="Note 9 2 64" xfId="6965"/>
    <cellStyle name="Note 9 2 64 2" xfId="21367"/>
    <cellStyle name="Note 9 2 64 2 2" xfId="48375"/>
    <cellStyle name="Note 9 2 64 3" xfId="34871"/>
    <cellStyle name="Note 9 2 65" xfId="7069"/>
    <cellStyle name="Note 9 2 65 2" xfId="21457"/>
    <cellStyle name="Note 9 2 65 2 2" xfId="48465"/>
    <cellStyle name="Note 9 2 65 3" xfId="34961"/>
    <cellStyle name="Note 9 2 66" xfId="7173"/>
    <cellStyle name="Note 9 2 66 2" xfId="21547"/>
    <cellStyle name="Note 9 2 66 2 2" xfId="48555"/>
    <cellStyle name="Note 9 2 66 3" xfId="35051"/>
    <cellStyle name="Note 9 2 67" xfId="7276"/>
    <cellStyle name="Note 9 2 67 2" xfId="21636"/>
    <cellStyle name="Note 9 2 67 2 2" xfId="48644"/>
    <cellStyle name="Note 9 2 67 3" xfId="35140"/>
    <cellStyle name="Note 9 2 68" xfId="7376"/>
    <cellStyle name="Note 9 2 68 2" xfId="21723"/>
    <cellStyle name="Note 9 2 68 2 2" xfId="48731"/>
    <cellStyle name="Note 9 2 68 3" xfId="35227"/>
    <cellStyle name="Note 9 2 69" xfId="7474"/>
    <cellStyle name="Note 9 2 69 2" xfId="21808"/>
    <cellStyle name="Note 9 2 69 2 2" xfId="48816"/>
    <cellStyle name="Note 9 2 69 3" xfId="35312"/>
    <cellStyle name="Note 9 2 7" xfId="927"/>
    <cellStyle name="Note 9 2 7 2" xfId="16127"/>
    <cellStyle name="Note 9 2 7 2 2" xfId="43135"/>
    <cellStyle name="Note 9 2 7 3" xfId="29631"/>
    <cellStyle name="Note 9 2 70" xfId="7563"/>
    <cellStyle name="Note 9 2 70 2" xfId="21886"/>
    <cellStyle name="Note 9 2 70 2 2" xfId="48894"/>
    <cellStyle name="Note 9 2 70 3" xfId="35390"/>
    <cellStyle name="Note 9 2 71" xfId="7639"/>
    <cellStyle name="Note 9 2 71 2" xfId="21955"/>
    <cellStyle name="Note 9 2 71 2 2" xfId="48963"/>
    <cellStyle name="Note 9 2 71 3" xfId="35459"/>
    <cellStyle name="Note 9 2 72" xfId="7818"/>
    <cellStyle name="Note 9 2 72 2" xfId="22108"/>
    <cellStyle name="Note 9 2 72 2 2" xfId="49116"/>
    <cellStyle name="Note 9 2 72 3" xfId="35612"/>
    <cellStyle name="Note 9 2 73" xfId="7960"/>
    <cellStyle name="Note 9 2 73 2" xfId="22236"/>
    <cellStyle name="Note 9 2 73 2 2" xfId="49244"/>
    <cellStyle name="Note 9 2 73 3" xfId="35740"/>
    <cellStyle name="Note 9 2 74" xfId="8102"/>
    <cellStyle name="Note 9 2 74 2" xfId="22364"/>
    <cellStyle name="Note 9 2 74 2 2" xfId="49372"/>
    <cellStyle name="Note 9 2 74 3" xfId="35868"/>
    <cellStyle name="Note 9 2 75" xfId="8244"/>
    <cellStyle name="Note 9 2 75 2" xfId="22492"/>
    <cellStyle name="Note 9 2 75 2 2" xfId="49500"/>
    <cellStyle name="Note 9 2 75 3" xfId="35996"/>
    <cellStyle name="Note 9 2 76" xfId="8386"/>
    <cellStyle name="Note 9 2 76 2" xfId="22620"/>
    <cellStyle name="Note 9 2 76 2 2" xfId="49628"/>
    <cellStyle name="Note 9 2 76 3" xfId="36124"/>
    <cellStyle name="Note 9 2 77" xfId="8528"/>
    <cellStyle name="Note 9 2 77 2" xfId="22748"/>
    <cellStyle name="Note 9 2 77 2 2" xfId="49756"/>
    <cellStyle name="Note 9 2 77 3" xfId="36252"/>
    <cellStyle name="Note 9 2 78" xfId="8670"/>
    <cellStyle name="Note 9 2 78 2" xfId="22876"/>
    <cellStyle name="Note 9 2 78 2 2" xfId="49884"/>
    <cellStyle name="Note 9 2 78 3" xfId="36380"/>
    <cellStyle name="Note 9 2 79" xfId="8812"/>
    <cellStyle name="Note 9 2 79 2" xfId="23004"/>
    <cellStyle name="Note 9 2 79 2 2" xfId="50012"/>
    <cellStyle name="Note 9 2 79 3" xfId="36508"/>
    <cellStyle name="Note 9 2 8" xfId="1033"/>
    <cellStyle name="Note 9 2 8 2" xfId="16219"/>
    <cellStyle name="Note 9 2 8 2 2" xfId="43227"/>
    <cellStyle name="Note 9 2 8 3" xfId="29723"/>
    <cellStyle name="Note 9 2 80" xfId="8954"/>
    <cellStyle name="Note 9 2 80 2" xfId="23132"/>
    <cellStyle name="Note 9 2 80 2 2" xfId="50140"/>
    <cellStyle name="Note 9 2 80 3" xfId="36636"/>
    <cellStyle name="Note 9 2 81" xfId="9096"/>
    <cellStyle name="Note 9 2 81 2" xfId="23260"/>
    <cellStyle name="Note 9 2 81 2 2" xfId="50268"/>
    <cellStyle name="Note 9 2 81 3" xfId="36764"/>
    <cellStyle name="Note 9 2 82" xfId="9238"/>
    <cellStyle name="Note 9 2 82 2" xfId="23388"/>
    <cellStyle name="Note 9 2 82 2 2" xfId="50396"/>
    <cellStyle name="Note 9 2 82 3" xfId="36892"/>
    <cellStyle name="Note 9 2 83" xfId="9380"/>
    <cellStyle name="Note 9 2 83 2" xfId="23516"/>
    <cellStyle name="Note 9 2 83 2 2" xfId="50524"/>
    <cellStyle name="Note 9 2 83 3" xfId="37020"/>
    <cellStyle name="Note 9 2 84" xfId="9522"/>
    <cellStyle name="Note 9 2 84 2" xfId="23644"/>
    <cellStyle name="Note 9 2 84 2 2" xfId="50652"/>
    <cellStyle name="Note 9 2 84 3" xfId="37148"/>
    <cellStyle name="Note 9 2 85" xfId="9664"/>
    <cellStyle name="Note 9 2 85 2" xfId="23772"/>
    <cellStyle name="Note 9 2 85 2 2" xfId="50780"/>
    <cellStyle name="Note 9 2 85 3" xfId="37276"/>
    <cellStyle name="Note 9 2 86" xfId="9806"/>
    <cellStyle name="Note 9 2 86 2" xfId="23900"/>
    <cellStyle name="Note 9 2 86 2 2" xfId="50908"/>
    <cellStyle name="Note 9 2 86 3" xfId="37404"/>
    <cellStyle name="Note 9 2 87" xfId="9948"/>
    <cellStyle name="Note 9 2 87 2" xfId="24028"/>
    <cellStyle name="Note 9 2 87 2 2" xfId="51036"/>
    <cellStyle name="Note 9 2 87 3" xfId="37532"/>
    <cellStyle name="Note 9 2 88" xfId="10090"/>
    <cellStyle name="Note 9 2 88 2" xfId="24156"/>
    <cellStyle name="Note 9 2 88 2 2" xfId="51164"/>
    <cellStyle name="Note 9 2 88 3" xfId="37660"/>
    <cellStyle name="Note 9 2 89" xfId="10232"/>
    <cellStyle name="Note 9 2 89 2" xfId="24284"/>
    <cellStyle name="Note 9 2 89 2 2" xfId="51292"/>
    <cellStyle name="Note 9 2 89 3" xfId="37788"/>
    <cellStyle name="Note 9 2 9" xfId="1139"/>
    <cellStyle name="Note 9 2 9 2" xfId="16311"/>
    <cellStyle name="Note 9 2 9 2 2" xfId="43319"/>
    <cellStyle name="Note 9 2 9 3" xfId="29815"/>
    <cellStyle name="Note 9 2 90" xfId="10374"/>
    <cellStyle name="Note 9 2 90 2" xfId="24412"/>
    <cellStyle name="Note 9 2 90 2 2" xfId="51420"/>
    <cellStyle name="Note 9 2 90 3" xfId="37916"/>
    <cellStyle name="Note 9 2 91" xfId="10516"/>
    <cellStyle name="Note 9 2 91 2" xfId="24540"/>
    <cellStyle name="Note 9 2 91 2 2" xfId="51548"/>
    <cellStyle name="Note 9 2 91 3" xfId="38044"/>
    <cellStyle name="Note 9 2 92" xfId="10658"/>
    <cellStyle name="Note 9 2 92 2" xfId="24668"/>
    <cellStyle name="Note 9 2 92 2 2" xfId="51676"/>
    <cellStyle name="Note 9 2 92 3" xfId="38172"/>
    <cellStyle name="Note 9 2 93" xfId="10800"/>
    <cellStyle name="Note 9 2 93 2" xfId="24796"/>
    <cellStyle name="Note 9 2 93 2 2" xfId="51804"/>
    <cellStyle name="Note 9 2 93 3" xfId="38300"/>
    <cellStyle name="Note 9 2 94" xfId="10942"/>
    <cellStyle name="Note 9 2 94 2" xfId="24924"/>
    <cellStyle name="Note 9 2 94 2 2" xfId="51932"/>
    <cellStyle name="Note 9 2 94 3" xfId="38428"/>
    <cellStyle name="Note 9 2 95" xfId="11084"/>
    <cellStyle name="Note 9 2 95 2" xfId="25052"/>
    <cellStyle name="Note 9 2 95 2 2" xfId="52060"/>
    <cellStyle name="Note 9 2 95 3" xfId="38556"/>
    <cellStyle name="Note 9 2 96" xfId="11226"/>
    <cellStyle name="Note 9 2 96 2" xfId="25180"/>
    <cellStyle name="Note 9 2 96 2 2" xfId="52188"/>
    <cellStyle name="Note 9 2 96 3" xfId="38684"/>
    <cellStyle name="Note 9 2 97" xfId="11368"/>
    <cellStyle name="Note 9 2 97 2" xfId="25308"/>
    <cellStyle name="Note 9 2 97 2 2" xfId="52316"/>
    <cellStyle name="Note 9 2 97 3" xfId="38812"/>
    <cellStyle name="Note 9 2 98" xfId="11510"/>
    <cellStyle name="Note 9 2 98 2" xfId="25436"/>
    <cellStyle name="Note 9 2 98 2 2" xfId="52444"/>
    <cellStyle name="Note 9 2 98 3" xfId="38940"/>
    <cellStyle name="Note 9 2 99" xfId="11652"/>
    <cellStyle name="Note 9 2 99 2" xfId="25564"/>
    <cellStyle name="Note 9 2 99 2 2" xfId="52572"/>
    <cellStyle name="Note 9 2 99 3" xfId="39068"/>
    <cellStyle name="Note 9 20" xfId="2074"/>
    <cellStyle name="Note 9 20 2" xfId="17124"/>
    <cellStyle name="Note 9 20 2 2" xfId="44132"/>
    <cellStyle name="Note 9 20 3" xfId="30628"/>
    <cellStyle name="Note 9 21" xfId="2180"/>
    <cellStyle name="Note 9 21 2" xfId="17216"/>
    <cellStyle name="Note 9 21 2 2" xfId="44224"/>
    <cellStyle name="Note 9 21 3" xfId="30720"/>
    <cellStyle name="Note 9 22" xfId="2286"/>
    <cellStyle name="Note 9 22 2" xfId="17308"/>
    <cellStyle name="Note 9 22 2 2" xfId="44316"/>
    <cellStyle name="Note 9 22 3" xfId="30812"/>
    <cellStyle name="Note 9 23" xfId="2392"/>
    <cellStyle name="Note 9 23 2" xfId="17400"/>
    <cellStyle name="Note 9 23 2 2" xfId="44408"/>
    <cellStyle name="Note 9 23 3" xfId="30904"/>
    <cellStyle name="Note 9 24" xfId="2498"/>
    <cellStyle name="Note 9 24 2" xfId="17492"/>
    <cellStyle name="Note 9 24 2 2" xfId="44500"/>
    <cellStyle name="Note 9 24 3" xfId="30996"/>
    <cellStyle name="Note 9 25" xfId="2604"/>
    <cellStyle name="Note 9 25 2" xfId="17584"/>
    <cellStyle name="Note 9 25 2 2" xfId="44592"/>
    <cellStyle name="Note 9 25 3" xfId="31088"/>
    <cellStyle name="Note 9 26" xfId="2710"/>
    <cellStyle name="Note 9 26 2" xfId="17676"/>
    <cellStyle name="Note 9 26 2 2" xfId="44684"/>
    <cellStyle name="Note 9 26 3" xfId="31180"/>
    <cellStyle name="Note 9 27" xfId="2816"/>
    <cellStyle name="Note 9 27 2" xfId="17768"/>
    <cellStyle name="Note 9 27 2 2" xfId="44776"/>
    <cellStyle name="Note 9 27 3" xfId="31272"/>
    <cellStyle name="Note 9 28" xfId="2922"/>
    <cellStyle name="Note 9 28 2" xfId="17860"/>
    <cellStyle name="Note 9 28 2 2" xfId="44868"/>
    <cellStyle name="Note 9 28 3" xfId="31364"/>
    <cellStyle name="Note 9 29" xfId="3028"/>
    <cellStyle name="Note 9 29 2" xfId="17952"/>
    <cellStyle name="Note 9 29 2 2" xfId="44960"/>
    <cellStyle name="Note 9 29 3" xfId="31456"/>
    <cellStyle name="Note 9 3" xfId="149"/>
    <cellStyle name="Note 9 3 10" xfId="1254"/>
    <cellStyle name="Note 9 3 10 2" xfId="16412"/>
    <cellStyle name="Note 9 3 10 2 2" xfId="43420"/>
    <cellStyle name="Note 9 3 10 3" xfId="29916"/>
    <cellStyle name="Note 9 3 100" xfId="11803"/>
    <cellStyle name="Note 9 3 100 2" xfId="25701"/>
    <cellStyle name="Note 9 3 100 2 2" xfId="52709"/>
    <cellStyle name="Note 9 3 100 3" xfId="39205"/>
    <cellStyle name="Note 9 3 101" xfId="11945"/>
    <cellStyle name="Note 9 3 101 2" xfId="25829"/>
    <cellStyle name="Note 9 3 101 2 2" xfId="52837"/>
    <cellStyle name="Note 9 3 101 3" xfId="39333"/>
    <cellStyle name="Note 9 3 102" xfId="12087"/>
    <cellStyle name="Note 9 3 102 2" xfId="25957"/>
    <cellStyle name="Note 9 3 102 2 2" xfId="52965"/>
    <cellStyle name="Note 9 3 102 3" xfId="39461"/>
    <cellStyle name="Note 9 3 103" xfId="12229"/>
    <cellStyle name="Note 9 3 103 2" xfId="26085"/>
    <cellStyle name="Note 9 3 103 2 2" xfId="53093"/>
    <cellStyle name="Note 9 3 103 3" xfId="39589"/>
    <cellStyle name="Note 9 3 104" xfId="12371"/>
    <cellStyle name="Note 9 3 104 2" xfId="26213"/>
    <cellStyle name="Note 9 3 104 2 2" xfId="53221"/>
    <cellStyle name="Note 9 3 104 3" xfId="39717"/>
    <cellStyle name="Note 9 3 105" xfId="12513"/>
    <cellStyle name="Note 9 3 105 2" xfId="26341"/>
    <cellStyle name="Note 9 3 105 2 2" xfId="53349"/>
    <cellStyle name="Note 9 3 105 3" xfId="39845"/>
    <cellStyle name="Note 9 3 106" xfId="12655"/>
    <cellStyle name="Note 9 3 106 2" xfId="26469"/>
    <cellStyle name="Note 9 3 106 2 2" xfId="53477"/>
    <cellStyle name="Note 9 3 106 3" xfId="39973"/>
    <cellStyle name="Note 9 3 107" xfId="12797"/>
    <cellStyle name="Note 9 3 107 2" xfId="26597"/>
    <cellStyle name="Note 9 3 107 2 2" xfId="53605"/>
    <cellStyle name="Note 9 3 107 3" xfId="40101"/>
    <cellStyle name="Note 9 3 108" xfId="12939"/>
    <cellStyle name="Note 9 3 108 2" xfId="26725"/>
    <cellStyle name="Note 9 3 108 2 2" xfId="53733"/>
    <cellStyle name="Note 9 3 108 3" xfId="40229"/>
    <cellStyle name="Note 9 3 109" xfId="13081"/>
    <cellStyle name="Note 9 3 109 2" xfId="26853"/>
    <cellStyle name="Note 9 3 109 2 2" xfId="53861"/>
    <cellStyle name="Note 9 3 109 3" xfId="40357"/>
    <cellStyle name="Note 9 3 11" xfId="1360"/>
    <cellStyle name="Note 9 3 11 2" xfId="16504"/>
    <cellStyle name="Note 9 3 11 2 2" xfId="43512"/>
    <cellStyle name="Note 9 3 11 3" xfId="30008"/>
    <cellStyle name="Note 9 3 110" xfId="13223"/>
    <cellStyle name="Note 9 3 110 2" xfId="26981"/>
    <cellStyle name="Note 9 3 110 2 2" xfId="53989"/>
    <cellStyle name="Note 9 3 110 3" xfId="40485"/>
    <cellStyle name="Note 9 3 111" xfId="13365"/>
    <cellStyle name="Note 9 3 111 2" xfId="27109"/>
    <cellStyle name="Note 9 3 111 2 2" xfId="54117"/>
    <cellStyle name="Note 9 3 111 3" xfId="40613"/>
    <cellStyle name="Note 9 3 112" xfId="13507"/>
    <cellStyle name="Note 9 3 112 2" xfId="27237"/>
    <cellStyle name="Note 9 3 112 2 2" xfId="54245"/>
    <cellStyle name="Note 9 3 112 3" xfId="40741"/>
    <cellStyle name="Note 9 3 113" xfId="13649"/>
    <cellStyle name="Note 9 3 113 2" xfId="27365"/>
    <cellStyle name="Note 9 3 113 2 2" xfId="54373"/>
    <cellStyle name="Note 9 3 113 3" xfId="40869"/>
    <cellStyle name="Note 9 3 114" xfId="13791"/>
    <cellStyle name="Note 9 3 114 2" xfId="27493"/>
    <cellStyle name="Note 9 3 114 2 2" xfId="54501"/>
    <cellStyle name="Note 9 3 114 3" xfId="40997"/>
    <cellStyle name="Note 9 3 115" xfId="13932"/>
    <cellStyle name="Note 9 3 115 2" xfId="27620"/>
    <cellStyle name="Note 9 3 115 2 2" xfId="54628"/>
    <cellStyle name="Note 9 3 115 3" xfId="41124"/>
    <cellStyle name="Note 9 3 116" xfId="14073"/>
    <cellStyle name="Note 9 3 116 2" xfId="27747"/>
    <cellStyle name="Note 9 3 116 2 2" xfId="54755"/>
    <cellStyle name="Note 9 3 116 3" xfId="41251"/>
    <cellStyle name="Note 9 3 117" xfId="14214"/>
    <cellStyle name="Note 9 3 117 2" xfId="27874"/>
    <cellStyle name="Note 9 3 117 2 2" xfId="54882"/>
    <cellStyle name="Note 9 3 117 3" xfId="41378"/>
    <cellStyle name="Note 9 3 118" xfId="14355"/>
    <cellStyle name="Note 9 3 118 2" xfId="28001"/>
    <cellStyle name="Note 9 3 118 2 2" xfId="55009"/>
    <cellStyle name="Note 9 3 118 3" xfId="41505"/>
    <cellStyle name="Note 9 3 119" xfId="14495"/>
    <cellStyle name="Note 9 3 119 2" xfId="28127"/>
    <cellStyle name="Note 9 3 119 2 2" xfId="55135"/>
    <cellStyle name="Note 9 3 119 3" xfId="41631"/>
    <cellStyle name="Note 9 3 12" xfId="1466"/>
    <cellStyle name="Note 9 3 12 2" xfId="16596"/>
    <cellStyle name="Note 9 3 12 2 2" xfId="43604"/>
    <cellStyle name="Note 9 3 12 3" xfId="30100"/>
    <cellStyle name="Note 9 3 120" xfId="14635"/>
    <cellStyle name="Note 9 3 120 2" xfId="28253"/>
    <cellStyle name="Note 9 3 120 2 2" xfId="55261"/>
    <cellStyle name="Note 9 3 120 3" xfId="41757"/>
    <cellStyle name="Note 9 3 121" xfId="14774"/>
    <cellStyle name="Note 9 3 121 2" xfId="28378"/>
    <cellStyle name="Note 9 3 121 2 2" xfId="55386"/>
    <cellStyle name="Note 9 3 121 3" xfId="41882"/>
    <cellStyle name="Note 9 3 122" xfId="14909"/>
    <cellStyle name="Note 9 3 122 2" xfId="28500"/>
    <cellStyle name="Note 9 3 122 2 2" xfId="55508"/>
    <cellStyle name="Note 9 3 122 3" xfId="42004"/>
    <cellStyle name="Note 9 3 123" xfId="15043"/>
    <cellStyle name="Note 9 3 123 2" xfId="28621"/>
    <cellStyle name="Note 9 3 123 2 2" xfId="55629"/>
    <cellStyle name="Note 9 3 123 3" xfId="42125"/>
    <cellStyle name="Note 9 3 124" xfId="15170"/>
    <cellStyle name="Note 9 3 124 2" xfId="28737"/>
    <cellStyle name="Note 9 3 124 2 2" xfId="55745"/>
    <cellStyle name="Note 9 3 124 3" xfId="42241"/>
    <cellStyle name="Note 9 3 125" xfId="15290"/>
    <cellStyle name="Note 9 3 125 2" xfId="28850"/>
    <cellStyle name="Note 9 3 125 2 2" xfId="55858"/>
    <cellStyle name="Note 9 3 125 3" xfId="42354"/>
    <cellStyle name="Note 9 3 126" xfId="15505"/>
    <cellStyle name="Note 9 3 126 2" xfId="42513"/>
    <cellStyle name="Note 9 3 127" xfId="29009"/>
    <cellStyle name="Note 9 3 13" xfId="1572"/>
    <cellStyle name="Note 9 3 13 2" xfId="16688"/>
    <cellStyle name="Note 9 3 13 2 2" xfId="43696"/>
    <cellStyle name="Note 9 3 13 3" xfId="30192"/>
    <cellStyle name="Note 9 3 14" xfId="1678"/>
    <cellStyle name="Note 9 3 14 2" xfId="16780"/>
    <cellStyle name="Note 9 3 14 2 2" xfId="43788"/>
    <cellStyle name="Note 9 3 14 3" xfId="30284"/>
    <cellStyle name="Note 9 3 15" xfId="1784"/>
    <cellStyle name="Note 9 3 15 2" xfId="16872"/>
    <cellStyle name="Note 9 3 15 2 2" xfId="43880"/>
    <cellStyle name="Note 9 3 15 3" xfId="30376"/>
    <cellStyle name="Note 9 3 16" xfId="1890"/>
    <cellStyle name="Note 9 3 16 2" xfId="16964"/>
    <cellStyle name="Note 9 3 16 2 2" xfId="43972"/>
    <cellStyle name="Note 9 3 16 3" xfId="30468"/>
    <cellStyle name="Note 9 3 17" xfId="1996"/>
    <cellStyle name="Note 9 3 17 2" xfId="17056"/>
    <cellStyle name="Note 9 3 17 2 2" xfId="44064"/>
    <cellStyle name="Note 9 3 17 3" xfId="30560"/>
    <cellStyle name="Note 9 3 18" xfId="2102"/>
    <cellStyle name="Note 9 3 18 2" xfId="17148"/>
    <cellStyle name="Note 9 3 18 2 2" xfId="44156"/>
    <cellStyle name="Note 9 3 18 3" xfId="30652"/>
    <cellStyle name="Note 9 3 19" xfId="2208"/>
    <cellStyle name="Note 9 3 19 2" xfId="17240"/>
    <cellStyle name="Note 9 3 19 2 2" xfId="44248"/>
    <cellStyle name="Note 9 3 19 3" xfId="30744"/>
    <cellStyle name="Note 9 3 2" xfId="326"/>
    <cellStyle name="Note 9 3 2 2" xfId="15628"/>
    <cellStyle name="Note 9 3 2 2 2" xfId="42636"/>
    <cellStyle name="Note 9 3 2 3" xfId="29132"/>
    <cellStyle name="Note 9 3 20" xfId="2314"/>
    <cellStyle name="Note 9 3 20 2" xfId="17332"/>
    <cellStyle name="Note 9 3 20 2 2" xfId="44340"/>
    <cellStyle name="Note 9 3 20 3" xfId="30836"/>
    <cellStyle name="Note 9 3 21" xfId="2420"/>
    <cellStyle name="Note 9 3 21 2" xfId="17424"/>
    <cellStyle name="Note 9 3 21 2 2" xfId="44432"/>
    <cellStyle name="Note 9 3 21 3" xfId="30928"/>
    <cellStyle name="Note 9 3 22" xfId="2526"/>
    <cellStyle name="Note 9 3 22 2" xfId="17516"/>
    <cellStyle name="Note 9 3 22 2 2" xfId="44524"/>
    <cellStyle name="Note 9 3 22 3" xfId="31020"/>
    <cellStyle name="Note 9 3 23" xfId="2632"/>
    <cellStyle name="Note 9 3 23 2" xfId="17608"/>
    <cellStyle name="Note 9 3 23 2 2" xfId="44616"/>
    <cellStyle name="Note 9 3 23 3" xfId="31112"/>
    <cellStyle name="Note 9 3 24" xfId="2738"/>
    <cellStyle name="Note 9 3 24 2" xfId="17700"/>
    <cellStyle name="Note 9 3 24 2 2" xfId="44708"/>
    <cellStyle name="Note 9 3 24 3" xfId="31204"/>
    <cellStyle name="Note 9 3 25" xfId="2844"/>
    <cellStyle name="Note 9 3 25 2" xfId="17792"/>
    <cellStyle name="Note 9 3 25 2 2" xfId="44800"/>
    <cellStyle name="Note 9 3 25 3" xfId="31296"/>
    <cellStyle name="Note 9 3 26" xfId="2950"/>
    <cellStyle name="Note 9 3 26 2" xfId="17884"/>
    <cellStyle name="Note 9 3 26 2 2" xfId="44892"/>
    <cellStyle name="Note 9 3 26 3" xfId="31388"/>
    <cellStyle name="Note 9 3 27" xfId="3056"/>
    <cellStyle name="Note 9 3 27 2" xfId="17976"/>
    <cellStyle name="Note 9 3 27 2 2" xfId="44984"/>
    <cellStyle name="Note 9 3 27 3" xfId="31480"/>
    <cellStyle name="Note 9 3 28" xfId="3162"/>
    <cellStyle name="Note 9 3 28 2" xfId="18068"/>
    <cellStyle name="Note 9 3 28 2 2" xfId="45076"/>
    <cellStyle name="Note 9 3 28 3" xfId="31572"/>
    <cellStyle name="Note 9 3 29" xfId="3268"/>
    <cellStyle name="Note 9 3 29 2" xfId="18160"/>
    <cellStyle name="Note 9 3 29 2 2" xfId="45168"/>
    <cellStyle name="Note 9 3 29 3" xfId="31664"/>
    <cellStyle name="Note 9 3 3" xfId="513"/>
    <cellStyle name="Note 9 3 3 2" xfId="15769"/>
    <cellStyle name="Note 9 3 3 2 2" xfId="42777"/>
    <cellStyle name="Note 9 3 3 3" xfId="29273"/>
    <cellStyle name="Note 9 3 30" xfId="3374"/>
    <cellStyle name="Note 9 3 30 2" xfId="18252"/>
    <cellStyle name="Note 9 3 30 2 2" xfId="45260"/>
    <cellStyle name="Note 9 3 30 3" xfId="31756"/>
    <cellStyle name="Note 9 3 31" xfId="3480"/>
    <cellStyle name="Note 9 3 31 2" xfId="18344"/>
    <cellStyle name="Note 9 3 31 2 2" xfId="45352"/>
    <cellStyle name="Note 9 3 31 3" xfId="31848"/>
    <cellStyle name="Note 9 3 32" xfId="3586"/>
    <cellStyle name="Note 9 3 32 2" xfId="18436"/>
    <cellStyle name="Note 9 3 32 2 2" xfId="45444"/>
    <cellStyle name="Note 9 3 32 3" xfId="31940"/>
    <cellStyle name="Note 9 3 33" xfId="3692"/>
    <cellStyle name="Note 9 3 33 2" xfId="18528"/>
    <cellStyle name="Note 9 3 33 2 2" xfId="45536"/>
    <cellStyle name="Note 9 3 33 3" xfId="32032"/>
    <cellStyle name="Note 9 3 34" xfId="3798"/>
    <cellStyle name="Note 9 3 34 2" xfId="18620"/>
    <cellStyle name="Note 9 3 34 2 2" xfId="45628"/>
    <cellStyle name="Note 9 3 34 3" xfId="32124"/>
    <cellStyle name="Note 9 3 35" xfId="3904"/>
    <cellStyle name="Note 9 3 35 2" xfId="18712"/>
    <cellStyle name="Note 9 3 35 2 2" xfId="45720"/>
    <cellStyle name="Note 9 3 35 3" xfId="32216"/>
    <cellStyle name="Note 9 3 36" xfId="4010"/>
    <cellStyle name="Note 9 3 36 2" xfId="18804"/>
    <cellStyle name="Note 9 3 36 2 2" xfId="45812"/>
    <cellStyle name="Note 9 3 36 3" xfId="32308"/>
    <cellStyle name="Note 9 3 37" xfId="4116"/>
    <cellStyle name="Note 9 3 37 2" xfId="18896"/>
    <cellStyle name="Note 9 3 37 2 2" xfId="45904"/>
    <cellStyle name="Note 9 3 37 3" xfId="32400"/>
    <cellStyle name="Note 9 3 38" xfId="4222"/>
    <cellStyle name="Note 9 3 38 2" xfId="18988"/>
    <cellStyle name="Note 9 3 38 2 2" xfId="45996"/>
    <cellStyle name="Note 9 3 38 3" xfId="32492"/>
    <cellStyle name="Note 9 3 39" xfId="4328"/>
    <cellStyle name="Note 9 3 39 2" xfId="19080"/>
    <cellStyle name="Note 9 3 39 2 2" xfId="46088"/>
    <cellStyle name="Note 9 3 39 3" xfId="32584"/>
    <cellStyle name="Note 9 3 4" xfId="618"/>
    <cellStyle name="Note 9 3 4 2" xfId="15860"/>
    <cellStyle name="Note 9 3 4 2 2" xfId="42868"/>
    <cellStyle name="Note 9 3 4 3" xfId="29364"/>
    <cellStyle name="Note 9 3 40" xfId="4434"/>
    <cellStyle name="Note 9 3 40 2" xfId="19172"/>
    <cellStyle name="Note 9 3 40 2 2" xfId="46180"/>
    <cellStyle name="Note 9 3 40 3" xfId="32676"/>
    <cellStyle name="Note 9 3 41" xfId="4540"/>
    <cellStyle name="Note 9 3 41 2" xfId="19264"/>
    <cellStyle name="Note 9 3 41 2 2" xfId="46272"/>
    <cellStyle name="Note 9 3 41 3" xfId="32768"/>
    <cellStyle name="Note 9 3 42" xfId="4646"/>
    <cellStyle name="Note 9 3 42 2" xfId="19356"/>
    <cellStyle name="Note 9 3 42 2 2" xfId="46364"/>
    <cellStyle name="Note 9 3 42 3" xfId="32860"/>
    <cellStyle name="Note 9 3 43" xfId="4752"/>
    <cellStyle name="Note 9 3 43 2" xfId="19448"/>
    <cellStyle name="Note 9 3 43 2 2" xfId="46456"/>
    <cellStyle name="Note 9 3 43 3" xfId="32952"/>
    <cellStyle name="Note 9 3 44" xfId="4858"/>
    <cellStyle name="Note 9 3 44 2" xfId="19540"/>
    <cellStyle name="Note 9 3 44 2 2" xfId="46548"/>
    <cellStyle name="Note 9 3 44 3" xfId="33044"/>
    <cellStyle name="Note 9 3 45" xfId="4964"/>
    <cellStyle name="Note 9 3 45 2" xfId="19632"/>
    <cellStyle name="Note 9 3 45 2 2" xfId="46640"/>
    <cellStyle name="Note 9 3 45 3" xfId="33136"/>
    <cellStyle name="Note 9 3 46" xfId="5070"/>
    <cellStyle name="Note 9 3 46 2" xfId="19724"/>
    <cellStyle name="Note 9 3 46 2 2" xfId="46732"/>
    <cellStyle name="Note 9 3 46 3" xfId="33228"/>
    <cellStyle name="Note 9 3 47" xfId="5176"/>
    <cellStyle name="Note 9 3 47 2" xfId="19816"/>
    <cellStyle name="Note 9 3 47 2 2" xfId="46824"/>
    <cellStyle name="Note 9 3 47 3" xfId="33320"/>
    <cellStyle name="Note 9 3 48" xfId="5282"/>
    <cellStyle name="Note 9 3 48 2" xfId="19908"/>
    <cellStyle name="Note 9 3 48 2 2" xfId="46916"/>
    <cellStyle name="Note 9 3 48 3" xfId="33412"/>
    <cellStyle name="Note 9 3 49" xfId="5388"/>
    <cellStyle name="Note 9 3 49 2" xfId="20000"/>
    <cellStyle name="Note 9 3 49 2 2" xfId="47008"/>
    <cellStyle name="Note 9 3 49 3" xfId="33504"/>
    <cellStyle name="Note 9 3 5" xfId="724"/>
    <cellStyle name="Note 9 3 5 2" xfId="15952"/>
    <cellStyle name="Note 9 3 5 2 2" xfId="42960"/>
    <cellStyle name="Note 9 3 5 3" xfId="29456"/>
    <cellStyle name="Note 9 3 50" xfId="5494"/>
    <cellStyle name="Note 9 3 50 2" xfId="20092"/>
    <cellStyle name="Note 9 3 50 2 2" xfId="47100"/>
    <cellStyle name="Note 9 3 50 3" xfId="33596"/>
    <cellStyle name="Note 9 3 51" xfId="5600"/>
    <cellStyle name="Note 9 3 51 2" xfId="20184"/>
    <cellStyle name="Note 9 3 51 2 2" xfId="47192"/>
    <cellStyle name="Note 9 3 51 3" xfId="33688"/>
    <cellStyle name="Note 9 3 52" xfId="5706"/>
    <cellStyle name="Note 9 3 52 2" xfId="20276"/>
    <cellStyle name="Note 9 3 52 2 2" xfId="47284"/>
    <cellStyle name="Note 9 3 52 3" xfId="33780"/>
    <cellStyle name="Note 9 3 53" xfId="5812"/>
    <cellStyle name="Note 9 3 53 2" xfId="20368"/>
    <cellStyle name="Note 9 3 53 2 2" xfId="47376"/>
    <cellStyle name="Note 9 3 53 3" xfId="33872"/>
    <cellStyle name="Note 9 3 54" xfId="5918"/>
    <cellStyle name="Note 9 3 54 2" xfId="20460"/>
    <cellStyle name="Note 9 3 54 2 2" xfId="47468"/>
    <cellStyle name="Note 9 3 54 3" xfId="33964"/>
    <cellStyle name="Note 9 3 55" xfId="6024"/>
    <cellStyle name="Note 9 3 55 2" xfId="20552"/>
    <cellStyle name="Note 9 3 55 2 2" xfId="47560"/>
    <cellStyle name="Note 9 3 55 3" xfId="34056"/>
    <cellStyle name="Note 9 3 56" xfId="6130"/>
    <cellStyle name="Note 9 3 56 2" xfId="20644"/>
    <cellStyle name="Note 9 3 56 2 2" xfId="47652"/>
    <cellStyle name="Note 9 3 56 3" xfId="34148"/>
    <cellStyle name="Note 9 3 57" xfId="6236"/>
    <cellStyle name="Note 9 3 57 2" xfId="20736"/>
    <cellStyle name="Note 9 3 57 2 2" xfId="47744"/>
    <cellStyle name="Note 9 3 57 3" xfId="34240"/>
    <cellStyle name="Note 9 3 58" xfId="6342"/>
    <cellStyle name="Note 9 3 58 2" xfId="20828"/>
    <cellStyle name="Note 9 3 58 2 2" xfId="47836"/>
    <cellStyle name="Note 9 3 58 3" xfId="34332"/>
    <cellStyle name="Note 9 3 59" xfId="6448"/>
    <cellStyle name="Note 9 3 59 2" xfId="20920"/>
    <cellStyle name="Note 9 3 59 2 2" xfId="47928"/>
    <cellStyle name="Note 9 3 59 3" xfId="34424"/>
    <cellStyle name="Note 9 3 6" xfId="830"/>
    <cellStyle name="Note 9 3 6 2" xfId="16044"/>
    <cellStyle name="Note 9 3 6 2 2" xfId="43052"/>
    <cellStyle name="Note 9 3 6 3" xfId="29548"/>
    <cellStyle name="Note 9 3 60" xfId="6554"/>
    <cellStyle name="Note 9 3 60 2" xfId="21012"/>
    <cellStyle name="Note 9 3 60 2 2" xfId="48020"/>
    <cellStyle name="Note 9 3 60 3" xfId="34516"/>
    <cellStyle name="Note 9 3 61" xfId="6659"/>
    <cellStyle name="Note 9 3 61 2" xfId="21103"/>
    <cellStyle name="Note 9 3 61 2 2" xfId="48111"/>
    <cellStyle name="Note 9 3 61 3" xfId="34607"/>
    <cellStyle name="Note 9 3 62" xfId="6764"/>
    <cellStyle name="Note 9 3 62 2" xfId="21194"/>
    <cellStyle name="Note 9 3 62 2 2" xfId="48202"/>
    <cellStyle name="Note 9 3 62 3" xfId="34698"/>
    <cellStyle name="Note 9 3 63" xfId="6869"/>
    <cellStyle name="Note 9 3 63 2" xfId="21285"/>
    <cellStyle name="Note 9 3 63 2 2" xfId="48293"/>
    <cellStyle name="Note 9 3 63 3" xfId="34789"/>
    <cellStyle name="Note 9 3 64" xfId="6974"/>
    <cellStyle name="Note 9 3 64 2" xfId="21376"/>
    <cellStyle name="Note 9 3 64 2 2" xfId="48384"/>
    <cellStyle name="Note 9 3 64 3" xfId="34880"/>
    <cellStyle name="Note 9 3 65" xfId="7078"/>
    <cellStyle name="Note 9 3 65 2" xfId="21466"/>
    <cellStyle name="Note 9 3 65 2 2" xfId="48474"/>
    <cellStyle name="Note 9 3 65 3" xfId="34970"/>
    <cellStyle name="Note 9 3 66" xfId="7182"/>
    <cellStyle name="Note 9 3 66 2" xfId="21556"/>
    <cellStyle name="Note 9 3 66 2 2" xfId="48564"/>
    <cellStyle name="Note 9 3 66 3" xfId="35060"/>
    <cellStyle name="Note 9 3 67" xfId="7285"/>
    <cellStyle name="Note 9 3 67 2" xfId="21645"/>
    <cellStyle name="Note 9 3 67 2 2" xfId="48653"/>
    <cellStyle name="Note 9 3 67 3" xfId="35149"/>
    <cellStyle name="Note 9 3 68" xfId="7385"/>
    <cellStyle name="Note 9 3 68 2" xfId="21732"/>
    <cellStyle name="Note 9 3 68 2 2" xfId="48740"/>
    <cellStyle name="Note 9 3 68 3" xfId="35236"/>
    <cellStyle name="Note 9 3 69" xfId="7483"/>
    <cellStyle name="Note 9 3 69 2" xfId="21817"/>
    <cellStyle name="Note 9 3 69 2 2" xfId="48825"/>
    <cellStyle name="Note 9 3 69 3" xfId="35321"/>
    <cellStyle name="Note 9 3 7" xfId="936"/>
    <cellStyle name="Note 9 3 7 2" xfId="16136"/>
    <cellStyle name="Note 9 3 7 2 2" xfId="43144"/>
    <cellStyle name="Note 9 3 7 3" xfId="29640"/>
    <cellStyle name="Note 9 3 70" xfId="7572"/>
    <cellStyle name="Note 9 3 70 2" xfId="21895"/>
    <cellStyle name="Note 9 3 70 2 2" xfId="48903"/>
    <cellStyle name="Note 9 3 70 3" xfId="35399"/>
    <cellStyle name="Note 9 3 71" xfId="7648"/>
    <cellStyle name="Note 9 3 71 2" xfId="21964"/>
    <cellStyle name="Note 9 3 71 2 2" xfId="48972"/>
    <cellStyle name="Note 9 3 71 3" xfId="35468"/>
    <cellStyle name="Note 9 3 72" xfId="7827"/>
    <cellStyle name="Note 9 3 72 2" xfId="22117"/>
    <cellStyle name="Note 9 3 72 2 2" xfId="49125"/>
    <cellStyle name="Note 9 3 72 3" xfId="35621"/>
    <cellStyle name="Note 9 3 73" xfId="7969"/>
    <cellStyle name="Note 9 3 73 2" xfId="22245"/>
    <cellStyle name="Note 9 3 73 2 2" xfId="49253"/>
    <cellStyle name="Note 9 3 73 3" xfId="35749"/>
    <cellStyle name="Note 9 3 74" xfId="8111"/>
    <cellStyle name="Note 9 3 74 2" xfId="22373"/>
    <cellStyle name="Note 9 3 74 2 2" xfId="49381"/>
    <cellStyle name="Note 9 3 74 3" xfId="35877"/>
    <cellStyle name="Note 9 3 75" xfId="8253"/>
    <cellStyle name="Note 9 3 75 2" xfId="22501"/>
    <cellStyle name="Note 9 3 75 2 2" xfId="49509"/>
    <cellStyle name="Note 9 3 75 3" xfId="36005"/>
    <cellStyle name="Note 9 3 76" xfId="8395"/>
    <cellStyle name="Note 9 3 76 2" xfId="22629"/>
    <cellStyle name="Note 9 3 76 2 2" xfId="49637"/>
    <cellStyle name="Note 9 3 76 3" xfId="36133"/>
    <cellStyle name="Note 9 3 77" xfId="8537"/>
    <cellStyle name="Note 9 3 77 2" xfId="22757"/>
    <cellStyle name="Note 9 3 77 2 2" xfId="49765"/>
    <cellStyle name="Note 9 3 77 3" xfId="36261"/>
    <cellStyle name="Note 9 3 78" xfId="8679"/>
    <cellStyle name="Note 9 3 78 2" xfId="22885"/>
    <cellStyle name="Note 9 3 78 2 2" xfId="49893"/>
    <cellStyle name="Note 9 3 78 3" xfId="36389"/>
    <cellStyle name="Note 9 3 79" xfId="8821"/>
    <cellStyle name="Note 9 3 79 2" xfId="23013"/>
    <cellStyle name="Note 9 3 79 2 2" xfId="50021"/>
    <cellStyle name="Note 9 3 79 3" xfId="36517"/>
    <cellStyle name="Note 9 3 8" xfId="1042"/>
    <cellStyle name="Note 9 3 8 2" xfId="16228"/>
    <cellStyle name="Note 9 3 8 2 2" xfId="43236"/>
    <cellStyle name="Note 9 3 8 3" xfId="29732"/>
    <cellStyle name="Note 9 3 80" xfId="8963"/>
    <cellStyle name="Note 9 3 80 2" xfId="23141"/>
    <cellStyle name="Note 9 3 80 2 2" xfId="50149"/>
    <cellStyle name="Note 9 3 80 3" xfId="36645"/>
    <cellStyle name="Note 9 3 81" xfId="9105"/>
    <cellStyle name="Note 9 3 81 2" xfId="23269"/>
    <cellStyle name="Note 9 3 81 2 2" xfId="50277"/>
    <cellStyle name="Note 9 3 81 3" xfId="36773"/>
    <cellStyle name="Note 9 3 82" xfId="9247"/>
    <cellStyle name="Note 9 3 82 2" xfId="23397"/>
    <cellStyle name="Note 9 3 82 2 2" xfId="50405"/>
    <cellStyle name="Note 9 3 82 3" xfId="36901"/>
    <cellStyle name="Note 9 3 83" xfId="9389"/>
    <cellStyle name="Note 9 3 83 2" xfId="23525"/>
    <cellStyle name="Note 9 3 83 2 2" xfId="50533"/>
    <cellStyle name="Note 9 3 83 3" xfId="37029"/>
    <cellStyle name="Note 9 3 84" xfId="9531"/>
    <cellStyle name="Note 9 3 84 2" xfId="23653"/>
    <cellStyle name="Note 9 3 84 2 2" xfId="50661"/>
    <cellStyle name="Note 9 3 84 3" xfId="37157"/>
    <cellStyle name="Note 9 3 85" xfId="9673"/>
    <cellStyle name="Note 9 3 85 2" xfId="23781"/>
    <cellStyle name="Note 9 3 85 2 2" xfId="50789"/>
    <cellStyle name="Note 9 3 85 3" xfId="37285"/>
    <cellStyle name="Note 9 3 86" xfId="9815"/>
    <cellStyle name="Note 9 3 86 2" xfId="23909"/>
    <cellStyle name="Note 9 3 86 2 2" xfId="50917"/>
    <cellStyle name="Note 9 3 86 3" xfId="37413"/>
    <cellStyle name="Note 9 3 87" xfId="9957"/>
    <cellStyle name="Note 9 3 87 2" xfId="24037"/>
    <cellStyle name="Note 9 3 87 2 2" xfId="51045"/>
    <cellStyle name="Note 9 3 87 3" xfId="37541"/>
    <cellStyle name="Note 9 3 88" xfId="10099"/>
    <cellStyle name="Note 9 3 88 2" xfId="24165"/>
    <cellStyle name="Note 9 3 88 2 2" xfId="51173"/>
    <cellStyle name="Note 9 3 88 3" xfId="37669"/>
    <cellStyle name="Note 9 3 89" xfId="10241"/>
    <cellStyle name="Note 9 3 89 2" xfId="24293"/>
    <cellStyle name="Note 9 3 89 2 2" xfId="51301"/>
    <cellStyle name="Note 9 3 89 3" xfId="37797"/>
    <cellStyle name="Note 9 3 9" xfId="1148"/>
    <cellStyle name="Note 9 3 9 2" xfId="16320"/>
    <cellStyle name="Note 9 3 9 2 2" xfId="43328"/>
    <cellStyle name="Note 9 3 9 3" xfId="29824"/>
    <cellStyle name="Note 9 3 90" xfId="10383"/>
    <cellStyle name="Note 9 3 90 2" xfId="24421"/>
    <cellStyle name="Note 9 3 90 2 2" xfId="51429"/>
    <cellStyle name="Note 9 3 90 3" xfId="37925"/>
    <cellStyle name="Note 9 3 91" xfId="10525"/>
    <cellStyle name="Note 9 3 91 2" xfId="24549"/>
    <cellStyle name="Note 9 3 91 2 2" xfId="51557"/>
    <cellStyle name="Note 9 3 91 3" xfId="38053"/>
    <cellStyle name="Note 9 3 92" xfId="10667"/>
    <cellStyle name="Note 9 3 92 2" xfId="24677"/>
    <cellStyle name="Note 9 3 92 2 2" xfId="51685"/>
    <cellStyle name="Note 9 3 92 3" xfId="38181"/>
    <cellStyle name="Note 9 3 93" xfId="10809"/>
    <cellStyle name="Note 9 3 93 2" xfId="24805"/>
    <cellStyle name="Note 9 3 93 2 2" xfId="51813"/>
    <cellStyle name="Note 9 3 93 3" xfId="38309"/>
    <cellStyle name="Note 9 3 94" xfId="10951"/>
    <cellStyle name="Note 9 3 94 2" xfId="24933"/>
    <cellStyle name="Note 9 3 94 2 2" xfId="51941"/>
    <cellStyle name="Note 9 3 94 3" xfId="38437"/>
    <cellStyle name="Note 9 3 95" xfId="11093"/>
    <cellStyle name="Note 9 3 95 2" xfId="25061"/>
    <cellStyle name="Note 9 3 95 2 2" xfId="52069"/>
    <cellStyle name="Note 9 3 95 3" xfId="38565"/>
    <cellStyle name="Note 9 3 96" xfId="11235"/>
    <cellStyle name="Note 9 3 96 2" xfId="25189"/>
    <cellStyle name="Note 9 3 96 2 2" xfId="52197"/>
    <cellStyle name="Note 9 3 96 3" xfId="38693"/>
    <cellStyle name="Note 9 3 97" xfId="11377"/>
    <cellStyle name="Note 9 3 97 2" xfId="25317"/>
    <cellStyle name="Note 9 3 97 2 2" xfId="52325"/>
    <cellStyle name="Note 9 3 97 3" xfId="38821"/>
    <cellStyle name="Note 9 3 98" xfId="11519"/>
    <cellStyle name="Note 9 3 98 2" xfId="25445"/>
    <cellStyle name="Note 9 3 98 2 2" xfId="52453"/>
    <cellStyle name="Note 9 3 98 3" xfId="38949"/>
    <cellStyle name="Note 9 3 99" xfId="11661"/>
    <cellStyle name="Note 9 3 99 2" xfId="25573"/>
    <cellStyle name="Note 9 3 99 2 2" xfId="52581"/>
    <cellStyle name="Note 9 3 99 3" xfId="39077"/>
    <cellStyle name="Note 9 30" xfId="3134"/>
    <cellStyle name="Note 9 30 2" xfId="18044"/>
    <cellStyle name="Note 9 30 2 2" xfId="45052"/>
    <cellStyle name="Note 9 30 3" xfId="31548"/>
    <cellStyle name="Note 9 31" xfId="3240"/>
    <cellStyle name="Note 9 31 2" xfId="18136"/>
    <cellStyle name="Note 9 31 2 2" xfId="45144"/>
    <cellStyle name="Note 9 31 3" xfId="31640"/>
    <cellStyle name="Note 9 32" xfId="3346"/>
    <cellStyle name="Note 9 32 2" xfId="18228"/>
    <cellStyle name="Note 9 32 2 2" xfId="45236"/>
    <cellStyle name="Note 9 32 3" xfId="31732"/>
    <cellStyle name="Note 9 33" xfId="3452"/>
    <cellStyle name="Note 9 33 2" xfId="18320"/>
    <cellStyle name="Note 9 33 2 2" xfId="45328"/>
    <cellStyle name="Note 9 33 3" xfId="31824"/>
    <cellStyle name="Note 9 34" xfId="3558"/>
    <cellStyle name="Note 9 34 2" xfId="18412"/>
    <cellStyle name="Note 9 34 2 2" xfId="45420"/>
    <cellStyle name="Note 9 34 3" xfId="31916"/>
    <cellStyle name="Note 9 35" xfId="3664"/>
    <cellStyle name="Note 9 35 2" xfId="18504"/>
    <cellStyle name="Note 9 35 2 2" xfId="45512"/>
    <cellStyle name="Note 9 35 3" xfId="32008"/>
    <cellStyle name="Note 9 36" xfId="3770"/>
    <cellStyle name="Note 9 36 2" xfId="18596"/>
    <cellStyle name="Note 9 36 2 2" xfId="45604"/>
    <cellStyle name="Note 9 36 3" xfId="32100"/>
    <cellStyle name="Note 9 37" xfId="3876"/>
    <cellStyle name="Note 9 37 2" xfId="18688"/>
    <cellStyle name="Note 9 37 2 2" xfId="45696"/>
    <cellStyle name="Note 9 37 3" xfId="32192"/>
    <cellStyle name="Note 9 38" xfId="3982"/>
    <cellStyle name="Note 9 38 2" xfId="18780"/>
    <cellStyle name="Note 9 38 2 2" xfId="45788"/>
    <cellStyle name="Note 9 38 3" xfId="32284"/>
    <cellStyle name="Note 9 39" xfId="4088"/>
    <cellStyle name="Note 9 39 2" xfId="18872"/>
    <cellStyle name="Note 9 39 2 2" xfId="45880"/>
    <cellStyle name="Note 9 39 3" xfId="32376"/>
    <cellStyle name="Note 9 4" xfId="273"/>
    <cellStyle name="Note 9 4 2" xfId="15583"/>
    <cellStyle name="Note 9 4 2 2" xfId="42591"/>
    <cellStyle name="Note 9 4 3" xfId="29087"/>
    <cellStyle name="Note 9 40" xfId="4194"/>
    <cellStyle name="Note 9 40 2" xfId="18964"/>
    <cellStyle name="Note 9 40 2 2" xfId="45972"/>
    <cellStyle name="Note 9 40 3" xfId="32468"/>
    <cellStyle name="Note 9 41" xfId="4300"/>
    <cellStyle name="Note 9 41 2" xfId="19056"/>
    <cellStyle name="Note 9 41 2 2" xfId="46064"/>
    <cellStyle name="Note 9 41 3" xfId="32560"/>
    <cellStyle name="Note 9 42" xfId="4406"/>
    <cellStyle name="Note 9 42 2" xfId="19148"/>
    <cellStyle name="Note 9 42 2 2" xfId="46156"/>
    <cellStyle name="Note 9 42 3" xfId="32652"/>
    <cellStyle name="Note 9 43" xfId="4512"/>
    <cellStyle name="Note 9 43 2" xfId="19240"/>
    <cellStyle name="Note 9 43 2 2" xfId="46248"/>
    <cellStyle name="Note 9 43 3" xfId="32744"/>
    <cellStyle name="Note 9 44" xfId="4618"/>
    <cellStyle name="Note 9 44 2" xfId="19332"/>
    <cellStyle name="Note 9 44 2 2" xfId="46340"/>
    <cellStyle name="Note 9 44 3" xfId="32836"/>
    <cellStyle name="Note 9 45" xfId="4724"/>
    <cellStyle name="Note 9 45 2" xfId="19424"/>
    <cellStyle name="Note 9 45 2 2" xfId="46432"/>
    <cellStyle name="Note 9 45 3" xfId="32928"/>
    <cellStyle name="Note 9 46" xfId="4830"/>
    <cellStyle name="Note 9 46 2" xfId="19516"/>
    <cellStyle name="Note 9 46 2 2" xfId="46524"/>
    <cellStyle name="Note 9 46 3" xfId="33020"/>
    <cellStyle name="Note 9 47" xfId="4936"/>
    <cellStyle name="Note 9 47 2" xfId="19608"/>
    <cellStyle name="Note 9 47 2 2" xfId="46616"/>
    <cellStyle name="Note 9 47 3" xfId="33112"/>
    <cellStyle name="Note 9 48" xfId="5042"/>
    <cellStyle name="Note 9 48 2" xfId="19700"/>
    <cellStyle name="Note 9 48 2 2" xfId="46708"/>
    <cellStyle name="Note 9 48 3" xfId="33204"/>
    <cellStyle name="Note 9 49" xfId="5148"/>
    <cellStyle name="Note 9 49 2" xfId="19792"/>
    <cellStyle name="Note 9 49 2 2" xfId="46800"/>
    <cellStyle name="Note 9 49 3" xfId="33296"/>
    <cellStyle name="Note 9 5" xfId="463"/>
    <cellStyle name="Note 9 5 2" xfId="15724"/>
    <cellStyle name="Note 9 5 2 2" xfId="42732"/>
    <cellStyle name="Note 9 5 3" xfId="29228"/>
    <cellStyle name="Note 9 50" xfId="5254"/>
    <cellStyle name="Note 9 50 2" xfId="19884"/>
    <cellStyle name="Note 9 50 2 2" xfId="46892"/>
    <cellStyle name="Note 9 50 3" xfId="33388"/>
    <cellStyle name="Note 9 51" xfId="5360"/>
    <cellStyle name="Note 9 51 2" xfId="19976"/>
    <cellStyle name="Note 9 51 2 2" xfId="46984"/>
    <cellStyle name="Note 9 51 3" xfId="33480"/>
    <cellStyle name="Note 9 52" xfId="5466"/>
    <cellStyle name="Note 9 52 2" xfId="20068"/>
    <cellStyle name="Note 9 52 2 2" xfId="47076"/>
    <cellStyle name="Note 9 52 3" xfId="33572"/>
    <cellStyle name="Note 9 53" xfId="5572"/>
    <cellStyle name="Note 9 53 2" xfId="20160"/>
    <cellStyle name="Note 9 53 2 2" xfId="47168"/>
    <cellStyle name="Note 9 53 3" xfId="33664"/>
    <cellStyle name="Note 9 54" xfId="5678"/>
    <cellStyle name="Note 9 54 2" xfId="20252"/>
    <cellStyle name="Note 9 54 2 2" xfId="47260"/>
    <cellStyle name="Note 9 54 3" xfId="33756"/>
    <cellStyle name="Note 9 55" xfId="5784"/>
    <cellStyle name="Note 9 55 2" xfId="20344"/>
    <cellStyle name="Note 9 55 2 2" xfId="47352"/>
    <cellStyle name="Note 9 55 3" xfId="33848"/>
    <cellStyle name="Note 9 56" xfId="5890"/>
    <cellStyle name="Note 9 56 2" xfId="20436"/>
    <cellStyle name="Note 9 56 2 2" xfId="47444"/>
    <cellStyle name="Note 9 56 3" xfId="33940"/>
    <cellStyle name="Note 9 57" xfId="5996"/>
    <cellStyle name="Note 9 57 2" xfId="20528"/>
    <cellStyle name="Note 9 57 2 2" xfId="47536"/>
    <cellStyle name="Note 9 57 3" xfId="34032"/>
    <cellStyle name="Note 9 58" xfId="6102"/>
    <cellStyle name="Note 9 58 2" xfId="20620"/>
    <cellStyle name="Note 9 58 2 2" xfId="47628"/>
    <cellStyle name="Note 9 58 3" xfId="34124"/>
    <cellStyle name="Note 9 59" xfId="6208"/>
    <cellStyle name="Note 9 59 2" xfId="20712"/>
    <cellStyle name="Note 9 59 2 2" xfId="47720"/>
    <cellStyle name="Note 9 59 3" xfId="34216"/>
    <cellStyle name="Note 9 6" xfId="590"/>
    <cellStyle name="Note 9 6 2" xfId="15836"/>
    <cellStyle name="Note 9 6 2 2" xfId="42844"/>
    <cellStyle name="Note 9 6 3" xfId="29340"/>
    <cellStyle name="Note 9 60" xfId="6314"/>
    <cellStyle name="Note 9 60 2" xfId="20804"/>
    <cellStyle name="Note 9 60 2 2" xfId="47812"/>
    <cellStyle name="Note 9 60 3" xfId="34308"/>
    <cellStyle name="Note 9 61" xfId="6420"/>
    <cellStyle name="Note 9 61 2" xfId="20896"/>
    <cellStyle name="Note 9 61 2 2" xfId="47904"/>
    <cellStyle name="Note 9 61 3" xfId="34400"/>
    <cellStyle name="Note 9 62" xfId="6526"/>
    <cellStyle name="Note 9 62 2" xfId="20988"/>
    <cellStyle name="Note 9 62 2 2" xfId="47996"/>
    <cellStyle name="Note 9 62 3" xfId="34492"/>
    <cellStyle name="Note 9 63" xfId="6631"/>
    <cellStyle name="Note 9 63 2" xfId="21079"/>
    <cellStyle name="Note 9 63 2 2" xfId="48087"/>
    <cellStyle name="Note 9 63 3" xfId="34583"/>
    <cellStyle name="Note 9 64" xfId="6736"/>
    <cellStyle name="Note 9 64 2" xfId="21170"/>
    <cellStyle name="Note 9 64 2 2" xfId="48178"/>
    <cellStyle name="Note 9 64 3" xfId="34674"/>
    <cellStyle name="Note 9 65" xfId="6841"/>
    <cellStyle name="Note 9 65 2" xfId="21261"/>
    <cellStyle name="Note 9 65 2 2" xfId="48269"/>
    <cellStyle name="Note 9 65 3" xfId="34765"/>
    <cellStyle name="Note 9 66" xfId="6946"/>
    <cellStyle name="Note 9 66 2" xfId="21352"/>
    <cellStyle name="Note 9 66 2 2" xfId="48360"/>
    <cellStyle name="Note 9 66 3" xfId="34856"/>
    <cellStyle name="Note 9 67" xfId="7050"/>
    <cellStyle name="Note 9 67 2" xfId="21442"/>
    <cellStyle name="Note 9 67 2 2" xfId="48450"/>
    <cellStyle name="Note 9 67 3" xfId="34946"/>
    <cellStyle name="Note 9 68" xfId="7154"/>
    <cellStyle name="Note 9 68 2" xfId="21532"/>
    <cellStyle name="Note 9 68 2 2" xfId="48540"/>
    <cellStyle name="Note 9 68 3" xfId="35036"/>
    <cellStyle name="Note 9 69" xfId="7257"/>
    <cellStyle name="Note 9 69 2" xfId="21621"/>
    <cellStyle name="Note 9 69 2 2" xfId="48629"/>
    <cellStyle name="Note 9 69 3" xfId="35125"/>
    <cellStyle name="Note 9 7" xfId="696"/>
    <cellStyle name="Note 9 7 2" xfId="15928"/>
    <cellStyle name="Note 9 7 2 2" xfId="42936"/>
    <cellStyle name="Note 9 7 3" xfId="29432"/>
    <cellStyle name="Note 9 70" xfId="7357"/>
    <cellStyle name="Note 9 70 2" xfId="21708"/>
    <cellStyle name="Note 9 70 2 2" xfId="48716"/>
    <cellStyle name="Note 9 70 3" xfId="35212"/>
    <cellStyle name="Note 9 71" xfId="7455"/>
    <cellStyle name="Note 9 71 2" xfId="21793"/>
    <cellStyle name="Note 9 71 2 2" xfId="48801"/>
    <cellStyle name="Note 9 71 3" xfId="35297"/>
    <cellStyle name="Note 9 72" xfId="7547"/>
    <cellStyle name="Note 9 72 2" xfId="21874"/>
    <cellStyle name="Note 9 72 2 2" xfId="48882"/>
    <cellStyle name="Note 9 72 3" xfId="35378"/>
    <cellStyle name="Note 9 73" xfId="7630"/>
    <cellStyle name="Note 9 73 2" xfId="21949"/>
    <cellStyle name="Note 9 73 2 2" xfId="48957"/>
    <cellStyle name="Note 9 73 3" xfId="35453"/>
    <cellStyle name="Note 9 74" xfId="7774"/>
    <cellStyle name="Note 9 74 2" xfId="22069"/>
    <cellStyle name="Note 9 74 2 2" xfId="49077"/>
    <cellStyle name="Note 9 74 3" xfId="35573"/>
    <cellStyle name="Note 9 75" xfId="7905"/>
    <cellStyle name="Note 9 75 2" xfId="22186"/>
    <cellStyle name="Note 9 75 2 2" xfId="49194"/>
    <cellStyle name="Note 9 75 3" xfId="35690"/>
    <cellStyle name="Note 9 76" xfId="8047"/>
    <cellStyle name="Note 9 76 2" xfId="22314"/>
    <cellStyle name="Note 9 76 2 2" xfId="49322"/>
    <cellStyle name="Note 9 76 3" xfId="35818"/>
    <cellStyle name="Note 9 77" xfId="8189"/>
    <cellStyle name="Note 9 77 2" xfId="22442"/>
    <cellStyle name="Note 9 77 2 2" xfId="49450"/>
    <cellStyle name="Note 9 77 3" xfId="35946"/>
    <cellStyle name="Note 9 78" xfId="8331"/>
    <cellStyle name="Note 9 78 2" xfId="22570"/>
    <cellStyle name="Note 9 78 2 2" xfId="49578"/>
    <cellStyle name="Note 9 78 3" xfId="36074"/>
    <cellStyle name="Note 9 79" xfId="8473"/>
    <cellStyle name="Note 9 79 2" xfId="22698"/>
    <cellStyle name="Note 9 79 2 2" xfId="49706"/>
    <cellStyle name="Note 9 79 3" xfId="36202"/>
    <cellStyle name="Note 9 8" xfId="802"/>
    <cellStyle name="Note 9 8 2" xfId="16020"/>
    <cellStyle name="Note 9 8 2 2" xfId="43028"/>
    <cellStyle name="Note 9 8 3" xfId="29524"/>
    <cellStyle name="Note 9 80" xfId="8615"/>
    <cellStyle name="Note 9 80 2" xfId="22826"/>
    <cellStyle name="Note 9 80 2 2" xfId="49834"/>
    <cellStyle name="Note 9 80 3" xfId="36330"/>
    <cellStyle name="Note 9 81" xfId="8757"/>
    <cellStyle name="Note 9 81 2" xfId="22954"/>
    <cellStyle name="Note 9 81 2 2" xfId="49962"/>
    <cellStyle name="Note 9 81 3" xfId="36458"/>
    <cellStyle name="Note 9 82" xfId="8899"/>
    <cellStyle name="Note 9 82 2" xfId="23082"/>
    <cellStyle name="Note 9 82 2 2" xfId="50090"/>
    <cellStyle name="Note 9 82 3" xfId="36586"/>
    <cellStyle name="Note 9 83" xfId="9041"/>
    <cellStyle name="Note 9 83 2" xfId="23210"/>
    <cellStyle name="Note 9 83 2 2" xfId="50218"/>
    <cellStyle name="Note 9 83 3" xfId="36714"/>
    <cellStyle name="Note 9 84" xfId="9183"/>
    <cellStyle name="Note 9 84 2" xfId="23338"/>
    <cellStyle name="Note 9 84 2 2" xfId="50346"/>
    <cellStyle name="Note 9 84 3" xfId="36842"/>
    <cellStyle name="Note 9 85" xfId="9325"/>
    <cellStyle name="Note 9 85 2" xfId="23466"/>
    <cellStyle name="Note 9 85 2 2" xfId="50474"/>
    <cellStyle name="Note 9 85 3" xfId="36970"/>
    <cellStyle name="Note 9 86" xfId="9467"/>
    <cellStyle name="Note 9 86 2" xfId="23594"/>
    <cellStyle name="Note 9 86 2 2" xfId="50602"/>
    <cellStyle name="Note 9 86 3" xfId="37098"/>
    <cellStyle name="Note 9 87" xfId="9609"/>
    <cellStyle name="Note 9 87 2" xfId="23722"/>
    <cellStyle name="Note 9 87 2 2" xfId="50730"/>
    <cellStyle name="Note 9 87 3" xfId="37226"/>
    <cellStyle name="Note 9 88" xfId="9751"/>
    <cellStyle name="Note 9 88 2" xfId="23850"/>
    <cellStyle name="Note 9 88 2 2" xfId="50858"/>
    <cellStyle name="Note 9 88 3" xfId="37354"/>
    <cellStyle name="Note 9 89" xfId="9893"/>
    <cellStyle name="Note 9 89 2" xfId="23978"/>
    <cellStyle name="Note 9 89 2 2" xfId="50986"/>
    <cellStyle name="Note 9 89 3" xfId="37482"/>
    <cellStyle name="Note 9 9" xfId="908"/>
    <cellStyle name="Note 9 9 2" xfId="16112"/>
    <cellStyle name="Note 9 9 2 2" xfId="43120"/>
    <cellStyle name="Note 9 9 3" xfId="29616"/>
    <cellStyle name="Note 9 90" xfId="10035"/>
    <cellStyle name="Note 9 90 2" xfId="24106"/>
    <cellStyle name="Note 9 90 2 2" xfId="51114"/>
    <cellStyle name="Note 9 90 3" xfId="37610"/>
    <cellStyle name="Note 9 91" xfId="10177"/>
    <cellStyle name="Note 9 91 2" xfId="24234"/>
    <cellStyle name="Note 9 91 2 2" xfId="51242"/>
    <cellStyle name="Note 9 91 3" xfId="37738"/>
    <cellStyle name="Note 9 92" xfId="10319"/>
    <cellStyle name="Note 9 92 2" xfId="24362"/>
    <cellStyle name="Note 9 92 2 2" xfId="51370"/>
    <cellStyle name="Note 9 92 3" xfId="37866"/>
    <cellStyle name="Note 9 93" xfId="10461"/>
    <cellStyle name="Note 9 93 2" xfId="24490"/>
    <cellStyle name="Note 9 93 2 2" xfId="51498"/>
    <cellStyle name="Note 9 93 3" xfId="37994"/>
    <cellStyle name="Note 9 94" xfId="10603"/>
    <cellStyle name="Note 9 94 2" xfId="24618"/>
    <cellStyle name="Note 9 94 2 2" xfId="51626"/>
    <cellStyle name="Note 9 94 3" xfId="38122"/>
    <cellStyle name="Note 9 95" xfId="10745"/>
    <cellStyle name="Note 9 95 2" xfId="24746"/>
    <cellStyle name="Note 9 95 2 2" xfId="51754"/>
    <cellStyle name="Note 9 95 3" xfId="38250"/>
    <cellStyle name="Note 9 96" xfId="10887"/>
    <cellStyle name="Note 9 96 2" xfId="24874"/>
    <cellStyle name="Note 9 96 2 2" xfId="51882"/>
    <cellStyle name="Note 9 96 3" xfId="38378"/>
    <cellStyle name="Note 9 97" xfId="11029"/>
    <cellStyle name="Note 9 97 2" xfId="25002"/>
    <cellStyle name="Note 9 97 2 2" xfId="52010"/>
    <cellStyle name="Note 9 97 3" xfId="38506"/>
    <cellStyle name="Note 9 98" xfId="11171"/>
    <cellStyle name="Note 9 98 2" xfId="25130"/>
    <cellStyle name="Note 9 98 2 2" xfId="52138"/>
    <cellStyle name="Note 9 98 3" xfId="38634"/>
    <cellStyle name="Note 9 99" xfId="11313"/>
    <cellStyle name="Note 9 99 2" xfId="25258"/>
    <cellStyle name="Note 9 99 2 2" xfId="52266"/>
    <cellStyle name="Note 9 99 3" xfId="38762"/>
    <cellStyle name="Œ…‹æØ‚è [0.00]_laroux" xfId="17"/>
    <cellStyle name="Œ…‹æØ‚è_laroux" xfId="18"/>
    <cellStyle name="Output 2" xfId="214"/>
    <cellStyle name="Output 3" xfId="379"/>
    <cellStyle name="Output 4" xfId="15365"/>
    <cellStyle name="Output 5" xfId="15409"/>
    <cellStyle name="Output 6" xfId="31"/>
    <cellStyle name="Percent" xfId="55961" builtinId="5"/>
    <cellStyle name="Percent [0]" xfId="55999"/>
    <cellStyle name="Percent [00]" xfId="56000"/>
    <cellStyle name="Percent [2]" xfId="20"/>
    <cellStyle name="Percent [2] 10" xfId="924"/>
    <cellStyle name="Percent [2] 100" xfId="11336"/>
    <cellStyle name="Percent [2] 101" xfId="11478"/>
    <cellStyle name="Percent [2] 102" xfId="11620"/>
    <cellStyle name="Percent [2] 103" xfId="11762"/>
    <cellStyle name="Percent [2] 104" xfId="11904"/>
    <cellStyle name="Percent [2] 105" xfId="12046"/>
    <cellStyle name="Percent [2] 106" xfId="12188"/>
    <cellStyle name="Percent [2] 107" xfId="12330"/>
    <cellStyle name="Percent [2] 108" xfId="12472"/>
    <cellStyle name="Percent [2] 109" xfId="12614"/>
    <cellStyle name="Percent [2] 11" xfId="1030"/>
    <cellStyle name="Percent [2] 110" xfId="12756"/>
    <cellStyle name="Percent [2] 111" xfId="12898"/>
    <cellStyle name="Percent [2] 112" xfId="13040"/>
    <cellStyle name="Percent [2] 113" xfId="13182"/>
    <cellStyle name="Percent [2] 114" xfId="13324"/>
    <cellStyle name="Percent [2] 115" xfId="13466"/>
    <cellStyle name="Percent [2] 116" xfId="13608"/>
    <cellStyle name="Percent [2] 117" xfId="13750"/>
    <cellStyle name="Percent [2] 118" xfId="13891"/>
    <cellStyle name="Percent [2] 119" xfId="14032"/>
    <cellStyle name="Percent [2] 12" xfId="1136"/>
    <cellStyle name="Percent [2] 120" xfId="14173"/>
    <cellStyle name="Percent [2] 121" xfId="14314"/>
    <cellStyle name="Percent [2] 122" xfId="14454"/>
    <cellStyle name="Percent [2] 123" xfId="14594"/>
    <cellStyle name="Percent [2] 124" xfId="14733"/>
    <cellStyle name="Percent [2] 125" xfId="14868"/>
    <cellStyle name="Percent [2] 126" xfId="15002"/>
    <cellStyle name="Percent [2] 127" xfId="15131"/>
    <cellStyle name="Percent [2] 13" xfId="1242"/>
    <cellStyle name="Percent [2] 14" xfId="1348"/>
    <cellStyle name="Percent [2] 15" xfId="1454"/>
    <cellStyle name="Percent [2] 16" xfId="1560"/>
    <cellStyle name="Percent [2] 17" xfId="1666"/>
    <cellStyle name="Percent [2] 18" xfId="1772"/>
    <cellStyle name="Percent [2] 19" xfId="1878"/>
    <cellStyle name="Percent [2] 2" xfId="103"/>
    <cellStyle name="Percent [2] 20" xfId="1984"/>
    <cellStyle name="Percent [2] 21" xfId="2090"/>
    <cellStyle name="Percent [2] 22" xfId="2196"/>
    <cellStyle name="Percent [2] 23" xfId="2302"/>
    <cellStyle name="Percent [2] 24" xfId="2408"/>
    <cellStyle name="Percent [2] 25" xfId="2514"/>
    <cellStyle name="Percent [2] 26" xfId="2620"/>
    <cellStyle name="Percent [2] 27" xfId="2726"/>
    <cellStyle name="Percent [2] 28" xfId="2832"/>
    <cellStyle name="Percent [2] 29" xfId="2938"/>
    <cellStyle name="Percent [2] 3" xfId="108"/>
    <cellStyle name="Percent [2] 30" xfId="3044"/>
    <cellStyle name="Percent [2] 31" xfId="3150"/>
    <cellStyle name="Percent [2] 32" xfId="3256"/>
    <cellStyle name="Percent [2] 33" xfId="3362"/>
    <cellStyle name="Percent [2] 34" xfId="3468"/>
    <cellStyle name="Percent [2] 35" xfId="3574"/>
    <cellStyle name="Percent [2] 36" xfId="3680"/>
    <cellStyle name="Percent [2] 37" xfId="3786"/>
    <cellStyle name="Percent [2] 38" xfId="3892"/>
    <cellStyle name="Percent [2] 39" xfId="3998"/>
    <cellStyle name="Percent [2] 4" xfId="203"/>
    <cellStyle name="Percent [2] 40" xfId="4104"/>
    <cellStyle name="Percent [2] 41" xfId="4210"/>
    <cellStyle name="Percent [2] 42" xfId="4316"/>
    <cellStyle name="Percent [2] 43" xfId="4422"/>
    <cellStyle name="Percent [2] 44" xfId="4528"/>
    <cellStyle name="Percent [2] 45" xfId="4634"/>
    <cellStyle name="Percent [2] 46" xfId="4740"/>
    <cellStyle name="Percent [2] 47" xfId="4846"/>
    <cellStyle name="Percent [2] 48" xfId="4952"/>
    <cellStyle name="Percent [2] 49" xfId="5058"/>
    <cellStyle name="Percent [2] 5" xfId="253"/>
    <cellStyle name="Percent [2] 50" xfId="5164"/>
    <cellStyle name="Percent [2] 51" xfId="5270"/>
    <cellStyle name="Percent [2] 52" xfId="5376"/>
    <cellStyle name="Percent [2] 53" xfId="5482"/>
    <cellStyle name="Percent [2] 54" xfId="5588"/>
    <cellStyle name="Percent [2] 55" xfId="5694"/>
    <cellStyle name="Percent [2] 56" xfId="5800"/>
    <cellStyle name="Percent [2] 57" xfId="5906"/>
    <cellStyle name="Percent [2] 58" xfId="6012"/>
    <cellStyle name="Percent [2] 59" xfId="6118"/>
    <cellStyle name="Percent [2] 6" xfId="475"/>
    <cellStyle name="Percent [2] 60" xfId="6224"/>
    <cellStyle name="Percent [2] 61" xfId="6330"/>
    <cellStyle name="Percent [2] 62" xfId="6436"/>
    <cellStyle name="Percent [2] 63" xfId="6542"/>
    <cellStyle name="Percent [2] 64" xfId="6647"/>
    <cellStyle name="Percent [2] 65" xfId="6752"/>
    <cellStyle name="Percent [2] 66" xfId="6857"/>
    <cellStyle name="Percent [2] 67" xfId="6962"/>
    <cellStyle name="Percent [2] 68" xfId="7066"/>
    <cellStyle name="Percent [2] 69" xfId="7170"/>
    <cellStyle name="Percent [2] 7" xfId="606"/>
    <cellStyle name="Percent [2] 70" xfId="7273"/>
    <cellStyle name="Percent [2] 71" xfId="7373"/>
    <cellStyle name="Percent [2] 72" xfId="7471"/>
    <cellStyle name="Percent [2] 73" xfId="7560"/>
    <cellStyle name="Percent [2] 74" xfId="7704"/>
    <cellStyle name="Percent [2] 75" xfId="7786"/>
    <cellStyle name="Percent [2] 76" xfId="7928"/>
    <cellStyle name="Percent [2] 77" xfId="8070"/>
    <cellStyle name="Percent [2] 78" xfId="8212"/>
    <cellStyle name="Percent [2] 79" xfId="8354"/>
    <cellStyle name="Percent [2] 8" xfId="712"/>
    <cellStyle name="Percent [2] 80" xfId="8496"/>
    <cellStyle name="Percent [2] 81" xfId="8638"/>
    <cellStyle name="Percent [2] 82" xfId="8780"/>
    <cellStyle name="Percent [2] 83" xfId="8922"/>
    <cellStyle name="Percent [2] 84" xfId="9064"/>
    <cellStyle name="Percent [2] 85" xfId="9206"/>
    <cellStyle name="Percent [2] 86" xfId="9348"/>
    <cellStyle name="Percent [2] 87" xfId="9490"/>
    <cellStyle name="Percent [2] 88" xfId="9632"/>
    <cellStyle name="Percent [2] 89" xfId="9774"/>
    <cellStyle name="Percent [2] 9" xfId="818"/>
    <cellStyle name="Percent [2] 90" xfId="9916"/>
    <cellStyle name="Percent [2] 91" xfId="10058"/>
    <cellStyle name="Percent [2] 92" xfId="10200"/>
    <cellStyle name="Percent [2] 93" xfId="10342"/>
    <cellStyle name="Percent [2] 94" xfId="10484"/>
    <cellStyle name="Percent [2] 95" xfId="10626"/>
    <cellStyle name="Percent [2] 96" xfId="10768"/>
    <cellStyle name="Percent [2] 97" xfId="10910"/>
    <cellStyle name="Percent [2] 98" xfId="11052"/>
    <cellStyle name="Percent [2] 99" xfId="11194"/>
    <cellStyle name="Percent 10" xfId="56025"/>
    <cellStyle name="Percent 100" xfId="56317"/>
    <cellStyle name="Percent 101" xfId="56316"/>
    <cellStyle name="Percent 102" xfId="56322"/>
    <cellStyle name="Percent 103" xfId="56325"/>
    <cellStyle name="Percent 104" xfId="56328"/>
    <cellStyle name="Percent 105" xfId="56332"/>
    <cellStyle name="Percent 106" xfId="56331"/>
    <cellStyle name="Percent 107" xfId="56337"/>
    <cellStyle name="Percent 108" xfId="56340"/>
    <cellStyle name="Percent 109" xfId="56343"/>
    <cellStyle name="Percent 11" xfId="56034"/>
    <cellStyle name="Percent 110" xfId="56346"/>
    <cellStyle name="Percent 111" xfId="56349"/>
    <cellStyle name="Percent 112" xfId="56352"/>
    <cellStyle name="Percent 113" xfId="56355"/>
    <cellStyle name="Percent 114" xfId="56358"/>
    <cellStyle name="Percent 115" xfId="56361"/>
    <cellStyle name="Percent 116" xfId="56364"/>
    <cellStyle name="Percent 117" xfId="56367"/>
    <cellStyle name="Percent 118" xfId="56370"/>
    <cellStyle name="Percent 119" xfId="56373"/>
    <cellStyle name="Percent 12" xfId="56037"/>
    <cellStyle name="Percent 120" xfId="56376"/>
    <cellStyle name="Percent 121" xfId="56379"/>
    <cellStyle name="Percent 122" xfId="56382"/>
    <cellStyle name="Percent 123" xfId="56385"/>
    <cellStyle name="Percent 124" xfId="56388"/>
    <cellStyle name="Percent 125" xfId="56391"/>
    <cellStyle name="Percent 126" xfId="56394"/>
    <cellStyle name="Percent 127" xfId="56397"/>
    <cellStyle name="Percent 128" xfId="56400"/>
    <cellStyle name="Percent 129" xfId="56403"/>
    <cellStyle name="Percent 13" xfId="56040"/>
    <cellStyle name="Percent 130" xfId="56406"/>
    <cellStyle name="Percent 131" xfId="56409"/>
    <cellStyle name="Percent 132" xfId="56412"/>
    <cellStyle name="Percent 133" xfId="56415"/>
    <cellStyle name="Percent 134" xfId="56418"/>
    <cellStyle name="Percent 135" xfId="56422"/>
    <cellStyle name="Percent 136" xfId="56421"/>
    <cellStyle name="Percent 137" xfId="56427"/>
    <cellStyle name="Percent 138" xfId="56430"/>
    <cellStyle name="Percent 139" xfId="56433"/>
    <cellStyle name="Percent 14" xfId="56043"/>
    <cellStyle name="Percent 140" xfId="56436"/>
    <cellStyle name="Percent 141" xfId="56439"/>
    <cellStyle name="Percent 142" xfId="56442"/>
    <cellStyle name="Percent 143" xfId="56445"/>
    <cellStyle name="Percent 144" xfId="56448"/>
    <cellStyle name="Percent 145" xfId="56451"/>
    <cellStyle name="Percent 146" xfId="56454"/>
    <cellStyle name="Percent 147" xfId="56457"/>
    <cellStyle name="Percent 148" xfId="56460"/>
    <cellStyle name="Percent 149" xfId="56463"/>
    <cellStyle name="Percent 15" xfId="56046"/>
    <cellStyle name="Percent 150" xfId="56466"/>
    <cellStyle name="Percent 151" xfId="56469"/>
    <cellStyle name="Percent 152" xfId="56472"/>
    <cellStyle name="Percent 153" xfId="56475"/>
    <cellStyle name="Percent 154" xfId="56478"/>
    <cellStyle name="Percent 155" xfId="56481"/>
    <cellStyle name="Percent 156" xfId="56484"/>
    <cellStyle name="Percent 157" xfId="56487"/>
    <cellStyle name="Percent 158" xfId="56490"/>
    <cellStyle name="Percent 159" xfId="56493"/>
    <cellStyle name="Percent 16" xfId="56049"/>
    <cellStyle name="Percent 160" xfId="56496"/>
    <cellStyle name="Percent 161" xfId="56499"/>
    <cellStyle name="Percent 162" xfId="56502"/>
    <cellStyle name="Percent 163" xfId="56505"/>
    <cellStyle name="Percent 164" xfId="56508"/>
    <cellStyle name="Percent 165" xfId="56511"/>
    <cellStyle name="Percent 166" xfId="56514"/>
    <cellStyle name="Percent 167" xfId="56517"/>
    <cellStyle name="Percent 168" xfId="56522"/>
    <cellStyle name="Percent 169" xfId="56521"/>
    <cellStyle name="Percent 17" xfId="56052"/>
    <cellStyle name="Percent 170" xfId="56523"/>
    <cellStyle name="Percent 171" xfId="56529"/>
    <cellStyle name="Percent 172" xfId="56532"/>
    <cellStyle name="Percent 173" xfId="56535"/>
    <cellStyle name="Percent 174" xfId="56538"/>
    <cellStyle name="Percent 175" xfId="56541"/>
    <cellStyle name="Percent 176" xfId="56544"/>
    <cellStyle name="Percent 177" xfId="56547"/>
    <cellStyle name="Percent 178" xfId="56550"/>
    <cellStyle name="Percent 179" xfId="56553"/>
    <cellStyle name="Percent 18" xfId="56055"/>
    <cellStyle name="Percent 180" xfId="56556"/>
    <cellStyle name="Percent 181" xfId="56559"/>
    <cellStyle name="Percent 182" xfId="56562"/>
    <cellStyle name="Percent 183" xfId="56565"/>
    <cellStyle name="Percent 184" xfId="56568"/>
    <cellStyle name="Percent 185" xfId="56571"/>
    <cellStyle name="Percent 186" xfId="56574"/>
    <cellStyle name="Percent 187" xfId="56577"/>
    <cellStyle name="Percent 188" xfId="56580"/>
    <cellStyle name="Percent 189" xfId="56583"/>
    <cellStyle name="Percent 19" xfId="56058"/>
    <cellStyle name="Percent 190" xfId="56586"/>
    <cellStyle name="Percent 191" xfId="56589"/>
    <cellStyle name="Percent 192" xfId="56592"/>
    <cellStyle name="Percent 193" xfId="56595"/>
    <cellStyle name="Percent 194" xfId="56598"/>
    <cellStyle name="Percent 195" xfId="56601"/>
    <cellStyle name="Percent 196" xfId="56604"/>
    <cellStyle name="Percent 197" xfId="56607"/>
    <cellStyle name="Percent 198" xfId="56610"/>
    <cellStyle name="Percent 199" xfId="56613"/>
    <cellStyle name="Percent 2" xfId="21"/>
    <cellStyle name="Percent 2 2" xfId="104"/>
    <cellStyle name="Percent 2 2 2" xfId="55959"/>
    <cellStyle name="Percent 2 3" xfId="106"/>
    <cellStyle name="Percent 2 4" xfId="370"/>
    <cellStyle name="Percent 20" xfId="56061"/>
    <cellStyle name="Percent 200" xfId="56616"/>
    <cellStyle name="Percent 201" xfId="56619"/>
    <cellStyle name="Percent 202" xfId="56622"/>
    <cellStyle name="Percent 203" xfId="56625"/>
    <cellStyle name="Percent 204" xfId="56628"/>
    <cellStyle name="Percent 205" xfId="56632"/>
    <cellStyle name="Percent 206" xfId="56631"/>
    <cellStyle name="Percent 207" xfId="56637"/>
    <cellStyle name="Percent 208" xfId="56640"/>
    <cellStyle name="Percent 209" xfId="56643"/>
    <cellStyle name="Percent 21" xfId="56064"/>
    <cellStyle name="Percent 210" xfId="56646"/>
    <cellStyle name="Percent 211" xfId="56649"/>
    <cellStyle name="Percent 212" xfId="56652"/>
    <cellStyle name="Percent 213" xfId="56655"/>
    <cellStyle name="Percent 214" xfId="56658"/>
    <cellStyle name="Percent 215" xfId="56661"/>
    <cellStyle name="Percent 216" xfId="56664"/>
    <cellStyle name="Percent 217" xfId="56667"/>
    <cellStyle name="Percent 218" xfId="56670"/>
    <cellStyle name="Percent 219" xfId="56673"/>
    <cellStyle name="Percent 22" xfId="56069"/>
    <cellStyle name="Percent 220" xfId="56680"/>
    <cellStyle name="Percent 221" xfId="56678"/>
    <cellStyle name="Percent 222" xfId="56679"/>
    <cellStyle name="Percent 223" xfId="56676"/>
    <cellStyle name="Percent 224" xfId="56688"/>
    <cellStyle name="Percent 225" xfId="56691"/>
    <cellStyle name="Percent 226" xfId="56694"/>
    <cellStyle name="Percent 227" xfId="56697"/>
    <cellStyle name="Percent 228" xfId="56702"/>
    <cellStyle name="Percent 229" xfId="56701"/>
    <cellStyle name="Percent 23" xfId="56073"/>
    <cellStyle name="Percent 230" xfId="56703"/>
    <cellStyle name="Percent 231" xfId="56709"/>
    <cellStyle name="Percent 232" xfId="56712"/>
    <cellStyle name="Percent 233" xfId="56715"/>
    <cellStyle name="Percent 234" xfId="56718"/>
    <cellStyle name="Percent 235" xfId="56721"/>
    <cellStyle name="Percent 236" xfId="56724"/>
    <cellStyle name="Percent 237" xfId="56727"/>
    <cellStyle name="Percent 238" xfId="56730"/>
    <cellStyle name="Percent 239" xfId="56733"/>
    <cellStyle name="Percent 24" xfId="56076"/>
    <cellStyle name="Percent 240" xfId="56736"/>
    <cellStyle name="Percent 241" xfId="56739"/>
    <cellStyle name="Percent 242" xfId="56742"/>
    <cellStyle name="Percent 243" xfId="56745"/>
    <cellStyle name="Percent 244" xfId="56748"/>
    <cellStyle name="Percent 245" xfId="56751"/>
    <cellStyle name="Percent 246" xfId="56754"/>
    <cellStyle name="Percent 247" xfId="56757"/>
    <cellStyle name="Percent 248" xfId="56760"/>
    <cellStyle name="Percent 249" xfId="56763"/>
    <cellStyle name="Percent 25" xfId="56079"/>
    <cellStyle name="Percent 250" xfId="56766"/>
    <cellStyle name="Percent 251" xfId="56769"/>
    <cellStyle name="Percent 252" xfId="56772"/>
    <cellStyle name="Percent 253" xfId="56775"/>
    <cellStyle name="Percent 254" xfId="56778"/>
    <cellStyle name="Percent 255" xfId="56781"/>
    <cellStyle name="Percent 256" xfId="56784"/>
    <cellStyle name="Percent 257" xfId="56787"/>
    <cellStyle name="Percent 258" xfId="56790"/>
    <cellStyle name="Percent 259" xfId="56793"/>
    <cellStyle name="Percent 26" xfId="56082"/>
    <cellStyle name="Percent 260" xfId="56796"/>
    <cellStyle name="Percent 261" xfId="56799"/>
    <cellStyle name="Percent 262" xfId="56802"/>
    <cellStyle name="Percent 263" xfId="56805"/>
    <cellStyle name="Percent 264" xfId="56808"/>
    <cellStyle name="Percent 265" xfId="56811"/>
    <cellStyle name="Percent 266" xfId="56814"/>
    <cellStyle name="Percent 267" xfId="56817"/>
    <cellStyle name="Percent 268" xfId="56820"/>
    <cellStyle name="Percent 269" xfId="56825"/>
    <cellStyle name="Percent 27" xfId="56085"/>
    <cellStyle name="Percent 270" xfId="56822"/>
    <cellStyle name="Percent 271" xfId="56829"/>
    <cellStyle name="Percent 272" xfId="56832"/>
    <cellStyle name="Percent 273" xfId="56835"/>
    <cellStyle name="Percent 274" xfId="56838"/>
    <cellStyle name="Percent 275" xfId="56841"/>
    <cellStyle name="Percent 276" xfId="56844"/>
    <cellStyle name="Percent 277" xfId="56847"/>
    <cellStyle name="Percent 278" xfId="56850"/>
    <cellStyle name="Percent 279" xfId="56853"/>
    <cellStyle name="Percent 28" xfId="56088"/>
    <cellStyle name="Percent 280" xfId="56856"/>
    <cellStyle name="Percent 281" xfId="56859"/>
    <cellStyle name="Percent 282" xfId="56862"/>
    <cellStyle name="Percent 283" xfId="56865"/>
    <cellStyle name="Percent 284" xfId="56868"/>
    <cellStyle name="Percent 285" xfId="56871"/>
    <cellStyle name="Percent 286" xfId="56874"/>
    <cellStyle name="Percent 287" xfId="56877"/>
    <cellStyle name="Percent 288" xfId="56880"/>
    <cellStyle name="Percent 289" xfId="56883"/>
    <cellStyle name="Percent 29" xfId="56091"/>
    <cellStyle name="Percent 290" xfId="56886"/>
    <cellStyle name="Percent 291" xfId="56889"/>
    <cellStyle name="Percent 292" xfId="56892"/>
    <cellStyle name="Percent 293" xfId="56895"/>
    <cellStyle name="Percent 294" xfId="56898"/>
    <cellStyle name="Percent 295" xfId="56901"/>
    <cellStyle name="Percent 296" xfId="56904"/>
    <cellStyle name="Percent 297" xfId="56907"/>
    <cellStyle name="Percent 298" xfId="56910"/>
    <cellStyle name="Percent 299" xfId="56913"/>
    <cellStyle name="Percent 3" xfId="19"/>
    <cellStyle name="Percent 30" xfId="56094"/>
    <cellStyle name="Percent 300" xfId="56916"/>
    <cellStyle name="Percent 301" xfId="56919"/>
    <cellStyle name="Percent 302" xfId="56922"/>
    <cellStyle name="Percent 303" xfId="56925"/>
    <cellStyle name="Percent 304" xfId="56928"/>
    <cellStyle name="Percent 305" xfId="56931"/>
    <cellStyle name="Percent 306" xfId="56934"/>
    <cellStyle name="Percent 307" xfId="56937"/>
    <cellStyle name="Percent 308" xfId="56940"/>
    <cellStyle name="Percent 309" xfId="56943"/>
    <cellStyle name="Percent 31" xfId="56097"/>
    <cellStyle name="Percent 310" xfId="56946"/>
    <cellStyle name="Percent 311" xfId="56949"/>
    <cellStyle name="Percent 312" xfId="56952"/>
    <cellStyle name="Percent 313" xfId="56955"/>
    <cellStyle name="Percent 314" xfId="56958"/>
    <cellStyle name="Percent 315" xfId="56961"/>
    <cellStyle name="Percent 316" xfId="56964"/>
    <cellStyle name="Percent 317" xfId="56967"/>
    <cellStyle name="Percent 318" xfId="56970"/>
    <cellStyle name="Percent 319" xfId="56973"/>
    <cellStyle name="Percent 32" xfId="56100"/>
    <cellStyle name="Percent 320" xfId="56976"/>
    <cellStyle name="Percent 321" xfId="56979"/>
    <cellStyle name="Percent 322" xfId="56982"/>
    <cellStyle name="Percent 323" xfId="56985"/>
    <cellStyle name="Percent 324" xfId="56988"/>
    <cellStyle name="Percent 325" xfId="56991"/>
    <cellStyle name="Percent 326" xfId="56994"/>
    <cellStyle name="Percent 327" xfId="56997"/>
    <cellStyle name="Percent 328" xfId="57000"/>
    <cellStyle name="Percent 329" xfId="57003"/>
    <cellStyle name="Percent 33" xfId="56103"/>
    <cellStyle name="Percent 330" xfId="57006"/>
    <cellStyle name="Percent 331" xfId="57009"/>
    <cellStyle name="Percent 332" xfId="57012"/>
    <cellStyle name="Percent 333" xfId="57015"/>
    <cellStyle name="Percent 334" xfId="57019"/>
    <cellStyle name="Percent 335" xfId="57018"/>
    <cellStyle name="Percent 336" xfId="57024"/>
    <cellStyle name="Percent 337" xfId="57027"/>
    <cellStyle name="Percent 338" xfId="57030"/>
    <cellStyle name="Percent 339" xfId="57033"/>
    <cellStyle name="Percent 34" xfId="56106"/>
    <cellStyle name="Percent 340" xfId="57036"/>
    <cellStyle name="Percent 341" xfId="57039"/>
    <cellStyle name="Percent 342" xfId="57042"/>
    <cellStyle name="Percent 343" xfId="57045"/>
    <cellStyle name="Percent 344" xfId="57048"/>
    <cellStyle name="Percent 345" xfId="57051"/>
    <cellStyle name="Percent 346" xfId="57054"/>
    <cellStyle name="Percent 347" xfId="57057"/>
    <cellStyle name="Percent 348" xfId="57060"/>
    <cellStyle name="Percent 349" xfId="57063"/>
    <cellStyle name="Percent 35" xfId="56109"/>
    <cellStyle name="Percent 350" xfId="57066"/>
    <cellStyle name="Percent 351" xfId="57069"/>
    <cellStyle name="Percent 352" xfId="57072"/>
    <cellStyle name="Percent 353" xfId="57075"/>
    <cellStyle name="Percent 354" xfId="57078"/>
    <cellStyle name="Percent 355" xfId="57081"/>
    <cellStyle name="Percent 356" xfId="57084"/>
    <cellStyle name="Percent 357" xfId="57087"/>
    <cellStyle name="Percent 358" xfId="57090"/>
    <cellStyle name="Percent 359" xfId="57093"/>
    <cellStyle name="Percent 36" xfId="56112"/>
    <cellStyle name="Percent 360" xfId="57096"/>
    <cellStyle name="Percent 361" xfId="57099"/>
    <cellStyle name="Percent 362" xfId="57102"/>
    <cellStyle name="Percent 363" xfId="57105"/>
    <cellStyle name="Percent 364" xfId="57108"/>
    <cellStyle name="Percent 365" xfId="57111"/>
    <cellStyle name="Percent 366" xfId="57114"/>
    <cellStyle name="Percent 367" xfId="57117"/>
    <cellStyle name="Percent 368" xfId="57120"/>
    <cellStyle name="Percent 369" xfId="57123"/>
    <cellStyle name="Percent 37" xfId="56115"/>
    <cellStyle name="Percent 370" xfId="57126"/>
    <cellStyle name="Percent 371" xfId="57129"/>
    <cellStyle name="Percent 372" xfId="57132"/>
    <cellStyle name="Percent 373" xfId="57135"/>
    <cellStyle name="Percent 374" xfId="57138"/>
    <cellStyle name="Percent 375" xfId="57141"/>
    <cellStyle name="Percent 376" xfId="57144"/>
    <cellStyle name="Percent 377" xfId="57147"/>
    <cellStyle name="Percent 378" xfId="57150"/>
    <cellStyle name="Percent 379" xfId="57153"/>
    <cellStyle name="Percent 38" xfId="56118"/>
    <cellStyle name="Percent 380" xfId="57156"/>
    <cellStyle name="Percent 381" xfId="57159"/>
    <cellStyle name="Percent 382" xfId="57162"/>
    <cellStyle name="Percent 383" xfId="57165"/>
    <cellStyle name="Percent 384" xfId="57168"/>
    <cellStyle name="Percent 385" xfId="57171"/>
    <cellStyle name="Percent 386" xfId="57174"/>
    <cellStyle name="Percent 387" xfId="57177"/>
    <cellStyle name="Percent 388" xfId="57180"/>
    <cellStyle name="Percent 389" xfId="57183"/>
    <cellStyle name="Percent 39" xfId="56121"/>
    <cellStyle name="Percent 390" xfId="57186"/>
    <cellStyle name="Percent 391" xfId="57189"/>
    <cellStyle name="Percent 392" xfId="57192"/>
    <cellStyle name="Percent 393" xfId="57195"/>
    <cellStyle name="Percent 394" xfId="57198"/>
    <cellStyle name="Percent 395" xfId="57201"/>
    <cellStyle name="Percent 396" xfId="57204"/>
    <cellStyle name="Percent 397" xfId="57207"/>
    <cellStyle name="Percent 398" xfId="57210"/>
    <cellStyle name="Percent 399" xfId="57213"/>
    <cellStyle name="Percent 4" xfId="55998"/>
    <cellStyle name="Percent 40" xfId="56124"/>
    <cellStyle name="Percent 400" xfId="57216"/>
    <cellStyle name="Percent 401" xfId="57219"/>
    <cellStyle name="Percent 402" xfId="57222"/>
    <cellStyle name="Percent 403" xfId="57225"/>
    <cellStyle name="Percent 404" xfId="57228"/>
    <cellStyle name="Percent 405" xfId="57231"/>
    <cellStyle name="Percent 406" xfId="57234"/>
    <cellStyle name="Percent 407" xfId="57237"/>
    <cellStyle name="Percent 408" xfId="57240"/>
    <cellStyle name="Percent 409" xfId="57243"/>
    <cellStyle name="Percent 41" xfId="56127"/>
    <cellStyle name="Percent 410" xfId="57246"/>
    <cellStyle name="Percent 411" xfId="57249"/>
    <cellStyle name="Percent 412" xfId="57252"/>
    <cellStyle name="Percent 413" xfId="57255"/>
    <cellStyle name="Percent 414" xfId="57258"/>
    <cellStyle name="Percent 415" xfId="57261"/>
    <cellStyle name="Percent 416" xfId="57264"/>
    <cellStyle name="Percent 417" xfId="57267"/>
    <cellStyle name="Percent 418" xfId="57270"/>
    <cellStyle name="Percent 419" xfId="57273"/>
    <cellStyle name="Percent 42" xfId="56130"/>
    <cellStyle name="Percent 420" xfId="57276"/>
    <cellStyle name="Percent 421" xfId="57279"/>
    <cellStyle name="Percent 422" xfId="57282"/>
    <cellStyle name="Percent 423" xfId="57285"/>
    <cellStyle name="Percent 424" xfId="57288"/>
    <cellStyle name="Percent 425" xfId="57291"/>
    <cellStyle name="Percent 426" xfId="57294"/>
    <cellStyle name="Percent 427" xfId="57297"/>
    <cellStyle name="Percent 428" xfId="57300"/>
    <cellStyle name="Percent 429" xfId="57303"/>
    <cellStyle name="Percent 43" xfId="56133"/>
    <cellStyle name="Percent 430" xfId="57306"/>
    <cellStyle name="Percent 431" xfId="57309"/>
    <cellStyle name="Percent 432" xfId="57312"/>
    <cellStyle name="Percent 433" xfId="57315"/>
    <cellStyle name="Percent 434" xfId="57318"/>
    <cellStyle name="Percent 435" xfId="57321"/>
    <cellStyle name="Percent 436" xfId="57324"/>
    <cellStyle name="Percent 437" xfId="57327"/>
    <cellStyle name="Percent 438" xfId="57330"/>
    <cellStyle name="Percent 439" xfId="57333"/>
    <cellStyle name="Percent 44" xfId="56136"/>
    <cellStyle name="Percent 440" xfId="57336"/>
    <cellStyle name="Percent 441" xfId="57339"/>
    <cellStyle name="Percent 442" xfId="57342"/>
    <cellStyle name="Percent 443" xfId="57345"/>
    <cellStyle name="Percent 444" xfId="57348"/>
    <cellStyle name="Percent 445" xfId="57351"/>
    <cellStyle name="Percent 446" xfId="57354"/>
    <cellStyle name="Percent 447" xfId="57357"/>
    <cellStyle name="Percent 448" xfId="57360"/>
    <cellStyle name="Percent 449" xfId="57363"/>
    <cellStyle name="Percent 45" xfId="56139"/>
    <cellStyle name="Percent 450" xfId="57366"/>
    <cellStyle name="Percent 451" xfId="57369"/>
    <cellStyle name="Percent 452" xfId="57372"/>
    <cellStyle name="Percent 453" xfId="57375"/>
    <cellStyle name="Percent 454" xfId="57378"/>
    <cellStyle name="Percent 455" xfId="57381"/>
    <cellStyle name="Percent 456" xfId="57384"/>
    <cellStyle name="Percent 457" xfId="57387"/>
    <cellStyle name="Percent 458" xfId="57390"/>
    <cellStyle name="Percent 459" xfId="57393"/>
    <cellStyle name="Percent 46" xfId="56142"/>
    <cellStyle name="Percent 460" xfId="57396"/>
    <cellStyle name="Percent 461" xfId="57399"/>
    <cellStyle name="Percent 462" xfId="57402"/>
    <cellStyle name="Percent 463" xfId="57405"/>
    <cellStyle name="Percent 464" xfId="57408"/>
    <cellStyle name="Percent 465" xfId="57411"/>
    <cellStyle name="Percent 466" xfId="57414"/>
    <cellStyle name="Percent 467" xfId="57417"/>
    <cellStyle name="Percent 468" xfId="57420"/>
    <cellStyle name="Percent 469" xfId="57423"/>
    <cellStyle name="Percent 47" xfId="56145"/>
    <cellStyle name="Percent 470" xfId="57426"/>
    <cellStyle name="Percent 471" xfId="57429"/>
    <cellStyle name="Percent 472" xfId="57432"/>
    <cellStyle name="Percent 473" xfId="57435"/>
    <cellStyle name="Percent 474" xfId="57438"/>
    <cellStyle name="Percent 475" xfId="57441"/>
    <cellStyle name="Percent 476" xfId="57444"/>
    <cellStyle name="Percent 477" xfId="57447"/>
    <cellStyle name="Percent 478" xfId="57450"/>
    <cellStyle name="Percent 479" xfId="57453"/>
    <cellStyle name="Percent 48" xfId="56148"/>
    <cellStyle name="Percent 480" xfId="57456"/>
    <cellStyle name="Percent 481" xfId="57459"/>
    <cellStyle name="Percent 482" xfId="57462"/>
    <cellStyle name="Percent 483" xfId="57465"/>
    <cellStyle name="Percent 484" xfId="57468"/>
    <cellStyle name="Percent 485" xfId="57471"/>
    <cellStyle name="Percent 486" xfId="57474"/>
    <cellStyle name="Percent 487" xfId="57477"/>
    <cellStyle name="Percent 488" xfId="57480"/>
    <cellStyle name="Percent 489" xfId="57483"/>
    <cellStyle name="Percent 49" xfId="56151"/>
    <cellStyle name="Percent 490" xfId="57486"/>
    <cellStyle name="Percent 491" xfId="57489"/>
    <cellStyle name="Percent 492" xfId="57492"/>
    <cellStyle name="Percent 493" xfId="57495"/>
    <cellStyle name="Percent 494" xfId="57498"/>
    <cellStyle name="Percent 495" xfId="57501"/>
    <cellStyle name="Percent 496" xfId="57504"/>
    <cellStyle name="Percent 497" xfId="57507"/>
    <cellStyle name="Percent 498" xfId="57510"/>
    <cellStyle name="Percent 499" xfId="57513"/>
    <cellStyle name="Percent 5" xfId="56012"/>
    <cellStyle name="Percent 50" xfId="56154"/>
    <cellStyle name="Percent 500" xfId="57516"/>
    <cellStyle name="Percent 501" xfId="57519"/>
    <cellStyle name="Percent 502" xfId="57522"/>
    <cellStyle name="Percent 503" xfId="57525"/>
    <cellStyle name="Percent 504" xfId="57528"/>
    <cellStyle name="Percent 505" xfId="57531"/>
    <cellStyle name="Percent 506" xfId="57534"/>
    <cellStyle name="Percent 507" xfId="57537"/>
    <cellStyle name="Percent 508" xfId="57540"/>
    <cellStyle name="Percent 509" xfId="57543"/>
    <cellStyle name="Percent 51" xfId="56157"/>
    <cellStyle name="Percent 510" xfId="57546"/>
    <cellStyle name="Percent 511" xfId="57549"/>
    <cellStyle name="Percent 512" xfId="57552"/>
    <cellStyle name="Percent 513" xfId="57555"/>
    <cellStyle name="Percent 514" xfId="57558"/>
    <cellStyle name="Percent 515" xfId="57561"/>
    <cellStyle name="Percent 516" xfId="57564"/>
    <cellStyle name="Percent 517" xfId="57567"/>
    <cellStyle name="Percent 518" xfId="57570"/>
    <cellStyle name="Percent 519" xfId="57573"/>
    <cellStyle name="Percent 52" xfId="56160"/>
    <cellStyle name="Percent 520" xfId="57576"/>
    <cellStyle name="Percent 521" xfId="57579"/>
    <cellStyle name="Percent 522" xfId="57582"/>
    <cellStyle name="Percent 523" xfId="57585"/>
    <cellStyle name="Percent 524" xfId="57588"/>
    <cellStyle name="Percent 525" xfId="57591"/>
    <cellStyle name="Percent 526" xfId="57594"/>
    <cellStyle name="Percent 527" xfId="57597"/>
    <cellStyle name="Percent 528" xfId="57600"/>
    <cellStyle name="Percent 529" xfId="57603"/>
    <cellStyle name="Percent 53" xfId="56164"/>
    <cellStyle name="Percent 530" xfId="57606"/>
    <cellStyle name="Percent 531" xfId="57609"/>
    <cellStyle name="Percent 532" xfId="57612"/>
    <cellStyle name="Percent 533" xfId="57615"/>
    <cellStyle name="Percent 534" xfId="57618"/>
    <cellStyle name="Percent 54" xfId="56163"/>
    <cellStyle name="Percent 55" xfId="56170"/>
    <cellStyle name="Percent 56" xfId="56169"/>
    <cellStyle name="Percent 57" xfId="56176"/>
    <cellStyle name="Percent 58" xfId="56175"/>
    <cellStyle name="Percent 59" xfId="56181"/>
    <cellStyle name="Percent 6" xfId="56015"/>
    <cellStyle name="Percent 60" xfId="56184"/>
    <cellStyle name="Percent 61" xfId="56187"/>
    <cellStyle name="Percent 62" xfId="56190"/>
    <cellStyle name="Percent 63" xfId="56193"/>
    <cellStyle name="Percent 64" xfId="56196"/>
    <cellStyle name="Percent 65" xfId="56212"/>
    <cellStyle name="Percent 66" xfId="56211"/>
    <cellStyle name="Percent 67" xfId="56218"/>
    <cellStyle name="Percent 68" xfId="56217"/>
    <cellStyle name="Percent 69" xfId="56223"/>
    <cellStyle name="Percent 7" xfId="56018"/>
    <cellStyle name="Percent 70" xfId="56227"/>
    <cellStyle name="Percent 71" xfId="56226"/>
    <cellStyle name="Percent 72" xfId="56233"/>
    <cellStyle name="Percent 73" xfId="56232"/>
    <cellStyle name="Percent 74" xfId="56238"/>
    <cellStyle name="Percent 75" xfId="56241"/>
    <cellStyle name="Percent 76" xfId="56244"/>
    <cellStyle name="Percent 77" xfId="56247"/>
    <cellStyle name="Percent 78" xfId="56250"/>
    <cellStyle name="Percent 79" xfId="56253"/>
    <cellStyle name="Percent 8" xfId="56021"/>
    <cellStyle name="Percent 80" xfId="56256"/>
    <cellStyle name="Percent 81" xfId="56259"/>
    <cellStyle name="Percent 82" xfId="56262"/>
    <cellStyle name="Percent 83" xfId="56265"/>
    <cellStyle name="Percent 84" xfId="56268"/>
    <cellStyle name="Percent 85" xfId="56271"/>
    <cellStyle name="Percent 86" xfId="56274"/>
    <cellStyle name="Percent 87" xfId="56277"/>
    <cellStyle name="Percent 88" xfId="56280"/>
    <cellStyle name="Percent 89" xfId="56283"/>
    <cellStyle name="Percent 9" xfId="56031"/>
    <cellStyle name="Percent 90" xfId="56286"/>
    <cellStyle name="Percent 91" xfId="56290"/>
    <cellStyle name="Percent 92" xfId="56289"/>
    <cellStyle name="Percent 93" xfId="56295"/>
    <cellStyle name="Percent 94" xfId="56298"/>
    <cellStyle name="Percent 95" xfId="56301"/>
    <cellStyle name="Percent 96" xfId="56305"/>
    <cellStyle name="Percent 97" xfId="56304"/>
    <cellStyle name="Percent 98" xfId="56310"/>
    <cellStyle name="Percent 99" xfId="56313"/>
    <cellStyle name="PrePop Currency (0)" xfId="56002"/>
    <cellStyle name="PrePop Currency (2)" xfId="56003"/>
    <cellStyle name="PrePop Units (0)" xfId="56004"/>
    <cellStyle name="PrePop Units (1)" xfId="56005"/>
    <cellStyle name="PrePop Units (2)" xfId="56006"/>
    <cellStyle name="shade" xfId="22"/>
    <cellStyle name="Text Indent A" xfId="56007"/>
    <cellStyle name="Text Indent A 2" xfId="56070"/>
    <cellStyle name="Text Indent B" xfId="56008"/>
    <cellStyle name="Text Indent C" xfId="56009"/>
    <cellStyle name="Title 2" xfId="207"/>
    <cellStyle name="Title 3" xfId="372"/>
    <cellStyle name="Title 4" xfId="15356"/>
    <cellStyle name="Title 5" xfId="15400"/>
    <cellStyle name="Title 6" xfId="24"/>
    <cellStyle name="Total 10" xfId="371"/>
    <cellStyle name="Total 11" xfId="15372"/>
    <cellStyle name="Total 12" xfId="15416"/>
    <cellStyle name="Total 13" xfId="23"/>
    <cellStyle name="Total 14" xfId="56010"/>
    <cellStyle name="Total 2" xfId="67"/>
    <cellStyle name="Total 2 10" xfId="991"/>
    <cellStyle name="Total 2 100" xfId="11432"/>
    <cellStyle name="Total 2 101" xfId="11574"/>
    <cellStyle name="Total 2 102" xfId="11716"/>
    <cellStyle name="Total 2 103" xfId="11858"/>
    <cellStyle name="Total 2 104" xfId="12000"/>
    <cellStyle name="Total 2 105" xfId="12142"/>
    <cellStyle name="Total 2 106" xfId="12284"/>
    <cellStyle name="Total 2 107" xfId="12426"/>
    <cellStyle name="Total 2 108" xfId="12568"/>
    <cellStyle name="Total 2 109" xfId="12710"/>
    <cellStyle name="Total 2 11" xfId="1097"/>
    <cellStyle name="Total 2 110" xfId="12852"/>
    <cellStyle name="Total 2 111" xfId="12994"/>
    <cellStyle name="Total 2 112" xfId="13136"/>
    <cellStyle name="Total 2 113" xfId="13278"/>
    <cellStyle name="Total 2 114" xfId="13420"/>
    <cellStyle name="Total 2 115" xfId="13562"/>
    <cellStyle name="Total 2 116" xfId="13704"/>
    <cellStyle name="Total 2 117" xfId="13845"/>
    <cellStyle name="Total 2 118" xfId="13986"/>
    <cellStyle name="Total 2 119" xfId="14127"/>
    <cellStyle name="Total 2 12" xfId="1203"/>
    <cellStyle name="Total 2 120" xfId="14268"/>
    <cellStyle name="Total 2 121" xfId="14409"/>
    <cellStyle name="Total 2 122" xfId="14549"/>
    <cellStyle name="Total 2 123" xfId="14689"/>
    <cellStyle name="Total 2 124" xfId="14826"/>
    <cellStyle name="Total 2 125" xfId="14960"/>
    <cellStyle name="Total 2 126" xfId="15092"/>
    <cellStyle name="Total 2 13" xfId="1309"/>
    <cellStyle name="Total 2 14" xfId="1415"/>
    <cellStyle name="Total 2 15" xfId="1521"/>
    <cellStyle name="Total 2 16" xfId="1627"/>
    <cellStyle name="Total 2 17" xfId="1733"/>
    <cellStyle name="Total 2 18" xfId="1839"/>
    <cellStyle name="Total 2 19" xfId="1945"/>
    <cellStyle name="Total 2 2" xfId="206"/>
    <cellStyle name="Total 2 2 10" xfId="999"/>
    <cellStyle name="Total 2 2 100" xfId="11440"/>
    <cellStyle name="Total 2 2 101" xfId="11582"/>
    <cellStyle name="Total 2 2 102" xfId="11724"/>
    <cellStyle name="Total 2 2 103" xfId="11866"/>
    <cellStyle name="Total 2 2 104" xfId="12008"/>
    <cellStyle name="Total 2 2 105" xfId="12150"/>
    <cellStyle name="Total 2 2 106" xfId="12292"/>
    <cellStyle name="Total 2 2 107" xfId="12434"/>
    <cellStyle name="Total 2 2 108" xfId="12576"/>
    <cellStyle name="Total 2 2 109" xfId="12718"/>
    <cellStyle name="Total 2 2 11" xfId="1105"/>
    <cellStyle name="Total 2 2 110" xfId="12860"/>
    <cellStyle name="Total 2 2 111" xfId="13002"/>
    <cellStyle name="Total 2 2 112" xfId="13144"/>
    <cellStyle name="Total 2 2 113" xfId="13286"/>
    <cellStyle name="Total 2 2 114" xfId="13428"/>
    <cellStyle name="Total 2 2 115" xfId="13570"/>
    <cellStyle name="Total 2 2 116" xfId="13712"/>
    <cellStyle name="Total 2 2 117" xfId="13853"/>
    <cellStyle name="Total 2 2 118" xfId="13994"/>
    <cellStyle name="Total 2 2 119" xfId="14135"/>
    <cellStyle name="Total 2 2 12" xfId="1211"/>
    <cellStyle name="Total 2 2 120" xfId="14276"/>
    <cellStyle name="Total 2 2 121" xfId="14417"/>
    <cellStyle name="Total 2 2 122" xfId="14557"/>
    <cellStyle name="Total 2 2 123" xfId="14696"/>
    <cellStyle name="Total 2 2 124" xfId="14831"/>
    <cellStyle name="Total 2 2 125" xfId="14965"/>
    <cellStyle name="Total 2 2 13" xfId="1317"/>
    <cellStyle name="Total 2 2 14" xfId="1423"/>
    <cellStyle name="Total 2 2 15" xfId="1529"/>
    <cellStyle name="Total 2 2 16" xfId="1635"/>
    <cellStyle name="Total 2 2 17" xfId="1741"/>
    <cellStyle name="Total 2 2 18" xfId="1847"/>
    <cellStyle name="Total 2 2 19" xfId="1953"/>
    <cellStyle name="Total 2 2 2" xfId="250"/>
    <cellStyle name="Total 2 2 20" xfId="2059"/>
    <cellStyle name="Total 2 2 21" xfId="2165"/>
    <cellStyle name="Total 2 2 22" xfId="2271"/>
    <cellStyle name="Total 2 2 23" xfId="2377"/>
    <cellStyle name="Total 2 2 24" xfId="2483"/>
    <cellStyle name="Total 2 2 25" xfId="2589"/>
    <cellStyle name="Total 2 2 26" xfId="2695"/>
    <cellStyle name="Total 2 2 27" xfId="2801"/>
    <cellStyle name="Total 2 2 28" xfId="2907"/>
    <cellStyle name="Total 2 2 29" xfId="3013"/>
    <cellStyle name="Total 2 2 3" xfId="437"/>
    <cellStyle name="Total 2 2 30" xfId="3119"/>
    <cellStyle name="Total 2 2 31" xfId="3225"/>
    <cellStyle name="Total 2 2 32" xfId="3331"/>
    <cellStyle name="Total 2 2 33" xfId="3437"/>
    <cellStyle name="Total 2 2 34" xfId="3543"/>
    <cellStyle name="Total 2 2 35" xfId="3649"/>
    <cellStyle name="Total 2 2 36" xfId="3755"/>
    <cellStyle name="Total 2 2 37" xfId="3861"/>
    <cellStyle name="Total 2 2 38" xfId="3967"/>
    <cellStyle name="Total 2 2 39" xfId="4073"/>
    <cellStyle name="Total 2 2 4" xfId="263"/>
    <cellStyle name="Total 2 2 40" xfId="4179"/>
    <cellStyle name="Total 2 2 41" xfId="4285"/>
    <cellStyle name="Total 2 2 42" xfId="4391"/>
    <cellStyle name="Total 2 2 43" xfId="4497"/>
    <cellStyle name="Total 2 2 44" xfId="4603"/>
    <cellStyle name="Total 2 2 45" xfId="4709"/>
    <cellStyle name="Total 2 2 46" xfId="4815"/>
    <cellStyle name="Total 2 2 47" xfId="4921"/>
    <cellStyle name="Total 2 2 48" xfId="5027"/>
    <cellStyle name="Total 2 2 49" xfId="5133"/>
    <cellStyle name="Total 2 2 5" xfId="457"/>
    <cellStyle name="Total 2 2 50" xfId="5239"/>
    <cellStyle name="Total 2 2 51" xfId="5345"/>
    <cellStyle name="Total 2 2 52" xfId="5451"/>
    <cellStyle name="Total 2 2 53" xfId="5557"/>
    <cellStyle name="Total 2 2 54" xfId="5663"/>
    <cellStyle name="Total 2 2 55" xfId="5769"/>
    <cellStyle name="Total 2 2 56" xfId="5875"/>
    <cellStyle name="Total 2 2 57" xfId="5981"/>
    <cellStyle name="Total 2 2 58" xfId="6087"/>
    <cellStyle name="Total 2 2 59" xfId="6193"/>
    <cellStyle name="Total 2 2 6" xfId="575"/>
    <cellStyle name="Total 2 2 60" xfId="6299"/>
    <cellStyle name="Total 2 2 61" xfId="6405"/>
    <cellStyle name="Total 2 2 62" xfId="6511"/>
    <cellStyle name="Total 2 2 63" xfId="6616"/>
    <cellStyle name="Total 2 2 64" xfId="6721"/>
    <cellStyle name="Total 2 2 65" xfId="6826"/>
    <cellStyle name="Total 2 2 66" xfId="6931"/>
    <cellStyle name="Total 2 2 67" xfId="7036"/>
    <cellStyle name="Total 2 2 68" xfId="7140"/>
    <cellStyle name="Total 2 2 69" xfId="7243"/>
    <cellStyle name="Total 2 2 7" xfId="681"/>
    <cellStyle name="Total 2 2 70" xfId="7343"/>
    <cellStyle name="Total 2 2 71" xfId="7442"/>
    <cellStyle name="Total 2 2 72" xfId="7748"/>
    <cellStyle name="Total 2 2 73" xfId="7694"/>
    <cellStyle name="Total 2 2 74" xfId="7768"/>
    <cellStyle name="Total 2 2 75" xfId="7890"/>
    <cellStyle name="Total 2 2 76" xfId="8032"/>
    <cellStyle name="Total 2 2 77" xfId="8174"/>
    <cellStyle name="Total 2 2 78" xfId="8316"/>
    <cellStyle name="Total 2 2 79" xfId="8458"/>
    <cellStyle name="Total 2 2 8" xfId="787"/>
    <cellStyle name="Total 2 2 80" xfId="8600"/>
    <cellStyle name="Total 2 2 81" xfId="8742"/>
    <cellStyle name="Total 2 2 82" xfId="8884"/>
    <cellStyle name="Total 2 2 83" xfId="9026"/>
    <cellStyle name="Total 2 2 84" xfId="9168"/>
    <cellStyle name="Total 2 2 85" xfId="9310"/>
    <cellStyle name="Total 2 2 86" xfId="9452"/>
    <cellStyle name="Total 2 2 87" xfId="9594"/>
    <cellStyle name="Total 2 2 88" xfId="9736"/>
    <cellStyle name="Total 2 2 89" xfId="9878"/>
    <cellStyle name="Total 2 2 9" xfId="893"/>
    <cellStyle name="Total 2 2 90" xfId="10020"/>
    <cellStyle name="Total 2 2 91" xfId="10162"/>
    <cellStyle name="Total 2 2 92" xfId="10304"/>
    <cellStyle name="Total 2 2 93" xfId="10446"/>
    <cellStyle name="Total 2 2 94" xfId="10588"/>
    <cellStyle name="Total 2 2 95" xfId="10730"/>
    <cellStyle name="Total 2 2 96" xfId="10872"/>
    <cellStyle name="Total 2 2 97" xfId="11014"/>
    <cellStyle name="Total 2 2 98" xfId="11156"/>
    <cellStyle name="Total 2 2 99" xfId="11298"/>
    <cellStyle name="Total 2 20" xfId="2051"/>
    <cellStyle name="Total 2 21" xfId="2157"/>
    <cellStyle name="Total 2 22" xfId="2263"/>
    <cellStyle name="Total 2 23" xfId="2369"/>
    <cellStyle name="Total 2 24" xfId="2475"/>
    <cellStyle name="Total 2 25" xfId="2581"/>
    <cellStyle name="Total 2 26" xfId="2687"/>
    <cellStyle name="Total 2 27" xfId="2793"/>
    <cellStyle name="Total 2 28" xfId="2899"/>
    <cellStyle name="Total 2 29" xfId="3005"/>
    <cellStyle name="Total 2 3" xfId="411"/>
    <cellStyle name="Total 2 30" xfId="3111"/>
    <cellStyle name="Total 2 31" xfId="3217"/>
    <cellStyle name="Total 2 32" xfId="3323"/>
    <cellStyle name="Total 2 33" xfId="3429"/>
    <cellStyle name="Total 2 34" xfId="3535"/>
    <cellStyle name="Total 2 35" xfId="3641"/>
    <cellStyle name="Total 2 36" xfId="3747"/>
    <cellStyle name="Total 2 37" xfId="3853"/>
    <cellStyle name="Total 2 38" xfId="3959"/>
    <cellStyle name="Total 2 39" xfId="4065"/>
    <cellStyle name="Total 2 4" xfId="267"/>
    <cellStyle name="Total 2 40" xfId="4171"/>
    <cellStyle name="Total 2 41" xfId="4277"/>
    <cellStyle name="Total 2 42" xfId="4383"/>
    <cellStyle name="Total 2 43" xfId="4489"/>
    <cellStyle name="Total 2 44" xfId="4595"/>
    <cellStyle name="Total 2 45" xfId="4701"/>
    <cellStyle name="Total 2 46" xfId="4807"/>
    <cellStyle name="Total 2 47" xfId="4913"/>
    <cellStyle name="Total 2 48" xfId="5019"/>
    <cellStyle name="Total 2 49" xfId="5125"/>
    <cellStyle name="Total 2 5" xfId="254"/>
    <cellStyle name="Total 2 50" xfId="5231"/>
    <cellStyle name="Total 2 51" xfId="5337"/>
    <cellStyle name="Total 2 52" xfId="5443"/>
    <cellStyle name="Total 2 53" xfId="5549"/>
    <cellStyle name="Total 2 54" xfId="5655"/>
    <cellStyle name="Total 2 55" xfId="5761"/>
    <cellStyle name="Total 2 56" xfId="5867"/>
    <cellStyle name="Total 2 57" xfId="5973"/>
    <cellStyle name="Total 2 58" xfId="6079"/>
    <cellStyle name="Total 2 59" xfId="6185"/>
    <cellStyle name="Total 2 6" xfId="568"/>
    <cellStyle name="Total 2 60" xfId="6291"/>
    <cellStyle name="Total 2 61" xfId="6397"/>
    <cellStyle name="Total 2 62" xfId="6503"/>
    <cellStyle name="Total 2 63" xfId="6608"/>
    <cellStyle name="Total 2 64" xfId="6713"/>
    <cellStyle name="Total 2 65" xfId="6818"/>
    <cellStyle name="Total 2 66" xfId="6923"/>
    <cellStyle name="Total 2 67" xfId="7028"/>
    <cellStyle name="Total 2 68" xfId="7132"/>
    <cellStyle name="Total 2 69" xfId="7236"/>
    <cellStyle name="Total 2 7" xfId="673"/>
    <cellStyle name="Total 2 70" xfId="7337"/>
    <cellStyle name="Total 2 71" xfId="7436"/>
    <cellStyle name="Total 2 72" xfId="7532"/>
    <cellStyle name="Total 2 73" xfId="7706"/>
    <cellStyle name="Total 2 74" xfId="7713"/>
    <cellStyle name="Total 2 75" xfId="7882"/>
    <cellStyle name="Total 2 76" xfId="8024"/>
    <cellStyle name="Total 2 77" xfId="8166"/>
    <cellStyle name="Total 2 78" xfId="8308"/>
    <cellStyle name="Total 2 79" xfId="8450"/>
    <cellStyle name="Total 2 8" xfId="779"/>
    <cellStyle name="Total 2 80" xfId="8592"/>
    <cellStyle name="Total 2 81" xfId="8734"/>
    <cellStyle name="Total 2 82" xfId="8876"/>
    <cellStyle name="Total 2 83" xfId="9018"/>
    <cellStyle name="Total 2 84" xfId="9160"/>
    <cellStyle name="Total 2 85" xfId="9302"/>
    <cellStyle name="Total 2 86" xfId="9444"/>
    <cellStyle name="Total 2 87" xfId="9586"/>
    <cellStyle name="Total 2 88" xfId="9728"/>
    <cellStyle name="Total 2 89" xfId="9870"/>
    <cellStyle name="Total 2 9" xfId="885"/>
    <cellStyle name="Total 2 90" xfId="10012"/>
    <cellStyle name="Total 2 91" xfId="10154"/>
    <cellStyle name="Total 2 92" xfId="10296"/>
    <cellStyle name="Total 2 93" xfId="10438"/>
    <cellStyle name="Total 2 94" xfId="10580"/>
    <cellStyle name="Total 2 95" xfId="10722"/>
    <cellStyle name="Total 2 96" xfId="10864"/>
    <cellStyle name="Total 2 97" xfId="11006"/>
    <cellStyle name="Total 2 98" xfId="11148"/>
    <cellStyle name="Total 2 99" xfId="11290"/>
    <cellStyle name="Total 3" xfId="68"/>
    <cellStyle name="Total 4" xfId="82"/>
    <cellStyle name="Total 5" xfId="85"/>
    <cellStyle name="Total 6" xfId="87"/>
    <cellStyle name="Total 7" xfId="89"/>
    <cellStyle name="Total 8" xfId="91"/>
    <cellStyle name="Total 9" xfId="81"/>
    <cellStyle name="Warning Text 2" xfId="218"/>
    <cellStyle name="Warning Text 3" xfId="383"/>
    <cellStyle name="Warning Text 4" xfId="15369"/>
    <cellStyle name="Warning Text 5" xfId="15413"/>
    <cellStyle name="Warning Text 6" xfId="35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'Kurs LoanDepo &amp; MM Borrowing'!$AA$549:$AA$590</c:f>
              <c:numCache>
                <c:formatCode>_(* #,##0.00_);_(* \(#,##0.00\);_(* "-"??_);_(@_)</c:formatCode>
                <c:ptCount val="42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5F0-4C86-AB39-95B02EDB8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631712"/>
        <c:axId val="578628448"/>
      </c:lineChart>
      <c:catAx>
        <c:axId val="578631712"/>
        <c:scaling>
          <c:orientation val="minMax"/>
        </c:scaling>
        <c:delete val="0"/>
        <c:axPos val="b"/>
        <c:majorTickMark val="out"/>
        <c:minorTickMark val="none"/>
        <c:tickLblPos val="nextTo"/>
        <c:crossAx val="578628448"/>
        <c:crosses val="autoZero"/>
        <c:auto val="1"/>
        <c:lblAlgn val="ctr"/>
        <c:lblOffset val="100"/>
        <c:noMultiLvlLbl val="0"/>
      </c:catAx>
      <c:valAx>
        <c:axId val="578628448"/>
        <c:scaling>
          <c:orientation val="minMax"/>
        </c:scaling>
        <c:delete val="0"/>
        <c:axPos val="l"/>
        <c:numFmt formatCode="_(* #,##0.00_);_(* \(#,##0.00\);_(* &quot;-&quot;??_);_(@_)" sourceLinked="1"/>
        <c:majorTickMark val="out"/>
        <c:minorTickMark val="none"/>
        <c:tickLblPos val="nextTo"/>
        <c:crossAx val="5786317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FCY Balance Sheet Composition</a:t>
            </a:r>
            <a:endParaRPr lang="id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'FCY Balance Sheet Composition'!$C$2</c:f>
              <c:strCache>
                <c:ptCount val="1"/>
                <c:pt idx="0">
                  <c:v>Loan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'FCY Balance Sheet Composition'!$B$7:$B$17</c:f>
              <c:strCache>
                <c:ptCount val="11"/>
                <c:pt idx="0">
                  <c:v>31 May 24</c:v>
                </c:pt>
                <c:pt idx="1">
                  <c:v>3 Jun 24</c:v>
                </c:pt>
                <c:pt idx="2">
                  <c:v>4 Jun 24</c:v>
                </c:pt>
                <c:pt idx="3">
                  <c:v>5 Jun 24</c:v>
                </c:pt>
                <c:pt idx="4">
                  <c:v>6 Jun 24</c:v>
                </c:pt>
                <c:pt idx="5">
                  <c:v>7 Jun 24</c:v>
                </c:pt>
                <c:pt idx="6">
                  <c:v>10 Jun 24</c:v>
                </c:pt>
                <c:pt idx="7">
                  <c:v>11 Jun 24</c:v>
                </c:pt>
                <c:pt idx="8">
                  <c:v>12 Jun 24</c:v>
                </c:pt>
                <c:pt idx="9">
                  <c:v>13 Jun 24</c:v>
                </c:pt>
                <c:pt idx="10">
                  <c:v>14 Jun 24</c:v>
                </c:pt>
              </c:strCache>
            </c:strRef>
          </c:cat>
          <c:val>
            <c:numRef>
              <c:f>'FCY Balance Sheet Composition'!$C$7:$C$17</c:f>
              <c:numCache>
                <c:formatCode>#,##0_);[Red]\(#,##0\)</c:formatCode>
                <c:ptCount val="11"/>
                <c:pt idx="0">
                  <c:v>2013.4264042563077</c:v>
                </c:pt>
                <c:pt idx="1">
                  <c:v>2020.1858071927911</c:v>
                </c:pt>
                <c:pt idx="2">
                  <c:v>2010.2013562670161</c:v>
                </c:pt>
                <c:pt idx="3">
                  <c:v>2031.6536446836353</c:v>
                </c:pt>
                <c:pt idx="4">
                  <c:v>2054.012214713161</c:v>
                </c:pt>
                <c:pt idx="5">
                  <c:v>2069.4591226646698</c:v>
                </c:pt>
                <c:pt idx="6">
                  <c:v>2085.3961687525184</c:v>
                </c:pt>
                <c:pt idx="7">
                  <c:v>2065.5056513010436</c:v>
                </c:pt>
                <c:pt idx="8">
                  <c:v>2060.6830980173677</c:v>
                </c:pt>
                <c:pt idx="9">
                  <c:v>2058.4017856406886</c:v>
                </c:pt>
                <c:pt idx="10">
                  <c:v>2042.085186120366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CA3-47DF-A8D9-51D8D1B6FA1E}"/>
            </c:ext>
          </c:extLst>
        </c:ser>
        <c:ser>
          <c:idx val="1"/>
          <c:order val="1"/>
          <c:tx>
            <c:strRef>
              <c:f>'FCY Balance Sheet Composition'!$D$2</c:f>
              <c:strCache>
                <c:ptCount val="1"/>
                <c:pt idx="0">
                  <c:v>TD BI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'FCY Balance Sheet Composition'!$B$7:$B$17</c:f>
              <c:strCache>
                <c:ptCount val="11"/>
                <c:pt idx="0">
                  <c:v>31 May 24</c:v>
                </c:pt>
                <c:pt idx="1">
                  <c:v>3 Jun 24</c:v>
                </c:pt>
                <c:pt idx="2">
                  <c:v>4 Jun 24</c:v>
                </c:pt>
                <c:pt idx="3">
                  <c:v>5 Jun 24</c:v>
                </c:pt>
                <c:pt idx="4">
                  <c:v>6 Jun 24</c:v>
                </c:pt>
                <c:pt idx="5">
                  <c:v>7 Jun 24</c:v>
                </c:pt>
                <c:pt idx="6">
                  <c:v>10 Jun 24</c:v>
                </c:pt>
                <c:pt idx="7">
                  <c:v>11 Jun 24</c:v>
                </c:pt>
                <c:pt idx="8">
                  <c:v>12 Jun 24</c:v>
                </c:pt>
                <c:pt idx="9">
                  <c:v>13 Jun 24</c:v>
                </c:pt>
                <c:pt idx="10">
                  <c:v>14 Jun 24</c:v>
                </c:pt>
              </c:strCache>
            </c:strRef>
          </c:cat>
          <c:val>
            <c:numRef>
              <c:f>'FCY Balance Sheet Composition'!$D$7:$D$17</c:f>
              <c:numCache>
                <c:formatCode>#,##0_);[Red]\(#,##0\)</c:formatCode>
                <c:ptCount val="11"/>
                <c:pt idx="0">
                  <c:v>150</c:v>
                </c:pt>
                <c:pt idx="1">
                  <c:v>133</c:v>
                </c:pt>
                <c:pt idx="2">
                  <c:v>87</c:v>
                </c:pt>
                <c:pt idx="3">
                  <c:v>10</c:v>
                </c:pt>
                <c:pt idx="4">
                  <c:v>40</c:v>
                </c:pt>
                <c:pt idx="5">
                  <c:v>110</c:v>
                </c:pt>
                <c:pt idx="6">
                  <c:v>72</c:v>
                </c:pt>
                <c:pt idx="7">
                  <c:v>65</c:v>
                </c:pt>
                <c:pt idx="8">
                  <c:v>88</c:v>
                </c:pt>
                <c:pt idx="9">
                  <c:v>78</c:v>
                </c:pt>
                <c:pt idx="10">
                  <c:v>156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CA3-47DF-A8D9-51D8D1B6FA1E}"/>
            </c:ext>
          </c:extLst>
        </c:ser>
        <c:ser>
          <c:idx val="2"/>
          <c:order val="2"/>
          <c:tx>
            <c:strRef>
              <c:f>'FCY Balance Sheet Composition'!$E$2</c:f>
              <c:strCache>
                <c:ptCount val="1"/>
                <c:pt idx="0">
                  <c:v>SVBI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'FCY Balance Sheet Composition'!$B$7:$B$17</c:f>
              <c:strCache>
                <c:ptCount val="11"/>
                <c:pt idx="0">
                  <c:v>31 May 24</c:v>
                </c:pt>
                <c:pt idx="1">
                  <c:v>3 Jun 24</c:v>
                </c:pt>
                <c:pt idx="2">
                  <c:v>4 Jun 24</c:v>
                </c:pt>
                <c:pt idx="3">
                  <c:v>5 Jun 24</c:v>
                </c:pt>
                <c:pt idx="4">
                  <c:v>6 Jun 24</c:v>
                </c:pt>
                <c:pt idx="5">
                  <c:v>7 Jun 24</c:v>
                </c:pt>
                <c:pt idx="6">
                  <c:v>10 Jun 24</c:v>
                </c:pt>
                <c:pt idx="7">
                  <c:v>11 Jun 24</c:v>
                </c:pt>
                <c:pt idx="8">
                  <c:v>12 Jun 24</c:v>
                </c:pt>
                <c:pt idx="9">
                  <c:v>13 Jun 24</c:v>
                </c:pt>
                <c:pt idx="10">
                  <c:v>14 Jun 24</c:v>
                </c:pt>
              </c:strCache>
            </c:strRef>
          </c:cat>
          <c:val>
            <c:numRef>
              <c:f>'FCY Balance Sheet Composition'!$E$7:$E$17</c:f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CA3-47DF-A8D9-51D8D1B6FA1E}"/>
            </c:ext>
          </c:extLst>
        </c:ser>
        <c:ser>
          <c:idx val="3"/>
          <c:order val="3"/>
          <c:tx>
            <c:strRef>
              <c:f>'FCY Balance Sheet Composition'!$F$2</c:f>
              <c:strCache>
                <c:ptCount val="1"/>
                <c:pt idx="0">
                  <c:v>MM Lending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'FCY Balance Sheet Composition'!$B$7:$B$17</c:f>
              <c:strCache>
                <c:ptCount val="11"/>
                <c:pt idx="0">
                  <c:v>31 May 24</c:v>
                </c:pt>
                <c:pt idx="1">
                  <c:v>3 Jun 24</c:v>
                </c:pt>
                <c:pt idx="2">
                  <c:v>4 Jun 24</c:v>
                </c:pt>
                <c:pt idx="3">
                  <c:v>5 Jun 24</c:v>
                </c:pt>
                <c:pt idx="4">
                  <c:v>6 Jun 24</c:v>
                </c:pt>
                <c:pt idx="5">
                  <c:v>7 Jun 24</c:v>
                </c:pt>
                <c:pt idx="6">
                  <c:v>10 Jun 24</c:v>
                </c:pt>
                <c:pt idx="7">
                  <c:v>11 Jun 24</c:v>
                </c:pt>
                <c:pt idx="8">
                  <c:v>12 Jun 24</c:v>
                </c:pt>
                <c:pt idx="9">
                  <c:v>13 Jun 24</c:v>
                </c:pt>
                <c:pt idx="10">
                  <c:v>14 Jun 24</c:v>
                </c:pt>
              </c:strCache>
            </c:strRef>
          </c:cat>
          <c:val>
            <c:numRef>
              <c:f>'FCY Balance Sheet Composition'!$F$7:$F$17</c:f>
              <c:numCache>
                <c:formatCode>#,##0_);[Red]\(#,##0\)</c:formatCode>
                <c:ptCount val="11"/>
                <c:pt idx="0">
                  <c:v>1.5</c:v>
                </c:pt>
                <c:pt idx="1">
                  <c:v>1.5</c:v>
                </c:pt>
                <c:pt idx="2">
                  <c:v>5</c:v>
                </c:pt>
                <c:pt idx="3">
                  <c:v>0</c:v>
                </c:pt>
                <c:pt idx="4">
                  <c:v>1.5</c:v>
                </c:pt>
                <c:pt idx="5">
                  <c:v>6.5</c:v>
                </c:pt>
                <c:pt idx="6">
                  <c:v>1.5</c:v>
                </c:pt>
                <c:pt idx="7">
                  <c:v>11.5</c:v>
                </c:pt>
                <c:pt idx="8">
                  <c:v>1.5</c:v>
                </c:pt>
                <c:pt idx="9">
                  <c:v>5</c:v>
                </c:pt>
                <c:pt idx="10">
                  <c:v>1.5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CA3-47DF-A8D9-51D8D1B6FA1E}"/>
            </c:ext>
          </c:extLst>
        </c:ser>
        <c:ser>
          <c:idx val="4"/>
          <c:order val="4"/>
          <c:tx>
            <c:strRef>
              <c:f>'FCY Balance Sheet Composition'!$G$2</c:f>
              <c:strCache>
                <c:ptCount val="1"/>
                <c:pt idx="0">
                  <c:v>FCY DPK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'FCY Balance Sheet Composition'!$B$7:$B$17</c:f>
              <c:strCache>
                <c:ptCount val="11"/>
                <c:pt idx="0">
                  <c:v>31 May 24</c:v>
                </c:pt>
                <c:pt idx="1">
                  <c:v>3 Jun 24</c:v>
                </c:pt>
                <c:pt idx="2">
                  <c:v>4 Jun 24</c:v>
                </c:pt>
                <c:pt idx="3">
                  <c:v>5 Jun 24</c:v>
                </c:pt>
                <c:pt idx="4">
                  <c:v>6 Jun 24</c:v>
                </c:pt>
                <c:pt idx="5">
                  <c:v>7 Jun 24</c:v>
                </c:pt>
                <c:pt idx="6">
                  <c:v>10 Jun 24</c:v>
                </c:pt>
                <c:pt idx="7">
                  <c:v>11 Jun 24</c:v>
                </c:pt>
                <c:pt idx="8">
                  <c:v>12 Jun 24</c:v>
                </c:pt>
                <c:pt idx="9">
                  <c:v>13 Jun 24</c:v>
                </c:pt>
                <c:pt idx="10">
                  <c:v>14 Jun 24</c:v>
                </c:pt>
              </c:strCache>
            </c:strRef>
          </c:cat>
          <c:val>
            <c:numRef>
              <c:f>'FCY Balance Sheet Composition'!$G$7:$G$17</c:f>
              <c:numCache>
                <c:formatCode>#,##0_);[Red]\(#,##0\)</c:formatCode>
                <c:ptCount val="11"/>
                <c:pt idx="0">
                  <c:v>-2622.626746716554</c:v>
                </c:pt>
                <c:pt idx="1">
                  <c:v>-2583.3547126310536</c:v>
                </c:pt>
                <c:pt idx="2">
                  <c:v>-2582.3095698903826</c:v>
                </c:pt>
                <c:pt idx="3">
                  <c:v>-2476.8453533138472</c:v>
                </c:pt>
                <c:pt idx="4">
                  <c:v>-2498.6091847250923</c:v>
                </c:pt>
                <c:pt idx="5">
                  <c:v>-2491.4929273003795</c:v>
                </c:pt>
                <c:pt idx="6">
                  <c:v>-2472.6874693285627</c:v>
                </c:pt>
                <c:pt idx="7">
                  <c:v>-2439.4374792259055</c:v>
                </c:pt>
                <c:pt idx="8">
                  <c:v>-2460.8501531211145</c:v>
                </c:pt>
                <c:pt idx="9">
                  <c:v>-2461.2606049872775</c:v>
                </c:pt>
                <c:pt idx="10">
                  <c:v>-2441.7506123867684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CA3-47DF-A8D9-51D8D1B6FA1E}"/>
            </c:ext>
          </c:extLst>
        </c:ser>
        <c:ser>
          <c:idx val="5"/>
          <c:order val="5"/>
          <c:tx>
            <c:strRef>
              <c:f>'FCY Balance Sheet Composition'!$H$2</c:f>
              <c:strCache>
                <c:ptCount val="1"/>
                <c:pt idx="0">
                  <c:v>MM Borrowing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'FCY Balance Sheet Composition'!$B$7:$B$17</c:f>
              <c:strCache>
                <c:ptCount val="11"/>
                <c:pt idx="0">
                  <c:v>31 May 24</c:v>
                </c:pt>
                <c:pt idx="1">
                  <c:v>3 Jun 24</c:v>
                </c:pt>
                <c:pt idx="2">
                  <c:v>4 Jun 24</c:v>
                </c:pt>
                <c:pt idx="3">
                  <c:v>5 Jun 24</c:v>
                </c:pt>
                <c:pt idx="4">
                  <c:v>6 Jun 24</c:v>
                </c:pt>
                <c:pt idx="5">
                  <c:v>7 Jun 24</c:v>
                </c:pt>
                <c:pt idx="6">
                  <c:v>10 Jun 24</c:v>
                </c:pt>
                <c:pt idx="7">
                  <c:v>11 Jun 24</c:v>
                </c:pt>
                <c:pt idx="8">
                  <c:v>12 Jun 24</c:v>
                </c:pt>
                <c:pt idx="9">
                  <c:v>13 Jun 24</c:v>
                </c:pt>
                <c:pt idx="10">
                  <c:v>14 Jun 24</c:v>
                </c:pt>
              </c:strCache>
            </c:strRef>
          </c:cat>
          <c:val>
            <c:numRef>
              <c:f>'FCY Balance Sheet Composition'!$H$7:$H$17</c:f>
              <c:numCache>
                <c:formatCode>#,##0_);[Red]\(#,##0\)</c:formatCode>
                <c:ptCount val="11"/>
                <c:pt idx="0">
                  <c:v>-20</c:v>
                </c:pt>
                <c:pt idx="1">
                  <c:v>-20</c:v>
                </c:pt>
                <c:pt idx="2">
                  <c:v>-20</c:v>
                </c:pt>
                <c:pt idx="3">
                  <c:v>-58</c:v>
                </c:pt>
                <c:pt idx="4">
                  <c:v>-49</c:v>
                </c:pt>
                <c:pt idx="5">
                  <c:v>-49</c:v>
                </c:pt>
                <c:pt idx="6">
                  <c:v>-49</c:v>
                </c:pt>
                <c:pt idx="7">
                  <c:v>-69</c:v>
                </c:pt>
                <c:pt idx="8">
                  <c:v>-45</c:v>
                </c:pt>
                <c:pt idx="9">
                  <c:v>-20</c:v>
                </c:pt>
                <c:pt idx="10">
                  <c:v>-19.841463414634145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ECA3-47DF-A8D9-51D8D1B6FA1E}"/>
            </c:ext>
          </c:extLst>
        </c:ser>
        <c:ser>
          <c:idx val="6"/>
          <c:order val="6"/>
          <c:tx>
            <c:strRef>
              <c:f>'FCY Balance Sheet Composition'!$I$2</c:f>
              <c:strCache>
                <c:ptCount val="1"/>
                <c:pt idx="0">
                  <c:v>BA Borrow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'FCY Balance Sheet Composition'!$B$7:$B$17</c:f>
              <c:strCache>
                <c:ptCount val="11"/>
                <c:pt idx="0">
                  <c:v>31 May 24</c:v>
                </c:pt>
                <c:pt idx="1">
                  <c:v>3 Jun 24</c:v>
                </c:pt>
                <c:pt idx="2">
                  <c:v>4 Jun 24</c:v>
                </c:pt>
                <c:pt idx="3">
                  <c:v>5 Jun 24</c:v>
                </c:pt>
                <c:pt idx="4">
                  <c:v>6 Jun 24</c:v>
                </c:pt>
                <c:pt idx="5">
                  <c:v>7 Jun 24</c:v>
                </c:pt>
                <c:pt idx="6">
                  <c:v>10 Jun 24</c:v>
                </c:pt>
                <c:pt idx="7">
                  <c:v>11 Jun 24</c:v>
                </c:pt>
                <c:pt idx="8">
                  <c:v>12 Jun 24</c:v>
                </c:pt>
                <c:pt idx="9">
                  <c:v>13 Jun 24</c:v>
                </c:pt>
                <c:pt idx="10">
                  <c:v>14 Jun 24</c:v>
                </c:pt>
              </c:strCache>
            </c:strRef>
          </c:cat>
          <c:val>
            <c:numRef>
              <c:f>'FCY Balance Sheet Composition'!$I$7:$I$17</c:f>
              <c:numCache>
                <c:formatCode>#,##0_);[Red]\(#,##0\)</c:formatCode>
                <c:ptCount val="11"/>
                <c:pt idx="0">
                  <c:v>-75</c:v>
                </c:pt>
                <c:pt idx="1">
                  <c:v>-100</c:v>
                </c:pt>
                <c:pt idx="2">
                  <c:v>-100</c:v>
                </c:pt>
                <c:pt idx="3">
                  <c:v>-100</c:v>
                </c:pt>
                <c:pt idx="4">
                  <c:v>-100</c:v>
                </c:pt>
                <c:pt idx="5">
                  <c:v>-100</c:v>
                </c:pt>
                <c:pt idx="6">
                  <c:v>-200</c:v>
                </c:pt>
                <c:pt idx="7">
                  <c:v>-200</c:v>
                </c:pt>
                <c:pt idx="8">
                  <c:v>-200</c:v>
                </c:pt>
                <c:pt idx="9">
                  <c:v>-200</c:v>
                </c:pt>
                <c:pt idx="10">
                  <c:v>-200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CA3-47DF-A8D9-51D8D1B6FA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5619456"/>
        <c:axId val="645623808"/>
      </c:barChart>
      <c:catAx>
        <c:axId val="64561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645623808"/>
        <c:crosses val="autoZero"/>
        <c:auto val="1"/>
        <c:lblAlgn val="ctr"/>
        <c:lblOffset val="100"/>
        <c:noMultiLvlLbl val="0"/>
      </c:catAx>
      <c:valAx>
        <c:axId val="64562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d-ID"/>
          </a:p>
        </c:txPr>
        <c:crossAx val="64561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d-ID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d-ID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210910</xdr:colOff>
      <xdr:row>567</xdr:row>
      <xdr:rowOff>104774</xdr:rowOff>
    </xdr:from>
    <xdr:to>
      <xdr:col>35</xdr:col>
      <xdr:colOff>496660</xdr:colOff>
      <xdr:row>581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291353</xdr:colOff>
      <xdr:row>1</xdr:row>
      <xdr:rowOff>134471</xdr:rowOff>
    </xdr:from>
    <xdr:to>
      <xdr:col>24</xdr:col>
      <xdr:colOff>89648</xdr:colOff>
      <xdr:row>22</xdr:row>
      <xdr:rowOff>67235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UMBER%20DATA/LBU/2024/05.%20May%202024/06.%20Neraca%20Gabungan%20Antasena%20-%20Mei%20202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UMBER%20DATA/LBU/2024/06.%20Jun%202024/06.%20Neraca%20Gabungan%20Antasena%20-%20Juni%20202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UMBER%20DATA/LBU/2024/07.%20Jul%202024/06.%20Neraca%20Gabungan%20Antasena%20-%20Juli%20202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UMBER%20DATA/LBU/2024/08.%20Aug%202024/06.%20Neraca%20Gabungan%20Antasena%20-%20Agustus%20202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1-DAILY/1-WORKSHEET/1-LIKUIDITAS%20HARIAN/Neraca%20Harian/2024/09.%20Sep/Daily%20Report_1009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 Antasena"/>
      <sheetName val="Pajak Tangguhan"/>
      <sheetName val="BI"/>
      <sheetName val="Bank"/>
      <sheetName val="Surat Berharga"/>
    </sheetNames>
    <sheetDataSet>
      <sheetData sheetId="0">
        <row r="22">
          <cell r="D22">
            <v>170466121237490</v>
          </cell>
          <cell r="E22">
            <v>32718179069165</v>
          </cell>
        </row>
        <row r="79">
          <cell r="D79">
            <v>61941171852675</v>
          </cell>
          <cell r="E79">
            <v>17926823354817</v>
          </cell>
        </row>
        <row r="85">
          <cell r="D85">
            <v>67020519291160</v>
          </cell>
          <cell r="E85">
            <v>13382499866148</v>
          </cell>
        </row>
        <row r="91">
          <cell r="D91">
            <v>78739969078852</v>
          </cell>
          <cell r="E91">
            <v>11308361413179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 Antasena"/>
      <sheetName val="Pajak Tangguhan"/>
      <sheetName val="BI"/>
      <sheetName val="Bank"/>
      <sheetName val="Surat Berharga"/>
    </sheetNames>
    <sheetDataSet>
      <sheetData sheetId="0">
        <row r="22">
          <cell r="D22">
            <v>174668783193082</v>
          </cell>
          <cell r="E22">
            <v>33493097778190</v>
          </cell>
        </row>
        <row r="79">
          <cell r="D79">
            <v>64581097280134</v>
          </cell>
          <cell r="E79">
            <v>18847550916563</v>
          </cell>
        </row>
        <row r="85">
          <cell r="D85">
            <v>65869468798301</v>
          </cell>
          <cell r="E85">
            <v>14004947008551</v>
          </cell>
        </row>
        <row r="91">
          <cell r="D91">
            <v>75920180281339</v>
          </cell>
          <cell r="E91">
            <v>11038918700095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 Antasena"/>
      <sheetName val="Pajak Tangguhan"/>
      <sheetName val="BI"/>
      <sheetName val="Bank"/>
      <sheetName val="Surat Berharga"/>
    </sheetNames>
    <sheetDataSet>
      <sheetData sheetId="0">
        <row r="22">
          <cell r="D22">
            <v>173573265628974</v>
          </cell>
          <cell r="E22">
            <v>32397044001579</v>
          </cell>
        </row>
        <row r="79">
          <cell r="D79">
            <v>61637642401121</v>
          </cell>
          <cell r="E79">
            <v>18743482004895</v>
          </cell>
        </row>
        <row r="85">
          <cell r="D85">
            <v>65454907798557</v>
          </cell>
          <cell r="E85">
            <v>15262546881643</v>
          </cell>
        </row>
        <row r="91">
          <cell r="D91">
            <v>75629004631452</v>
          </cell>
          <cell r="E91">
            <v>11532841114516</v>
          </cell>
        </row>
        <row r="156">
          <cell r="E156">
            <v>55994836268273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raca Antasena"/>
      <sheetName val="Pajak Tangguhan"/>
      <sheetName val="BI"/>
      <sheetName val="Bank"/>
      <sheetName val="Surat Berharga"/>
    </sheetNames>
    <sheetDataSet>
      <sheetData sheetId="0">
        <row r="22">
          <cell r="D22">
            <v>173124106866660</v>
          </cell>
          <cell r="E22">
            <v>29804276969726</v>
          </cell>
        </row>
        <row r="79">
          <cell r="D79">
            <v>59657044411156</v>
          </cell>
          <cell r="E79">
            <v>18030334186912</v>
          </cell>
        </row>
        <row r="85">
          <cell r="D85">
            <v>65925678204810</v>
          </cell>
          <cell r="E85">
            <v>14917727891526</v>
          </cell>
        </row>
        <row r="91">
          <cell r="D91">
            <v>74557325746396</v>
          </cell>
          <cell r="E91">
            <v>11649352833497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01"/>
      <sheetName val="F03"/>
      <sheetName val="F04"/>
      <sheetName val="F05"/>
      <sheetName val="F07"/>
      <sheetName val="F09"/>
      <sheetName val="F16"/>
      <sheetName val="F17"/>
      <sheetName val="F20"/>
    </sheetNames>
    <sheetDataSet>
      <sheetData sheetId="0">
        <row r="14">
          <cell r="C14">
            <v>85751720056947</v>
          </cell>
          <cell r="D14">
            <v>7252524206162</v>
          </cell>
        </row>
        <row r="22">
          <cell r="C22">
            <v>1462121580033</v>
          </cell>
          <cell r="D22">
            <v>-11</v>
          </cell>
        </row>
        <row r="24">
          <cell r="C24">
            <v>169788616096403</v>
          </cell>
          <cell r="D24">
            <v>27535238437138</v>
          </cell>
        </row>
        <row r="81">
          <cell r="C81">
            <v>63931531174114</v>
          </cell>
          <cell r="D81">
            <v>19908874470306</v>
          </cell>
        </row>
        <row r="87">
          <cell r="C87">
            <v>64962887369346</v>
          </cell>
          <cell r="D87">
            <v>14950416058408</v>
          </cell>
        </row>
        <row r="93">
          <cell r="C93">
            <v>77105393222228</v>
          </cell>
          <cell r="D93">
            <v>11470823417318</v>
          </cell>
        </row>
        <row r="99">
          <cell r="D99">
            <v>0</v>
          </cell>
        </row>
        <row r="112">
          <cell r="C112">
            <v>9889500229549</v>
          </cell>
          <cell r="D112">
            <v>0</v>
          </cell>
        </row>
      </sheetData>
      <sheetData sheetId="1"/>
      <sheetData sheetId="2">
        <row r="3">
          <cell r="C3">
            <v>0</v>
          </cell>
          <cell r="D3">
            <v>100917770025</v>
          </cell>
        </row>
      </sheetData>
      <sheetData sheetId="3"/>
      <sheetData sheetId="4"/>
      <sheetData sheetId="5"/>
      <sheetData sheetId="6"/>
      <sheetData sheetId="7">
        <row r="3">
          <cell r="C3">
            <v>3720000000000</v>
          </cell>
          <cell r="D3">
            <v>0</v>
          </cell>
        </row>
      </sheetData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Q79"/>
  <sheetViews>
    <sheetView topLeftCell="A28" zoomScaleNormal="100" workbookViewId="0">
      <selection activeCell="H46" sqref="H46"/>
    </sheetView>
  </sheetViews>
  <sheetFormatPr defaultRowHeight="14.5"/>
  <cols>
    <col min="1" max="1" width="20.54296875" style="15" bestFit="1" customWidth="1"/>
    <col min="2" max="8" width="11.453125" style="15" customWidth="1"/>
    <col min="9" max="18" width="11.453125" customWidth="1"/>
    <col min="19" max="19" width="14.1796875" customWidth="1"/>
    <col min="20" max="26" width="11.453125" customWidth="1"/>
    <col min="28" max="28" width="12.81640625" customWidth="1"/>
    <col min="29" max="35" width="11.453125" customWidth="1"/>
  </cols>
  <sheetData>
    <row r="1" spans="1:43">
      <c r="A1" s="3297" t="s">
        <v>19</v>
      </c>
      <c r="B1" s="3297"/>
      <c r="C1" s="3297"/>
      <c r="D1" s="3297"/>
      <c r="E1" s="3297"/>
      <c r="F1" s="3297"/>
      <c r="G1" s="3297"/>
      <c r="H1" s="3297"/>
      <c r="I1" s="59"/>
      <c r="J1" s="3298" t="s">
        <v>1</v>
      </c>
      <c r="K1" s="3298"/>
      <c r="L1" s="3298"/>
      <c r="M1" s="3298"/>
      <c r="N1" s="3298"/>
      <c r="O1" s="3298"/>
      <c r="P1" s="3298"/>
      <c r="Q1" s="3298"/>
      <c r="R1" s="59"/>
      <c r="S1" s="3297" t="s">
        <v>18</v>
      </c>
      <c r="T1" s="3297"/>
      <c r="U1" s="3297"/>
      <c r="V1" s="3297"/>
      <c r="W1" s="3297"/>
      <c r="X1" s="3297"/>
      <c r="Y1" s="3297"/>
      <c r="Z1" s="3297"/>
      <c r="AA1" s="59"/>
      <c r="AB1" s="3298" t="s">
        <v>2</v>
      </c>
      <c r="AC1" s="3298"/>
      <c r="AD1" s="3298"/>
      <c r="AE1" s="3298"/>
      <c r="AF1" s="3298"/>
      <c r="AG1" s="3298"/>
      <c r="AH1" s="3298"/>
      <c r="AI1" s="3298"/>
    </row>
    <row r="2" spans="1:43" ht="15" thickBot="1">
      <c r="A2" s="12" t="s">
        <v>3</v>
      </c>
      <c r="B2" s="13">
        <v>43255</v>
      </c>
      <c r="C2" s="14"/>
      <c r="D2" s="12" t="s">
        <v>17</v>
      </c>
      <c r="E2" s="14" t="s">
        <v>52</v>
      </c>
      <c r="J2" s="1" t="s">
        <v>3</v>
      </c>
      <c r="K2" s="13">
        <v>43255</v>
      </c>
      <c r="M2" s="12" t="s">
        <v>17</v>
      </c>
      <c r="N2" s="14" t="s">
        <v>52</v>
      </c>
      <c r="S2" s="12" t="s">
        <v>3</v>
      </c>
      <c r="T2" s="13">
        <v>43010</v>
      </c>
      <c r="U2" s="14"/>
      <c r="V2" s="12" t="s">
        <v>17</v>
      </c>
      <c r="W2" s="14" t="s">
        <v>20</v>
      </c>
      <c r="X2" s="15"/>
      <c r="Y2" s="15"/>
      <c r="Z2" s="15"/>
      <c r="AB2" s="12" t="s">
        <v>3</v>
      </c>
      <c r="AC2" s="13">
        <v>43010</v>
      </c>
      <c r="AD2" s="14"/>
      <c r="AE2" s="12" t="s">
        <v>17</v>
      </c>
      <c r="AF2" s="14" t="s">
        <v>20</v>
      </c>
    </row>
    <row r="3" spans="1:43" ht="30.75" customHeight="1">
      <c r="A3" s="16" t="s">
        <v>4</v>
      </c>
      <c r="B3" s="17" t="s">
        <v>5</v>
      </c>
      <c r="C3" s="17" t="s">
        <v>6</v>
      </c>
      <c r="D3" s="17" t="s">
        <v>7</v>
      </c>
      <c r="E3" s="17" t="s">
        <v>8</v>
      </c>
      <c r="F3" s="17" t="s">
        <v>9</v>
      </c>
      <c r="G3" s="17" t="s">
        <v>10</v>
      </c>
      <c r="H3" s="18" t="s">
        <v>11</v>
      </c>
      <c r="J3" s="9" t="s">
        <v>4</v>
      </c>
      <c r="K3" s="17" t="s">
        <v>5</v>
      </c>
      <c r="L3" s="17" t="s">
        <v>6</v>
      </c>
      <c r="M3" s="17" t="s">
        <v>7</v>
      </c>
      <c r="N3" s="17" t="s">
        <v>8</v>
      </c>
      <c r="O3" s="17" t="s">
        <v>9</v>
      </c>
      <c r="P3" s="17" t="s">
        <v>10</v>
      </c>
      <c r="Q3" s="18" t="s">
        <v>11</v>
      </c>
      <c r="S3" s="16" t="s">
        <v>4</v>
      </c>
      <c r="T3" s="17" t="s">
        <v>5</v>
      </c>
      <c r="U3" s="17" t="s">
        <v>6</v>
      </c>
      <c r="V3" s="17" t="s">
        <v>7</v>
      </c>
      <c r="W3" s="17" t="s">
        <v>8</v>
      </c>
      <c r="X3" s="17" t="s">
        <v>9</v>
      </c>
      <c r="Y3" s="17" t="s">
        <v>10</v>
      </c>
      <c r="Z3" s="18" t="s">
        <v>11</v>
      </c>
      <c r="AB3" s="9" t="s">
        <v>4</v>
      </c>
      <c r="AC3" s="17" t="s">
        <v>5</v>
      </c>
      <c r="AD3" s="17" t="s">
        <v>6</v>
      </c>
      <c r="AE3" s="17" t="s">
        <v>7</v>
      </c>
      <c r="AF3" s="17" t="s">
        <v>8</v>
      </c>
      <c r="AG3" s="17" t="s">
        <v>9</v>
      </c>
      <c r="AH3" s="17" t="s">
        <v>10</v>
      </c>
      <c r="AI3" s="18" t="s">
        <v>11</v>
      </c>
    </row>
    <row r="4" spans="1:43">
      <c r="A4" s="19" t="s">
        <v>12</v>
      </c>
      <c r="B4" s="20"/>
      <c r="C4" s="20"/>
      <c r="D4" s="20"/>
      <c r="E4" s="20"/>
      <c r="F4" s="20"/>
      <c r="G4" s="20"/>
      <c r="H4" s="21"/>
      <c r="J4" s="4" t="s">
        <v>12</v>
      </c>
      <c r="K4" s="2"/>
      <c r="L4" s="2"/>
      <c r="M4" s="2"/>
      <c r="N4" s="2"/>
      <c r="O4" s="2"/>
      <c r="P4" s="2"/>
      <c r="Q4" s="5"/>
      <c r="S4" s="54" t="s">
        <v>12</v>
      </c>
      <c r="T4" s="20"/>
      <c r="U4" s="20"/>
      <c r="V4" s="20"/>
      <c r="W4" s="20"/>
      <c r="X4" s="20"/>
      <c r="Y4" s="20"/>
      <c r="Z4" s="21"/>
      <c r="AB4" s="4" t="s">
        <v>12</v>
      </c>
      <c r="AC4" s="2"/>
      <c r="AD4" s="2"/>
      <c r="AE4" s="2"/>
      <c r="AF4" s="2"/>
      <c r="AG4" s="2"/>
      <c r="AH4" s="2"/>
      <c r="AI4" s="5"/>
    </row>
    <row r="5" spans="1:43">
      <c r="A5" s="19" t="s">
        <v>0</v>
      </c>
      <c r="B5" s="20"/>
      <c r="C5" s="20"/>
      <c r="D5" s="20"/>
      <c r="E5" s="20"/>
      <c r="F5" s="20"/>
      <c r="G5" s="20"/>
      <c r="H5" s="21"/>
      <c r="J5" s="29" t="s">
        <v>0</v>
      </c>
      <c r="K5" s="2"/>
      <c r="L5" s="2"/>
      <c r="M5" s="2"/>
      <c r="N5" s="2"/>
      <c r="O5" s="2"/>
      <c r="P5" s="2"/>
      <c r="Q5" s="5"/>
      <c r="S5" s="19" t="s">
        <v>0</v>
      </c>
      <c r="T5" s="20"/>
      <c r="U5" s="20"/>
      <c r="V5" s="20"/>
      <c r="W5" s="20"/>
      <c r="X5" s="20"/>
      <c r="Y5" s="20"/>
      <c r="Z5" s="21"/>
      <c r="AB5" s="29" t="s">
        <v>0</v>
      </c>
      <c r="AC5" s="2"/>
      <c r="AD5" s="2"/>
      <c r="AE5" s="2"/>
      <c r="AF5" s="2"/>
      <c r="AG5" s="2"/>
      <c r="AH5" s="2"/>
      <c r="AI5" s="5"/>
    </row>
    <row r="6" spans="1:43">
      <c r="A6" s="22" t="s">
        <v>13</v>
      </c>
      <c r="B6" s="23">
        <v>5.2407815967636245E-2</v>
      </c>
      <c r="C6" s="23">
        <v>3.1259159003246516E-2</v>
      </c>
      <c r="D6" s="23">
        <v>1.6896898589987282E-2</v>
      </c>
      <c r="E6" s="23">
        <v>0.10555513213551743</v>
      </c>
      <c r="F6" s="23">
        <v>0</v>
      </c>
      <c r="G6" s="23">
        <v>0</v>
      </c>
      <c r="H6" s="24">
        <v>0.79388099430361247</v>
      </c>
      <c r="J6" s="10" t="s">
        <v>13</v>
      </c>
      <c r="K6" s="3">
        <v>4.3775028981781414E-2</v>
      </c>
      <c r="L6" s="3">
        <v>4.7791078506427262E-2</v>
      </c>
      <c r="M6" s="3">
        <v>3.1265472413570777E-2</v>
      </c>
      <c r="N6" s="3">
        <v>5.3686826120973336E-2</v>
      </c>
      <c r="O6" s="3">
        <v>8.9927010156928971E-2</v>
      </c>
      <c r="P6" s="3">
        <v>0.21583433699993121</v>
      </c>
      <c r="Q6" s="6">
        <v>0.51772024682038698</v>
      </c>
      <c r="S6" s="22" t="s">
        <v>13</v>
      </c>
      <c r="T6" s="23">
        <v>0.22024785855967566</v>
      </c>
      <c r="U6" s="23">
        <v>6.8546409025994653E-2</v>
      </c>
      <c r="V6" s="23">
        <v>0.25355104187254879</v>
      </c>
      <c r="W6" s="23">
        <v>2.5733836104216853E-2</v>
      </c>
      <c r="X6" s="23">
        <v>0</v>
      </c>
      <c r="Y6" s="23">
        <v>0</v>
      </c>
      <c r="Z6" s="24">
        <v>0.43192085443756401</v>
      </c>
      <c r="AB6" s="10" t="s">
        <v>13</v>
      </c>
      <c r="AC6" s="3">
        <v>0.11127989926985762</v>
      </c>
      <c r="AD6" s="3">
        <v>9.8454731387463995E-2</v>
      </c>
      <c r="AE6" s="3">
        <v>0.1340653693426784</v>
      </c>
      <c r="AF6" s="3">
        <v>2.5733836104216853E-2</v>
      </c>
      <c r="AG6" s="3">
        <v>0</v>
      </c>
      <c r="AH6" s="3">
        <v>0</v>
      </c>
      <c r="AI6" s="6">
        <v>0.63046616389578314</v>
      </c>
    </row>
    <row r="7" spans="1:43">
      <c r="A7" s="22" t="s">
        <v>14</v>
      </c>
      <c r="B7" s="23">
        <v>5.6393904972447222E-3</v>
      </c>
      <c r="C7" s="23">
        <v>5.439305262100954E-3</v>
      </c>
      <c r="D7" s="23">
        <v>1.2551223041901134E-2</v>
      </c>
      <c r="E7" s="23">
        <v>6.446662004105097E-3</v>
      </c>
      <c r="F7" s="23">
        <v>0</v>
      </c>
      <c r="G7" s="23">
        <v>0</v>
      </c>
      <c r="H7" s="24">
        <v>0.96992341919464808</v>
      </c>
      <c r="J7" s="10" t="s">
        <v>14</v>
      </c>
      <c r="K7" s="3">
        <v>1.9756100748404799E-2</v>
      </c>
      <c r="L7" s="3">
        <v>1.325286766562956E-2</v>
      </c>
      <c r="M7" s="3">
        <v>9.8089586916202155E-3</v>
      </c>
      <c r="N7" s="3">
        <v>0</v>
      </c>
      <c r="O7" s="3">
        <v>3.5922923468455346E-2</v>
      </c>
      <c r="P7" s="3">
        <v>3.2665596972016625E-2</v>
      </c>
      <c r="Q7" s="6">
        <v>0.8885935524538735</v>
      </c>
      <c r="S7" s="22" t="s">
        <v>14</v>
      </c>
      <c r="T7" s="23">
        <v>1.1983632833947136E-2</v>
      </c>
      <c r="U7" s="23">
        <v>1.093359923373124E-2</v>
      </c>
      <c r="V7" s="23">
        <v>2.7382767932321622E-2</v>
      </c>
      <c r="W7" s="23">
        <v>4.3198340145851478E-2</v>
      </c>
      <c r="X7" s="23">
        <v>9.84650081838883E-2</v>
      </c>
      <c r="Y7" s="23">
        <v>0</v>
      </c>
      <c r="Z7" s="24">
        <v>0.80803665167026018</v>
      </c>
      <c r="AB7" s="10" t="s">
        <v>14</v>
      </c>
      <c r="AC7" s="3">
        <v>2.555447142206984E-2</v>
      </c>
      <c r="AD7" s="3">
        <v>1.7502879537285364E-2</v>
      </c>
      <c r="AE7" s="3">
        <v>1.8742649040644797E-2</v>
      </c>
      <c r="AF7" s="3">
        <v>4.3198340145851478E-2</v>
      </c>
      <c r="AG7" s="3">
        <v>9.84650081838883E-2</v>
      </c>
      <c r="AH7" s="3">
        <v>0</v>
      </c>
      <c r="AI7" s="6">
        <v>0.79653665167026022</v>
      </c>
    </row>
    <row r="8" spans="1:43" ht="15" thickBot="1">
      <c r="A8" s="25" t="s">
        <v>15</v>
      </c>
      <c r="B8" s="26">
        <v>2.3314729764025904E-2</v>
      </c>
      <c r="C8" s="26">
        <v>2.7739400910311473E-2</v>
      </c>
      <c r="D8" s="26">
        <v>1.1376016250891456E-2</v>
      </c>
      <c r="E8" s="26">
        <v>6.5919877704148991E-3</v>
      </c>
      <c r="F8" s="26">
        <v>0</v>
      </c>
      <c r="G8" s="26">
        <v>0</v>
      </c>
      <c r="H8" s="27">
        <v>0.93097786530435622</v>
      </c>
      <c r="J8" s="11" t="s">
        <v>15</v>
      </c>
      <c r="K8" s="7">
        <v>4.5878265297893003E-2</v>
      </c>
      <c r="L8" s="7">
        <v>6.597233869991817E-2</v>
      </c>
      <c r="M8" s="7">
        <v>5.377204893682283E-2</v>
      </c>
      <c r="N8" s="7">
        <v>4.8058131968536838E-2</v>
      </c>
      <c r="O8" s="7">
        <v>0.15517276607944083</v>
      </c>
      <c r="P8" s="7">
        <v>5.337620921668379E-2</v>
      </c>
      <c r="Q8" s="8">
        <v>0.57777023980070452</v>
      </c>
      <c r="S8" s="22" t="s">
        <v>15</v>
      </c>
      <c r="T8" s="23">
        <v>6.7066419764439555E-2</v>
      </c>
      <c r="U8" s="23">
        <v>2.1906306217363017E-2</v>
      </c>
      <c r="V8" s="23">
        <v>2.6627274018197419E-2</v>
      </c>
      <c r="W8" s="23">
        <v>2.499397227448831E-2</v>
      </c>
      <c r="X8" s="23">
        <v>0</v>
      </c>
      <c r="Y8" s="23">
        <v>3.9779027845665692E-2</v>
      </c>
      <c r="Z8" s="24">
        <v>0.819626999879846</v>
      </c>
      <c r="AB8" s="10" t="s">
        <v>15</v>
      </c>
      <c r="AC8" s="3">
        <v>0.1322381870676041</v>
      </c>
      <c r="AD8" s="3">
        <v>9.0573153333719403E-2</v>
      </c>
      <c r="AE8" s="3">
        <v>9.698865959867646E-2</v>
      </c>
      <c r="AF8" s="3">
        <v>2.499397227448831E-2</v>
      </c>
      <c r="AG8" s="3">
        <v>0</v>
      </c>
      <c r="AH8" s="3">
        <v>3.9779027845665692E-2</v>
      </c>
      <c r="AI8" s="6">
        <v>0.61542699987984606</v>
      </c>
    </row>
    <row r="9" spans="1:43">
      <c r="A9" s="28"/>
      <c r="J9" s="1"/>
      <c r="R9" s="31"/>
      <c r="S9" s="15"/>
      <c r="T9" s="15"/>
      <c r="U9" s="15"/>
      <c r="V9" s="15"/>
      <c r="W9" s="15"/>
      <c r="X9" s="15"/>
      <c r="Y9" s="15"/>
      <c r="Z9" s="15"/>
      <c r="AJ9" s="31"/>
      <c r="AK9" s="31"/>
      <c r="AL9" s="31"/>
      <c r="AM9" s="31"/>
      <c r="AN9" s="31"/>
      <c r="AO9" s="31"/>
      <c r="AP9" s="31"/>
      <c r="AQ9" s="31"/>
    </row>
    <row r="10" spans="1:43" s="31" customFormat="1">
      <c r="A10" s="28"/>
      <c r="B10" s="15"/>
      <c r="C10" s="15"/>
      <c r="D10" s="15"/>
      <c r="E10" s="15"/>
      <c r="F10" s="15"/>
      <c r="G10" s="15"/>
      <c r="H10" s="15"/>
      <c r="J10" s="1"/>
      <c r="S10" s="15"/>
      <c r="T10" s="15"/>
      <c r="U10" s="15"/>
      <c r="V10" s="15"/>
      <c r="W10" s="15"/>
      <c r="X10" s="15"/>
      <c r="Y10" s="15"/>
      <c r="Z10" s="15"/>
    </row>
    <row r="11" spans="1:43" s="31" customFormat="1">
      <c r="A11" s="28"/>
      <c r="B11" s="15"/>
      <c r="C11" s="15"/>
      <c r="D11" s="15"/>
      <c r="E11" s="15"/>
      <c r="F11" s="15"/>
      <c r="G11" s="15"/>
      <c r="H11" s="15"/>
      <c r="J11" s="1"/>
      <c r="S11" s="15"/>
      <c r="T11" s="15"/>
      <c r="U11" s="15"/>
      <c r="V11" s="15"/>
      <c r="W11" s="15"/>
      <c r="X11" s="15"/>
      <c r="Y11" s="15"/>
      <c r="Z11" s="15"/>
    </row>
    <row r="12" spans="1:43" s="31" customFormat="1">
      <c r="A12" s="28"/>
      <c r="B12" s="15"/>
      <c r="C12" s="15"/>
      <c r="D12" s="15"/>
      <c r="E12" s="15"/>
      <c r="F12" s="15"/>
      <c r="G12" s="15"/>
      <c r="H12" s="15"/>
      <c r="J12" s="1"/>
      <c r="S12" s="15"/>
      <c r="T12" s="15"/>
      <c r="U12" s="15"/>
      <c r="V12" s="15"/>
      <c r="W12" s="15"/>
      <c r="X12" s="15"/>
      <c r="Y12" s="15"/>
      <c r="Z12" s="15"/>
    </row>
    <row r="13" spans="1:43" s="31" customFormat="1">
      <c r="A13" s="28"/>
      <c r="B13" s="15"/>
      <c r="C13" s="15"/>
      <c r="D13" s="15"/>
      <c r="E13" s="15"/>
      <c r="F13" s="15"/>
      <c r="G13" s="15"/>
      <c r="H13" s="15"/>
      <c r="J13" s="1"/>
      <c r="S13" s="15"/>
      <c r="T13" s="15"/>
      <c r="U13" s="15"/>
      <c r="V13" s="15"/>
      <c r="W13" s="15"/>
      <c r="X13" s="15"/>
      <c r="Y13" s="15"/>
      <c r="Z13" s="15"/>
    </row>
    <row r="14" spans="1:43" s="31" customFormat="1">
      <c r="A14" s="28"/>
      <c r="B14" s="15"/>
      <c r="C14" s="15"/>
      <c r="D14" s="15"/>
      <c r="E14" s="15"/>
      <c r="F14" s="15"/>
      <c r="G14" s="15"/>
      <c r="H14" s="15"/>
      <c r="J14" s="1"/>
      <c r="S14" s="15"/>
      <c r="T14" s="15"/>
      <c r="U14" s="15"/>
      <c r="V14" s="15"/>
      <c r="W14" s="15"/>
      <c r="X14" s="15"/>
      <c r="Y14" s="15"/>
      <c r="Z14" s="15"/>
    </row>
    <row r="15" spans="1:43" s="31" customFormat="1">
      <c r="A15" s="28"/>
      <c r="B15" s="15"/>
      <c r="C15" s="15"/>
      <c r="D15" s="15"/>
      <c r="E15" s="15"/>
      <c r="F15" s="15"/>
      <c r="G15" s="15"/>
      <c r="H15" s="15"/>
      <c r="J15" s="1"/>
      <c r="S15" s="15"/>
      <c r="T15" s="15"/>
      <c r="U15" s="15"/>
      <c r="V15" s="15"/>
      <c r="W15" s="15"/>
      <c r="X15" s="15"/>
      <c r="Y15" s="15"/>
      <c r="Z15" s="15"/>
    </row>
    <row r="16" spans="1:43" s="31" customFormat="1">
      <c r="A16" s="28"/>
      <c r="B16" s="15"/>
      <c r="C16" s="15"/>
      <c r="D16" s="15"/>
      <c r="E16" s="15"/>
      <c r="F16" s="15"/>
      <c r="G16" s="15"/>
      <c r="H16" s="15"/>
      <c r="J16" s="1"/>
      <c r="S16" s="15"/>
      <c r="T16" s="15"/>
      <c r="U16" s="15"/>
      <c r="V16" s="15"/>
      <c r="W16" s="15"/>
      <c r="X16" s="15"/>
      <c r="Y16" s="15"/>
      <c r="Z16" s="15"/>
    </row>
    <row r="17" spans="1:43" s="31" customFormat="1">
      <c r="A17" s="28"/>
      <c r="B17" s="15"/>
      <c r="C17" s="15"/>
      <c r="D17" s="15"/>
      <c r="E17" s="15"/>
      <c r="F17" s="15"/>
      <c r="G17" s="15"/>
      <c r="H17" s="15"/>
      <c r="J17" s="1"/>
      <c r="S17" s="15"/>
      <c r="T17" s="15"/>
      <c r="U17" s="15"/>
      <c r="V17" s="15"/>
      <c r="W17" s="15"/>
      <c r="X17" s="15"/>
      <c r="Y17" s="15"/>
      <c r="Z17" s="15"/>
    </row>
    <row r="18" spans="1:43" s="31" customFormat="1">
      <c r="A18" s="28"/>
      <c r="B18" s="15"/>
      <c r="C18" s="15"/>
      <c r="D18" s="15"/>
      <c r="E18" s="15"/>
      <c r="F18" s="15"/>
      <c r="G18" s="15"/>
      <c r="H18" s="15"/>
      <c r="J18" s="1"/>
      <c r="S18" s="15"/>
      <c r="T18" s="15"/>
      <c r="U18" s="15"/>
      <c r="V18" s="15"/>
      <c r="W18" s="15"/>
      <c r="X18" s="15"/>
      <c r="Y18" s="15"/>
      <c r="Z18" s="15"/>
    </row>
    <row r="19" spans="1:43">
      <c r="A19" s="28" t="s">
        <v>54</v>
      </c>
      <c r="J19" s="1"/>
      <c r="R19" s="31"/>
      <c r="AJ19" s="31"/>
      <c r="AK19" s="31"/>
      <c r="AL19" s="31"/>
      <c r="AM19" s="31"/>
      <c r="AN19" s="31"/>
      <c r="AO19" s="31"/>
      <c r="AP19" s="31"/>
      <c r="AQ19" s="31"/>
    </row>
    <row r="20" spans="1:43" s="31" customFormat="1">
      <c r="A20" s="3301" t="s">
        <v>19</v>
      </c>
      <c r="B20" s="3301"/>
      <c r="C20" s="3301"/>
      <c r="D20" s="3301"/>
      <c r="E20" s="3301"/>
      <c r="F20" s="3301"/>
      <c r="G20" s="3301"/>
      <c r="H20" s="3301"/>
      <c r="J20" s="3302" t="s">
        <v>1</v>
      </c>
      <c r="K20" s="3302"/>
      <c r="L20" s="3302"/>
      <c r="M20" s="3302"/>
      <c r="N20" s="3302"/>
      <c r="O20" s="3302"/>
      <c r="P20" s="3302"/>
      <c r="Q20" s="3302"/>
      <c r="S20" s="3299"/>
      <c r="T20" s="3299"/>
      <c r="U20" s="3299"/>
      <c r="V20" s="3299"/>
      <c r="W20" s="3299"/>
      <c r="X20" s="3299"/>
      <c r="Y20" s="3299"/>
      <c r="Z20" s="3299"/>
      <c r="AB20" s="3300"/>
      <c r="AC20" s="3300"/>
      <c r="AD20" s="3300"/>
      <c r="AE20" s="3300"/>
      <c r="AF20" s="3300"/>
      <c r="AG20" s="3300"/>
      <c r="AH20" s="3300"/>
      <c r="AI20" s="3300"/>
    </row>
    <row r="21" spans="1:43" s="31" customFormat="1" ht="15" thickBot="1">
      <c r="A21" s="12" t="s">
        <v>3</v>
      </c>
      <c r="B21" s="13">
        <v>43255</v>
      </c>
      <c r="C21" s="14"/>
      <c r="D21" s="12" t="s">
        <v>17</v>
      </c>
      <c r="E21" s="14" t="s">
        <v>52</v>
      </c>
      <c r="F21" s="15"/>
      <c r="G21" s="15"/>
      <c r="H21" s="15"/>
      <c r="J21" s="1" t="s">
        <v>3</v>
      </c>
      <c r="K21" s="13">
        <v>43255</v>
      </c>
      <c r="M21" s="12" t="s">
        <v>17</v>
      </c>
      <c r="N21" s="14" t="s">
        <v>52</v>
      </c>
      <c r="S21" s="12"/>
      <c r="T21" s="13"/>
      <c r="U21" s="14"/>
      <c r="V21" s="12"/>
      <c r="W21" s="14"/>
      <c r="X21" s="15"/>
      <c r="Y21" s="15"/>
      <c r="Z21" s="15"/>
      <c r="AB21" s="12"/>
      <c r="AC21" s="13"/>
      <c r="AD21" s="14"/>
      <c r="AE21" s="12"/>
      <c r="AF21" s="14"/>
    </row>
    <row r="22" spans="1:43" s="31" customFormat="1" ht="30.75" customHeight="1">
      <c r="A22" s="16" t="s">
        <v>4</v>
      </c>
      <c r="B22" s="17" t="s">
        <v>5</v>
      </c>
      <c r="C22" s="17" t="s">
        <v>6</v>
      </c>
      <c r="D22" s="17" t="s">
        <v>7</v>
      </c>
      <c r="E22" s="17" t="s">
        <v>8</v>
      </c>
      <c r="F22" s="17" t="s">
        <v>9</v>
      </c>
      <c r="G22" s="17" t="s">
        <v>10</v>
      </c>
      <c r="H22" s="18" t="s">
        <v>11</v>
      </c>
      <c r="J22" s="9" t="s">
        <v>4</v>
      </c>
      <c r="K22" s="17" t="s">
        <v>5</v>
      </c>
      <c r="L22" s="17" t="s">
        <v>6</v>
      </c>
      <c r="M22" s="17" t="s">
        <v>7</v>
      </c>
      <c r="N22" s="17" t="s">
        <v>8</v>
      </c>
      <c r="O22" s="17" t="s">
        <v>9</v>
      </c>
      <c r="P22" s="17" t="s">
        <v>10</v>
      </c>
      <c r="Q22" s="18" t="s">
        <v>11</v>
      </c>
      <c r="S22" s="16"/>
      <c r="T22" s="17"/>
      <c r="U22" s="17"/>
      <c r="V22" s="17"/>
      <c r="W22" s="17"/>
      <c r="X22" s="17"/>
      <c r="Y22" s="17"/>
      <c r="Z22" s="18"/>
      <c r="AB22" s="9"/>
      <c r="AC22" s="17"/>
      <c r="AD22" s="17"/>
      <c r="AE22" s="17"/>
      <c r="AF22" s="17"/>
      <c r="AG22" s="17"/>
      <c r="AH22" s="17"/>
      <c r="AI22" s="18"/>
    </row>
    <row r="23" spans="1:43" s="31" customFormat="1">
      <c r="A23" s="19" t="s">
        <v>12</v>
      </c>
      <c r="B23" s="20"/>
      <c r="C23" s="20"/>
      <c r="D23" s="20"/>
      <c r="E23" s="20"/>
      <c r="F23" s="20"/>
      <c r="G23" s="20"/>
      <c r="H23" s="21"/>
      <c r="J23" s="4" t="s">
        <v>12</v>
      </c>
      <c r="K23" s="2"/>
      <c r="L23" s="2"/>
      <c r="M23" s="2"/>
      <c r="N23" s="2"/>
      <c r="O23" s="2"/>
      <c r="P23" s="2"/>
      <c r="Q23" s="5"/>
      <c r="S23" s="54"/>
      <c r="T23" s="20"/>
      <c r="U23" s="20"/>
      <c r="V23" s="20"/>
      <c r="W23" s="20"/>
      <c r="X23" s="20"/>
      <c r="Y23" s="20"/>
      <c r="Z23" s="21"/>
      <c r="AB23" s="4"/>
      <c r="AC23" s="2"/>
      <c r="AD23" s="2"/>
      <c r="AE23" s="2"/>
      <c r="AF23" s="2"/>
      <c r="AG23" s="2"/>
      <c r="AH23" s="2"/>
      <c r="AI23" s="5"/>
    </row>
    <row r="24" spans="1:43" s="31" customFormat="1">
      <c r="A24" s="19" t="s">
        <v>0</v>
      </c>
      <c r="B24" s="20"/>
      <c r="C24" s="20"/>
      <c r="D24" s="20"/>
      <c r="E24" s="20"/>
      <c r="F24" s="20"/>
      <c r="G24" s="20"/>
      <c r="H24" s="21"/>
      <c r="J24" s="29" t="s">
        <v>0</v>
      </c>
      <c r="K24" s="2"/>
      <c r="L24" s="2"/>
      <c r="M24" s="2"/>
      <c r="N24" s="2"/>
      <c r="O24" s="2"/>
      <c r="P24" s="2"/>
      <c r="Q24" s="5"/>
      <c r="S24" s="19"/>
      <c r="T24" s="20"/>
      <c r="U24" s="20"/>
      <c r="V24" s="20"/>
      <c r="W24" s="20"/>
      <c r="X24" s="20"/>
      <c r="Y24" s="20"/>
      <c r="Z24" s="21"/>
      <c r="AB24" s="29"/>
      <c r="AC24" s="2"/>
      <c r="AD24" s="2"/>
      <c r="AE24" s="2"/>
      <c r="AF24" s="2"/>
      <c r="AG24" s="2"/>
      <c r="AH24" s="2"/>
      <c r="AI24" s="5"/>
    </row>
    <row r="25" spans="1:43" s="31" customFormat="1">
      <c r="A25" s="22" t="s">
        <v>13</v>
      </c>
      <c r="B25" s="23">
        <v>5.2407815967636245E-2</v>
      </c>
      <c r="C25" s="23">
        <v>3.1259159003246516E-2</v>
      </c>
      <c r="D25" s="23">
        <v>1.6896898589987282E-2</v>
      </c>
      <c r="E25" s="23">
        <v>0.10555513213551743</v>
      </c>
      <c r="F25" s="23">
        <v>0</v>
      </c>
      <c r="G25" s="23">
        <v>0</v>
      </c>
      <c r="H25" s="24">
        <v>0.79388099430361247</v>
      </c>
      <c r="J25" s="10" t="s">
        <v>13</v>
      </c>
      <c r="K25" s="3">
        <v>4.3775028981781414E-2</v>
      </c>
      <c r="L25" s="3">
        <v>4.7791078506427262E-2</v>
      </c>
      <c r="M25" s="3">
        <v>3.1265472413570777E-2</v>
      </c>
      <c r="N25" s="3">
        <v>5.3686826120973336E-2</v>
      </c>
      <c r="O25" s="3">
        <v>8.9927010156928971E-2</v>
      </c>
      <c r="P25" s="3">
        <v>0.21583433699993121</v>
      </c>
      <c r="Q25" s="6">
        <v>0.51772024682038698</v>
      </c>
      <c r="S25" s="22"/>
      <c r="T25" s="23"/>
      <c r="U25" s="23"/>
      <c r="V25" s="23"/>
      <c r="W25" s="23"/>
      <c r="X25" s="23"/>
      <c r="Y25" s="23"/>
      <c r="Z25" s="24"/>
      <c r="AB25" s="10"/>
      <c r="AC25" s="3"/>
      <c r="AD25" s="3"/>
      <c r="AE25" s="3"/>
      <c r="AF25" s="3"/>
      <c r="AG25" s="3"/>
      <c r="AH25" s="3"/>
      <c r="AI25" s="6"/>
    </row>
    <row r="26" spans="1:43" s="31" customFormat="1">
      <c r="A26" s="22" t="s">
        <v>14</v>
      </c>
      <c r="B26" s="23">
        <v>5.6393904972447222E-3</v>
      </c>
      <c r="C26" s="23">
        <v>5.439305262100954E-3</v>
      </c>
      <c r="D26" s="58">
        <v>1.2551223041901134E-2</v>
      </c>
      <c r="E26" s="23">
        <v>6.446662004105097E-3</v>
      </c>
      <c r="F26" s="23">
        <v>0</v>
      </c>
      <c r="G26" s="23">
        <v>0</v>
      </c>
      <c r="H26" s="24">
        <v>0.96992341919464808</v>
      </c>
      <c r="J26" s="10" t="s">
        <v>14</v>
      </c>
      <c r="K26" s="3">
        <v>1.9756100748404799E-2</v>
      </c>
      <c r="L26" s="3">
        <v>1.325286766562956E-2</v>
      </c>
      <c r="M26" s="3">
        <v>9.8089586916202155E-3</v>
      </c>
      <c r="N26" s="3">
        <v>0</v>
      </c>
      <c r="O26" s="3">
        <v>3.5922923468455346E-2</v>
      </c>
      <c r="P26" s="3">
        <v>3.2665596972016625E-2</v>
      </c>
      <c r="Q26" s="6">
        <v>0.8885935524538735</v>
      </c>
      <c r="S26" s="22"/>
      <c r="T26" s="23"/>
      <c r="U26" s="23"/>
      <c r="V26" s="23"/>
      <c r="W26" s="23"/>
      <c r="X26" s="23"/>
      <c r="Y26" s="23"/>
      <c r="Z26" s="24"/>
      <c r="AB26" s="10"/>
      <c r="AC26" s="3"/>
      <c r="AD26" s="3"/>
      <c r="AE26" s="3"/>
      <c r="AF26" s="3"/>
      <c r="AG26" s="3"/>
      <c r="AH26" s="3"/>
      <c r="AI26" s="6"/>
    </row>
    <row r="27" spans="1:43" s="31" customFormat="1" ht="15" thickBot="1">
      <c r="A27" s="25" t="s">
        <v>15</v>
      </c>
      <c r="B27" s="26">
        <v>2.3314729764025904E-2</v>
      </c>
      <c r="C27" s="26">
        <v>2.7739400910311473E-2</v>
      </c>
      <c r="D27" s="26">
        <v>1.1376016250891456E-2</v>
      </c>
      <c r="E27" s="26">
        <v>6.5919877704148991E-3</v>
      </c>
      <c r="F27" s="26">
        <v>0</v>
      </c>
      <c r="G27" s="26">
        <v>0</v>
      </c>
      <c r="H27" s="27">
        <v>0.93097786530435622</v>
      </c>
      <c r="J27" s="11" t="s">
        <v>15</v>
      </c>
      <c r="K27" s="7">
        <v>4.5878265297893003E-2</v>
      </c>
      <c r="L27" s="7">
        <v>6.597233869991817E-2</v>
      </c>
      <c r="M27" s="7">
        <v>5.377204893682283E-2</v>
      </c>
      <c r="N27" s="7">
        <v>4.8058131968536838E-2</v>
      </c>
      <c r="O27" s="7">
        <v>0.15517276607944083</v>
      </c>
      <c r="P27" s="7">
        <v>5.337620921668379E-2</v>
      </c>
      <c r="Q27" s="8">
        <v>0.57777023980070452</v>
      </c>
      <c r="S27" s="22"/>
      <c r="T27" s="23"/>
      <c r="U27" s="23"/>
      <c r="V27" s="23"/>
      <c r="W27" s="23"/>
      <c r="X27" s="23"/>
      <c r="Y27" s="23"/>
      <c r="Z27" s="24"/>
      <c r="AB27" s="10"/>
      <c r="AC27" s="3"/>
      <c r="AD27" s="3"/>
      <c r="AE27" s="3"/>
      <c r="AF27" s="3"/>
      <c r="AG27" s="3"/>
      <c r="AH27" s="3"/>
      <c r="AI27" s="6"/>
    </row>
    <row r="28" spans="1:43" s="31" customFormat="1">
      <c r="A28" s="3301" t="s">
        <v>19</v>
      </c>
      <c r="B28" s="3301"/>
      <c r="C28" s="3301"/>
      <c r="D28" s="3301"/>
      <c r="E28" s="3301"/>
      <c r="F28" s="3301"/>
      <c r="G28" s="3301"/>
      <c r="H28" s="3301"/>
      <c r="J28" s="3302" t="s">
        <v>1</v>
      </c>
      <c r="K28" s="3302"/>
      <c r="L28" s="3302"/>
      <c r="M28" s="3302"/>
      <c r="N28" s="3302"/>
      <c r="O28" s="3302"/>
      <c r="P28" s="3302"/>
      <c r="Q28" s="3302"/>
      <c r="S28" s="3299" t="s">
        <v>18</v>
      </c>
      <c r="T28" s="3299"/>
      <c r="U28" s="3299"/>
      <c r="V28" s="3299"/>
      <c r="W28" s="3299"/>
      <c r="X28" s="3299"/>
      <c r="Y28" s="3299"/>
      <c r="Z28" s="3299"/>
      <c r="AB28" s="3300" t="s">
        <v>2</v>
      </c>
      <c r="AC28" s="3300"/>
      <c r="AD28" s="3300"/>
      <c r="AE28" s="3300"/>
      <c r="AF28" s="3300"/>
      <c r="AG28" s="3300"/>
      <c r="AH28" s="3300"/>
      <c r="AI28" s="3300"/>
    </row>
    <row r="29" spans="1:43" s="31" customFormat="1" ht="15" thickBot="1">
      <c r="A29" s="12" t="s">
        <v>3</v>
      </c>
      <c r="B29" s="13">
        <v>43102</v>
      </c>
      <c r="C29" s="14"/>
      <c r="D29" s="12" t="s">
        <v>17</v>
      </c>
      <c r="E29" s="14" t="s">
        <v>52</v>
      </c>
      <c r="F29" s="15"/>
      <c r="G29" s="15"/>
      <c r="H29" s="15"/>
      <c r="J29" s="1" t="s">
        <v>3</v>
      </c>
      <c r="K29" s="13">
        <v>43102</v>
      </c>
      <c r="M29" s="12" t="s">
        <v>17</v>
      </c>
      <c r="N29" s="14" t="s">
        <v>52</v>
      </c>
      <c r="S29" s="12" t="s">
        <v>3</v>
      </c>
      <c r="T29" s="13">
        <v>43010</v>
      </c>
      <c r="U29" s="14"/>
      <c r="V29" s="12" t="s">
        <v>17</v>
      </c>
      <c r="W29" s="14" t="s">
        <v>20</v>
      </c>
      <c r="X29" s="15"/>
      <c r="Y29" s="15"/>
      <c r="Z29" s="15"/>
      <c r="AB29" s="12" t="s">
        <v>3</v>
      </c>
      <c r="AC29" s="13">
        <v>43010</v>
      </c>
      <c r="AD29" s="14"/>
      <c r="AE29" s="12" t="s">
        <v>17</v>
      </c>
      <c r="AF29" s="14" t="s">
        <v>20</v>
      </c>
    </row>
    <row r="30" spans="1:43" s="31" customFormat="1" ht="30.75" customHeight="1">
      <c r="A30" s="16" t="s">
        <v>4</v>
      </c>
      <c r="B30" s="17" t="s">
        <v>5</v>
      </c>
      <c r="C30" s="17" t="s">
        <v>6</v>
      </c>
      <c r="D30" s="17" t="s">
        <v>7</v>
      </c>
      <c r="E30" s="17" t="s">
        <v>8</v>
      </c>
      <c r="F30" s="17" t="s">
        <v>9</v>
      </c>
      <c r="G30" s="17" t="s">
        <v>10</v>
      </c>
      <c r="H30" s="18" t="s">
        <v>11</v>
      </c>
      <c r="J30" s="9" t="s">
        <v>4</v>
      </c>
      <c r="K30" s="17" t="s">
        <v>5</v>
      </c>
      <c r="L30" s="17" t="s">
        <v>6</v>
      </c>
      <c r="M30" s="17" t="s">
        <v>7</v>
      </c>
      <c r="N30" s="17" t="s">
        <v>8</v>
      </c>
      <c r="O30" s="17" t="s">
        <v>9</v>
      </c>
      <c r="P30" s="17" t="s">
        <v>10</v>
      </c>
      <c r="Q30" s="18" t="s">
        <v>11</v>
      </c>
      <c r="S30" s="16" t="s">
        <v>4</v>
      </c>
      <c r="T30" s="17" t="s">
        <v>5</v>
      </c>
      <c r="U30" s="17" t="s">
        <v>6</v>
      </c>
      <c r="V30" s="17" t="s">
        <v>7</v>
      </c>
      <c r="W30" s="17" t="s">
        <v>8</v>
      </c>
      <c r="X30" s="17" t="s">
        <v>9</v>
      </c>
      <c r="Y30" s="17" t="s">
        <v>10</v>
      </c>
      <c r="Z30" s="18" t="s">
        <v>11</v>
      </c>
      <c r="AB30" s="9" t="s">
        <v>4</v>
      </c>
      <c r="AC30" s="17" t="s">
        <v>5</v>
      </c>
      <c r="AD30" s="17" t="s">
        <v>6</v>
      </c>
      <c r="AE30" s="17" t="s">
        <v>7</v>
      </c>
      <c r="AF30" s="17" t="s">
        <v>8</v>
      </c>
      <c r="AG30" s="17" t="s">
        <v>9</v>
      </c>
      <c r="AH30" s="17" t="s">
        <v>10</v>
      </c>
      <c r="AI30" s="18" t="s">
        <v>11</v>
      </c>
    </row>
    <row r="31" spans="1:43" s="31" customFormat="1">
      <c r="A31" s="19" t="s">
        <v>12</v>
      </c>
      <c r="B31" s="20"/>
      <c r="C31" s="20"/>
      <c r="D31" s="20"/>
      <c r="E31" s="20"/>
      <c r="F31" s="20"/>
      <c r="G31" s="20"/>
      <c r="H31" s="21"/>
      <c r="J31" s="4" t="s">
        <v>12</v>
      </c>
      <c r="K31" s="2"/>
      <c r="L31" s="2"/>
      <c r="M31" s="2"/>
      <c r="N31" s="2"/>
      <c r="O31" s="2"/>
      <c r="P31" s="2"/>
      <c r="Q31" s="5"/>
      <c r="S31" s="54" t="s">
        <v>12</v>
      </c>
      <c r="T31" s="20"/>
      <c r="U31" s="20"/>
      <c r="V31" s="20"/>
      <c r="W31" s="20"/>
      <c r="X31" s="20"/>
      <c r="Y31" s="20"/>
      <c r="Z31" s="21"/>
      <c r="AB31" s="4" t="s">
        <v>12</v>
      </c>
      <c r="AC31" s="2"/>
      <c r="AD31" s="2"/>
      <c r="AE31" s="2"/>
      <c r="AF31" s="2"/>
      <c r="AG31" s="2"/>
      <c r="AH31" s="2"/>
      <c r="AI31" s="5"/>
    </row>
    <row r="32" spans="1:43" s="31" customFormat="1">
      <c r="A32" s="19" t="s">
        <v>0</v>
      </c>
      <c r="B32" s="20"/>
      <c r="C32" s="20"/>
      <c r="D32" s="20"/>
      <c r="E32" s="20"/>
      <c r="F32" s="20"/>
      <c r="G32" s="20"/>
      <c r="H32" s="21"/>
      <c r="J32" s="29" t="s">
        <v>0</v>
      </c>
      <c r="K32" s="2"/>
      <c r="L32" s="2"/>
      <c r="M32" s="2"/>
      <c r="N32" s="2"/>
      <c r="O32" s="2"/>
      <c r="P32" s="2"/>
      <c r="Q32" s="5"/>
      <c r="S32" s="19" t="s">
        <v>0</v>
      </c>
      <c r="T32" s="20"/>
      <c r="U32" s="20"/>
      <c r="V32" s="20"/>
      <c r="W32" s="20"/>
      <c r="X32" s="20"/>
      <c r="Y32" s="20"/>
      <c r="Z32" s="21"/>
      <c r="AB32" s="29" t="s">
        <v>0</v>
      </c>
      <c r="AC32" s="2"/>
      <c r="AD32" s="2"/>
      <c r="AE32" s="2"/>
      <c r="AF32" s="2"/>
      <c r="AG32" s="2"/>
      <c r="AH32" s="2"/>
      <c r="AI32" s="5"/>
    </row>
    <row r="33" spans="1:35" s="31" customFormat="1">
      <c r="A33" s="22" t="s">
        <v>13</v>
      </c>
      <c r="B33" s="23">
        <v>5.2407815967636245E-2</v>
      </c>
      <c r="C33" s="23">
        <v>3.1259159003246516E-2</v>
      </c>
      <c r="D33" s="23">
        <v>1.6896898589987282E-2</v>
      </c>
      <c r="E33" s="23">
        <v>0.10555513213551743</v>
      </c>
      <c r="F33" s="23">
        <v>0</v>
      </c>
      <c r="G33" s="23">
        <v>0</v>
      </c>
      <c r="H33" s="24">
        <v>0.79388099430361247</v>
      </c>
      <c r="J33" s="10" t="s">
        <v>13</v>
      </c>
      <c r="K33" s="3">
        <v>4.3775028981781414E-2</v>
      </c>
      <c r="L33" s="3">
        <v>4.7791078506427262E-2</v>
      </c>
      <c r="M33" s="3">
        <v>3.1265472413570777E-2</v>
      </c>
      <c r="N33" s="3">
        <v>5.3686826120973336E-2</v>
      </c>
      <c r="O33" s="3">
        <v>8.9927010156928971E-2</v>
      </c>
      <c r="P33" s="3">
        <v>0.21583433699993121</v>
      </c>
      <c r="Q33" s="6">
        <v>0.51772024682038698</v>
      </c>
      <c r="S33" s="22" t="s">
        <v>13</v>
      </c>
      <c r="T33" s="23">
        <v>0.22024785855967566</v>
      </c>
      <c r="U33" s="23">
        <v>6.8546409025994653E-2</v>
      </c>
      <c r="V33" s="23">
        <v>0.25355104187254879</v>
      </c>
      <c r="W33" s="23">
        <v>2.5733836104216853E-2</v>
      </c>
      <c r="X33" s="23">
        <v>0</v>
      </c>
      <c r="Y33" s="23">
        <v>0</v>
      </c>
      <c r="Z33" s="24">
        <v>0.43192085443756401</v>
      </c>
      <c r="AB33" s="10" t="s">
        <v>13</v>
      </c>
      <c r="AC33" s="3">
        <v>0.11127989926985762</v>
      </c>
      <c r="AD33" s="3">
        <v>9.8454731387463995E-2</v>
      </c>
      <c r="AE33" s="3">
        <v>0.1340653693426784</v>
      </c>
      <c r="AF33" s="3">
        <v>2.5733836104216853E-2</v>
      </c>
      <c r="AG33" s="3">
        <v>0</v>
      </c>
      <c r="AH33" s="3">
        <v>0</v>
      </c>
      <c r="AI33" s="6">
        <v>0.63046616389578314</v>
      </c>
    </row>
    <row r="34" spans="1:35" s="31" customFormat="1">
      <c r="A34" s="22" t="s">
        <v>14</v>
      </c>
      <c r="B34" s="23">
        <v>5.6393904972447222E-3</v>
      </c>
      <c r="C34" s="23">
        <v>5.439305262100954E-3</v>
      </c>
      <c r="D34" s="23">
        <v>2.8012230419011339E-3</v>
      </c>
      <c r="E34" s="23">
        <v>6.446662004105097E-3</v>
      </c>
      <c r="F34" s="23">
        <v>0</v>
      </c>
      <c r="G34" s="23">
        <v>0</v>
      </c>
      <c r="H34" s="24">
        <v>0.97967341919464812</v>
      </c>
      <c r="J34" s="10" t="s">
        <v>14</v>
      </c>
      <c r="K34" s="3">
        <v>1.9756100748404799E-2</v>
      </c>
      <c r="L34" s="3">
        <v>1.325286766562956E-2</v>
      </c>
      <c r="M34" s="3">
        <v>9.8089586916202155E-3</v>
      </c>
      <c r="N34" s="3">
        <v>0</v>
      </c>
      <c r="O34" s="3">
        <v>3.5922923468455346E-2</v>
      </c>
      <c r="P34" s="3">
        <v>3.2665596972016625E-2</v>
      </c>
      <c r="Q34" s="6">
        <v>0.8885935524538735</v>
      </c>
      <c r="S34" s="22" t="s">
        <v>14</v>
      </c>
      <c r="T34" s="23">
        <v>1.1983632833947136E-2</v>
      </c>
      <c r="U34" s="23">
        <v>1.093359923373124E-2</v>
      </c>
      <c r="V34" s="23">
        <v>2.7382767932321622E-2</v>
      </c>
      <c r="W34" s="23">
        <v>4.3198340145851478E-2</v>
      </c>
      <c r="X34" s="23">
        <v>9.84650081838883E-2</v>
      </c>
      <c r="Y34" s="23">
        <v>0</v>
      </c>
      <c r="Z34" s="24">
        <v>0.80803665167026018</v>
      </c>
      <c r="AB34" s="10" t="s">
        <v>14</v>
      </c>
      <c r="AC34" s="3">
        <v>2.555447142206984E-2</v>
      </c>
      <c r="AD34" s="3">
        <v>1.7502879537285364E-2</v>
      </c>
      <c r="AE34" s="3">
        <v>1.8742649040644797E-2</v>
      </c>
      <c r="AF34" s="3">
        <v>4.3198340145851478E-2</v>
      </c>
      <c r="AG34" s="3">
        <v>9.84650081838883E-2</v>
      </c>
      <c r="AH34" s="3">
        <v>0</v>
      </c>
      <c r="AI34" s="6">
        <v>0.79653665167026022</v>
      </c>
    </row>
    <row r="35" spans="1:35" s="31" customFormat="1" ht="15" thickBot="1">
      <c r="A35" s="25" t="s">
        <v>15</v>
      </c>
      <c r="B35" s="26">
        <v>2.3314729764025904E-2</v>
      </c>
      <c r="C35" s="26">
        <v>2.7739400910311473E-2</v>
      </c>
      <c r="D35" s="26">
        <v>1.1376016250891456E-2</v>
      </c>
      <c r="E35" s="26">
        <v>6.5919877704148991E-3</v>
      </c>
      <c r="F35" s="26">
        <v>0</v>
      </c>
      <c r="G35" s="26">
        <v>0</v>
      </c>
      <c r="H35" s="27">
        <v>0.93097786530435622</v>
      </c>
      <c r="J35" s="11" t="s">
        <v>15</v>
      </c>
      <c r="K35" s="7">
        <v>4.5878265297893003E-2</v>
      </c>
      <c r="L35" s="7">
        <v>6.597233869991817E-2</v>
      </c>
      <c r="M35" s="7">
        <v>5.377204893682283E-2</v>
      </c>
      <c r="N35" s="7">
        <v>4.8058131968536838E-2</v>
      </c>
      <c r="O35" s="7">
        <v>0.15517276607944083</v>
      </c>
      <c r="P35" s="7">
        <v>5.337620921668379E-2</v>
      </c>
      <c r="Q35" s="8">
        <v>0.57777023980070452</v>
      </c>
      <c r="S35" s="22" t="s">
        <v>15</v>
      </c>
      <c r="T35" s="23">
        <v>6.7066419764439555E-2</v>
      </c>
      <c r="U35" s="23">
        <v>2.1906306217363017E-2</v>
      </c>
      <c r="V35" s="23">
        <v>2.6627274018197419E-2</v>
      </c>
      <c r="W35" s="23">
        <v>2.499397227448831E-2</v>
      </c>
      <c r="X35" s="23">
        <v>0</v>
      </c>
      <c r="Y35" s="23">
        <v>3.9779027845665692E-2</v>
      </c>
      <c r="Z35" s="24">
        <v>0.819626999879846</v>
      </c>
      <c r="AB35" s="10" t="s">
        <v>15</v>
      </c>
      <c r="AC35" s="3">
        <v>0.1322381870676041</v>
      </c>
      <c r="AD35" s="3">
        <v>9.0573153333719403E-2</v>
      </c>
      <c r="AE35" s="3">
        <v>9.698865959867646E-2</v>
      </c>
      <c r="AF35" s="3">
        <v>2.499397227448831E-2</v>
      </c>
      <c r="AG35" s="3">
        <v>0</v>
      </c>
      <c r="AH35" s="3">
        <v>3.9779027845665692E-2</v>
      </c>
      <c r="AI35" s="6">
        <v>0.61542699987984606</v>
      </c>
    </row>
    <row r="36" spans="1:35" s="31" customFormat="1" ht="15" customHeight="1">
      <c r="A36" s="3301" t="s">
        <v>19</v>
      </c>
      <c r="B36" s="3301"/>
      <c r="C36" s="3301"/>
      <c r="D36" s="3301"/>
      <c r="E36" s="3301"/>
      <c r="F36" s="3301"/>
      <c r="G36" s="3301"/>
      <c r="H36" s="3301"/>
      <c r="J36" s="3302" t="s">
        <v>1</v>
      </c>
      <c r="K36" s="3302"/>
      <c r="L36" s="3302"/>
      <c r="M36" s="3302"/>
      <c r="N36" s="3302"/>
      <c r="O36" s="3302"/>
      <c r="P36" s="3302"/>
      <c r="Q36" s="3302"/>
      <c r="S36" s="3299" t="s">
        <v>18</v>
      </c>
      <c r="T36" s="3299"/>
      <c r="U36" s="3299"/>
      <c r="V36" s="3299"/>
      <c r="W36" s="3299"/>
      <c r="X36" s="3299"/>
      <c r="Y36" s="3299"/>
      <c r="Z36" s="3299"/>
      <c r="AB36" s="3300" t="s">
        <v>2</v>
      </c>
      <c r="AC36" s="3300"/>
      <c r="AD36" s="3300"/>
      <c r="AE36" s="3300"/>
      <c r="AF36" s="3300"/>
      <c r="AG36" s="3300"/>
      <c r="AH36" s="3300"/>
      <c r="AI36" s="3300"/>
    </row>
    <row r="37" spans="1:35" s="31" customFormat="1" ht="15" thickBot="1">
      <c r="A37" s="12" t="s">
        <v>3</v>
      </c>
      <c r="B37" s="13">
        <v>42891</v>
      </c>
      <c r="C37" s="14"/>
      <c r="D37" s="12" t="s">
        <v>17</v>
      </c>
      <c r="E37" s="14" t="s">
        <v>16</v>
      </c>
      <c r="F37" s="15"/>
      <c r="G37" s="15"/>
      <c r="H37" s="15"/>
      <c r="J37" s="1" t="s">
        <v>3</v>
      </c>
      <c r="K37" s="13">
        <v>42891</v>
      </c>
      <c r="M37" s="12" t="s">
        <v>17</v>
      </c>
      <c r="N37" s="14" t="s">
        <v>16</v>
      </c>
      <c r="S37" s="12" t="s">
        <v>3</v>
      </c>
      <c r="T37" s="13">
        <v>42461</v>
      </c>
      <c r="U37" s="14"/>
      <c r="V37" s="12" t="s">
        <v>17</v>
      </c>
      <c r="W37" s="14" t="s">
        <v>16</v>
      </c>
      <c r="X37" s="15"/>
      <c r="Y37" s="15"/>
      <c r="Z37" s="15"/>
      <c r="AB37" s="12" t="s">
        <v>3</v>
      </c>
      <c r="AC37" s="13">
        <v>42461</v>
      </c>
      <c r="AD37" s="14"/>
      <c r="AE37" s="12" t="s">
        <v>17</v>
      </c>
      <c r="AF37" s="14" t="s">
        <v>20</v>
      </c>
    </row>
    <row r="38" spans="1:35" s="31" customFormat="1" ht="29">
      <c r="A38" s="16" t="s">
        <v>4</v>
      </c>
      <c r="B38" s="17" t="s">
        <v>5</v>
      </c>
      <c r="C38" s="17" t="s">
        <v>6</v>
      </c>
      <c r="D38" s="17" t="s">
        <v>7</v>
      </c>
      <c r="E38" s="17" t="s">
        <v>8</v>
      </c>
      <c r="F38" s="17" t="s">
        <v>9</v>
      </c>
      <c r="G38" s="17" t="s">
        <v>10</v>
      </c>
      <c r="H38" s="18" t="s">
        <v>11</v>
      </c>
      <c r="J38" s="9" t="s">
        <v>4</v>
      </c>
      <c r="K38" s="17" t="s">
        <v>5</v>
      </c>
      <c r="L38" s="17" t="s">
        <v>6</v>
      </c>
      <c r="M38" s="17" t="s">
        <v>7</v>
      </c>
      <c r="N38" s="17" t="s">
        <v>8</v>
      </c>
      <c r="O38" s="17" t="s">
        <v>9</v>
      </c>
      <c r="P38" s="17" t="s">
        <v>10</v>
      </c>
      <c r="Q38" s="18" t="s">
        <v>11</v>
      </c>
      <c r="S38" s="16" t="s">
        <v>4</v>
      </c>
      <c r="T38" s="17" t="s">
        <v>5</v>
      </c>
      <c r="U38" s="17" t="s">
        <v>6</v>
      </c>
      <c r="V38" s="17" t="s">
        <v>7</v>
      </c>
      <c r="W38" s="17" t="s">
        <v>8</v>
      </c>
      <c r="X38" s="17" t="s">
        <v>9</v>
      </c>
      <c r="Y38" s="17" t="s">
        <v>10</v>
      </c>
      <c r="Z38" s="18" t="s">
        <v>11</v>
      </c>
      <c r="AB38" s="9" t="s">
        <v>4</v>
      </c>
      <c r="AC38" s="17" t="s">
        <v>5</v>
      </c>
      <c r="AD38" s="17" t="s">
        <v>6</v>
      </c>
      <c r="AE38" s="17" t="s">
        <v>7</v>
      </c>
      <c r="AF38" s="17" t="s">
        <v>8</v>
      </c>
      <c r="AG38" s="17" t="s">
        <v>9</v>
      </c>
      <c r="AH38" s="17" t="s">
        <v>10</v>
      </c>
      <c r="AI38" s="18" t="s">
        <v>11</v>
      </c>
    </row>
    <row r="39" spans="1:35" s="31" customFormat="1">
      <c r="A39" s="19" t="s">
        <v>12</v>
      </c>
      <c r="B39" s="20"/>
      <c r="C39" s="20"/>
      <c r="D39" s="20"/>
      <c r="E39" s="20"/>
      <c r="F39" s="20"/>
      <c r="G39" s="20"/>
      <c r="H39" s="21"/>
      <c r="J39" s="4" t="s">
        <v>12</v>
      </c>
      <c r="K39" s="2"/>
      <c r="L39" s="2"/>
      <c r="M39" s="2"/>
      <c r="N39" s="2"/>
      <c r="O39" s="2"/>
      <c r="P39" s="2"/>
      <c r="Q39" s="5"/>
      <c r="S39" s="54" t="s">
        <v>12</v>
      </c>
      <c r="T39" s="20"/>
      <c r="U39" s="20"/>
      <c r="V39" s="20"/>
      <c r="W39" s="20"/>
      <c r="X39" s="20"/>
      <c r="Y39" s="20"/>
      <c r="Z39" s="21"/>
      <c r="AB39" s="4" t="s">
        <v>12</v>
      </c>
      <c r="AC39" s="2"/>
      <c r="AD39" s="2"/>
      <c r="AE39" s="2"/>
      <c r="AF39" s="2"/>
      <c r="AG39" s="2"/>
      <c r="AH39" s="2"/>
      <c r="AI39" s="5"/>
    </row>
    <row r="40" spans="1:35" s="31" customFormat="1">
      <c r="A40" s="19" t="s">
        <v>0</v>
      </c>
      <c r="B40" s="20"/>
      <c r="C40" s="20"/>
      <c r="D40" s="20"/>
      <c r="E40" s="20"/>
      <c r="F40" s="20"/>
      <c r="G40" s="20"/>
      <c r="H40" s="21"/>
      <c r="J40" s="29" t="s">
        <v>0</v>
      </c>
      <c r="K40" s="2"/>
      <c r="L40" s="2"/>
      <c r="M40" s="2"/>
      <c r="N40" s="2"/>
      <c r="O40" s="2"/>
      <c r="P40" s="2"/>
      <c r="Q40" s="5"/>
      <c r="S40" s="19" t="s">
        <v>0</v>
      </c>
      <c r="T40" s="20"/>
      <c r="U40" s="20"/>
      <c r="V40" s="20"/>
      <c r="W40" s="20"/>
      <c r="X40" s="20"/>
      <c r="Y40" s="20"/>
      <c r="Z40" s="21"/>
      <c r="AB40" s="29" t="s">
        <v>0</v>
      </c>
      <c r="AC40" s="2"/>
      <c r="AD40" s="2"/>
      <c r="AE40" s="2"/>
      <c r="AF40" s="2"/>
      <c r="AG40" s="2"/>
      <c r="AH40" s="2"/>
      <c r="AI40" s="5"/>
    </row>
    <row r="41" spans="1:35" s="31" customFormat="1">
      <c r="A41" s="22" t="s">
        <v>13</v>
      </c>
      <c r="B41" s="23">
        <v>3.2899999999999999E-2</v>
      </c>
      <c r="C41" s="23">
        <v>3.2199999999999999E-2</v>
      </c>
      <c r="D41" s="23">
        <v>6.5199999999999994E-2</v>
      </c>
      <c r="E41" s="23">
        <v>4.4999999999999998E-2</v>
      </c>
      <c r="F41" s="23">
        <v>5.3E-3</v>
      </c>
      <c r="G41" s="23">
        <v>0</v>
      </c>
      <c r="H41" s="24">
        <v>0.81930000000000003</v>
      </c>
      <c r="J41" s="10" t="s">
        <v>13</v>
      </c>
      <c r="K41" s="3">
        <v>4.0800000000000003E-2</v>
      </c>
      <c r="L41" s="3">
        <v>6.1100000000000002E-2</v>
      </c>
      <c r="M41" s="3">
        <v>0.104</v>
      </c>
      <c r="N41" s="3">
        <v>8.77E-2</v>
      </c>
      <c r="O41" s="3">
        <v>0.1338</v>
      </c>
      <c r="P41" s="3">
        <v>5.3600000000000002E-2</v>
      </c>
      <c r="Q41" s="6">
        <v>0.51900000000000002</v>
      </c>
      <c r="S41" s="22" t="s">
        <v>13</v>
      </c>
      <c r="T41" s="23">
        <v>0.186</v>
      </c>
      <c r="U41" s="23">
        <v>5.79E-2</v>
      </c>
      <c r="V41" s="23">
        <v>0.21410000000000001</v>
      </c>
      <c r="W41" s="23">
        <v>2.5700000000000001E-2</v>
      </c>
      <c r="X41" s="23">
        <v>0</v>
      </c>
      <c r="Y41" s="23">
        <v>0</v>
      </c>
      <c r="Z41" s="24">
        <v>0.51619999999999999</v>
      </c>
      <c r="AB41" s="10" t="s">
        <v>13</v>
      </c>
      <c r="AC41" s="3">
        <v>0.1043</v>
      </c>
      <c r="AD41" s="3">
        <v>9.2200000000000004E-2</v>
      </c>
      <c r="AE41" s="3">
        <v>0.12559999999999999</v>
      </c>
      <c r="AF41" s="3">
        <v>2.5700000000000001E-2</v>
      </c>
      <c r="AG41" s="3">
        <v>0</v>
      </c>
      <c r="AH41" s="3">
        <v>0</v>
      </c>
      <c r="AI41" s="6">
        <v>0.6522</v>
      </c>
    </row>
    <row r="42" spans="1:35" s="31" customFormat="1">
      <c r="A42" s="22" t="s">
        <v>14</v>
      </c>
      <c r="B42" s="23">
        <v>5.7000000000000002E-3</v>
      </c>
      <c r="C42" s="23">
        <v>4.7000000000000002E-3</v>
      </c>
      <c r="D42" s="23">
        <v>5.1999999999999998E-3</v>
      </c>
      <c r="E42" s="23">
        <v>0</v>
      </c>
      <c r="F42" s="23">
        <v>0</v>
      </c>
      <c r="G42" s="23">
        <v>0</v>
      </c>
      <c r="H42" s="24">
        <v>0.98440000000000005</v>
      </c>
      <c r="J42" s="10" t="s">
        <v>14</v>
      </c>
      <c r="K42" s="3">
        <v>1.04E-2</v>
      </c>
      <c r="L42" s="3">
        <v>1.5699999999999999E-2</v>
      </c>
      <c r="M42" s="3">
        <v>1.8599999999999998E-2</v>
      </c>
      <c r="N42" s="3">
        <v>3.2599999999999997E-2</v>
      </c>
      <c r="O42" s="3">
        <v>1.4E-2</v>
      </c>
      <c r="P42" s="3">
        <v>0</v>
      </c>
      <c r="Q42" s="6">
        <v>0.90869999999999995</v>
      </c>
      <c r="S42" s="22" t="s">
        <v>14</v>
      </c>
      <c r="T42" s="23">
        <v>2.5899999999999999E-2</v>
      </c>
      <c r="U42" s="23">
        <v>2.3599999999999999E-2</v>
      </c>
      <c r="V42" s="23">
        <v>5.91E-2</v>
      </c>
      <c r="W42" s="23">
        <v>4.3200000000000002E-2</v>
      </c>
      <c r="X42" s="23">
        <v>9.8500000000000004E-2</v>
      </c>
      <c r="Y42" s="23">
        <v>0</v>
      </c>
      <c r="Z42" s="24">
        <v>0.74970000000000003</v>
      </c>
      <c r="AB42" s="10" t="s">
        <v>14</v>
      </c>
      <c r="AC42" s="3">
        <v>3.6999999999999998E-2</v>
      </c>
      <c r="AD42" s="3">
        <v>2.53E-2</v>
      </c>
      <c r="AE42" s="3">
        <v>2.7099999999999999E-2</v>
      </c>
      <c r="AF42" s="3">
        <v>4.3200000000000002E-2</v>
      </c>
      <c r="AG42" s="3">
        <v>9.8500000000000004E-2</v>
      </c>
      <c r="AH42" s="3">
        <v>0</v>
      </c>
      <c r="AI42" s="6">
        <v>0.76880000000000004</v>
      </c>
    </row>
    <row r="43" spans="1:35" s="31" customFormat="1" ht="15" thickBot="1">
      <c r="A43" s="25" t="s">
        <v>15</v>
      </c>
      <c r="B43" s="26">
        <v>2.0899999999999998E-2</v>
      </c>
      <c r="C43" s="26">
        <v>1.5800000000000002E-2</v>
      </c>
      <c r="D43" s="26">
        <v>2.3300000000000001E-2</v>
      </c>
      <c r="E43" s="26">
        <v>1.5599999999999999E-2</v>
      </c>
      <c r="F43" s="26">
        <v>0</v>
      </c>
      <c r="G43" s="26">
        <v>0</v>
      </c>
      <c r="H43" s="27">
        <v>0.92430000000000001</v>
      </c>
      <c r="J43" s="11" t="s">
        <v>15</v>
      </c>
      <c r="K43" s="7">
        <v>3.9600000000000003E-2</v>
      </c>
      <c r="L43" s="7">
        <v>5.1299999999999998E-2</v>
      </c>
      <c r="M43" s="7">
        <v>7.5800000000000006E-2</v>
      </c>
      <c r="N43" s="7">
        <v>6.6400000000000001E-2</v>
      </c>
      <c r="O43" s="7">
        <v>9.8699999999999996E-2</v>
      </c>
      <c r="P43" s="7">
        <v>0</v>
      </c>
      <c r="Q43" s="8">
        <v>0.66830000000000001</v>
      </c>
      <c r="S43" s="22" t="s">
        <v>15</v>
      </c>
      <c r="T43" s="23">
        <v>7.5200000000000003E-2</v>
      </c>
      <c r="U43" s="23">
        <v>2.46E-2</v>
      </c>
      <c r="V43" s="23">
        <v>2.9899999999999999E-2</v>
      </c>
      <c r="W43" s="23">
        <v>2.5000000000000001E-2</v>
      </c>
      <c r="X43" s="23">
        <v>0</v>
      </c>
      <c r="Y43" s="23">
        <v>3.9800000000000002E-2</v>
      </c>
      <c r="Z43" s="24">
        <v>0.80549999999999999</v>
      </c>
      <c r="AB43" s="10" t="s">
        <v>15</v>
      </c>
      <c r="AC43" s="3">
        <v>8.0299999999999996E-2</v>
      </c>
      <c r="AD43" s="3">
        <v>5.5E-2</v>
      </c>
      <c r="AE43" s="3">
        <v>5.8900000000000001E-2</v>
      </c>
      <c r="AF43" s="3">
        <v>2.5000000000000001E-2</v>
      </c>
      <c r="AG43" s="3">
        <v>0</v>
      </c>
      <c r="AH43" s="3">
        <v>3.9800000000000002E-2</v>
      </c>
      <c r="AI43" s="6">
        <v>0.74109999999999998</v>
      </c>
    </row>
    <row r="44" spans="1:35" s="31" customFormat="1">
      <c r="A44" s="28"/>
      <c r="B44" s="15"/>
      <c r="C44" s="15"/>
      <c r="D44" s="15"/>
      <c r="E44" s="15"/>
      <c r="F44" s="15"/>
      <c r="G44" s="15"/>
      <c r="H44" s="15"/>
      <c r="J44" s="1"/>
    </row>
    <row r="45" spans="1:35" s="31" customFormat="1">
      <c r="A45" s="28"/>
      <c r="B45" s="15"/>
      <c r="C45" s="15"/>
      <c r="D45" s="15"/>
      <c r="E45" s="15"/>
      <c r="F45" s="15"/>
      <c r="G45" s="15"/>
      <c r="H45" s="15"/>
      <c r="J45" s="1"/>
    </row>
    <row r="46" spans="1:35" s="31" customFormat="1">
      <c r="A46" s="28"/>
      <c r="B46" s="15"/>
      <c r="C46" s="15"/>
      <c r="D46" s="15"/>
      <c r="E46" s="15"/>
      <c r="F46" s="15"/>
      <c r="G46" s="15"/>
      <c r="H46" s="15"/>
      <c r="J46" s="1"/>
    </row>
    <row r="47" spans="1:35" s="31" customFormat="1">
      <c r="A47" s="28"/>
      <c r="B47" s="15"/>
      <c r="C47" s="15"/>
      <c r="D47" s="15"/>
      <c r="E47" s="15"/>
      <c r="F47" s="15"/>
      <c r="G47" s="15"/>
      <c r="H47" s="15"/>
      <c r="J47" s="1"/>
    </row>
    <row r="48" spans="1:35" s="31" customFormat="1">
      <c r="A48" s="28"/>
      <c r="B48" s="15"/>
      <c r="C48" s="15"/>
      <c r="D48" s="15"/>
      <c r="E48" s="15"/>
      <c r="F48" s="15"/>
      <c r="G48" s="15"/>
      <c r="H48" s="15"/>
      <c r="J48" s="1"/>
    </row>
    <row r="49" spans="1:43" s="31" customFormat="1">
      <c r="A49" s="28"/>
      <c r="B49" s="15"/>
      <c r="C49" s="15"/>
      <c r="D49" s="15"/>
      <c r="E49" s="15"/>
      <c r="F49" s="15"/>
      <c r="G49" s="15"/>
      <c r="H49" s="15"/>
      <c r="J49" s="1"/>
    </row>
    <row r="50" spans="1:43" s="31" customFormat="1">
      <c r="A50" s="28"/>
      <c r="B50" s="15"/>
      <c r="C50" s="15"/>
      <c r="D50" s="15"/>
      <c r="E50" s="15"/>
      <c r="F50" s="15"/>
      <c r="G50" s="15"/>
      <c r="H50" s="15"/>
      <c r="J50" s="1"/>
    </row>
    <row r="51" spans="1:43" s="31" customFormat="1">
      <c r="A51" s="28"/>
      <c r="B51" s="15"/>
      <c r="C51" s="15"/>
      <c r="D51" s="15"/>
      <c r="E51" s="15"/>
      <c r="F51" s="15"/>
      <c r="G51" s="15"/>
      <c r="H51" s="15"/>
      <c r="J51" s="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</row>
    <row r="52" spans="1:43" s="31" customFormat="1">
      <c r="A52" s="28"/>
      <c r="B52" s="15"/>
      <c r="C52" s="15"/>
      <c r="D52" s="15"/>
      <c r="E52" s="15"/>
      <c r="F52" s="15"/>
      <c r="G52" s="15"/>
      <c r="H52" s="15"/>
      <c r="J52" s="1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</row>
    <row r="53" spans="1:43" s="31" customFormat="1">
      <c r="A53" s="28"/>
      <c r="B53" s="15"/>
      <c r="C53" s="15"/>
      <c r="D53" s="15"/>
      <c r="E53" s="15"/>
      <c r="F53" s="15"/>
      <c r="G53" s="15"/>
      <c r="H53" s="15"/>
      <c r="J53" s="1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</row>
    <row r="54" spans="1:43" s="31" customFormat="1">
      <c r="A54" s="28"/>
      <c r="B54" s="15"/>
      <c r="C54" s="15"/>
      <c r="D54" s="15"/>
      <c r="E54" s="15"/>
      <c r="F54" s="15"/>
      <c r="G54" s="15"/>
      <c r="H54" s="15"/>
      <c r="J54" s="1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</row>
    <row r="55" spans="1:43" s="31" customFormat="1">
      <c r="A55" s="28"/>
      <c r="B55" s="15"/>
      <c r="C55" s="15"/>
      <c r="D55" s="15"/>
      <c r="E55" s="15"/>
      <c r="F55" s="15"/>
      <c r="G55" s="15"/>
      <c r="H55" s="15"/>
      <c r="J55" s="1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</row>
    <row r="56" spans="1:43" s="31" customFormat="1">
      <c r="A56" s="28"/>
      <c r="B56" s="15"/>
      <c r="C56" s="15"/>
      <c r="D56" s="15"/>
      <c r="E56" s="15"/>
      <c r="F56" s="15"/>
      <c r="G56" s="15"/>
      <c r="H56" s="15"/>
      <c r="J56" s="1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</row>
    <row r="57" spans="1:43" s="31" customFormat="1">
      <c r="A57" s="28"/>
      <c r="B57" s="15"/>
      <c r="C57" s="15"/>
      <c r="D57" s="15"/>
      <c r="E57" s="15"/>
      <c r="F57" s="15"/>
      <c r="G57" s="15"/>
      <c r="H57" s="15"/>
      <c r="J57" s="1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</row>
    <row r="64" spans="1:43"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</row>
    <row r="65" spans="18:43"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</row>
    <row r="66" spans="18:43"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</row>
    <row r="67" spans="18:43"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</row>
    <row r="68" spans="18:43"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</row>
    <row r="69" spans="18:43"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</row>
    <row r="70" spans="18:43"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</row>
    <row r="71" spans="18:43" s="31" customFormat="1"/>
    <row r="72" spans="18:43" s="31" customFormat="1"/>
    <row r="73" spans="18:43" s="31" customFormat="1"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</row>
    <row r="74" spans="18:43" s="31" customFormat="1"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</row>
    <row r="75" spans="18:43" s="31" customFormat="1"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</row>
    <row r="76" spans="18:43" s="31" customFormat="1"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</row>
    <row r="77" spans="18:43" s="31" customFormat="1"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</row>
    <row r="78" spans="18:43" s="31" customFormat="1"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</row>
    <row r="79" spans="18:43" s="31" customFormat="1"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</row>
  </sheetData>
  <mergeCells count="16">
    <mergeCell ref="A1:H1"/>
    <mergeCell ref="J1:Q1"/>
    <mergeCell ref="S1:Z1"/>
    <mergeCell ref="AB1:AI1"/>
    <mergeCell ref="S36:Z36"/>
    <mergeCell ref="AB36:AI36"/>
    <mergeCell ref="A36:H36"/>
    <mergeCell ref="J36:Q36"/>
    <mergeCell ref="A28:H28"/>
    <mergeCell ref="J28:Q28"/>
    <mergeCell ref="S28:Z28"/>
    <mergeCell ref="AB28:AI28"/>
    <mergeCell ref="A20:H20"/>
    <mergeCell ref="J20:Q20"/>
    <mergeCell ref="S20:Z20"/>
    <mergeCell ref="AB20:AI2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27"/>
  <sheetViews>
    <sheetView zoomScale="85" zoomScaleNormal="85" workbookViewId="0">
      <selection activeCell="B6" sqref="B6"/>
    </sheetView>
  </sheetViews>
  <sheetFormatPr defaultColWidth="9.1796875" defaultRowHeight="13"/>
  <cols>
    <col min="1" max="1" width="31.453125" style="43" bestFit="1" customWidth="1"/>
    <col min="2" max="2" width="8.81640625" style="43" bestFit="1" customWidth="1"/>
    <col min="3" max="6" width="7.81640625" style="43" bestFit="1" customWidth="1"/>
    <col min="7" max="7" width="8.81640625" style="43" bestFit="1" customWidth="1"/>
    <col min="8" max="8" width="9.54296875" style="43" bestFit="1" customWidth="1"/>
    <col min="9" max="10" width="9.1796875" style="43"/>
    <col min="11" max="11" width="7.81640625" style="43" bestFit="1" customWidth="1"/>
    <col min="12" max="12" width="9.54296875" style="43" bestFit="1" customWidth="1"/>
    <col min="13" max="13" width="12.453125" style="43" bestFit="1" customWidth="1"/>
    <col min="14" max="14" width="10" style="43" bestFit="1" customWidth="1"/>
    <col min="15" max="15" width="9.453125" style="43" bestFit="1" customWidth="1"/>
    <col min="16" max="16" width="10.54296875" style="43" bestFit="1" customWidth="1"/>
    <col min="17" max="17" width="7" style="43" bestFit="1" customWidth="1"/>
    <col min="18" max="16384" width="9.1796875" style="43"/>
  </cols>
  <sheetData>
    <row r="1" spans="1:17">
      <c r="A1" s="3303" t="s">
        <v>72</v>
      </c>
      <c r="B1" s="3303"/>
      <c r="C1" s="3303"/>
      <c r="D1" s="3303"/>
      <c r="E1" s="3303"/>
      <c r="F1" s="3303"/>
      <c r="G1" s="3303"/>
      <c r="H1" s="3303"/>
      <c r="J1" s="3303" t="s">
        <v>77</v>
      </c>
      <c r="K1" s="3303"/>
      <c r="L1" s="3303"/>
      <c r="M1" s="3303"/>
      <c r="N1" s="3303"/>
      <c r="O1" s="3303"/>
      <c r="P1" s="3303"/>
      <c r="Q1" s="3303"/>
    </row>
    <row r="2" spans="1:17">
      <c r="A2" s="73" t="s">
        <v>3</v>
      </c>
      <c r="B2" s="74">
        <v>43255</v>
      </c>
      <c r="C2" s="75"/>
      <c r="D2" s="73" t="s">
        <v>17</v>
      </c>
      <c r="E2" s="75" t="s">
        <v>52</v>
      </c>
      <c r="F2" s="76"/>
      <c r="G2" s="76"/>
      <c r="H2" s="76"/>
      <c r="J2" s="73" t="s">
        <v>3</v>
      </c>
      <c r="K2" s="74">
        <v>43255</v>
      </c>
      <c r="L2" s="75"/>
      <c r="M2" s="73" t="s">
        <v>17</v>
      </c>
      <c r="N2" s="75" t="s">
        <v>52</v>
      </c>
      <c r="O2" s="76"/>
      <c r="P2" s="76"/>
      <c r="Q2" s="76"/>
    </row>
    <row r="3" spans="1:17">
      <c r="A3" s="60" t="s">
        <v>55</v>
      </c>
      <c r="B3" s="61" t="s">
        <v>56</v>
      </c>
      <c r="C3" s="61" t="s">
        <v>57</v>
      </c>
      <c r="D3" s="61" t="s">
        <v>58</v>
      </c>
      <c r="E3" s="61" t="s">
        <v>59</v>
      </c>
      <c r="F3" s="61" t="s">
        <v>60</v>
      </c>
      <c r="G3" s="61" t="s">
        <v>61</v>
      </c>
      <c r="H3" s="61" t="s">
        <v>62</v>
      </c>
      <c r="J3" s="60" t="s">
        <v>55</v>
      </c>
      <c r="K3" s="61" t="s">
        <v>5</v>
      </c>
      <c r="L3" s="61" t="s">
        <v>6</v>
      </c>
      <c r="M3" s="61" t="s">
        <v>7</v>
      </c>
      <c r="N3" s="61" t="s">
        <v>8</v>
      </c>
      <c r="O3" s="61" t="s">
        <v>9</v>
      </c>
      <c r="P3" s="61" t="s">
        <v>10</v>
      </c>
      <c r="Q3" s="61" t="s">
        <v>11</v>
      </c>
    </row>
    <row r="4" spans="1:17">
      <c r="A4" s="62" t="s">
        <v>63</v>
      </c>
      <c r="B4" s="63"/>
      <c r="C4" s="64"/>
      <c r="D4" s="64"/>
      <c r="E4" s="64"/>
      <c r="F4" s="64"/>
      <c r="G4" s="64"/>
      <c r="H4" s="65"/>
      <c r="J4" s="62" t="s">
        <v>63</v>
      </c>
      <c r="K4" s="63"/>
      <c r="L4" s="64"/>
      <c r="M4" s="64"/>
      <c r="N4" s="64"/>
      <c r="O4" s="64"/>
      <c r="P4" s="64"/>
      <c r="Q4" s="65"/>
    </row>
    <row r="5" spans="1:17">
      <c r="A5" s="66" t="s">
        <v>64</v>
      </c>
      <c r="B5" s="67"/>
      <c r="C5" s="68"/>
      <c r="D5" s="68"/>
      <c r="E5" s="68" t="s">
        <v>71</v>
      </c>
      <c r="F5" s="68"/>
      <c r="G5" s="68"/>
      <c r="H5" s="69"/>
      <c r="J5" s="78" t="s">
        <v>64</v>
      </c>
      <c r="K5" s="67"/>
      <c r="L5" s="68"/>
      <c r="M5" s="68"/>
      <c r="N5" s="68"/>
      <c r="O5" s="68"/>
      <c r="P5" s="68"/>
      <c r="Q5" s="69"/>
    </row>
    <row r="6" spans="1:17">
      <c r="A6" s="70" t="s">
        <v>65</v>
      </c>
      <c r="B6" s="79">
        <v>3.017105625897664E-2</v>
      </c>
      <c r="C6" s="79">
        <v>2.9884505828454807E-2</v>
      </c>
      <c r="D6" s="79">
        <v>4.7926457651257914E-2</v>
      </c>
      <c r="E6" s="79">
        <v>0</v>
      </c>
      <c r="F6" s="79">
        <v>0</v>
      </c>
      <c r="G6" s="79">
        <v>0</v>
      </c>
      <c r="H6" s="79">
        <v>0.89201798026131063</v>
      </c>
      <c r="J6" s="70" t="s">
        <v>65</v>
      </c>
      <c r="K6" s="79">
        <v>6.5649245232377237E-2</v>
      </c>
      <c r="L6" s="79">
        <v>5.225951585359738E-2</v>
      </c>
      <c r="M6" s="79">
        <v>4.2284099024633925E-2</v>
      </c>
      <c r="N6" s="79">
        <v>3.9025954895433174E-2</v>
      </c>
      <c r="O6" s="79">
        <v>1.5797984111981106E-2</v>
      </c>
      <c r="P6" s="79">
        <v>0</v>
      </c>
      <c r="Q6" s="79">
        <v>0.78498320088197715</v>
      </c>
    </row>
    <row r="7" spans="1:17">
      <c r="A7" s="70" t="s">
        <v>66</v>
      </c>
      <c r="B7" s="80">
        <v>3.079994497579927E-2</v>
      </c>
      <c r="C7" s="80">
        <v>9.9431287796147121E-3</v>
      </c>
      <c r="D7" s="80">
        <v>6.4999999999999997E-3</v>
      </c>
      <c r="E7" s="80">
        <v>0</v>
      </c>
      <c r="F7" s="80">
        <v>0</v>
      </c>
      <c r="G7" s="80">
        <v>0</v>
      </c>
      <c r="H7" s="80">
        <v>0.95275692624458597</v>
      </c>
      <c r="J7" s="70" t="s">
        <v>66</v>
      </c>
      <c r="K7" s="80">
        <v>0.25259616687662212</v>
      </c>
      <c r="L7" s="80">
        <v>0.14525866632513881</v>
      </c>
      <c r="M7" s="80">
        <v>7.8918927622999194E-2</v>
      </c>
      <c r="N7" s="80">
        <v>3.6852464469846663E-2</v>
      </c>
      <c r="O7" s="80">
        <v>0</v>
      </c>
      <c r="P7" s="80">
        <v>0</v>
      </c>
      <c r="Q7" s="80">
        <v>0.48637377470539322</v>
      </c>
    </row>
    <row r="8" spans="1:17">
      <c r="A8" s="70" t="s">
        <v>67</v>
      </c>
      <c r="B8" s="72">
        <v>2.5000000000000001E-2</v>
      </c>
      <c r="C8" s="72">
        <v>2.5000000000000001E-2</v>
      </c>
      <c r="D8" s="72">
        <v>0</v>
      </c>
      <c r="E8" s="72">
        <v>0</v>
      </c>
      <c r="F8" s="72">
        <v>0</v>
      </c>
      <c r="G8" s="72">
        <v>0</v>
      </c>
      <c r="H8" s="72">
        <v>0.95</v>
      </c>
      <c r="J8" s="70" t="s">
        <v>76</v>
      </c>
      <c r="K8" s="72">
        <v>2.5000000000000001E-2</v>
      </c>
      <c r="L8" s="72">
        <v>2.5000000000000001E-2</v>
      </c>
      <c r="M8" s="72">
        <v>0</v>
      </c>
      <c r="N8" s="72">
        <v>0</v>
      </c>
      <c r="O8" s="72">
        <v>0</v>
      </c>
      <c r="P8" s="72">
        <v>0</v>
      </c>
      <c r="Q8" s="72">
        <v>0.95</v>
      </c>
    </row>
    <row r="9" spans="1:17">
      <c r="A9" s="70" t="s">
        <v>68</v>
      </c>
      <c r="B9" s="72">
        <v>1.7749999999999998E-2</v>
      </c>
      <c r="C9" s="72">
        <v>1.7749999999999998E-2</v>
      </c>
      <c r="D9" s="72">
        <v>0.1065</v>
      </c>
      <c r="E9" s="72">
        <v>0</v>
      </c>
      <c r="F9" s="72">
        <v>0</v>
      </c>
      <c r="G9" s="72">
        <v>0</v>
      </c>
      <c r="H9" s="72">
        <v>0.85799999999999998</v>
      </c>
      <c r="J9" s="70" t="s">
        <v>68</v>
      </c>
      <c r="K9" s="72">
        <v>1.7749999999999998E-2</v>
      </c>
      <c r="L9" s="72">
        <v>1.7749999999999998E-2</v>
      </c>
      <c r="M9" s="72">
        <v>0.1065</v>
      </c>
      <c r="N9" s="72">
        <v>0</v>
      </c>
      <c r="O9" s="72">
        <v>0</v>
      </c>
      <c r="P9" s="72">
        <v>0</v>
      </c>
      <c r="Q9" s="72">
        <v>0.85799999999999998</v>
      </c>
    </row>
    <row r="10" spans="1:17">
      <c r="A10" s="70" t="s">
        <v>69</v>
      </c>
      <c r="B10" s="72">
        <v>0</v>
      </c>
      <c r="C10" s="72">
        <v>0</v>
      </c>
      <c r="D10" s="72">
        <v>0.1065</v>
      </c>
      <c r="E10" s="72">
        <v>0</v>
      </c>
      <c r="F10" s="72">
        <v>0</v>
      </c>
      <c r="G10" s="72">
        <v>0</v>
      </c>
      <c r="H10" s="72">
        <v>0.89349999999999996</v>
      </c>
      <c r="J10" s="70" t="s">
        <v>69</v>
      </c>
      <c r="K10" s="72">
        <v>0</v>
      </c>
      <c r="L10" s="72">
        <v>0</v>
      </c>
      <c r="M10" s="72">
        <v>0.1065</v>
      </c>
      <c r="N10" s="72">
        <v>0</v>
      </c>
      <c r="O10" s="72">
        <v>0</v>
      </c>
      <c r="P10" s="72">
        <v>0</v>
      </c>
      <c r="Q10" s="72">
        <v>0.89349999999999996</v>
      </c>
    </row>
    <row r="11" spans="1:17">
      <c r="A11" s="70" t="s">
        <v>70</v>
      </c>
      <c r="B11" s="72">
        <v>0</v>
      </c>
      <c r="C11" s="72">
        <v>0</v>
      </c>
      <c r="D11" s="72">
        <v>0.1065</v>
      </c>
      <c r="E11" s="72">
        <v>0</v>
      </c>
      <c r="F11" s="72">
        <v>0</v>
      </c>
      <c r="G11" s="72">
        <v>0</v>
      </c>
      <c r="H11" s="72">
        <v>0.89349999999999996</v>
      </c>
      <c r="J11" s="70" t="s">
        <v>70</v>
      </c>
      <c r="K11" s="72">
        <v>0</v>
      </c>
      <c r="L11" s="72">
        <v>0</v>
      </c>
      <c r="M11" s="72">
        <v>0.1065</v>
      </c>
      <c r="N11" s="72">
        <v>0</v>
      </c>
      <c r="O11" s="72">
        <v>0</v>
      </c>
      <c r="P11" s="72">
        <v>0</v>
      </c>
      <c r="Q11" s="72">
        <v>0.89349999999999996</v>
      </c>
    </row>
    <row r="13" spans="1:17">
      <c r="B13" s="43" t="s">
        <v>3</v>
      </c>
      <c r="C13" s="53">
        <v>43285</v>
      </c>
    </row>
    <row r="14" spans="1:17">
      <c r="A14" s="43" t="s">
        <v>73</v>
      </c>
      <c r="B14" s="77">
        <v>3.017105625897664E-2</v>
      </c>
      <c r="C14" s="77">
        <v>2.9884505828454807E-2</v>
      </c>
      <c r="D14" s="77">
        <v>4.7926457651257914E-2</v>
      </c>
      <c r="E14" s="77">
        <v>0</v>
      </c>
      <c r="F14" s="77">
        <v>0</v>
      </c>
      <c r="G14" s="77">
        <v>0</v>
      </c>
      <c r="H14" s="77">
        <v>0.89201798026131063</v>
      </c>
      <c r="J14" s="43" t="s">
        <v>74</v>
      </c>
      <c r="K14" s="77">
        <v>6.5649245232377237E-2</v>
      </c>
      <c r="L14" s="77">
        <v>5.225951585359738E-2</v>
      </c>
      <c r="M14" s="77">
        <v>4.2284099024633925E-2</v>
      </c>
      <c r="N14" s="77">
        <v>3.9025954895433174E-2</v>
      </c>
      <c r="O14" s="77">
        <v>1.5797984111981106E-2</v>
      </c>
      <c r="P14" s="77">
        <v>0</v>
      </c>
      <c r="Q14" s="77">
        <v>0.78498320088197715</v>
      </c>
    </row>
    <row r="15" spans="1:17">
      <c r="A15" s="43" t="s">
        <v>75</v>
      </c>
      <c r="B15" s="77">
        <v>3.079994497579927E-2</v>
      </c>
      <c r="C15" s="77">
        <v>9.9431287796147121E-3</v>
      </c>
      <c r="D15" s="77">
        <v>6.4999999999999997E-3</v>
      </c>
      <c r="E15" s="77">
        <v>0</v>
      </c>
      <c r="F15" s="77">
        <v>0</v>
      </c>
      <c r="G15" s="77">
        <v>0</v>
      </c>
      <c r="H15" s="77">
        <v>0.95275692624458597</v>
      </c>
      <c r="J15" s="43" t="s">
        <v>75</v>
      </c>
      <c r="K15" s="77">
        <v>0.25259616687662212</v>
      </c>
      <c r="L15" s="77">
        <v>0.14525866632513881</v>
      </c>
      <c r="M15" s="77">
        <v>7.8918927622999194E-2</v>
      </c>
      <c r="N15" s="77">
        <v>3.6852464469846663E-2</v>
      </c>
      <c r="O15" s="77">
        <v>0</v>
      </c>
      <c r="P15" s="77">
        <v>0</v>
      </c>
      <c r="Q15" s="77">
        <v>0.48637377470539322</v>
      </c>
    </row>
    <row r="16" spans="1:17">
      <c r="B16" s="77"/>
      <c r="C16" s="77"/>
      <c r="D16" s="77"/>
      <c r="E16" s="77"/>
      <c r="F16" s="77"/>
      <c r="G16" s="77"/>
      <c r="H16" s="77"/>
      <c r="K16" s="77"/>
      <c r="L16" s="77"/>
      <c r="M16" s="77"/>
      <c r="N16" s="77"/>
      <c r="O16" s="77"/>
      <c r="P16" s="77"/>
      <c r="Q16" s="77"/>
    </row>
    <row r="17" spans="1:17">
      <c r="B17" s="77"/>
      <c r="C17" s="77"/>
      <c r="D17" s="77"/>
      <c r="E17" s="77"/>
      <c r="F17" s="77"/>
      <c r="G17" s="77"/>
      <c r="H17" s="77"/>
      <c r="K17" s="77"/>
      <c r="L17" s="77"/>
      <c r="M17" s="77"/>
      <c r="N17" s="77"/>
      <c r="O17" s="77"/>
      <c r="P17" s="77"/>
      <c r="Q17" s="77"/>
    </row>
    <row r="18" spans="1:17">
      <c r="A18" s="73" t="s">
        <v>3</v>
      </c>
      <c r="B18" s="74">
        <v>43102</v>
      </c>
      <c r="C18" s="75"/>
      <c r="D18" s="73" t="s">
        <v>17</v>
      </c>
      <c r="E18" s="75" t="s">
        <v>52</v>
      </c>
      <c r="F18" s="76"/>
      <c r="G18" s="76"/>
      <c r="H18" s="76"/>
      <c r="J18" s="73" t="s">
        <v>3</v>
      </c>
      <c r="K18" s="74">
        <v>43102</v>
      </c>
      <c r="L18" s="75"/>
      <c r="M18" s="73" t="s">
        <v>17</v>
      </c>
      <c r="N18" s="75" t="s">
        <v>52</v>
      </c>
      <c r="O18" s="76"/>
      <c r="P18" s="76"/>
      <c r="Q18" s="76"/>
    </row>
    <row r="19" spans="1:17">
      <c r="A19" s="60" t="s">
        <v>55</v>
      </c>
      <c r="B19" s="61" t="s">
        <v>56</v>
      </c>
      <c r="C19" s="61" t="s">
        <v>57</v>
      </c>
      <c r="D19" s="61" t="s">
        <v>58</v>
      </c>
      <c r="E19" s="61" t="s">
        <v>59</v>
      </c>
      <c r="F19" s="61" t="s">
        <v>60</v>
      </c>
      <c r="G19" s="61" t="s">
        <v>61</v>
      </c>
      <c r="H19" s="61" t="s">
        <v>62</v>
      </c>
      <c r="J19" s="60" t="s">
        <v>55</v>
      </c>
      <c r="K19" s="61" t="s">
        <v>5</v>
      </c>
      <c r="L19" s="61" t="s">
        <v>6</v>
      </c>
      <c r="M19" s="61" t="s">
        <v>7</v>
      </c>
      <c r="N19" s="61" t="s">
        <v>8</v>
      </c>
      <c r="O19" s="61" t="s">
        <v>9</v>
      </c>
      <c r="P19" s="61" t="s">
        <v>10</v>
      </c>
      <c r="Q19" s="61" t="s">
        <v>11</v>
      </c>
    </row>
    <row r="20" spans="1:17">
      <c r="A20" s="62" t="s">
        <v>63</v>
      </c>
      <c r="B20" s="63"/>
      <c r="C20" s="64"/>
      <c r="D20" s="64"/>
      <c r="E20" s="64"/>
      <c r="F20" s="64"/>
      <c r="G20" s="64"/>
      <c r="H20" s="65"/>
      <c r="J20" s="62" t="s">
        <v>63</v>
      </c>
      <c r="K20" s="63"/>
      <c r="L20" s="64"/>
      <c r="M20" s="64"/>
      <c r="N20" s="64"/>
      <c r="O20" s="64"/>
      <c r="P20" s="64"/>
      <c r="Q20" s="65"/>
    </row>
    <row r="21" spans="1:17">
      <c r="A21" s="66" t="s">
        <v>64</v>
      </c>
      <c r="B21" s="67"/>
      <c r="C21" s="68"/>
      <c r="D21" s="68"/>
      <c r="E21" s="68" t="s">
        <v>71</v>
      </c>
      <c r="F21" s="68"/>
      <c r="G21" s="68"/>
      <c r="H21" s="69"/>
      <c r="J21" s="78" t="s">
        <v>64</v>
      </c>
      <c r="K21" s="67"/>
      <c r="L21" s="68"/>
      <c r="M21" s="68"/>
      <c r="N21" s="68"/>
      <c r="O21" s="68"/>
      <c r="P21" s="68"/>
      <c r="Q21" s="69"/>
    </row>
    <row r="22" spans="1:17">
      <c r="A22" s="70" t="s">
        <v>65</v>
      </c>
      <c r="B22" s="71">
        <v>3.0200000000000001E-2</v>
      </c>
      <c r="C22" s="71">
        <v>2.6599999999999999E-2</v>
      </c>
      <c r="D22" s="71">
        <v>1.7899999999999999E-2</v>
      </c>
      <c r="E22" s="71">
        <v>0</v>
      </c>
      <c r="F22" s="71">
        <v>0</v>
      </c>
      <c r="G22" s="71">
        <v>0</v>
      </c>
      <c r="H22" s="71">
        <v>0.92530000000000001</v>
      </c>
      <c r="J22" s="70" t="s">
        <v>65</v>
      </c>
      <c r="K22" s="71">
        <v>6.5600000000000006E-2</v>
      </c>
      <c r="L22" s="71">
        <v>5.2299999999999999E-2</v>
      </c>
      <c r="M22" s="71">
        <v>3.9E-2</v>
      </c>
      <c r="N22" s="71">
        <v>3.9E-2</v>
      </c>
      <c r="O22" s="71">
        <v>1.5800000000000002E-2</v>
      </c>
      <c r="P22" s="71">
        <v>0</v>
      </c>
      <c r="Q22" s="71">
        <v>0.7883</v>
      </c>
    </row>
    <row r="23" spans="1:17">
      <c r="A23" s="70" t="s">
        <v>66</v>
      </c>
      <c r="B23" s="72">
        <v>3.0800000000000001E-2</v>
      </c>
      <c r="C23" s="72">
        <v>9.7999999999999997E-3</v>
      </c>
      <c r="D23" s="72">
        <v>6.4999999999999997E-3</v>
      </c>
      <c r="E23" s="72">
        <v>0</v>
      </c>
      <c r="F23" s="72">
        <v>0</v>
      </c>
      <c r="G23" s="72">
        <v>0</v>
      </c>
      <c r="H23" s="72">
        <v>0.95289999999999997</v>
      </c>
      <c r="J23" s="70" t="s">
        <v>66</v>
      </c>
      <c r="K23" s="72">
        <v>7.1099999999999997E-2</v>
      </c>
      <c r="L23" s="72">
        <v>0.1128</v>
      </c>
      <c r="M23" s="72">
        <v>3.04E-2</v>
      </c>
      <c r="N23" s="72">
        <v>3.6900000000000002E-2</v>
      </c>
      <c r="O23" s="72">
        <v>0</v>
      </c>
      <c r="P23" s="72">
        <v>0</v>
      </c>
      <c r="Q23" s="72">
        <v>0.74879999999999991</v>
      </c>
    </row>
    <row r="24" spans="1:17">
      <c r="A24" s="70" t="s">
        <v>67</v>
      </c>
      <c r="B24" s="72">
        <v>2.5000000000000001E-2</v>
      </c>
      <c r="C24" s="72">
        <v>2.5000000000000001E-2</v>
      </c>
      <c r="D24" s="72">
        <v>0</v>
      </c>
      <c r="E24" s="72">
        <v>0</v>
      </c>
      <c r="F24" s="72">
        <v>0</v>
      </c>
      <c r="G24" s="72">
        <v>0</v>
      </c>
      <c r="H24" s="72">
        <v>0.95</v>
      </c>
      <c r="J24" s="70" t="s">
        <v>76</v>
      </c>
      <c r="K24" s="72">
        <v>2.5000000000000001E-2</v>
      </c>
      <c r="L24" s="72">
        <v>2.5000000000000001E-2</v>
      </c>
      <c r="M24" s="72">
        <v>0</v>
      </c>
      <c r="N24" s="72">
        <v>0</v>
      </c>
      <c r="O24" s="72">
        <v>0</v>
      </c>
      <c r="P24" s="72">
        <v>0</v>
      </c>
      <c r="Q24" s="72">
        <v>0.95</v>
      </c>
    </row>
    <row r="25" spans="1:17">
      <c r="A25" s="70" t="s">
        <v>68</v>
      </c>
      <c r="B25" s="72">
        <v>1.7749999999999998E-2</v>
      </c>
      <c r="C25" s="72">
        <v>1.7749999999999998E-2</v>
      </c>
      <c r="D25" s="72">
        <v>0.1065</v>
      </c>
      <c r="E25" s="72">
        <v>0</v>
      </c>
      <c r="F25" s="72">
        <v>0</v>
      </c>
      <c r="G25" s="72">
        <v>0</v>
      </c>
      <c r="H25" s="72">
        <v>0.85799999999999998</v>
      </c>
      <c r="J25" s="70" t="s">
        <v>68</v>
      </c>
      <c r="K25" s="72">
        <v>1.7749999999999998E-2</v>
      </c>
      <c r="L25" s="72">
        <v>1.7749999999999998E-2</v>
      </c>
      <c r="M25" s="72">
        <v>0.1065</v>
      </c>
      <c r="N25" s="72">
        <v>0</v>
      </c>
      <c r="O25" s="72">
        <v>0</v>
      </c>
      <c r="P25" s="72">
        <v>0</v>
      </c>
      <c r="Q25" s="72">
        <v>0.85799999999999998</v>
      </c>
    </row>
    <row r="26" spans="1:17">
      <c r="A26" s="70" t="s">
        <v>69</v>
      </c>
      <c r="B26" s="72">
        <v>0</v>
      </c>
      <c r="C26" s="72">
        <v>0</v>
      </c>
      <c r="D26" s="72">
        <v>0.1065</v>
      </c>
      <c r="E26" s="72">
        <v>0</v>
      </c>
      <c r="F26" s="72">
        <v>0</v>
      </c>
      <c r="G26" s="72">
        <v>0</v>
      </c>
      <c r="H26" s="72">
        <v>0.89349999999999996</v>
      </c>
      <c r="J26" s="70" t="s">
        <v>69</v>
      </c>
      <c r="K26" s="72">
        <v>0</v>
      </c>
      <c r="L26" s="72">
        <v>0</v>
      </c>
      <c r="M26" s="72">
        <v>0.1065</v>
      </c>
      <c r="N26" s="72">
        <v>0</v>
      </c>
      <c r="O26" s="72">
        <v>0</v>
      </c>
      <c r="P26" s="72">
        <v>0</v>
      </c>
      <c r="Q26" s="72">
        <v>0.89349999999999996</v>
      </c>
    </row>
    <row r="27" spans="1:17">
      <c r="A27" s="70" t="s">
        <v>70</v>
      </c>
      <c r="B27" s="72">
        <v>0</v>
      </c>
      <c r="C27" s="72">
        <v>0</v>
      </c>
      <c r="D27" s="72">
        <v>0.1065</v>
      </c>
      <c r="E27" s="72">
        <v>0</v>
      </c>
      <c r="F27" s="72">
        <v>0</v>
      </c>
      <c r="G27" s="72">
        <v>0</v>
      </c>
      <c r="H27" s="72">
        <v>0.89349999999999996</v>
      </c>
      <c r="J27" s="70" t="s">
        <v>70</v>
      </c>
      <c r="K27" s="72">
        <v>0</v>
      </c>
      <c r="L27" s="72">
        <v>0</v>
      </c>
      <c r="M27" s="72">
        <v>0.1065</v>
      </c>
      <c r="N27" s="72">
        <v>0</v>
      </c>
      <c r="O27" s="72">
        <v>0</v>
      </c>
      <c r="P27" s="72">
        <v>0</v>
      </c>
      <c r="Q27" s="72">
        <v>0.89349999999999996</v>
      </c>
    </row>
  </sheetData>
  <mergeCells count="2">
    <mergeCell ref="A1:H1"/>
    <mergeCell ref="J1:Q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1"/>
  <sheetViews>
    <sheetView zoomScale="80" zoomScaleNormal="80" workbookViewId="0">
      <selection activeCell="E25" sqref="E25"/>
    </sheetView>
  </sheetViews>
  <sheetFormatPr defaultColWidth="9.1796875" defaultRowHeight="14.5"/>
  <cols>
    <col min="1" max="2" width="10.81640625" style="1533" bestFit="1" customWidth="1"/>
    <col min="3" max="3" width="16.26953125" style="1533" bestFit="1" customWidth="1"/>
    <col min="4" max="4" width="15.1796875" style="1533" bestFit="1" customWidth="1"/>
    <col min="5" max="5" width="9.1796875" style="1533"/>
    <col min="6" max="6" width="15.1796875" style="1533" bestFit="1" customWidth="1"/>
    <col min="7" max="7" width="14.453125" style="1533" bestFit="1" customWidth="1"/>
    <col min="8" max="8" width="9.1796875" style="1533"/>
    <col min="9" max="9" width="13.453125" style="1533" bestFit="1" customWidth="1"/>
    <col min="10" max="10" width="14.453125" style="1533" bestFit="1" customWidth="1"/>
    <col min="11" max="16384" width="9.1796875" style="1533"/>
  </cols>
  <sheetData>
    <row r="1" spans="1:11">
      <c r="A1" s="1532" t="s">
        <v>236</v>
      </c>
      <c r="B1" s="1532"/>
    </row>
    <row r="3" spans="1:11">
      <c r="A3" s="3306" t="s">
        <v>233</v>
      </c>
      <c r="B3" s="3306"/>
      <c r="C3" s="3306" t="s">
        <v>234</v>
      </c>
      <c r="D3" s="3306"/>
      <c r="E3" s="3306"/>
      <c r="F3" s="3306" t="s">
        <v>22</v>
      </c>
      <c r="G3" s="3306"/>
      <c r="H3" s="3306"/>
      <c r="I3" s="3306" t="s">
        <v>239</v>
      </c>
      <c r="J3" s="3306"/>
      <c r="K3" s="3306"/>
    </row>
    <row r="4" spans="1:11">
      <c r="A4" s="1534" t="s">
        <v>241</v>
      </c>
      <c r="B4" s="1534" t="s">
        <v>242</v>
      </c>
      <c r="C4" s="1534" t="s">
        <v>235</v>
      </c>
      <c r="D4" s="1534" t="s">
        <v>237</v>
      </c>
      <c r="E4" s="1534" t="s">
        <v>238</v>
      </c>
      <c r="F4" s="1534" t="s">
        <v>235</v>
      </c>
      <c r="G4" s="1534" t="s">
        <v>237</v>
      </c>
      <c r="H4" s="1534" t="s">
        <v>238</v>
      </c>
      <c r="I4" s="1534" t="s">
        <v>235</v>
      </c>
      <c r="J4" s="1534" t="s">
        <v>237</v>
      </c>
      <c r="K4" s="1534" t="s">
        <v>238</v>
      </c>
    </row>
    <row r="5" spans="1:11">
      <c r="A5" s="1539">
        <v>45047</v>
      </c>
      <c r="B5" s="1539">
        <f>IF(DAY(A5)=1,DATE(YEAR(A5),MONTH(A5),15),EOMONTH(A5,0))</f>
        <v>45061</v>
      </c>
      <c r="C5" s="1540">
        <v>183726446.583184</v>
      </c>
      <c r="D5" s="1540">
        <f>0.001*AVERAGEIFS('Update IDR GWM'!C:C,'Update IDR GWM'!A:A,"&gt;="&amp;A5,'Update IDR GWM'!A:A,"&lt;="&amp;B5,'Update IDR GWM'!N:N,"")</f>
        <v>16416288.921950089</v>
      </c>
      <c r="E5" s="1541">
        <f>D5/C5</f>
        <v>8.9351801154644597E-2</v>
      </c>
      <c r="F5" s="1540">
        <v>42132472</v>
      </c>
      <c r="G5" s="1540">
        <f>0.001*AVERAGEIFS('Update IDR GWM'!I:I,'Update IDR GWM'!A:A,"&gt;="&amp;A5,'Update IDR GWM'!A:A,"&lt;="&amp;B5,'Update IDR GWM'!N:N,"")</f>
        <v>2544167.7361257295</v>
      </c>
      <c r="H5" s="1541">
        <f>G5/F5</f>
        <v>6.0384962366455248E-2</v>
      </c>
      <c r="I5" s="1542">
        <f>C5+F5</f>
        <v>225858918.583184</v>
      </c>
      <c r="J5" s="1542">
        <f>D5+G5</f>
        <v>18960456.658075817</v>
      </c>
      <c r="K5" s="1541">
        <f>J5/I5</f>
        <v>8.3948230944409966E-2</v>
      </c>
    </row>
    <row r="6" spans="1:11">
      <c r="A6" s="1539">
        <f>IF(DAY(A5)=1,DATE(YEAR(A5),MONTH(A5),16),DATE(YEAR(A5),MONTH(A5)+1,1))</f>
        <v>45062</v>
      </c>
      <c r="B6" s="1539">
        <f>IF(DAY(A6)=1,DATE(YEAR(A6),MONTH(A6),15),EOMONTH(A6,0))</f>
        <v>45077</v>
      </c>
      <c r="C6" s="1540">
        <v>184328573.28581601</v>
      </c>
      <c r="D6" s="1540">
        <f>0.001*AVERAGEIFS('Update IDR GWM'!C:C,'Update IDR GWM'!A:A,"&gt;="&amp;A6,'Update IDR GWM'!A:A,"&lt;="&amp;B6,'Update IDR GWM'!N:N,"")</f>
        <v>16682354.395331459</v>
      </c>
      <c r="E6" s="1541">
        <f>D6/C6</f>
        <v>9.050335549152301E-2</v>
      </c>
      <c r="F6" s="1540">
        <v>41606087</v>
      </c>
      <c r="G6" s="1540">
        <f>0.001*AVERAGEIFS('Update IDR GWM'!I:I,'Update IDR GWM'!A:A,"&gt;="&amp;A6,'Update IDR GWM'!A:A,"&lt;="&amp;B6,'Update IDR GWM'!N:N,"")</f>
        <v>2523465.5402404489</v>
      </c>
      <c r="H6" s="1541">
        <f>G6/F6</f>
        <v>6.0651354698182718E-2</v>
      </c>
      <c r="I6" s="1542">
        <f>C6+F6</f>
        <v>225934660.28581601</v>
      </c>
      <c r="J6" s="1542">
        <f>D6+G6</f>
        <v>19205819.935571909</v>
      </c>
      <c r="K6" s="1541">
        <f>J6/I6</f>
        <v>8.5006080568938866E-2</v>
      </c>
    </row>
    <row r="7" spans="1:11">
      <c r="A7" s="3304" t="s">
        <v>243</v>
      </c>
      <c r="B7" s="3305"/>
      <c r="C7" s="1543">
        <f>AVERAGE(C5:C6)</f>
        <v>184027509.93450001</v>
      </c>
      <c r="D7" s="1543">
        <f>AVERAGE(D5:D6)</f>
        <v>16549321.658640774</v>
      </c>
      <c r="E7" s="1544">
        <f>D7/C7</f>
        <v>8.9928520276838453E-2</v>
      </c>
      <c r="F7" s="1543">
        <f>AVERAGE(F5:F6)</f>
        <v>41869279.5</v>
      </c>
      <c r="G7" s="1543">
        <f>AVERAGE(G5:G6)</f>
        <v>2533816.638183089</v>
      </c>
      <c r="H7" s="1544">
        <f>G7/F7</f>
        <v>6.0517321254192805E-2</v>
      </c>
      <c r="I7" s="1543">
        <f t="shared" ref="I7:J7" si="0">AVERAGE(I5:I6)</f>
        <v>225896789.43450001</v>
      </c>
      <c r="J7" s="1543">
        <f t="shared" si="0"/>
        <v>19083138.296823863</v>
      </c>
      <c r="K7" s="1544">
        <f>J7/I7</f>
        <v>8.4477244429173801E-2</v>
      </c>
    </row>
    <row r="8" spans="1:11">
      <c r="A8" s="1539"/>
      <c r="B8" s="1539"/>
    </row>
    <row r="9" spans="1:11">
      <c r="A9" s="1539"/>
      <c r="B9" s="1539"/>
    </row>
    <row r="10" spans="1:11">
      <c r="A10" s="1539"/>
      <c r="B10" s="1539"/>
    </row>
    <row r="11" spans="1:11">
      <c r="A11" s="1539"/>
      <c r="B11" s="1539"/>
    </row>
    <row r="12" spans="1:11">
      <c r="A12" s="1539"/>
      <c r="B12" s="1539"/>
    </row>
    <row r="13" spans="1:11">
      <c r="A13" s="1539"/>
      <c r="B13" s="1539"/>
    </row>
    <row r="14" spans="1:11">
      <c r="A14" s="1539"/>
      <c r="B14" s="1539"/>
    </row>
    <row r="15" spans="1:11">
      <c r="A15" s="1539"/>
      <c r="B15" s="1539"/>
    </row>
    <row r="16" spans="1:11">
      <c r="A16" s="1539"/>
      <c r="B16" s="1539"/>
    </row>
    <row r="17" spans="1:2">
      <c r="A17" s="1539"/>
      <c r="B17" s="1539"/>
    </row>
    <row r="18" spans="1:2">
      <c r="A18" s="1539"/>
      <c r="B18" s="1539"/>
    </row>
    <row r="19" spans="1:2">
      <c r="A19" s="1539"/>
      <c r="B19" s="1539"/>
    </row>
    <row r="20" spans="1:2">
      <c r="A20" s="1539"/>
      <c r="B20" s="1539"/>
    </row>
    <row r="21" spans="1:2">
      <c r="A21" s="1539"/>
      <c r="B21" s="1539"/>
    </row>
    <row r="22" spans="1:2">
      <c r="A22" s="1539"/>
      <c r="B22" s="1539"/>
    </row>
    <row r="23" spans="1:2">
      <c r="A23" s="1539"/>
      <c r="B23" s="1539"/>
    </row>
    <row r="24" spans="1:2">
      <c r="A24" s="1539"/>
      <c r="B24" s="1539"/>
    </row>
    <row r="25" spans="1:2">
      <c r="A25" s="1539"/>
      <c r="B25" s="1539"/>
    </row>
    <row r="26" spans="1:2">
      <c r="A26" s="1539"/>
      <c r="B26" s="1539"/>
    </row>
    <row r="27" spans="1:2">
      <c r="A27" s="1539"/>
      <c r="B27" s="1539"/>
    </row>
    <row r="28" spans="1:2">
      <c r="A28" s="1539"/>
      <c r="B28" s="1539"/>
    </row>
    <row r="29" spans="1:2">
      <c r="A29" s="1539"/>
      <c r="B29" s="1539"/>
    </row>
    <row r="30" spans="1:2">
      <c r="A30" s="1539"/>
      <c r="B30" s="1539"/>
    </row>
    <row r="31" spans="1:2">
      <c r="A31" s="1539"/>
      <c r="B31" s="1539"/>
    </row>
    <row r="32" spans="1:2">
      <c r="A32" s="1539"/>
      <c r="B32" s="1539"/>
    </row>
    <row r="33" spans="1:2">
      <c r="A33" s="1539"/>
      <c r="B33" s="1539"/>
    </row>
    <row r="34" spans="1:2">
      <c r="A34" s="1539"/>
      <c r="B34" s="1539"/>
    </row>
    <row r="35" spans="1:2">
      <c r="A35" s="1539"/>
      <c r="B35" s="1539"/>
    </row>
    <row r="36" spans="1:2">
      <c r="A36" s="1539"/>
      <c r="B36" s="1539"/>
    </row>
    <row r="37" spans="1:2">
      <c r="A37" s="1539"/>
      <c r="B37" s="1539"/>
    </row>
    <row r="38" spans="1:2">
      <c r="A38" s="1539"/>
      <c r="B38" s="1539"/>
    </row>
    <row r="39" spans="1:2">
      <c r="A39" s="1539"/>
      <c r="B39" s="1539"/>
    </row>
    <row r="40" spans="1:2">
      <c r="A40" s="1539"/>
      <c r="B40" s="1539"/>
    </row>
    <row r="41" spans="1:2">
      <c r="A41" s="1539"/>
      <c r="B41" s="1539"/>
    </row>
    <row r="42" spans="1:2">
      <c r="A42" s="1539"/>
      <c r="B42" s="1539"/>
    </row>
    <row r="43" spans="1:2">
      <c r="A43" s="1539"/>
      <c r="B43" s="1539"/>
    </row>
    <row r="44" spans="1:2">
      <c r="A44" s="1539"/>
      <c r="B44" s="1539"/>
    </row>
    <row r="45" spans="1:2">
      <c r="A45" s="1539"/>
      <c r="B45" s="1539"/>
    </row>
    <row r="46" spans="1:2">
      <c r="A46" s="1539"/>
      <c r="B46" s="1539"/>
    </row>
    <row r="47" spans="1:2">
      <c r="A47" s="1539"/>
      <c r="B47" s="1539"/>
    </row>
    <row r="48" spans="1:2">
      <c r="A48" s="1539"/>
      <c r="B48" s="1539"/>
    </row>
    <row r="49" spans="1:2">
      <c r="A49" s="1539"/>
      <c r="B49" s="1539"/>
    </row>
    <row r="50" spans="1:2">
      <c r="A50" s="1539"/>
      <c r="B50" s="1539"/>
    </row>
    <row r="51" spans="1:2">
      <c r="A51" s="1539"/>
      <c r="B51" s="1539"/>
    </row>
    <row r="52" spans="1:2">
      <c r="A52" s="1539"/>
      <c r="B52" s="1539"/>
    </row>
    <row r="53" spans="1:2">
      <c r="A53" s="1539"/>
      <c r="B53" s="1539"/>
    </row>
    <row r="54" spans="1:2">
      <c r="A54" s="1539"/>
      <c r="B54" s="1539"/>
    </row>
    <row r="55" spans="1:2">
      <c r="A55" s="1539"/>
      <c r="B55" s="1539"/>
    </row>
    <row r="56" spans="1:2">
      <c r="A56" s="1539"/>
      <c r="B56" s="1539"/>
    </row>
    <row r="57" spans="1:2">
      <c r="A57" s="1539"/>
      <c r="B57" s="1539"/>
    </row>
    <row r="58" spans="1:2">
      <c r="A58" s="1539"/>
      <c r="B58" s="1539"/>
    </row>
    <row r="59" spans="1:2">
      <c r="A59" s="1539"/>
      <c r="B59" s="1539"/>
    </row>
    <row r="60" spans="1:2">
      <c r="A60" s="1539"/>
      <c r="B60" s="1539"/>
    </row>
    <row r="61" spans="1:2">
      <c r="A61" s="1539"/>
      <c r="B61" s="1539"/>
    </row>
    <row r="62" spans="1:2">
      <c r="A62" s="1539"/>
      <c r="B62" s="1539"/>
    </row>
    <row r="63" spans="1:2">
      <c r="A63" s="1539"/>
      <c r="B63" s="1539"/>
    </row>
    <row r="64" spans="1:2">
      <c r="A64" s="1539"/>
      <c r="B64" s="1539"/>
    </row>
    <row r="65" spans="1:2">
      <c r="A65" s="1539"/>
      <c r="B65" s="1539"/>
    </row>
    <row r="66" spans="1:2">
      <c r="A66" s="1539"/>
      <c r="B66" s="1539"/>
    </row>
    <row r="67" spans="1:2">
      <c r="A67" s="1539"/>
      <c r="B67" s="1539"/>
    </row>
    <row r="68" spans="1:2">
      <c r="A68" s="1539"/>
      <c r="B68" s="1539"/>
    </row>
    <row r="69" spans="1:2">
      <c r="A69" s="1539"/>
      <c r="B69" s="1539"/>
    </row>
    <row r="70" spans="1:2">
      <c r="A70" s="1539"/>
      <c r="B70" s="1539"/>
    </row>
    <row r="71" spans="1:2">
      <c r="A71" s="1539"/>
      <c r="B71" s="1539"/>
    </row>
    <row r="72" spans="1:2">
      <c r="A72" s="1539"/>
      <c r="B72" s="1539"/>
    </row>
    <row r="73" spans="1:2">
      <c r="A73" s="1539"/>
      <c r="B73" s="1539"/>
    </row>
    <row r="74" spans="1:2">
      <c r="A74" s="1539"/>
      <c r="B74" s="1539"/>
    </row>
    <row r="75" spans="1:2">
      <c r="A75" s="1539"/>
      <c r="B75" s="1539"/>
    </row>
    <row r="76" spans="1:2">
      <c r="A76" s="1539"/>
      <c r="B76" s="1539"/>
    </row>
    <row r="77" spans="1:2">
      <c r="A77" s="1539"/>
      <c r="B77" s="1539"/>
    </row>
    <row r="78" spans="1:2">
      <c r="A78" s="1539"/>
      <c r="B78" s="1539"/>
    </row>
    <row r="79" spans="1:2">
      <c r="A79" s="1539"/>
      <c r="B79" s="1539"/>
    </row>
    <row r="80" spans="1:2">
      <c r="A80" s="1539"/>
      <c r="B80" s="1539"/>
    </row>
    <row r="81" spans="1:2">
      <c r="A81" s="1539"/>
      <c r="B81" s="1539"/>
    </row>
    <row r="82" spans="1:2">
      <c r="A82" s="1539"/>
      <c r="B82" s="1539"/>
    </row>
    <row r="83" spans="1:2">
      <c r="A83" s="1539"/>
      <c r="B83" s="1539"/>
    </row>
    <row r="84" spans="1:2">
      <c r="A84" s="1539"/>
      <c r="B84" s="1539"/>
    </row>
    <row r="85" spans="1:2">
      <c r="A85" s="1539"/>
      <c r="B85" s="1539"/>
    </row>
    <row r="86" spans="1:2">
      <c r="A86" s="1539"/>
      <c r="B86" s="1539"/>
    </row>
    <row r="87" spans="1:2">
      <c r="A87" s="1539"/>
      <c r="B87" s="1539"/>
    </row>
    <row r="88" spans="1:2">
      <c r="A88" s="1539"/>
      <c r="B88" s="1539"/>
    </row>
    <row r="89" spans="1:2">
      <c r="A89" s="1539"/>
      <c r="B89" s="1539"/>
    </row>
    <row r="90" spans="1:2">
      <c r="A90" s="1539"/>
      <c r="B90" s="1539"/>
    </row>
    <row r="91" spans="1:2">
      <c r="A91" s="1539"/>
      <c r="B91" s="1539"/>
    </row>
    <row r="92" spans="1:2">
      <c r="A92" s="1539"/>
      <c r="B92" s="1539"/>
    </row>
    <row r="93" spans="1:2">
      <c r="A93" s="1539"/>
      <c r="B93" s="1539"/>
    </row>
    <row r="94" spans="1:2">
      <c r="A94" s="1539"/>
      <c r="B94" s="1539"/>
    </row>
    <row r="95" spans="1:2">
      <c r="A95" s="1539"/>
      <c r="B95" s="1539"/>
    </row>
    <row r="96" spans="1:2">
      <c r="A96" s="1539"/>
      <c r="B96" s="1539"/>
    </row>
    <row r="97" spans="1:2">
      <c r="A97" s="1539"/>
      <c r="B97" s="1539"/>
    </row>
    <row r="98" spans="1:2">
      <c r="A98" s="1539"/>
      <c r="B98" s="1539"/>
    </row>
    <row r="99" spans="1:2">
      <c r="A99" s="1539"/>
      <c r="B99" s="1539"/>
    </row>
    <row r="100" spans="1:2">
      <c r="A100" s="1539"/>
      <c r="B100" s="1539"/>
    </row>
    <row r="101" spans="1:2">
      <c r="A101" s="1539"/>
      <c r="B101" s="1539"/>
    </row>
    <row r="102" spans="1:2">
      <c r="A102" s="1539"/>
      <c r="B102" s="1539"/>
    </row>
    <row r="103" spans="1:2">
      <c r="A103" s="1539"/>
      <c r="B103" s="1539"/>
    </row>
    <row r="104" spans="1:2">
      <c r="A104" s="1539"/>
      <c r="B104" s="1539"/>
    </row>
    <row r="105" spans="1:2">
      <c r="A105" s="1539"/>
      <c r="B105" s="1539"/>
    </row>
    <row r="106" spans="1:2">
      <c r="A106" s="1539"/>
      <c r="B106" s="1539"/>
    </row>
    <row r="107" spans="1:2">
      <c r="A107" s="1539"/>
      <c r="B107" s="1539"/>
    </row>
    <row r="108" spans="1:2">
      <c r="A108" s="1539"/>
      <c r="B108" s="1539"/>
    </row>
    <row r="109" spans="1:2">
      <c r="A109" s="1539"/>
      <c r="B109" s="1539"/>
    </row>
    <row r="110" spans="1:2">
      <c r="A110" s="1539"/>
      <c r="B110" s="1539"/>
    </row>
    <row r="111" spans="1:2">
      <c r="A111" s="1539"/>
      <c r="B111" s="1539"/>
    </row>
  </sheetData>
  <mergeCells count="5">
    <mergeCell ref="A7:B7"/>
    <mergeCell ref="C3:E3"/>
    <mergeCell ref="F3:H3"/>
    <mergeCell ref="I3:K3"/>
    <mergeCell ref="A3:B3"/>
  </mergeCells>
  <pageMargins left="0.7" right="0.7" top="0.75" bottom="0.75" header="0.3" footer="0.3"/>
  <pageSetup orientation="portrait" r:id="rId1"/>
  <ignoredErrors>
    <ignoredError sqref="E7 H7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1774"/>
  <sheetViews>
    <sheetView showGridLines="0" zoomScale="90" zoomScaleNormal="90" workbookViewId="0">
      <pane ySplit="1" topLeftCell="A1754" activePane="bottomLeft" state="frozen"/>
      <selection pane="bottomLeft" activeCell="I1760" sqref="I1760"/>
    </sheetView>
  </sheetViews>
  <sheetFormatPr defaultColWidth="9.1796875" defaultRowHeight="12.65" customHeight="1"/>
  <cols>
    <col min="1" max="1" width="16.453125" style="43" bestFit="1" customWidth="1"/>
    <col min="2" max="2" width="24.54296875" style="46" customWidth="1"/>
    <col min="3" max="3" width="21.54296875" style="56" bestFit="1" customWidth="1"/>
    <col min="4" max="5" width="16.1796875" style="43" hidden="1" customWidth="1"/>
    <col min="6" max="6" width="16.1796875" style="43" customWidth="1"/>
    <col min="7" max="7" width="3.7265625" style="48" customWidth="1"/>
    <col min="8" max="8" width="20.1796875" style="46" bestFit="1" customWidth="1"/>
    <col min="9" max="9" width="19" style="50" bestFit="1" customWidth="1"/>
    <col min="10" max="10" width="26" style="43" hidden="1" customWidth="1"/>
    <col min="11" max="11" width="23.453125" style="43" hidden="1" customWidth="1"/>
    <col min="12" max="12" width="22.1796875" style="43" bestFit="1" customWidth="1"/>
    <col min="13" max="13" width="16.453125" style="45" bestFit="1" customWidth="1"/>
    <col min="14" max="14" width="13.81640625" style="1535" customWidth="1"/>
    <col min="15" max="15" width="14.54296875" style="43" bestFit="1" customWidth="1"/>
    <col min="16" max="16384" width="9.1796875" style="43"/>
  </cols>
  <sheetData>
    <row r="1" spans="1:14" s="112" customFormat="1" ht="26.15" customHeight="1">
      <c r="A1" s="150" t="s">
        <v>40</v>
      </c>
      <c r="B1" s="155" t="s">
        <v>24</v>
      </c>
      <c r="C1" s="156" t="s">
        <v>46</v>
      </c>
      <c r="D1" s="150" t="s">
        <v>47</v>
      </c>
      <c r="E1" s="150" t="s">
        <v>41</v>
      </c>
      <c r="F1" s="150" t="s">
        <v>42</v>
      </c>
      <c r="G1" s="152"/>
      <c r="H1" s="157" t="s">
        <v>43</v>
      </c>
      <c r="I1" s="156" t="s">
        <v>44</v>
      </c>
      <c r="J1" s="150" t="s">
        <v>45</v>
      </c>
      <c r="K1" s="158" t="s">
        <v>28</v>
      </c>
      <c r="L1" s="150" t="s">
        <v>29</v>
      </c>
      <c r="M1" s="159"/>
      <c r="N1" s="112" t="s">
        <v>53</v>
      </c>
    </row>
    <row r="2" spans="1:14" ht="12.65" customHeight="1">
      <c r="A2" s="33">
        <v>42997</v>
      </c>
      <c r="B2" s="46">
        <v>9176485000</v>
      </c>
      <c r="C2" s="56">
        <v>9230669404</v>
      </c>
      <c r="D2" s="37">
        <f>AVERAGE($C$2:C2)</f>
        <v>9230669404</v>
      </c>
      <c r="E2" s="36">
        <f t="shared" ref="E2:E65" si="0">D2-B2</f>
        <v>54184404</v>
      </c>
      <c r="F2" s="36">
        <f t="shared" ref="F2:F65" si="1">C2-B2</f>
        <v>54184404</v>
      </c>
      <c r="H2" s="46">
        <v>749119000</v>
      </c>
      <c r="I2" s="50">
        <v>750208998</v>
      </c>
      <c r="J2" s="38">
        <f t="shared" ref="J2:J65" si="2">I2-H2</f>
        <v>1089998</v>
      </c>
      <c r="K2" s="35">
        <f t="shared" ref="K2:K65" si="3">E2+J2</f>
        <v>55274402</v>
      </c>
      <c r="L2" s="44">
        <f t="shared" ref="L2:L65" si="4">F2+J2</f>
        <v>55274402</v>
      </c>
    </row>
    <row r="3" spans="1:14" ht="12.65" customHeight="1">
      <c r="A3" s="33">
        <v>42998</v>
      </c>
      <c r="B3" s="46">
        <v>9176485000</v>
      </c>
      <c r="C3" s="56">
        <v>9230012001.1271591</v>
      </c>
      <c r="D3" s="37">
        <f>AVERAGE($C$2:C3)</f>
        <v>9230340702.5635796</v>
      </c>
      <c r="E3" s="36">
        <f t="shared" si="0"/>
        <v>53855702.563579559</v>
      </c>
      <c r="F3" s="36">
        <f t="shared" si="1"/>
        <v>53527001.127159119</v>
      </c>
      <c r="H3" s="46">
        <v>749119000</v>
      </c>
      <c r="I3" s="50">
        <f>750592236192.43/1000</f>
        <v>750592236.19243002</v>
      </c>
      <c r="J3" s="38">
        <f t="shared" si="2"/>
        <v>1473236.1924300194</v>
      </c>
      <c r="K3" s="35">
        <f t="shared" si="3"/>
        <v>55328938.756009579</v>
      </c>
      <c r="L3" s="44">
        <f t="shared" si="4"/>
        <v>55000237.319589138</v>
      </c>
    </row>
    <row r="4" spans="1:14" ht="12.65" customHeight="1">
      <c r="A4" s="33">
        <v>43000</v>
      </c>
      <c r="B4" s="46">
        <v>9176485000</v>
      </c>
      <c r="C4" s="56">
        <v>9231236093.9421692</v>
      </c>
      <c r="D4" s="37">
        <f>AVERAGE($C$2:C4)</f>
        <v>9230639166.3564434</v>
      </c>
      <c r="E4" s="36">
        <f t="shared" si="0"/>
        <v>54154166.356443405</v>
      </c>
      <c r="F4" s="36">
        <f t="shared" si="1"/>
        <v>54751093.942169189</v>
      </c>
      <c r="H4" s="46">
        <v>749119000</v>
      </c>
      <c r="I4" s="50">
        <v>750262722.21055996</v>
      </c>
      <c r="J4" s="38">
        <f t="shared" si="2"/>
        <v>1143722.2105599642</v>
      </c>
      <c r="K4" s="35">
        <f t="shared" si="3"/>
        <v>55297888.567003369</v>
      </c>
      <c r="L4" s="44">
        <f t="shared" si="4"/>
        <v>55894816.152729154</v>
      </c>
    </row>
    <row r="5" spans="1:14" ht="12.65" customHeight="1">
      <c r="A5" s="33">
        <v>43003</v>
      </c>
      <c r="B5" s="46">
        <v>9176485000</v>
      </c>
      <c r="C5" s="56">
        <v>9227932090.4166298</v>
      </c>
      <c r="D5" s="37">
        <f>AVERAGE($C$2:C5)</f>
        <v>9229962397.3714905</v>
      </c>
      <c r="E5" s="36">
        <f t="shared" si="0"/>
        <v>53477397.371490479</v>
      </c>
      <c r="F5" s="36">
        <f t="shared" si="1"/>
        <v>51447090.416629791</v>
      </c>
      <c r="H5" s="46">
        <v>747782000</v>
      </c>
      <c r="I5" s="50">
        <v>749006130.71289003</v>
      </c>
      <c r="J5" s="38">
        <f t="shared" si="2"/>
        <v>1224130.712890029</v>
      </c>
      <c r="K5" s="35">
        <f t="shared" si="3"/>
        <v>54701528.084380507</v>
      </c>
      <c r="L5" s="44">
        <f t="shared" si="4"/>
        <v>52671221.12951982</v>
      </c>
    </row>
    <row r="6" spans="1:14" ht="12.65" customHeight="1">
      <c r="A6" s="33">
        <v>43004</v>
      </c>
      <c r="B6" s="46">
        <v>9176485000</v>
      </c>
      <c r="C6" s="56">
        <v>9228903367.5489597</v>
      </c>
      <c r="D6" s="37">
        <f>AVERAGE($C$2:C6)</f>
        <v>9229750591.4069843</v>
      </c>
      <c r="E6" s="36">
        <f t="shared" si="0"/>
        <v>53265591.406984329</v>
      </c>
      <c r="F6" s="36">
        <f t="shared" si="1"/>
        <v>52418367.548959732</v>
      </c>
      <c r="H6" s="46">
        <v>747782000</v>
      </c>
      <c r="I6" s="50">
        <v>748985130.36585999</v>
      </c>
      <c r="J6" s="38">
        <f t="shared" si="2"/>
        <v>1203130.3658599854</v>
      </c>
      <c r="K6" s="35">
        <f t="shared" si="3"/>
        <v>54468721.772844315</v>
      </c>
      <c r="L6" s="44">
        <f t="shared" si="4"/>
        <v>53621497.914819717</v>
      </c>
    </row>
    <row r="7" spans="1:14" ht="12.65" customHeight="1">
      <c r="A7" s="33">
        <v>43005</v>
      </c>
      <c r="B7" s="46">
        <v>9176485000</v>
      </c>
      <c r="C7" s="56">
        <v>9229595293.6406898</v>
      </c>
      <c r="D7" s="37">
        <f>AVERAGE($C$2:C7)</f>
        <v>9229724708.4459362</v>
      </c>
      <c r="E7" s="36">
        <f t="shared" si="0"/>
        <v>53239708.445936203</v>
      </c>
      <c r="F7" s="36">
        <f t="shared" si="1"/>
        <v>53110293.64068985</v>
      </c>
      <c r="H7" s="46">
        <v>747782000</v>
      </c>
      <c r="I7" s="50">
        <v>748980997.8075</v>
      </c>
      <c r="J7" s="38">
        <f t="shared" si="2"/>
        <v>1198997.8075000048</v>
      </c>
      <c r="K7" s="35">
        <f t="shared" si="3"/>
        <v>54438706.253436208</v>
      </c>
      <c r="L7" s="44">
        <f t="shared" si="4"/>
        <v>54309291.448189855</v>
      </c>
    </row>
    <row r="8" spans="1:14" ht="12.65" customHeight="1">
      <c r="A8" s="33">
        <v>43006</v>
      </c>
      <c r="B8" s="46">
        <v>9176485000</v>
      </c>
      <c r="C8" s="56">
        <v>9229595293.6406898</v>
      </c>
      <c r="D8" s="37">
        <f>AVERAGE($C$2:C8)</f>
        <v>9229706220.6166134</v>
      </c>
      <c r="E8" s="36">
        <f t="shared" si="0"/>
        <v>53221220.616613388</v>
      </c>
      <c r="F8" s="36">
        <f t="shared" si="1"/>
        <v>53110293.64068985</v>
      </c>
      <c r="H8" s="46">
        <v>747782000</v>
      </c>
      <c r="I8" s="50">
        <v>748980997.8075</v>
      </c>
      <c r="J8" s="38">
        <f t="shared" si="2"/>
        <v>1198997.8075000048</v>
      </c>
      <c r="K8" s="35">
        <f t="shared" si="3"/>
        <v>54420218.424113393</v>
      </c>
      <c r="L8" s="44">
        <f t="shared" si="4"/>
        <v>54309291.448189855</v>
      </c>
    </row>
    <row r="9" spans="1:14" ht="12.65" customHeight="1">
      <c r="A9" s="33">
        <v>43007</v>
      </c>
      <c r="B9" s="46">
        <v>9176485000</v>
      </c>
      <c r="C9" s="56">
        <v>9232269516.8962402</v>
      </c>
      <c r="D9" s="37">
        <f>AVERAGE($C$2:C9)</f>
        <v>9230026632.6515675</v>
      </c>
      <c r="E9" s="36">
        <f t="shared" si="0"/>
        <v>53541632.651567459</v>
      </c>
      <c r="F9" s="36">
        <f t="shared" si="1"/>
        <v>55784516.896240234</v>
      </c>
      <c r="H9" s="46">
        <v>747782000</v>
      </c>
      <c r="I9" s="50">
        <v>768271148.06052995</v>
      </c>
      <c r="J9" s="38">
        <f t="shared" si="2"/>
        <v>20489148.060529947</v>
      </c>
      <c r="K9" s="35">
        <f t="shared" si="3"/>
        <v>74030780.712097406</v>
      </c>
      <c r="L9" s="44">
        <f t="shared" si="4"/>
        <v>76273664.956770182</v>
      </c>
    </row>
    <row r="10" spans="1:14" ht="12.65" customHeight="1">
      <c r="A10" s="33">
        <v>43010</v>
      </c>
      <c r="B10" s="46">
        <f>6974035000+2092210000</f>
        <v>9066245000</v>
      </c>
      <c r="C10" s="56">
        <v>9117089624.7270107</v>
      </c>
      <c r="D10" s="37">
        <f>AVERAGE($C$10:C10)</f>
        <v>9117089624.7270107</v>
      </c>
      <c r="E10" s="36">
        <f t="shared" si="0"/>
        <v>50844624.727010727</v>
      </c>
      <c r="F10" s="36">
        <f t="shared" si="1"/>
        <v>50844624.727010727</v>
      </c>
      <c r="H10" s="46">
        <v>767173000</v>
      </c>
      <c r="I10" s="50">
        <v>768668807.18517005</v>
      </c>
      <c r="J10" s="38">
        <f t="shared" si="2"/>
        <v>1495807.1851700544</v>
      </c>
      <c r="K10" s="35">
        <f t="shared" si="3"/>
        <v>52340431.912180781</v>
      </c>
      <c r="L10" s="44">
        <f t="shared" si="4"/>
        <v>52340431.912180781</v>
      </c>
    </row>
    <row r="11" spans="1:14" ht="12.65" customHeight="1">
      <c r="A11" s="33">
        <v>43011</v>
      </c>
      <c r="B11" s="46">
        <f t="shared" ref="B11:B19" si="5">6974035000+2092210000</f>
        <v>9066245000</v>
      </c>
      <c r="C11" s="56">
        <v>9116832601.5107098</v>
      </c>
      <c r="D11" s="37">
        <f>AVERAGE($C$10:C11)</f>
        <v>9116961113.1188602</v>
      </c>
      <c r="E11" s="36">
        <f t="shared" si="0"/>
        <v>50716113.118860245</v>
      </c>
      <c r="F11" s="36">
        <f t="shared" si="1"/>
        <v>50587601.510709763</v>
      </c>
      <c r="H11" s="46">
        <v>767173000</v>
      </c>
      <c r="I11" s="50">
        <v>768244979.59009004</v>
      </c>
      <c r="J11" s="38">
        <f t="shared" si="2"/>
        <v>1071979.5900900364</v>
      </c>
      <c r="K11" s="35">
        <f t="shared" si="3"/>
        <v>51788092.708950281</v>
      </c>
      <c r="L11" s="44">
        <f t="shared" si="4"/>
        <v>51659581.100799799</v>
      </c>
    </row>
    <row r="12" spans="1:14" ht="12.65" customHeight="1">
      <c r="A12" s="33">
        <v>43012</v>
      </c>
      <c r="B12" s="46">
        <f t="shared" si="5"/>
        <v>9066245000</v>
      </c>
      <c r="C12" s="56">
        <v>9117372687.5968208</v>
      </c>
      <c r="D12" s="37">
        <f>AVERAGE($C$10:C12)</f>
        <v>9117098304.6115131</v>
      </c>
      <c r="E12" s="36">
        <f t="shared" si="0"/>
        <v>50853304.611513138</v>
      </c>
      <c r="F12" s="36">
        <f t="shared" si="1"/>
        <v>51127687.596820831</v>
      </c>
      <c r="H12" s="46">
        <v>767173000</v>
      </c>
      <c r="I12" s="50">
        <v>768533718.76805997</v>
      </c>
      <c r="J12" s="38">
        <f t="shared" si="2"/>
        <v>1360718.7680599689</v>
      </c>
      <c r="K12" s="35">
        <f t="shared" si="3"/>
        <v>52214023.379573107</v>
      </c>
      <c r="L12" s="44">
        <f t="shared" si="4"/>
        <v>52488406.3648808</v>
      </c>
    </row>
    <row r="13" spans="1:14" ht="12.65" customHeight="1">
      <c r="A13" s="33">
        <v>43013</v>
      </c>
      <c r="B13" s="46">
        <f t="shared" si="5"/>
        <v>9066245000</v>
      </c>
      <c r="C13" s="56">
        <v>10433720779.611</v>
      </c>
      <c r="D13" s="37">
        <f>AVERAGE($C$10:C13)</f>
        <v>9446253923.3613853</v>
      </c>
      <c r="E13" s="36">
        <f t="shared" si="0"/>
        <v>380008923.36138535</v>
      </c>
      <c r="F13" s="45">
        <f t="shared" si="1"/>
        <v>1367475779.6110001</v>
      </c>
      <c r="H13" s="46">
        <v>767173000</v>
      </c>
      <c r="I13" s="50">
        <v>768301806.51045001</v>
      </c>
      <c r="J13" s="38">
        <f t="shared" si="2"/>
        <v>1128806.5104500055</v>
      </c>
      <c r="K13" s="35">
        <f t="shared" si="3"/>
        <v>381137729.87183535</v>
      </c>
      <c r="L13" s="44">
        <f t="shared" si="4"/>
        <v>1368604586.1214499</v>
      </c>
    </row>
    <row r="14" spans="1:14" ht="12.65" customHeight="1">
      <c r="A14" s="33">
        <v>43014</v>
      </c>
      <c r="B14" s="46">
        <f t="shared" si="5"/>
        <v>9066245000</v>
      </c>
      <c r="C14" s="56">
        <v>9118621931.5098991</v>
      </c>
      <c r="D14" s="37">
        <f>AVERAGE($C$10:C14)</f>
        <v>9380727524.9910889</v>
      </c>
      <c r="E14" s="36">
        <f t="shared" si="0"/>
        <v>314482524.99108887</v>
      </c>
      <c r="F14" s="45">
        <f t="shared" si="1"/>
        <v>52376931.509899139</v>
      </c>
      <c r="H14" s="46">
        <v>767173000</v>
      </c>
      <c r="I14" s="50">
        <v>817914523.90253997</v>
      </c>
      <c r="J14" s="38">
        <f t="shared" si="2"/>
        <v>50741523.902539968</v>
      </c>
      <c r="K14" s="35">
        <f t="shared" si="3"/>
        <v>365224048.89362884</v>
      </c>
      <c r="L14" s="44">
        <f t="shared" si="4"/>
        <v>103118455.41243911</v>
      </c>
    </row>
    <row r="15" spans="1:14" ht="12.65" customHeight="1">
      <c r="A15" s="33">
        <v>43017</v>
      </c>
      <c r="B15" s="46">
        <f t="shared" si="5"/>
        <v>9066245000</v>
      </c>
      <c r="C15" s="56">
        <v>9118710979.7772999</v>
      </c>
      <c r="D15" s="37">
        <f>AVERAGE($C$10:C15)</f>
        <v>9337058100.7887897</v>
      </c>
      <c r="E15" s="36">
        <f t="shared" si="0"/>
        <v>270813100.78878975</v>
      </c>
      <c r="F15" s="45">
        <f t="shared" si="1"/>
        <v>52465979.777299881</v>
      </c>
      <c r="H15" s="46">
        <v>816798000</v>
      </c>
      <c r="I15" s="50">
        <v>818112740.10778999</v>
      </c>
      <c r="J15" s="38">
        <f t="shared" si="2"/>
        <v>1314740.1077899933</v>
      </c>
      <c r="K15" s="35">
        <f t="shared" si="3"/>
        <v>272127840.89657974</v>
      </c>
      <c r="L15" s="44">
        <f t="shared" si="4"/>
        <v>53780719.885089874</v>
      </c>
    </row>
    <row r="16" spans="1:14" ht="12.65" customHeight="1">
      <c r="A16" s="33">
        <v>43018</v>
      </c>
      <c r="B16" s="46">
        <f t="shared" si="5"/>
        <v>9066245000</v>
      </c>
      <c r="C16" s="56">
        <v>9117674245.79706</v>
      </c>
      <c r="D16" s="37">
        <f>AVERAGE($C$10:C16)</f>
        <v>9305717550.0756855</v>
      </c>
      <c r="E16" s="36">
        <f t="shared" si="0"/>
        <v>239472550.0756855</v>
      </c>
      <c r="F16" s="45">
        <f t="shared" si="1"/>
        <v>51429245.797060013</v>
      </c>
      <c r="H16" s="46">
        <v>816798000</v>
      </c>
      <c r="I16" s="50">
        <v>818134090.70966005</v>
      </c>
      <c r="J16" s="38">
        <f t="shared" si="2"/>
        <v>1336090.7096600533</v>
      </c>
      <c r="K16" s="35">
        <f t="shared" si="3"/>
        <v>240808640.78534555</v>
      </c>
      <c r="L16" s="44">
        <f t="shared" si="4"/>
        <v>52765336.506720066</v>
      </c>
    </row>
    <row r="17" spans="1:12" ht="12.65" customHeight="1">
      <c r="A17" s="33">
        <v>43019</v>
      </c>
      <c r="B17" s="46">
        <f t="shared" si="5"/>
        <v>9066245000</v>
      </c>
      <c r="C17" s="56">
        <v>9117034080.7522106</v>
      </c>
      <c r="D17" s="37">
        <f>AVERAGE($C$10:C17)</f>
        <v>9282132116.4102516</v>
      </c>
      <c r="E17" s="36">
        <f t="shared" si="0"/>
        <v>215887116.41025162</v>
      </c>
      <c r="F17" s="45">
        <f t="shared" si="1"/>
        <v>50789080.752210617</v>
      </c>
      <c r="H17" s="46">
        <v>816798000</v>
      </c>
      <c r="I17" s="50">
        <v>818087434.87235999</v>
      </c>
      <c r="J17" s="38">
        <f t="shared" si="2"/>
        <v>1289434.8723599911</v>
      </c>
      <c r="K17" s="35">
        <f t="shared" si="3"/>
        <v>217176551.28261161</v>
      </c>
      <c r="L17" s="44">
        <f t="shared" si="4"/>
        <v>52078515.624570608</v>
      </c>
    </row>
    <row r="18" spans="1:12" ht="12.65" customHeight="1">
      <c r="A18" s="33">
        <v>43020</v>
      </c>
      <c r="B18" s="46">
        <f t="shared" si="5"/>
        <v>9066245000</v>
      </c>
      <c r="C18" s="56">
        <v>9124566954.1537209</v>
      </c>
      <c r="D18" s="37">
        <f>AVERAGE($C$10:C18)</f>
        <v>9264624876.1595249</v>
      </c>
      <c r="E18" s="36">
        <f t="shared" si="0"/>
        <v>198379876.15952492</v>
      </c>
      <c r="F18" s="45">
        <f t="shared" si="1"/>
        <v>58321954.153720856</v>
      </c>
      <c r="H18" s="46">
        <v>816798000</v>
      </c>
      <c r="I18" s="50">
        <v>817912292.76379001</v>
      </c>
      <c r="J18" s="38">
        <f t="shared" si="2"/>
        <v>1114292.7637900114</v>
      </c>
      <c r="K18" s="35">
        <f t="shared" si="3"/>
        <v>199494168.92331493</v>
      </c>
      <c r="L18" s="44">
        <f t="shared" si="4"/>
        <v>59436246.917510867</v>
      </c>
    </row>
    <row r="19" spans="1:12" ht="12.65" customHeight="1">
      <c r="A19" s="33">
        <v>43021</v>
      </c>
      <c r="B19" s="46">
        <f t="shared" si="5"/>
        <v>9066245000</v>
      </c>
      <c r="C19" s="56">
        <v>9120576128.7805405</v>
      </c>
      <c r="D19" s="37">
        <f>AVERAGE($C$10:C19)</f>
        <v>9250220001.421627</v>
      </c>
      <c r="E19" s="36">
        <f t="shared" si="0"/>
        <v>183975001.42162704</v>
      </c>
      <c r="F19" s="45">
        <f t="shared" si="1"/>
        <v>54331128.780540466</v>
      </c>
      <c r="H19" s="46">
        <v>816798000</v>
      </c>
      <c r="I19" s="50">
        <v>818281966.47492003</v>
      </c>
      <c r="J19" s="38">
        <f t="shared" si="2"/>
        <v>1483966.4749200344</v>
      </c>
      <c r="K19" s="35">
        <f t="shared" si="3"/>
        <v>185458967.89654708</v>
      </c>
      <c r="L19" s="44">
        <f t="shared" si="4"/>
        <v>55815095.255460501</v>
      </c>
    </row>
    <row r="20" spans="1:12" ht="12.65" customHeight="1">
      <c r="A20" s="33">
        <v>43024</v>
      </c>
      <c r="B20" s="46">
        <f>7032003000+2109601000</f>
        <v>9141604000</v>
      </c>
      <c r="C20" s="57">
        <v>9193136485.9573994</v>
      </c>
      <c r="D20" s="37">
        <f>AVERAGE($C$20:C20)</f>
        <v>9193136485.9573994</v>
      </c>
      <c r="E20" s="36">
        <f t="shared" si="0"/>
        <v>51532485.957399368</v>
      </c>
      <c r="F20" s="45">
        <f t="shared" si="1"/>
        <v>51532485.957399368</v>
      </c>
      <c r="H20" s="46">
        <v>1207810000</v>
      </c>
      <c r="I20" s="50">
        <v>1208990146.7931499</v>
      </c>
      <c r="J20" s="38">
        <f t="shared" si="2"/>
        <v>1180146.7931499481</v>
      </c>
      <c r="K20" s="35">
        <f t="shared" si="3"/>
        <v>52712632.750549316</v>
      </c>
      <c r="L20" s="44">
        <f t="shared" si="4"/>
        <v>52712632.750549316</v>
      </c>
    </row>
    <row r="21" spans="1:12" ht="12.65" customHeight="1">
      <c r="A21" s="33">
        <v>43025</v>
      </c>
      <c r="B21" s="46">
        <f t="shared" ref="B21:B31" si="6">7032003000+2109601000</f>
        <v>9141604000</v>
      </c>
      <c r="C21" s="56">
        <v>9203136290.8518906</v>
      </c>
      <c r="D21" s="37">
        <f>AVERAGE($C$20:C21)</f>
        <v>9198136388.404644</v>
      </c>
      <c r="E21" s="36">
        <f t="shared" si="0"/>
        <v>56532388.404644012</v>
      </c>
      <c r="F21" s="45">
        <f t="shared" si="1"/>
        <v>61532290.851890564</v>
      </c>
      <c r="H21" s="46">
        <v>1207810000</v>
      </c>
      <c r="I21" s="50">
        <v>1209191455.8527999</v>
      </c>
      <c r="J21" s="38">
        <f t="shared" si="2"/>
        <v>1381455.8527998924</v>
      </c>
      <c r="K21" s="35">
        <f t="shared" si="3"/>
        <v>57913844.257443905</v>
      </c>
      <c r="L21" s="44">
        <f t="shared" si="4"/>
        <v>62913746.704690456</v>
      </c>
    </row>
    <row r="22" spans="1:12" ht="12.65" customHeight="1">
      <c r="A22" s="33">
        <v>43026</v>
      </c>
      <c r="B22" s="46">
        <f t="shared" si="6"/>
        <v>9141604000</v>
      </c>
      <c r="C22" s="56">
        <v>9191639721.6779499</v>
      </c>
      <c r="D22" s="37">
        <f>AVERAGE($C$20:C22)</f>
        <v>9195970832.8290787</v>
      </c>
      <c r="E22" s="36">
        <f t="shared" si="0"/>
        <v>54366832.829078674</v>
      </c>
      <c r="F22" s="45">
        <f t="shared" si="1"/>
        <v>50035721.677949905</v>
      </c>
      <c r="H22" s="46">
        <v>1207810000</v>
      </c>
      <c r="I22" s="50">
        <v>1209192623.0092299</v>
      </c>
      <c r="J22" s="38">
        <f t="shared" si="2"/>
        <v>1382623.0092298985</v>
      </c>
      <c r="K22" s="35">
        <f t="shared" si="3"/>
        <v>55749455.838308573</v>
      </c>
      <c r="L22" s="44">
        <f t="shared" si="4"/>
        <v>51418344.687179804</v>
      </c>
    </row>
    <row r="23" spans="1:12" ht="12.65" customHeight="1">
      <c r="A23" s="33">
        <v>43027</v>
      </c>
      <c r="B23" s="46">
        <f t="shared" si="6"/>
        <v>9141604000</v>
      </c>
      <c r="C23" s="56">
        <v>9194417923.55863</v>
      </c>
      <c r="D23" s="37">
        <f>AVERAGE($C$20:C23)</f>
        <v>9195582605.511467</v>
      </c>
      <c r="E23" s="36">
        <f t="shared" si="0"/>
        <v>53978605.51146698</v>
      </c>
      <c r="F23" s="45">
        <f t="shared" si="1"/>
        <v>52813923.55862999</v>
      </c>
      <c r="H23" s="46">
        <v>1207810000</v>
      </c>
      <c r="I23" s="50">
        <v>1209730570.395</v>
      </c>
      <c r="J23" s="38">
        <f t="shared" si="2"/>
        <v>1920570.3949999809</v>
      </c>
      <c r="K23" s="35">
        <f t="shared" si="3"/>
        <v>55899175.906466961</v>
      </c>
      <c r="L23" s="44">
        <f t="shared" si="4"/>
        <v>54734493.953629971</v>
      </c>
    </row>
    <row r="24" spans="1:12" ht="12.65" customHeight="1">
      <c r="A24" s="33">
        <v>43028</v>
      </c>
      <c r="B24" s="46">
        <f t="shared" si="6"/>
        <v>9141604000</v>
      </c>
      <c r="C24" s="56">
        <v>9191930795.0813694</v>
      </c>
      <c r="D24" s="37">
        <f>AVERAGE($C$20:C24)</f>
        <v>9194852243.4254475</v>
      </c>
      <c r="E24" s="36">
        <f t="shared" si="0"/>
        <v>53248243.425447464</v>
      </c>
      <c r="F24" s="45">
        <f t="shared" si="1"/>
        <v>50326795.0813694</v>
      </c>
      <c r="H24" s="46">
        <v>1207810000</v>
      </c>
      <c r="I24" s="50">
        <v>1209672563.2133501</v>
      </c>
      <c r="J24" s="38">
        <f t="shared" si="2"/>
        <v>1862563.2133500576</v>
      </c>
      <c r="K24" s="35">
        <f t="shared" si="3"/>
        <v>55110806.638797522</v>
      </c>
      <c r="L24" s="44">
        <f t="shared" si="4"/>
        <v>52189358.294719458</v>
      </c>
    </row>
    <row r="25" spans="1:12" ht="12.65" customHeight="1">
      <c r="A25" s="33">
        <v>43031</v>
      </c>
      <c r="B25" s="46">
        <f t="shared" si="6"/>
        <v>9141604000</v>
      </c>
      <c r="C25" s="56">
        <v>9193682717.3605099</v>
      </c>
      <c r="D25" s="37">
        <f>AVERAGE($C$20:C25)</f>
        <v>9194657322.4146252</v>
      </c>
      <c r="E25" s="36">
        <f t="shared" si="0"/>
        <v>53053322.414625168</v>
      </c>
      <c r="F25" s="45">
        <f t="shared" si="1"/>
        <v>52078717.360509872</v>
      </c>
      <c r="H25" s="46">
        <v>1207810000</v>
      </c>
      <c r="I25" s="50">
        <v>1209475112.5511701</v>
      </c>
      <c r="J25" s="38">
        <f t="shared" si="2"/>
        <v>1665112.5511701107</v>
      </c>
      <c r="K25" s="35">
        <f t="shared" si="3"/>
        <v>54718434.965795279</v>
      </c>
      <c r="L25" s="44">
        <f t="shared" si="4"/>
        <v>53743829.911679983</v>
      </c>
    </row>
    <row r="26" spans="1:12" ht="12.65" customHeight="1">
      <c r="A26" s="33">
        <v>43032</v>
      </c>
      <c r="B26" s="46">
        <f t="shared" si="6"/>
        <v>9141604000</v>
      </c>
      <c r="C26" s="56">
        <v>9193706748.4048595</v>
      </c>
      <c r="D26" s="37">
        <f>AVERAGE($C$20:C26)</f>
        <v>9194521526.1275158</v>
      </c>
      <c r="E26" s="36">
        <f t="shared" si="0"/>
        <v>52917526.127515793</v>
      </c>
      <c r="F26" s="45">
        <f t="shared" si="1"/>
        <v>52102748.404859543</v>
      </c>
      <c r="H26" s="46">
        <v>1241874000</v>
      </c>
      <c r="I26" s="50">
        <v>1243752671.1521699</v>
      </c>
      <c r="J26" s="38">
        <f t="shared" si="2"/>
        <v>1878671.1521699429</v>
      </c>
      <c r="K26" s="35">
        <f t="shared" si="3"/>
        <v>54796197.279685736</v>
      </c>
      <c r="L26" s="44">
        <f t="shared" si="4"/>
        <v>53981419.557029486</v>
      </c>
    </row>
    <row r="27" spans="1:12" ht="12.65" customHeight="1">
      <c r="A27" s="33">
        <v>43033</v>
      </c>
      <c r="B27" s="46">
        <f t="shared" si="6"/>
        <v>9141604000</v>
      </c>
      <c r="C27" s="56">
        <v>9195050553.2230892</v>
      </c>
      <c r="D27" s="37">
        <f>AVERAGE($C$20:C27)</f>
        <v>9194587654.5144615</v>
      </c>
      <c r="E27" s="36">
        <f t="shared" si="0"/>
        <v>52983654.514461517</v>
      </c>
      <c r="F27" s="45">
        <f t="shared" si="1"/>
        <v>53446553.223089218</v>
      </c>
      <c r="H27" s="46">
        <v>1241874000</v>
      </c>
      <c r="I27" s="50">
        <v>1243289681.6044199</v>
      </c>
      <c r="J27" s="38">
        <f t="shared" si="2"/>
        <v>1415681.6044199467</v>
      </c>
      <c r="K27" s="35">
        <f t="shared" si="3"/>
        <v>54399336.118881464</v>
      </c>
      <c r="L27" s="44">
        <f t="shared" si="4"/>
        <v>54862234.827509165</v>
      </c>
    </row>
    <row r="28" spans="1:12" ht="12.65" customHeight="1">
      <c r="A28" s="33">
        <v>43034</v>
      </c>
      <c r="B28" s="46">
        <f t="shared" si="6"/>
        <v>9141604000</v>
      </c>
      <c r="C28" s="56">
        <v>9192117318.2026691</v>
      </c>
      <c r="D28" s="37">
        <f>AVERAGE($C$20:C28)</f>
        <v>9194313172.7020397</v>
      </c>
      <c r="E28" s="36">
        <f t="shared" si="0"/>
        <v>52709172.702039719</v>
      </c>
      <c r="F28" s="45">
        <f t="shared" si="1"/>
        <v>50513318.202669144</v>
      </c>
      <c r="H28" s="46">
        <v>1241874000</v>
      </c>
      <c r="I28" s="50">
        <v>1243176428.67924</v>
      </c>
      <c r="J28" s="38">
        <f t="shared" si="2"/>
        <v>1302428.6792399883</v>
      </c>
      <c r="K28" s="35">
        <f t="shared" si="3"/>
        <v>54011601.381279707</v>
      </c>
      <c r="L28" s="44">
        <f t="shared" si="4"/>
        <v>51815746.881909132</v>
      </c>
    </row>
    <row r="29" spans="1:12" ht="12.65" customHeight="1">
      <c r="A29" s="33">
        <v>43035</v>
      </c>
      <c r="B29" s="46">
        <f t="shared" si="6"/>
        <v>9141604000</v>
      </c>
      <c r="C29" s="56">
        <v>9195431335.2098293</v>
      </c>
      <c r="D29" s="37">
        <f>AVERAGE($C$20:C29)</f>
        <v>9194424988.9528179</v>
      </c>
      <c r="E29" s="36">
        <f t="shared" si="0"/>
        <v>52820988.952817917</v>
      </c>
      <c r="F29" s="45">
        <f t="shared" si="1"/>
        <v>53827335.20982933</v>
      </c>
      <c r="H29" s="46">
        <v>1241874000</v>
      </c>
      <c r="I29" s="50">
        <v>1242982066.5344999</v>
      </c>
      <c r="J29" s="38">
        <f t="shared" si="2"/>
        <v>1108066.5344998837</v>
      </c>
      <c r="K29" s="35">
        <f t="shared" si="3"/>
        <v>53929055.487317801</v>
      </c>
      <c r="L29" s="44">
        <f t="shared" si="4"/>
        <v>54935401.744329214</v>
      </c>
    </row>
    <row r="30" spans="1:12" ht="12.65" customHeight="1">
      <c r="A30" s="33">
        <v>43038</v>
      </c>
      <c r="B30" s="46">
        <f t="shared" si="6"/>
        <v>9141604000</v>
      </c>
      <c r="C30" s="56">
        <v>9192640916.5490398</v>
      </c>
      <c r="D30" s="37">
        <f>AVERAGE($C$20:C30)</f>
        <v>9194262800.552475</v>
      </c>
      <c r="E30" s="36">
        <f t="shared" si="0"/>
        <v>52658800.552474976</v>
      </c>
      <c r="F30" s="45">
        <f t="shared" si="1"/>
        <v>51036916.549039841</v>
      </c>
      <c r="H30" s="46">
        <v>1241874000</v>
      </c>
      <c r="I30" s="50">
        <v>1243174466.4843299</v>
      </c>
      <c r="J30" s="38">
        <f t="shared" si="2"/>
        <v>1300466.4843299389</v>
      </c>
      <c r="K30" s="35">
        <f t="shared" si="3"/>
        <v>53959267.036804914</v>
      </c>
      <c r="L30" s="44">
        <f t="shared" si="4"/>
        <v>52337383.03336978</v>
      </c>
    </row>
    <row r="31" spans="1:12" ht="12.65" customHeight="1">
      <c r="A31" s="33">
        <v>43039</v>
      </c>
      <c r="B31" s="46">
        <f t="shared" si="6"/>
        <v>9141604000</v>
      </c>
      <c r="C31" s="56">
        <v>9176608772.2771702</v>
      </c>
      <c r="D31" s="37">
        <f>AVERAGE($C$20:C31)</f>
        <v>9192791631.5295334</v>
      </c>
      <c r="E31" s="36">
        <f t="shared" si="0"/>
        <v>51187631.529533386</v>
      </c>
      <c r="F31" s="45">
        <f t="shared" si="1"/>
        <v>35004772.277170181</v>
      </c>
      <c r="H31" s="46">
        <v>1241874000</v>
      </c>
      <c r="I31" s="50">
        <v>1242938414.17137</v>
      </c>
      <c r="J31" s="38">
        <f t="shared" si="2"/>
        <v>1064414.1713700294</v>
      </c>
      <c r="K31" s="35">
        <f t="shared" si="3"/>
        <v>52252045.700903416</v>
      </c>
      <c r="L31" s="44">
        <f t="shared" si="4"/>
        <v>36069186.448540211</v>
      </c>
    </row>
    <row r="32" spans="1:12" ht="12.65" customHeight="1">
      <c r="A32" s="33">
        <v>43040</v>
      </c>
      <c r="B32" s="46">
        <f>7089586000+2126876000</f>
        <v>9216462000</v>
      </c>
      <c r="C32" s="56">
        <v>9269985049.0620594</v>
      </c>
      <c r="D32" s="44">
        <f>AVERAGE($C$32:C32)</f>
        <v>9269985049.0620594</v>
      </c>
      <c r="E32" s="45">
        <f t="shared" si="0"/>
        <v>53523049.062059402</v>
      </c>
      <c r="F32" s="45">
        <f t="shared" si="1"/>
        <v>53523049.062059402</v>
      </c>
      <c r="H32" s="46">
        <v>1277134000</v>
      </c>
      <c r="I32" s="50">
        <v>1278496318.01985</v>
      </c>
      <c r="J32" s="38">
        <f t="shared" si="2"/>
        <v>1362318.0198500156</v>
      </c>
      <c r="K32" s="35">
        <f t="shared" si="3"/>
        <v>54885367.081909418</v>
      </c>
      <c r="L32" s="44">
        <f t="shared" si="4"/>
        <v>54885367.081909418</v>
      </c>
    </row>
    <row r="33" spans="1:12" ht="12.65" customHeight="1">
      <c r="A33" s="33">
        <v>43041</v>
      </c>
      <c r="B33" s="46">
        <f>B32</f>
        <v>9216462000</v>
      </c>
      <c r="C33" s="56">
        <v>9267036353.9030399</v>
      </c>
      <c r="D33" s="44">
        <f>AVERAGE($C$32:C33)</f>
        <v>9268510701.4825497</v>
      </c>
      <c r="E33" s="45">
        <f t="shared" si="0"/>
        <v>52048701.482549667</v>
      </c>
      <c r="F33" s="45">
        <f t="shared" si="1"/>
        <v>50574353.903039932</v>
      </c>
      <c r="H33" s="46">
        <v>1277134000</v>
      </c>
      <c r="I33" s="50">
        <v>1278425605.89238</v>
      </c>
      <c r="J33" s="38">
        <f t="shared" si="2"/>
        <v>1291605.8923799992</v>
      </c>
      <c r="K33" s="35">
        <f t="shared" si="3"/>
        <v>53340307.374929667</v>
      </c>
      <c r="L33" s="44">
        <f t="shared" si="4"/>
        <v>51865959.795419931</v>
      </c>
    </row>
    <row r="34" spans="1:12" ht="12.65" customHeight="1">
      <c r="A34" s="33">
        <v>43042</v>
      </c>
      <c r="B34" s="46">
        <f t="shared" ref="B34:B42" si="7">B33</f>
        <v>9216462000</v>
      </c>
      <c r="C34" s="56">
        <v>9267604416.4160004</v>
      </c>
      <c r="D34" s="44">
        <f>AVERAGE($C$32:C34)</f>
        <v>9268208606.4603672</v>
      </c>
      <c r="E34" s="45">
        <f t="shared" si="0"/>
        <v>51746606.460367203</v>
      </c>
      <c r="F34" s="45">
        <f t="shared" si="1"/>
        <v>51142416.416000366</v>
      </c>
      <c r="H34" s="46">
        <v>1277134000</v>
      </c>
      <c r="I34" s="50">
        <v>1278134690.5585301</v>
      </c>
      <c r="J34" s="38">
        <f t="shared" si="2"/>
        <v>1000690.5585300922</v>
      </c>
      <c r="K34" s="35">
        <f t="shared" si="3"/>
        <v>52747297.018897295</v>
      </c>
      <c r="L34" s="44">
        <f t="shared" si="4"/>
        <v>52143106.974530458</v>
      </c>
    </row>
    <row r="35" spans="1:12" ht="12.65" customHeight="1">
      <c r="A35" s="33">
        <v>43045</v>
      </c>
      <c r="B35" s="46">
        <f t="shared" si="7"/>
        <v>9216462000</v>
      </c>
      <c r="C35" s="56">
        <v>9267890660.8973503</v>
      </c>
      <c r="D35" s="44">
        <f>AVERAGE($C$32:C35)</f>
        <v>9268129120.0696125</v>
      </c>
      <c r="E35" s="45">
        <f t="shared" si="0"/>
        <v>51667120.069612503</v>
      </c>
      <c r="F35" s="45">
        <f t="shared" si="1"/>
        <v>51428660.897350311</v>
      </c>
      <c r="H35" s="46">
        <v>1277134000</v>
      </c>
      <c r="I35" s="50">
        <v>1278670099.57445</v>
      </c>
      <c r="J35" s="38">
        <f t="shared" si="2"/>
        <v>1536099.574450016</v>
      </c>
      <c r="K35" s="35">
        <f t="shared" si="3"/>
        <v>53203219.644062519</v>
      </c>
      <c r="L35" s="44">
        <f t="shared" si="4"/>
        <v>52964760.471800327</v>
      </c>
    </row>
    <row r="36" spans="1:12" ht="12.65" customHeight="1">
      <c r="A36" s="33">
        <v>43046</v>
      </c>
      <c r="B36" s="46">
        <f t="shared" si="7"/>
        <v>9216462000</v>
      </c>
      <c r="C36" s="56">
        <v>9268985222.5929298</v>
      </c>
      <c r="D36" s="44">
        <f>AVERAGE($C$32:C36)</f>
        <v>9268300340.574276</v>
      </c>
      <c r="E36" s="45">
        <f t="shared" si="0"/>
        <v>51838340.57427597</v>
      </c>
      <c r="F36" s="45">
        <f t="shared" si="1"/>
        <v>52523222.59292984</v>
      </c>
      <c r="H36" s="46">
        <v>1277134000</v>
      </c>
      <c r="I36" s="50">
        <v>1278373598.3081601</v>
      </c>
      <c r="J36" s="38">
        <f t="shared" si="2"/>
        <v>1239598.3081600666</v>
      </c>
      <c r="K36" s="35">
        <f t="shared" si="3"/>
        <v>53077938.882436037</v>
      </c>
      <c r="L36" s="44">
        <f t="shared" si="4"/>
        <v>53762820.901089907</v>
      </c>
    </row>
    <row r="37" spans="1:12" ht="12.65" customHeight="1">
      <c r="A37" s="33">
        <v>43047</v>
      </c>
      <c r="B37" s="46">
        <f t="shared" si="7"/>
        <v>9216462000</v>
      </c>
      <c r="C37" s="56">
        <v>9268666994.7316303</v>
      </c>
      <c r="D37" s="44">
        <f>AVERAGE($C$32:C37)</f>
        <v>9268361449.600502</v>
      </c>
      <c r="E37" s="45">
        <f t="shared" si="0"/>
        <v>51899449.600502014</v>
      </c>
      <c r="F37" s="45">
        <f t="shared" si="1"/>
        <v>52204994.731630325</v>
      </c>
      <c r="H37" s="46">
        <v>1281330000</v>
      </c>
      <c r="I37" s="50">
        <v>1282788394.88853</v>
      </c>
      <c r="J37" s="38">
        <f t="shared" si="2"/>
        <v>1458394.8885300159</v>
      </c>
      <c r="K37" s="35">
        <f t="shared" si="3"/>
        <v>53357844.48903203</v>
      </c>
      <c r="L37" s="44">
        <f t="shared" si="4"/>
        <v>53663389.620160341</v>
      </c>
    </row>
    <row r="38" spans="1:12" ht="12.65" customHeight="1">
      <c r="A38" s="33">
        <v>43048</v>
      </c>
      <c r="B38" s="46">
        <f t="shared" si="7"/>
        <v>9216462000</v>
      </c>
      <c r="C38" s="56">
        <v>9270284642.5882797</v>
      </c>
      <c r="D38" s="44">
        <f>AVERAGE($C$32:C38)</f>
        <v>9268636191.4558983</v>
      </c>
      <c r="E38" s="45">
        <f t="shared" si="0"/>
        <v>52174191.455898285</v>
      </c>
      <c r="F38" s="45">
        <f t="shared" si="1"/>
        <v>53822642.588279724</v>
      </c>
      <c r="H38" s="46">
        <v>1281330000</v>
      </c>
      <c r="I38" s="50">
        <v>1282434997.89134</v>
      </c>
      <c r="J38" s="38">
        <f t="shared" si="2"/>
        <v>1104997.8913400173</v>
      </c>
      <c r="K38" s="35">
        <f t="shared" si="3"/>
        <v>53279189.347238302</v>
      </c>
      <c r="L38" s="44">
        <f t="shared" si="4"/>
        <v>54927640.479619741</v>
      </c>
    </row>
    <row r="39" spans="1:12" ht="12.65" customHeight="1">
      <c r="A39" s="33">
        <v>43049</v>
      </c>
      <c r="B39" s="46">
        <f t="shared" si="7"/>
        <v>9216462000</v>
      </c>
      <c r="C39" s="56">
        <v>9267368190.5233898</v>
      </c>
      <c r="D39" s="44">
        <f>AVERAGE($C$32:C39)</f>
        <v>9268477691.3393345</v>
      </c>
      <c r="E39" s="45">
        <f t="shared" si="0"/>
        <v>52015691.339334488</v>
      </c>
      <c r="F39" s="45">
        <f t="shared" si="1"/>
        <v>50906190.523389816</v>
      </c>
      <c r="H39" s="46">
        <v>1281330000</v>
      </c>
      <c r="I39" s="50">
        <v>1282624243.3661699</v>
      </c>
      <c r="J39" s="38">
        <f t="shared" si="2"/>
        <v>1294243.3661699295</v>
      </c>
      <c r="K39" s="35">
        <f t="shared" si="3"/>
        <v>53309934.705504417</v>
      </c>
      <c r="L39" s="44">
        <f t="shared" si="4"/>
        <v>52200433.889559746</v>
      </c>
    </row>
    <row r="40" spans="1:12" ht="12.65" customHeight="1">
      <c r="A40" s="33">
        <v>43052</v>
      </c>
      <c r="B40" s="46">
        <f t="shared" si="7"/>
        <v>9216462000</v>
      </c>
      <c r="C40" s="56">
        <v>9269495641.9223595</v>
      </c>
      <c r="D40" s="44">
        <f>AVERAGE($C$32:C40)</f>
        <v>9268590796.959671</v>
      </c>
      <c r="E40" s="45">
        <f t="shared" si="0"/>
        <v>52128796.959671021</v>
      </c>
      <c r="F40" s="45">
        <f t="shared" si="1"/>
        <v>53033641.922359467</v>
      </c>
      <c r="H40" s="46">
        <v>1281330000</v>
      </c>
      <c r="I40" s="50">
        <v>1282707265.05094</v>
      </c>
      <c r="J40" s="38">
        <f t="shared" si="2"/>
        <v>1377265.0509400368</v>
      </c>
      <c r="K40" s="35">
        <f t="shared" si="3"/>
        <v>53506062.010611057</v>
      </c>
      <c r="L40" s="44">
        <f t="shared" si="4"/>
        <v>54410906.973299503</v>
      </c>
    </row>
    <row r="41" spans="1:12" ht="12.65" customHeight="1">
      <c r="A41" s="33">
        <v>43053</v>
      </c>
      <c r="B41" s="46">
        <f t="shared" si="7"/>
        <v>9216462000</v>
      </c>
      <c r="C41" s="56">
        <v>9270447434.2444592</v>
      </c>
      <c r="D41" s="44">
        <f>AVERAGE($C$32:C41)</f>
        <v>9268776460.6881504</v>
      </c>
      <c r="E41" s="45">
        <f t="shared" si="0"/>
        <v>52314460.688150406</v>
      </c>
      <c r="F41" s="45">
        <f t="shared" si="1"/>
        <v>53985434.244459152</v>
      </c>
      <c r="H41" s="46">
        <v>1281330000</v>
      </c>
      <c r="I41" s="50">
        <v>1282745350.5420001</v>
      </c>
      <c r="J41" s="38">
        <f t="shared" si="2"/>
        <v>1415350.5420000553</v>
      </c>
      <c r="K41" s="35">
        <f t="shared" si="3"/>
        <v>53729811.230150461</v>
      </c>
      <c r="L41" s="44">
        <f t="shared" si="4"/>
        <v>55400784.786459208</v>
      </c>
    </row>
    <row r="42" spans="1:12" ht="12.65" customHeight="1">
      <c r="A42" s="33">
        <v>43054</v>
      </c>
      <c r="B42" s="46">
        <f t="shared" si="7"/>
        <v>9216462000</v>
      </c>
      <c r="C42" s="56">
        <v>9267886504.1413803</v>
      </c>
      <c r="D42" s="44">
        <f>AVERAGE($C$32:C42)</f>
        <v>9268695555.5475349</v>
      </c>
      <c r="E42" s="45">
        <f t="shared" si="0"/>
        <v>52233555.547534943</v>
      </c>
      <c r="F42" s="45">
        <f t="shared" si="1"/>
        <v>51424504.14138031</v>
      </c>
      <c r="H42" s="46">
        <v>1281330000</v>
      </c>
      <c r="I42" s="50">
        <v>1282765413.0432601</v>
      </c>
      <c r="J42" s="38">
        <f t="shared" si="2"/>
        <v>1435413.0432600975</v>
      </c>
      <c r="K42" s="35">
        <f t="shared" si="3"/>
        <v>53668968.59079504</v>
      </c>
      <c r="L42" s="44">
        <f t="shared" si="4"/>
        <v>52859917.184640408</v>
      </c>
    </row>
    <row r="43" spans="1:12" ht="12.65" customHeight="1">
      <c r="A43" s="33">
        <v>43055</v>
      </c>
      <c r="B43" s="46">
        <f>7153278000+2145983000</f>
        <v>9299261000</v>
      </c>
      <c r="C43" s="56">
        <v>9351649449.9140701</v>
      </c>
      <c r="D43" s="45">
        <f>AVERAGE($C$43:C43)</f>
        <v>9351649449.9140701</v>
      </c>
      <c r="E43" s="45">
        <f t="shared" si="0"/>
        <v>52388449.914070129</v>
      </c>
      <c r="F43" s="45">
        <f t="shared" si="1"/>
        <v>52388449.914070129</v>
      </c>
      <c r="H43" s="46">
        <v>883934000</v>
      </c>
      <c r="I43" s="50">
        <v>885017282.21689999</v>
      </c>
      <c r="J43" s="38">
        <f t="shared" si="2"/>
        <v>1083282.216899991</v>
      </c>
      <c r="K43" s="35">
        <f t="shared" si="3"/>
        <v>53471732.13097012</v>
      </c>
      <c r="L43" s="44">
        <f t="shared" si="4"/>
        <v>53471732.13097012</v>
      </c>
    </row>
    <row r="44" spans="1:12" ht="12.65" customHeight="1">
      <c r="A44" s="33">
        <v>43056</v>
      </c>
      <c r="B44" s="46">
        <f t="shared" ref="B44:B53" si="8">7153278000+2145983000</f>
        <v>9299261000</v>
      </c>
      <c r="C44" s="56">
        <v>8683289400.1220798</v>
      </c>
      <c r="D44" s="45">
        <f>AVERAGE($C$43:C44)</f>
        <v>9017469425.018074</v>
      </c>
      <c r="E44" s="45">
        <f t="shared" si="0"/>
        <v>-281791574.98192596</v>
      </c>
      <c r="F44" s="45">
        <f t="shared" si="1"/>
        <v>-615971599.87792015</v>
      </c>
      <c r="H44" s="46">
        <v>883934000</v>
      </c>
      <c r="I44" s="50">
        <v>885394362.56401002</v>
      </c>
      <c r="J44" s="38">
        <f t="shared" si="2"/>
        <v>1460362.5640100241</v>
      </c>
      <c r="K44" s="35">
        <f t="shared" si="3"/>
        <v>-280331212.41791594</v>
      </c>
      <c r="L44" s="44">
        <f t="shared" si="4"/>
        <v>-614511237.31391013</v>
      </c>
    </row>
    <row r="45" spans="1:12" ht="12.65" customHeight="1">
      <c r="A45" s="33">
        <v>43059</v>
      </c>
      <c r="B45" s="46">
        <f t="shared" si="8"/>
        <v>9299261000</v>
      </c>
      <c r="C45" s="56">
        <v>9956723586.8589001</v>
      </c>
      <c r="D45" s="45">
        <f>AVERAGE($C$43:C45)</f>
        <v>9330554145.6316833</v>
      </c>
      <c r="E45" s="45">
        <f t="shared" si="0"/>
        <v>31293145.63168335</v>
      </c>
      <c r="F45" s="45">
        <f t="shared" si="1"/>
        <v>657462586.85890007</v>
      </c>
      <c r="H45" s="46">
        <v>883934000</v>
      </c>
      <c r="I45" s="50">
        <v>885243674.64782</v>
      </c>
      <c r="J45" s="38">
        <f t="shared" si="2"/>
        <v>1309674.6478199959</v>
      </c>
      <c r="K45" s="35">
        <f t="shared" si="3"/>
        <v>32602820.279503345</v>
      </c>
      <c r="L45" s="44">
        <f t="shared" si="4"/>
        <v>658772261.50672007</v>
      </c>
    </row>
    <row r="46" spans="1:12" ht="12.65" customHeight="1">
      <c r="A46" s="33">
        <v>43060</v>
      </c>
      <c r="B46" s="46">
        <f t="shared" si="8"/>
        <v>9299261000</v>
      </c>
      <c r="C46" s="56">
        <v>9349891983.5255604</v>
      </c>
      <c r="D46" s="45">
        <f>AVERAGE($C$43:C46)</f>
        <v>9335388605.1051521</v>
      </c>
      <c r="E46" s="45">
        <f t="shared" si="0"/>
        <v>36127605.10515213</v>
      </c>
      <c r="F46" s="45">
        <f t="shared" si="1"/>
        <v>50630983.525560379</v>
      </c>
      <c r="H46" s="46">
        <v>883934000</v>
      </c>
      <c r="I46" s="50">
        <v>885280897.52511001</v>
      </c>
      <c r="J46" s="38">
        <f t="shared" si="2"/>
        <v>1346897.5251100063</v>
      </c>
      <c r="K46" s="35">
        <f t="shared" si="3"/>
        <v>37474502.630262136</v>
      </c>
      <c r="L46" s="44">
        <f t="shared" si="4"/>
        <v>51977881.050670385</v>
      </c>
    </row>
    <row r="47" spans="1:12" ht="12.65" customHeight="1">
      <c r="A47" s="33">
        <v>43061</v>
      </c>
      <c r="B47" s="46">
        <f t="shared" si="8"/>
        <v>9299261000</v>
      </c>
      <c r="C47" s="56">
        <v>9352858106.6583691</v>
      </c>
      <c r="D47" s="45">
        <f>AVERAGE($C$43:C47)</f>
        <v>9338882505.4157963</v>
      </c>
      <c r="E47" s="45">
        <f t="shared" si="0"/>
        <v>39621505.41579628</v>
      </c>
      <c r="F47" s="45">
        <f t="shared" si="1"/>
        <v>53597106.658369064</v>
      </c>
      <c r="H47" s="46">
        <v>883934000</v>
      </c>
      <c r="I47" s="50">
        <v>885213637.72996998</v>
      </c>
      <c r="J47" s="38">
        <f t="shared" si="2"/>
        <v>1279637.7299699783</v>
      </c>
      <c r="K47" s="35">
        <f t="shared" si="3"/>
        <v>40901143.145766258</v>
      </c>
      <c r="L47" s="44">
        <f t="shared" si="4"/>
        <v>54876744.388339043</v>
      </c>
    </row>
    <row r="48" spans="1:12" ht="12.65" customHeight="1">
      <c r="A48" s="33">
        <v>43062</v>
      </c>
      <c r="B48" s="46">
        <f t="shared" si="8"/>
        <v>9299261000</v>
      </c>
      <c r="C48" s="56">
        <v>9349858846.8429699</v>
      </c>
      <c r="D48" s="45">
        <f>AVERAGE($C$43:C48)</f>
        <v>9340711895.6536579</v>
      </c>
      <c r="E48" s="45">
        <f t="shared" si="0"/>
        <v>41450895.653657913</v>
      </c>
      <c r="F48" s="45">
        <f t="shared" si="1"/>
        <v>50597846.842969894</v>
      </c>
      <c r="H48" s="46">
        <v>883934000</v>
      </c>
      <c r="I48" s="50">
        <v>885172500.52415001</v>
      </c>
      <c r="J48" s="38">
        <f t="shared" si="2"/>
        <v>1238500.5241500139</v>
      </c>
      <c r="K48" s="35">
        <f t="shared" si="3"/>
        <v>42689396.177807927</v>
      </c>
      <c r="L48" s="44">
        <f t="shared" si="4"/>
        <v>51836347.367119908</v>
      </c>
    </row>
    <row r="49" spans="1:12" ht="12.65" customHeight="1">
      <c r="A49" s="33">
        <v>43063</v>
      </c>
      <c r="B49" s="46">
        <f t="shared" si="8"/>
        <v>9299261000</v>
      </c>
      <c r="C49" s="56">
        <v>9349580438.9914207</v>
      </c>
      <c r="D49" s="45">
        <f>AVERAGE($C$43:C49)</f>
        <v>9341978830.4161968</v>
      </c>
      <c r="E49" s="45">
        <f t="shared" si="0"/>
        <v>42717830.416196823</v>
      </c>
      <c r="F49" s="45">
        <f t="shared" si="1"/>
        <v>50319438.991420746</v>
      </c>
      <c r="H49" s="46">
        <v>864406000</v>
      </c>
      <c r="I49" s="50">
        <v>865485830.38373005</v>
      </c>
      <c r="J49" s="38">
        <f t="shared" si="2"/>
        <v>1079830.3837300539</v>
      </c>
      <c r="K49" s="35">
        <f t="shared" si="3"/>
        <v>43797660.799926877</v>
      </c>
      <c r="L49" s="44">
        <f t="shared" si="4"/>
        <v>51399269.3751508</v>
      </c>
    </row>
    <row r="50" spans="1:12" ht="12.65" customHeight="1">
      <c r="A50" s="33">
        <v>43066</v>
      </c>
      <c r="B50" s="46">
        <f t="shared" si="8"/>
        <v>9299261000</v>
      </c>
      <c r="C50" s="56">
        <v>9352459145.156601</v>
      </c>
      <c r="D50" s="45">
        <f>AVERAGE($C$43:C50)</f>
        <v>9343288869.7587471</v>
      </c>
      <c r="E50" s="45">
        <f t="shared" si="0"/>
        <v>44027869.758747101</v>
      </c>
      <c r="F50" s="45">
        <f t="shared" si="1"/>
        <v>53198145.156600952</v>
      </c>
      <c r="H50" s="46">
        <v>864406000</v>
      </c>
      <c r="I50" s="50">
        <v>865857853.75030994</v>
      </c>
      <c r="J50" s="38">
        <f t="shared" si="2"/>
        <v>1451853.7503099442</v>
      </c>
      <c r="K50" s="35">
        <f t="shared" si="3"/>
        <v>45479723.509057045</v>
      </c>
      <c r="L50" s="44">
        <f t="shared" si="4"/>
        <v>54649998.906910896</v>
      </c>
    </row>
    <row r="51" spans="1:12" ht="12.65" customHeight="1">
      <c r="A51" s="33">
        <v>43067</v>
      </c>
      <c r="B51" s="46">
        <f t="shared" si="8"/>
        <v>9299261000</v>
      </c>
      <c r="C51" s="56">
        <v>9352728724.3153706</v>
      </c>
      <c r="D51" s="45">
        <f>AVERAGE($C$43:C51)</f>
        <v>9344337742.4872608</v>
      </c>
      <c r="E51" s="45">
        <f t="shared" si="0"/>
        <v>45076742.487260818</v>
      </c>
      <c r="F51" s="45">
        <f t="shared" si="1"/>
        <v>53467724.31537056</v>
      </c>
      <c r="H51" s="46">
        <v>864406000</v>
      </c>
      <c r="I51" s="50">
        <v>865563515.24629998</v>
      </c>
      <c r="J51" s="38">
        <f t="shared" si="2"/>
        <v>1157515.2462999821</v>
      </c>
      <c r="K51" s="35">
        <f t="shared" si="3"/>
        <v>46234257.733560801</v>
      </c>
      <c r="L51" s="44">
        <f t="shared" si="4"/>
        <v>54625239.561670542</v>
      </c>
    </row>
    <row r="52" spans="1:12" ht="12.65" customHeight="1">
      <c r="A52" s="33">
        <v>43068</v>
      </c>
      <c r="B52" s="46">
        <f t="shared" si="8"/>
        <v>9299261000</v>
      </c>
      <c r="C52" s="56">
        <v>9360612892.6631203</v>
      </c>
      <c r="D52" s="45">
        <f>AVERAGE($C$43:C52)</f>
        <v>9345965257.5048466</v>
      </c>
      <c r="E52" s="45">
        <f t="shared" si="0"/>
        <v>46704257.504846573</v>
      </c>
      <c r="F52" s="45">
        <f t="shared" si="1"/>
        <v>61351892.66312027</v>
      </c>
      <c r="H52" s="46">
        <v>864406000</v>
      </c>
      <c r="I52" s="50">
        <v>865529665.90894997</v>
      </c>
      <c r="J52" s="38">
        <f t="shared" si="2"/>
        <v>1123665.9089499712</v>
      </c>
      <c r="K52" s="35">
        <f t="shared" si="3"/>
        <v>47827923.413796544</v>
      </c>
      <c r="L52" s="44">
        <f t="shared" si="4"/>
        <v>62475558.572070241</v>
      </c>
    </row>
    <row r="53" spans="1:12" ht="12.65" customHeight="1">
      <c r="A53" s="33">
        <v>43069</v>
      </c>
      <c r="B53" s="46">
        <f t="shared" si="8"/>
        <v>9299261000</v>
      </c>
      <c r="C53" s="56">
        <v>9377791603.2418404</v>
      </c>
      <c r="D53" s="45">
        <f>AVERAGE($C$43:C53)</f>
        <v>9348858561.6627541</v>
      </c>
      <c r="E53" s="45">
        <f t="shared" si="0"/>
        <v>49597561.662754059</v>
      </c>
      <c r="F53" s="45">
        <f t="shared" si="1"/>
        <v>78530603.241840363</v>
      </c>
      <c r="H53" s="46">
        <v>864406000</v>
      </c>
      <c r="I53" s="50">
        <v>866252068.21372998</v>
      </c>
      <c r="J53" s="38">
        <f t="shared" si="2"/>
        <v>1846068.2137299776</v>
      </c>
      <c r="K53" s="35">
        <f t="shared" si="3"/>
        <v>51443629.876484036</v>
      </c>
      <c r="L53" s="44">
        <f t="shared" si="4"/>
        <v>80376671.45557034</v>
      </c>
    </row>
    <row r="54" spans="1:12" ht="12.65" customHeight="1">
      <c r="A54" s="33">
        <v>43073</v>
      </c>
      <c r="B54" s="46">
        <v>9189246264.2496605</v>
      </c>
      <c r="C54" s="56">
        <v>9241572620.7368793</v>
      </c>
      <c r="D54" s="44">
        <f>AVERAGE($C$54:C54)</f>
        <v>9241572620.7368793</v>
      </c>
      <c r="E54" s="45">
        <f t="shared" si="0"/>
        <v>52326356.487218857</v>
      </c>
      <c r="F54" s="45">
        <f t="shared" si="1"/>
        <v>52326356.487218857</v>
      </c>
      <c r="H54" s="46">
        <v>865242000</v>
      </c>
      <c r="I54" s="50">
        <v>866311959.45501006</v>
      </c>
      <c r="J54" s="38">
        <f t="shared" si="2"/>
        <v>1069959.4550100565</v>
      </c>
      <c r="K54" s="35">
        <f t="shared" si="3"/>
        <v>53396315.942228913</v>
      </c>
      <c r="L54" s="44">
        <f t="shared" si="4"/>
        <v>53396315.942228913</v>
      </c>
    </row>
    <row r="55" spans="1:12" ht="12.65" customHeight="1">
      <c r="A55" s="33">
        <v>43074</v>
      </c>
      <c r="B55" s="46">
        <v>9189246264.2496605</v>
      </c>
      <c r="C55" s="56">
        <v>9240563537.8463993</v>
      </c>
      <c r="D55" s="44">
        <f>AVERAGE($C$54:C55)</f>
        <v>9241068079.2916393</v>
      </c>
      <c r="E55" s="45">
        <f t="shared" si="0"/>
        <v>51821815.041978836</v>
      </c>
      <c r="F55" s="45">
        <f t="shared" si="1"/>
        <v>51317273.596738815</v>
      </c>
      <c r="H55" s="46">
        <v>865242000</v>
      </c>
      <c r="I55" s="50">
        <v>866724792.37416995</v>
      </c>
      <c r="J55" s="38">
        <f t="shared" si="2"/>
        <v>1482792.3741699457</v>
      </c>
      <c r="K55" s="35">
        <f t="shared" si="3"/>
        <v>53304607.416148782</v>
      </c>
      <c r="L55" s="44">
        <f t="shared" si="4"/>
        <v>52800065.970908761</v>
      </c>
    </row>
    <row r="56" spans="1:12" ht="12.65" customHeight="1">
      <c r="A56" s="33">
        <v>43075</v>
      </c>
      <c r="B56" s="46">
        <v>9189246264.2496605</v>
      </c>
      <c r="C56" s="56">
        <v>9242796943.7527504</v>
      </c>
      <c r="D56" s="44">
        <f>AVERAGE($C$54:C56)</f>
        <v>9241644367.445343</v>
      </c>
      <c r="E56" s="45">
        <f t="shared" si="0"/>
        <v>52398103.195682526</v>
      </c>
      <c r="F56" s="45">
        <f t="shared" si="1"/>
        <v>53550679.503089905</v>
      </c>
      <c r="H56" s="46">
        <v>865242000</v>
      </c>
      <c r="I56" s="50">
        <v>866467364.33253002</v>
      </c>
      <c r="J56" s="38">
        <f t="shared" si="2"/>
        <v>1225364.3325300217</v>
      </c>
      <c r="K56" s="35">
        <f t="shared" si="3"/>
        <v>53623467.528212547</v>
      </c>
      <c r="L56" s="44">
        <f t="shared" si="4"/>
        <v>54776043.835619926</v>
      </c>
    </row>
    <row r="57" spans="1:12" ht="12.65" customHeight="1">
      <c r="A57" s="33">
        <v>43076</v>
      </c>
      <c r="B57" s="46">
        <v>9189246264.2496605</v>
      </c>
      <c r="C57" s="56">
        <v>9302683788.0836697</v>
      </c>
      <c r="D57" s="44">
        <f>AVERAGE($C$54:C57)</f>
        <v>9256904222.6049252</v>
      </c>
      <c r="E57" s="45">
        <f t="shared" si="0"/>
        <v>67657958.355264664</v>
      </c>
      <c r="F57" s="45">
        <f t="shared" si="1"/>
        <v>113437523.83400917</v>
      </c>
      <c r="H57" s="46">
        <v>865242000</v>
      </c>
      <c r="I57" s="50">
        <v>904233459.61133003</v>
      </c>
      <c r="J57" s="38">
        <f t="shared" si="2"/>
        <v>38991459.611330032</v>
      </c>
      <c r="K57" s="35">
        <f t="shared" si="3"/>
        <v>106649417.9665947</v>
      </c>
      <c r="L57" s="44">
        <f t="shared" si="4"/>
        <v>152428983.4453392</v>
      </c>
    </row>
    <row r="58" spans="1:12" ht="12.65" customHeight="1">
      <c r="A58" s="33">
        <v>43077</v>
      </c>
      <c r="B58" s="46">
        <v>9189246264.2496605</v>
      </c>
      <c r="C58" s="56">
        <v>9243091901.7161407</v>
      </c>
      <c r="D58" s="44">
        <f>AVERAGE($C$54:C58)</f>
        <v>9254141758.4271679</v>
      </c>
      <c r="E58" s="45">
        <f t="shared" si="0"/>
        <v>64895494.177507401</v>
      </c>
      <c r="F58" s="45">
        <f t="shared" si="1"/>
        <v>53845637.466480255</v>
      </c>
      <c r="H58" s="46">
        <v>853138000</v>
      </c>
      <c r="I58" s="50">
        <v>854621982.08638</v>
      </c>
      <c r="J58" s="38">
        <f t="shared" si="2"/>
        <v>1483982.0863800049</v>
      </c>
      <c r="K58" s="35">
        <f t="shared" si="3"/>
        <v>66379476.263887405</v>
      </c>
      <c r="L58" s="44">
        <f t="shared" si="4"/>
        <v>55329619.55286026</v>
      </c>
    </row>
    <row r="59" spans="1:12" ht="12.65" customHeight="1">
      <c r="A59" s="33">
        <v>43080</v>
      </c>
      <c r="B59" s="46">
        <v>9189246264.2496605</v>
      </c>
      <c r="C59" s="56">
        <v>9243358842.0654106</v>
      </c>
      <c r="D59" s="44">
        <f>AVERAGE($C$54:C59)</f>
        <v>9252344605.7002087</v>
      </c>
      <c r="E59" s="45">
        <f t="shared" si="0"/>
        <v>63098341.450548172</v>
      </c>
      <c r="F59" s="45">
        <f t="shared" si="1"/>
        <v>54112577.815750122</v>
      </c>
      <c r="H59" s="46">
        <v>853138000</v>
      </c>
      <c r="I59" s="50">
        <v>854312190.29811001</v>
      </c>
      <c r="J59" s="38">
        <f t="shared" si="2"/>
        <v>1174190.2981100082</v>
      </c>
      <c r="K59" s="35">
        <f t="shared" si="3"/>
        <v>64272531.74865818</v>
      </c>
      <c r="L59" s="44">
        <f t="shared" si="4"/>
        <v>55286768.11386013</v>
      </c>
    </row>
    <row r="60" spans="1:12" ht="12.65" customHeight="1">
      <c r="A60" s="33">
        <v>43081</v>
      </c>
      <c r="B60" s="46">
        <v>9189246264.2496605</v>
      </c>
      <c r="C60" s="56">
        <v>9244232376.7223892</v>
      </c>
      <c r="D60" s="44">
        <f>AVERAGE($C$54:C60)</f>
        <v>9251185715.8462334</v>
      </c>
      <c r="E60" s="45">
        <f t="shared" si="0"/>
        <v>61939451.596572876</v>
      </c>
      <c r="F60" s="45">
        <f t="shared" si="1"/>
        <v>54986112.472728729</v>
      </c>
      <c r="H60" s="46">
        <v>853138000</v>
      </c>
      <c r="I60" s="50">
        <v>854616027.02434003</v>
      </c>
      <c r="J60" s="38">
        <f t="shared" si="2"/>
        <v>1478027.0243400335</v>
      </c>
      <c r="K60" s="35">
        <f t="shared" si="3"/>
        <v>63417478.62091291</v>
      </c>
      <c r="L60" s="44">
        <f t="shared" si="4"/>
        <v>56464139.497068763</v>
      </c>
    </row>
    <row r="61" spans="1:12" ht="12.65" customHeight="1">
      <c r="A61" s="33">
        <v>43082</v>
      </c>
      <c r="B61" s="46">
        <v>9189246264.2496605</v>
      </c>
      <c r="C61" s="56">
        <v>9240735131.0374298</v>
      </c>
      <c r="D61" s="44">
        <f>AVERAGE($C$54:C61)</f>
        <v>9249879392.7451324</v>
      </c>
      <c r="E61" s="45">
        <f t="shared" si="0"/>
        <v>60633128.495471954</v>
      </c>
      <c r="F61" s="45">
        <f t="shared" si="1"/>
        <v>51488866.787769318</v>
      </c>
      <c r="H61" s="46">
        <v>853138000</v>
      </c>
      <c r="I61" s="50">
        <v>854556165.98699999</v>
      </c>
      <c r="J61" s="38">
        <f t="shared" si="2"/>
        <v>1418165.9869999886</v>
      </c>
      <c r="K61" s="35">
        <f t="shared" si="3"/>
        <v>62051294.482471943</v>
      </c>
      <c r="L61" s="44">
        <f t="shared" si="4"/>
        <v>52907032.774769306</v>
      </c>
    </row>
    <row r="62" spans="1:12" ht="12.65" customHeight="1">
      <c r="A62" s="33">
        <v>43083</v>
      </c>
      <c r="B62" s="46">
        <v>9189246264.2496605</v>
      </c>
      <c r="C62" s="56">
        <v>9242334426.8989697</v>
      </c>
      <c r="D62" s="44">
        <f>AVERAGE($C$54:C62)</f>
        <v>9249041063.2066708</v>
      </c>
      <c r="E62" s="45">
        <f t="shared" si="0"/>
        <v>59794798.957010269</v>
      </c>
      <c r="F62" s="45">
        <f t="shared" si="1"/>
        <v>53088162.649309158</v>
      </c>
      <c r="H62" s="46">
        <v>853138000</v>
      </c>
      <c r="I62" s="50">
        <v>854821286.55913997</v>
      </c>
      <c r="J62" s="38">
        <f t="shared" si="2"/>
        <v>1683286.559139967</v>
      </c>
      <c r="K62" s="35">
        <f t="shared" si="3"/>
        <v>61478085.516150236</v>
      </c>
      <c r="L62" s="44">
        <f t="shared" si="4"/>
        <v>54771449.208449125</v>
      </c>
    </row>
    <row r="63" spans="1:12" ht="12.65" customHeight="1">
      <c r="A63" s="33">
        <v>43084</v>
      </c>
      <c r="B63" s="46">
        <v>9189246264.2496605</v>
      </c>
      <c r="C63" s="56">
        <v>9270141134.8654804</v>
      </c>
      <c r="D63" s="44">
        <f>AVERAGE($C$54:C63)</f>
        <v>9251151070.372551</v>
      </c>
      <c r="E63" s="45">
        <f t="shared" si="0"/>
        <v>61904806.122890472</v>
      </c>
      <c r="F63" s="45">
        <f t="shared" si="1"/>
        <v>80894870.615819931</v>
      </c>
      <c r="H63" s="46">
        <v>853138000</v>
      </c>
      <c r="I63" s="50">
        <v>855638504.23543</v>
      </c>
      <c r="J63" s="38">
        <f t="shared" si="2"/>
        <v>2500504.2354300022</v>
      </c>
      <c r="K63" s="35">
        <f t="shared" si="3"/>
        <v>64405310.358320475</v>
      </c>
      <c r="L63" s="44">
        <f t="shared" si="4"/>
        <v>83395374.851249933</v>
      </c>
    </row>
    <row r="64" spans="1:12" ht="12.65" customHeight="1">
      <c r="A64" s="33">
        <v>43087</v>
      </c>
      <c r="B64" s="46">
        <v>9203333168</v>
      </c>
      <c r="C64" s="56">
        <v>14212215887.216299</v>
      </c>
      <c r="D64" s="44">
        <f>AVERAGE($C$64:C64)</f>
        <v>14212215887.216299</v>
      </c>
      <c r="E64" s="45">
        <f t="shared" si="0"/>
        <v>5008882719.2162991</v>
      </c>
      <c r="F64" s="45">
        <f t="shared" si="1"/>
        <v>5008882719.2162991</v>
      </c>
      <c r="H64" s="46">
        <v>850908000</v>
      </c>
      <c r="I64" s="50">
        <v>852362987.2076</v>
      </c>
      <c r="J64" s="38">
        <f t="shared" si="2"/>
        <v>1454987.2075999975</v>
      </c>
      <c r="K64" s="35">
        <f t="shared" si="3"/>
        <v>5010337706.4238987</v>
      </c>
      <c r="L64" s="44">
        <f t="shared" si="4"/>
        <v>5010337706.4238987</v>
      </c>
    </row>
    <row r="65" spans="1:14" ht="12.65" customHeight="1">
      <c r="A65" s="33">
        <v>43088</v>
      </c>
      <c r="B65" s="46">
        <v>9203333168</v>
      </c>
      <c r="C65" s="56">
        <v>14218923205.694599</v>
      </c>
      <c r="D65" s="44">
        <f>AVERAGE($C$64:C65)</f>
        <v>14215569546.455448</v>
      </c>
      <c r="E65" s="45">
        <f t="shared" si="0"/>
        <v>5012236378.4554482</v>
      </c>
      <c r="F65" s="45">
        <f t="shared" si="1"/>
        <v>5015590037.6945992</v>
      </c>
      <c r="H65" s="46">
        <v>850908000</v>
      </c>
      <c r="I65" s="50">
        <v>852059149.35505998</v>
      </c>
      <c r="J65" s="38">
        <f t="shared" si="2"/>
        <v>1151149.3550599813</v>
      </c>
      <c r="K65" s="35">
        <f t="shared" si="3"/>
        <v>5013387527.8105078</v>
      </c>
      <c r="L65" s="44">
        <f t="shared" si="4"/>
        <v>5016741187.0496588</v>
      </c>
    </row>
    <row r="66" spans="1:14" ht="12.65" customHeight="1">
      <c r="A66" s="33">
        <v>43089</v>
      </c>
      <c r="B66" s="46">
        <v>9203333168</v>
      </c>
      <c r="C66" s="56">
        <v>9325912259.4735298</v>
      </c>
      <c r="D66" s="44">
        <f>AVERAGE($C$64:C66)</f>
        <v>12585683784.128143</v>
      </c>
      <c r="E66" s="45">
        <f t="shared" ref="E66:E129" si="9">D66-B66</f>
        <v>3382350616.1281433</v>
      </c>
      <c r="F66" s="45">
        <f t="shared" ref="F66:F129" si="10">C66-B66</f>
        <v>122579091.47352982</v>
      </c>
      <c r="H66" s="46">
        <v>850908000</v>
      </c>
      <c r="I66" s="50">
        <v>852830154.44204998</v>
      </c>
      <c r="J66" s="38">
        <f t="shared" ref="J66:J129" si="11">I66-H66</f>
        <v>1922154.4420499802</v>
      </c>
      <c r="K66" s="35">
        <f t="shared" ref="K66:K129" si="12">E66+J66</f>
        <v>3384272770.5701933</v>
      </c>
      <c r="L66" s="44">
        <f t="shared" ref="L66:L129" si="13">F66+J66</f>
        <v>124501245.9155798</v>
      </c>
    </row>
    <row r="67" spans="1:14" ht="12.65" customHeight="1">
      <c r="A67" s="33">
        <v>43090</v>
      </c>
      <c r="B67" s="46">
        <v>9203333168</v>
      </c>
      <c r="C67" s="56">
        <v>9268538453.8947601</v>
      </c>
      <c r="D67" s="44">
        <f>AVERAGE($C$64:C67)</f>
        <v>11756397451.569798</v>
      </c>
      <c r="E67" s="45">
        <f t="shared" si="9"/>
        <v>2553064283.5697975</v>
      </c>
      <c r="F67" s="45">
        <f t="shared" si="10"/>
        <v>65205285.894760132</v>
      </c>
      <c r="H67" s="46">
        <v>850908000</v>
      </c>
      <c r="I67" s="50">
        <v>889634543.61603999</v>
      </c>
      <c r="J67" s="38">
        <f t="shared" si="11"/>
        <v>38726543.616039991</v>
      </c>
      <c r="K67" s="35">
        <f t="shared" si="12"/>
        <v>2591790827.1858377</v>
      </c>
      <c r="L67" s="44">
        <f t="shared" si="13"/>
        <v>103931829.51080012</v>
      </c>
      <c r="N67" s="1535">
        <v>1000</v>
      </c>
    </row>
    <row r="68" spans="1:14" ht="12.65" customHeight="1">
      <c r="A68" s="33">
        <v>43091</v>
      </c>
      <c r="B68" s="46">
        <v>9203333168</v>
      </c>
      <c r="C68" s="56">
        <v>7603235281.3699408</v>
      </c>
      <c r="D68" s="44">
        <f>AVERAGE($C$64:C68)</f>
        <v>10925765017.529827</v>
      </c>
      <c r="E68" s="45">
        <f t="shared" si="9"/>
        <v>1722431849.5298271</v>
      </c>
      <c r="F68" s="45">
        <f t="shared" si="10"/>
        <v>-1600097886.6300592</v>
      </c>
      <c r="H68" s="46">
        <v>850908000</v>
      </c>
      <c r="I68" s="50">
        <v>895895900.80923998</v>
      </c>
      <c r="J68" s="38">
        <f t="shared" si="11"/>
        <v>44987900.809239984</v>
      </c>
      <c r="K68" s="35">
        <f t="shared" si="12"/>
        <v>1767419750.339067</v>
      </c>
      <c r="L68" s="44">
        <f t="shared" si="13"/>
        <v>-1555109985.8208194</v>
      </c>
    </row>
    <row r="69" spans="1:14" ht="12.65" customHeight="1">
      <c r="A69" s="33">
        <v>43096</v>
      </c>
      <c r="B69" s="46">
        <v>9203333168</v>
      </c>
      <c r="C69" s="56">
        <v>8212076433.1407995</v>
      </c>
      <c r="D69" s="44">
        <f>AVERAGE($C$64:C69)</f>
        <v>10473483586.798323</v>
      </c>
      <c r="E69" s="45">
        <f t="shared" si="9"/>
        <v>1270150418.7983227</v>
      </c>
      <c r="F69" s="45">
        <f t="shared" si="10"/>
        <v>-991256734.85920048</v>
      </c>
      <c r="H69" s="46">
        <v>853361000</v>
      </c>
      <c r="I69" s="50">
        <v>888774654.64664006</v>
      </c>
      <c r="J69" s="38">
        <f t="shared" si="11"/>
        <v>35413654.646640062</v>
      </c>
      <c r="K69" s="35">
        <f t="shared" si="12"/>
        <v>1305564073.4449627</v>
      </c>
      <c r="L69" s="44">
        <f t="shared" si="13"/>
        <v>-955843080.21256042</v>
      </c>
    </row>
    <row r="70" spans="1:14" ht="12.65" customHeight="1">
      <c r="A70" s="33">
        <v>43097</v>
      </c>
      <c r="B70" s="46">
        <v>9203333168</v>
      </c>
      <c r="C70" s="56">
        <v>7894207374.9883404</v>
      </c>
      <c r="D70" s="44">
        <f>AVERAGE($C$64:C70)</f>
        <v>10105015556.539753</v>
      </c>
      <c r="E70" s="45">
        <f t="shared" si="9"/>
        <v>901682388.53975296</v>
      </c>
      <c r="F70" s="45">
        <f t="shared" si="10"/>
        <v>-1309125793.0116596</v>
      </c>
      <c r="H70" s="46">
        <v>853361000</v>
      </c>
      <c r="I70" s="50">
        <v>890873438.0927</v>
      </c>
      <c r="J70" s="38">
        <f t="shared" si="11"/>
        <v>37512438.092700005</v>
      </c>
      <c r="K70" s="35">
        <f t="shared" si="12"/>
        <v>939194826.63245296</v>
      </c>
      <c r="L70" s="44">
        <f t="shared" si="13"/>
        <v>-1271613354.9189596</v>
      </c>
    </row>
    <row r="71" spans="1:14" ht="12.65" customHeight="1">
      <c r="A71" s="33">
        <v>43098</v>
      </c>
      <c r="B71" s="46">
        <v>9203333168</v>
      </c>
      <c r="C71" s="56">
        <v>7627374816.4318504</v>
      </c>
      <c r="D71" s="44">
        <f>AVERAGE($C$64:C71)</f>
        <v>9795310464.0262661</v>
      </c>
      <c r="E71" s="45">
        <f t="shared" si="9"/>
        <v>591977296.0262661</v>
      </c>
      <c r="F71" s="45">
        <f t="shared" si="10"/>
        <v>-1575958351.5681496</v>
      </c>
      <c r="H71" s="46">
        <v>853361000</v>
      </c>
      <c r="I71" s="50">
        <v>896673487.09281003</v>
      </c>
      <c r="J71" s="38">
        <f t="shared" si="11"/>
        <v>43312487.092810035</v>
      </c>
      <c r="K71" s="35">
        <f t="shared" si="12"/>
        <v>635289783.11907613</v>
      </c>
      <c r="L71" s="44">
        <f t="shared" si="13"/>
        <v>-1532645864.4753394</v>
      </c>
    </row>
    <row r="72" spans="1:14" ht="12.65" customHeight="1">
      <c r="A72" s="33">
        <v>43102</v>
      </c>
      <c r="B72" s="46">
        <v>9114351743.4559708</v>
      </c>
      <c r="C72" s="56">
        <v>13811661865.879499</v>
      </c>
      <c r="D72" s="44">
        <f>AVERAGE($C$72:C72)</f>
        <v>13811661865.879499</v>
      </c>
      <c r="E72" s="45">
        <f t="shared" si="9"/>
        <v>4697310122.4235287</v>
      </c>
      <c r="F72" s="45">
        <f t="shared" si="10"/>
        <v>4697310122.4235287</v>
      </c>
      <c r="H72" s="46">
        <v>884116000</v>
      </c>
      <c r="I72" s="50">
        <v>885187104.52986002</v>
      </c>
      <c r="J72" s="38">
        <f t="shared" si="11"/>
        <v>1071104.5298600197</v>
      </c>
      <c r="K72" s="35">
        <f t="shared" si="12"/>
        <v>4698381226.9533882</v>
      </c>
      <c r="L72" s="44">
        <f t="shared" si="13"/>
        <v>4698381226.9533882</v>
      </c>
    </row>
    <row r="73" spans="1:14" ht="12.65" customHeight="1">
      <c r="A73" s="33">
        <v>43103</v>
      </c>
      <c r="B73" s="46">
        <v>9114351743.4559708</v>
      </c>
      <c r="C73" s="56">
        <v>15451397576.753099</v>
      </c>
      <c r="D73" s="44">
        <f>AVERAGE($C$72:C73)</f>
        <v>14631529721.316299</v>
      </c>
      <c r="E73" s="45">
        <f t="shared" si="9"/>
        <v>5517177977.8603287</v>
      </c>
      <c r="F73" s="45">
        <f t="shared" si="10"/>
        <v>6337045833.2971287</v>
      </c>
      <c r="H73" s="46">
        <v>884116000</v>
      </c>
      <c r="I73" s="50">
        <v>885183836.97344995</v>
      </c>
      <c r="J73" s="38">
        <f t="shared" si="11"/>
        <v>1067836.9734499454</v>
      </c>
      <c r="K73" s="35">
        <f t="shared" si="12"/>
        <v>5518245814.8337784</v>
      </c>
      <c r="L73" s="44">
        <f t="shared" si="13"/>
        <v>6338113670.2705784</v>
      </c>
    </row>
    <row r="74" spans="1:14" ht="12.65" customHeight="1">
      <c r="A74" s="33">
        <v>43104</v>
      </c>
      <c r="B74" s="46">
        <v>9114351743.4559708</v>
      </c>
      <c r="C74" s="56">
        <v>9146596605.4022503</v>
      </c>
      <c r="D74" s="44">
        <f>AVERAGE($C$72:C74)</f>
        <v>12803218682.678284</v>
      </c>
      <c r="E74" s="45">
        <f t="shared" si="9"/>
        <v>3688866939.2223129</v>
      </c>
      <c r="F74" s="45">
        <f t="shared" si="10"/>
        <v>32244861.946279526</v>
      </c>
      <c r="H74" s="46">
        <v>884116000</v>
      </c>
      <c r="I74" s="50">
        <v>885258875.07497001</v>
      </c>
      <c r="J74" s="38">
        <f t="shared" si="11"/>
        <v>1142875.0749700069</v>
      </c>
      <c r="K74" s="35">
        <f t="shared" si="12"/>
        <v>3690009814.2972832</v>
      </c>
      <c r="L74" s="44">
        <f t="shared" si="13"/>
        <v>33387737.021249533</v>
      </c>
    </row>
    <row r="75" spans="1:14" ht="12.65" customHeight="1">
      <c r="A75" s="33">
        <v>43105</v>
      </c>
      <c r="B75" s="46">
        <v>9114351743.4559708</v>
      </c>
      <c r="C75" s="56">
        <v>7554398456.1566095</v>
      </c>
      <c r="D75" s="44">
        <f>AVERAGE($C$72:C75)</f>
        <v>11491013626.047865</v>
      </c>
      <c r="E75" s="45">
        <f t="shared" si="9"/>
        <v>2376661882.5918941</v>
      </c>
      <c r="F75" s="45">
        <f t="shared" si="10"/>
        <v>-1559953287.2993612</v>
      </c>
      <c r="H75" s="46">
        <v>884116000</v>
      </c>
      <c r="I75" s="50">
        <v>885505920.78952003</v>
      </c>
      <c r="J75" s="38">
        <f t="shared" si="11"/>
        <v>1389920.7895200253</v>
      </c>
      <c r="K75" s="35">
        <f t="shared" si="12"/>
        <v>2378051803.3814144</v>
      </c>
      <c r="L75" s="44">
        <f t="shared" si="13"/>
        <v>-1558563366.5098412</v>
      </c>
    </row>
    <row r="76" spans="1:14" ht="12.65" customHeight="1">
      <c r="A76" s="33">
        <v>43108</v>
      </c>
      <c r="B76" s="46">
        <v>9114351743.4559708</v>
      </c>
      <c r="C76" s="56">
        <v>7503628806.1995602</v>
      </c>
      <c r="D76" s="44">
        <f>AVERAGE($C$72:C76)</f>
        <v>10693536662.078205</v>
      </c>
      <c r="E76" s="45">
        <f t="shared" si="9"/>
        <v>1579184918.6222343</v>
      </c>
      <c r="F76" s="45">
        <f t="shared" si="10"/>
        <v>-1610722937.2564106</v>
      </c>
      <c r="H76" s="46">
        <v>958980000</v>
      </c>
      <c r="I76" s="50">
        <v>960413777.23427999</v>
      </c>
      <c r="J76" s="38">
        <f t="shared" si="11"/>
        <v>1433777.2342799902</v>
      </c>
      <c r="K76" s="35">
        <f t="shared" si="12"/>
        <v>1580618695.8565145</v>
      </c>
      <c r="L76" s="44">
        <f t="shared" si="13"/>
        <v>-1609289160.0221305</v>
      </c>
    </row>
    <row r="77" spans="1:14" ht="12.65" customHeight="1">
      <c r="A77" s="33">
        <v>43109</v>
      </c>
      <c r="B77" s="46">
        <v>9114351743.4559708</v>
      </c>
      <c r="C77" s="56">
        <v>7533629302.5518703</v>
      </c>
      <c r="D77" s="44">
        <f>AVERAGE($C$72:C77)</f>
        <v>10166885435.490482</v>
      </c>
      <c r="E77" s="45">
        <f t="shared" si="9"/>
        <v>1052533692.0345116</v>
      </c>
      <c r="F77" s="45">
        <f t="shared" si="10"/>
        <v>-1580722440.9041004</v>
      </c>
      <c r="H77" s="46">
        <v>958980000</v>
      </c>
      <c r="I77" s="50">
        <v>960967745.03178</v>
      </c>
      <c r="J77" s="38">
        <f t="shared" si="11"/>
        <v>1987745.0317800045</v>
      </c>
      <c r="K77" s="35">
        <f t="shared" si="12"/>
        <v>1054521437.0662916</v>
      </c>
      <c r="L77" s="44">
        <f t="shared" si="13"/>
        <v>-1578734695.8723204</v>
      </c>
    </row>
    <row r="78" spans="1:14" ht="12.65" customHeight="1">
      <c r="A78" s="33">
        <v>43110</v>
      </c>
      <c r="B78" s="46">
        <v>9114351743.4559708</v>
      </c>
      <c r="C78" s="56">
        <v>7510802268.1127901</v>
      </c>
      <c r="D78" s="44">
        <f>AVERAGE($C$72:C78)</f>
        <v>9787444983.0079556</v>
      </c>
      <c r="E78" s="45">
        <f t="shared" si="9"/>
        <v>673093239.55198479</v>
      </c>
      <c r="F78" s="45">
        <f t="shared" si="10"/>
        <v>-1603549475.3431807</v>
      </c>
      <c r="H78" s="46">
        <v>958980000</v>
      </c>
      <c r="I78" s="50">
        <v>960475047.63845003</v>
      </c>
      <c r="J78" s="38">
        <f t="shared" si="11"/>
        <v>1495047.6384500265</v>
      </c>
      <c r="K78" s="35">
        <f t="shared" si="12"/>
        <v>674588287.19043481</v>
      </c>
      <c r="L78" s="44">
        <f t="shared" si="13"/>
        <v>-1602054427.7047305</v>
      </c>
    </row>
    <row r="79" spans="1:14" ht="12.65" customHeight="1">
      <c r="A79" s="33">
        <v>43111</v>
      </c>
      <c r="B79" s="46">
        <v>9114351743.4559708</v>
      </c>
      <c r="C79" s="56">
        <v>7510525786.0118103</v>
      </c>
      <c r="D79" s="44">
        <f>AVERAGE($C$72:C79)</f>
        <v>9502830083.3834381</v>
      </c>
      <c r="E79" s="45">
        <f t="shared" si="9"/>
        <v>388478339.92746735</v>
      </c>
      <c r="F79" s="45">
        <f t="shared" si="10"/>
        <v>-1603825957.4441605</v>
      </c>
      <c r="H79" s="46">
        <v>958980000</v>
      </c>
      <c r="I79" s="50">
        <v>960433200.09509003</v>
      </c>
      <c r="J79" s="38">
        <f t="shared" si="11"/>
        <v>1453200.0950900316</v>
      </c>
      <c r="K79" s="35">
        <f t="shared" si="12"/>
        <v>389931540.02255738</v>
      </c>
      <c r="L79" s="44">
        <f t="shared" si="13"/>
        <v>-1602372757.3490705</v>
      </c>
    </row>
    <row r="80" spans="1:14" ht="12.65" customHeight="1">
      <c r="A80" s="33">
        <v>43112</v>
      </c>
      <c r="B80" s="46">
        <v>9114351743.4559708</v>
      </c>
      <c r="C80" s="56">
        <v>7539937882.0561705</v>
      </c>
      <c r="D80" s="44">
        <f>AVERAGE($C$72:C80)</f>
        <v>9284730949.9026299</v>
      </c>
      <c r="E80" s="45">
        <f t="shared" si="9"/>
        <v>170379206.44665909</v>
      </c>
      <c r="F80" s="45">
        <f t="shared" si="10"/>
        <v>-1574413861.3998003</v>
      </c>
      <c r="H80" s="46">
        <v>958980000</v>
      </c>
      <c r="I80" s="50">
        <v>960267383.31580997</v>
      </c>
      <c r="J80" s="38">
        <f t="shared" si="11"/>
        <v>1287383.3158099651</v>
      </c>
      <c r="K80" s="35">
        <f t="shared" si="12"/>
        <v>171666589.76246905</v>
      </c>
      <c r="L80" s="44">
        <f t="shared" si="13"/>
        <v>-1573126478.0839903</v>
      </c>
    </row>
    <row r="81" spans="1:14" ht="12.65" customHeight="1">
      <c r="A81" s="33">
        <v>43115</v>
      </c>
      <c r="B81" s="46">
        <v>9114351743.4559708</v>
      </c>
      <c r="C81" s="56">
        <v>8010548059.0876503</v>
      </c>
      <c r="D81" s="44">
        <f>AVERAGE($C$72:C81)</f>
        <v>9157312660.8211327</v>
      </c>
      <c r="E81" s="45">
        <f t="shared" si="9"/>
        <v>42960917.365161896</v>
      </c>
      <c r="F81" s="45">
        <f t="shared" si="10"/>
        <v>-1103803684.3683205</v>
      </c>
      <c r="H81" s="46">
        <v>958980000</v>
      </c>
      <c r="I81" s="50">
        <v>960337630.86293995</v>
      </c>
      <c r="J81" s="38">
        <f t="shared" si="11"/>
        <v>1357630.8629399538</v>
      </c>
      <c r="K81" s="35">
        <f t="shared" si="12"/>
        <v>44318548.22810185</v>
      </c>
      <c r="L81" s="44">
        <f t="shared" si="13"/>
        <v>-1102446053.5053806</v>
      </c>
    </row>
    <row r="82" spans="1:14" ht="12.65" customHeight="1">
      <c r="A82" s="33">
        <v>43116</v>
      </c>
      <c r="B82" s="46">
        <v>9203097813.3707104</v>
      </c>
      <c r="C82" s="56">
        <v>9257184328.7403698</v>
      </c>
      <c r="D82" s="44">
        <f>AVERAGE($C$82:C82)</f>
        <v>9257184328.7403698</v>
      </c>
      <c r="E82" s="45">
        <f t="shared" si="9"/>
        <v>54086515.369659424</v>
      </c>
      <c r="F82" s="45">
        <f t="shared" si="10"/>
        <v>54086515.369659424</v>
      </c>
      <c r="H82" s="46">
        <v>984608000</v>
      </c>
      <c r="I82" s="50">
        <v>985713782.72604001</v>
      </c>
      <c r="J82" s="38">
        <f t="shared" si="11"/>
        <v>1105782.7260400057</v>
      </c>
      <c r="K82" s="35">
        <f t="shared" si="12"/>
        <v>55192298.09569943</v>
      </c>
      <c r="L82" s="44">
        <f t="shared" si="13"/>
        <v>55192298.09569943</v>
      </c>
    </row>
    <row r="83" spans="1:14" ht="12.65" customHeight="1">
      <c r="A83" s="33">
        <v>43117</v>
      </c>
      <c r="B83" s="46">
        <v>9203097813.3707104</v>
      </c>
      <c r="C83" s="56">
        <v>9256384636.9055405</v>
      </c>
      <c r="D83" s="44">
        <f>AVERAGE($C$82:C83)</f>
        <v>9256784482.8229561</v>
      </c>
      <c r="E83" s="45">
        <f t="shared" si="9"/>
        <v>53686669.452245712</v>
      </c>
      <c r="F83" s="45">
        <f t="shared" si="10"/>
        <v>53286823.534830093</v>
      </c>
      <c r="H83" s="46">
        <v>984608000</v>
      </c>
      <c r="I83" s="50">
        <v>985939102.97169006</v>
      </c>
      <c r="J83" s="38">
        <f t="shared" si="11"/>
        <v>1331102.9716900587</v>
      </c>
      <c r="K83" s="35">
        <f t="shared" si="12"/>
        <v>55017772.423935771</v>
      </c>
      <c r="L83" s="44">
        <f t="shared" si="13"/>
        <v>54617926.506520152</v>
      </c>
    </row>
    <row r="84" spans="1:14" ht="12.65" customHeight="1">
      <c r="A84" s="33">
        <v>43118</v>
      </c>
      <c r="B84" s="46">
        <v>9203097813.3707104</v>
      </c>
      <c r="C84" s="56">
        <v>9254041579.0769501</v>
      </c>
      <c r="D84" s="44">
        <f>AVERAGE($C$82:C84)</f>
        <v>9255870181.5742874</v>
      </c>
      <c r="E84" s="45">
        <f t="shared" si="9"/>
        <v>52772368.203577042</v>
      </c>
      <c r="F84" s="45">
        <f t="shared" si="10"/>
        <v>50943765.7062397</v>
      </c>
      <c r="H84" s="46">
        <v>984608000</v>
      </c>
      <c r="I84" s="50">
        <v>986069733.91825998</v>
      </c>
      <c r="J84" s="38">
        <f t="shared" si="11"/>
        <v>1461733.9182599783</v>
      </c>
      <c r="K84" s="35">
        <f t="shared" si="12"/>
        <v>54234102.12183702</v>
      </c>
      <c r="L84" s="44">
        <f t="shared" si="13"/>
        <v>52405499.624499679</v>
      </c>
    </row>
    <row r="85" spans="1:14" ht="12.65" customHeight="1">
      <c r="A85" s="33">
        <v>43119</v>
      </c>
      <c r="B85" s="46">
        <v>9203097813.3707104</v>
      </c>
      <c r="C85" s="56">
        <v>9253965061.0230007</v>
      </c>
      <c r="D85" s="44">
        <f>AVERAGE($C$82:C85)</f>
        <v>9255393901.4364662</v>
      </c>
      <c r="E85" s="45">
        <f t="shared" si="9"/>
        <v>52296088.065755844</v>
      </c>
      <c r="F85" s="45">
        <f t="shared" si="10"/>
        <v>50867247.652290344</v>
      </c>
      <c r="H85" s="46">
        <v>984608000</v>
      </c>
      <c r="I85" s="50">
        <v>986006260.43952</v>
      </c>
      <c r="J85" s="38">
        <f t="shared" si="11"/>
        <v>1398260.4395200014</v>
      </c>
      <c r="K85" s="35">
        <f t="shared" si="12"/>
        <v>53694348.505275846</v>
      </c>
      <c r="L85" s="44">
        <f t="shared" si="13"/>
        <v>52265508.091810346</v>
      </c>
    </row>
    <row r="86" spans="1:14" ht="12.65" customHeight="1">
      <c r="A86" s="33">
        <v>43122</v>
      </c>
      <c r="B86" s="46">
        <v>9203097813.3707104</v>
      </c>
      <c r="C86" s="56">
        <v>9259761009.9304695</v>
      </c>
      <c r="D86" s="44">
        <f>AVERAGE($C$82:C86)</f>
        <v>9256267323.1352654</v>
      </c>
      <c r="E86" s="45">
        <f t="shared" si="9"/>
        <v>53169509.764554977</v>
      </c>
      <c r="F86" s="45">
        <f t="shared" si="10"/>
        <v>56663196.55975914</v>
      </c>
      <c r="H86" s="46">
        <v>984608000</v>
      </c>
      <c r="I86" s="50">
        <v>986065801.10645998</v>
      </c>
      <c r="J86" s="38">
        <f t="shared" si="11"/>
        <v>1457801.1064599752</v>
      </c>
      <c r="K86" s="35">
        <f t="shared" si="12"/>
        <v>54627310.871014953</v>
      </c>
      <c r="L86" s="44">
        <f t="shared" si="13"/>
        <v>58120997.666219115</v>
      </c>
    </row>
    <row r="87" spans="1:14" ht="12.65" customHeight="1">
      <c r="A87" s="33">
        <v>43123</v>
      </c>
      <c r="B87" s="46">
        <v>9203097813.3707104</v>
      </c>
      <c r="C87" s="56">
        <v>9256805911.7511292</v>
      </c>
      <c r="D87" s="44">
        <f>AVERAGE($C$82:C87)</f>
        <v>9256357087.9045773</v>
      </c>
      <c r="E87" s="45">
        <f t="shared" si="9"/>
        <v>53259274.533866882</v>
      </c>
      <c r="F87" s="45">
        <f t="shared" si="10"/>
        <v>53708098.380418777</v>
      </c>
      <c r="H87" s="46">
        <v>984608000</v>
      </c>
      <c r="I87" s="50">
        <v>985816359.97319996</v>
      </c>
      <c r="J87" s="38">
        <f t="shared" si="11"/>
        <v>1208359.9731999636</v>
      </c>
      <c r="K87" s="35">
        <f t="shared" si="12"/>
        <v>54467634.507066846</v>
      </c>
      <c r="L87" s="44">
        <f t="shared" si="13"/>
        <v>54916458.353618741</v>
      </c>
    </row>
    <row r="88" spans="1:14" ht="12.65" customHeight="1">
      <c r="A88" s="33">
        <v>43124</v>
      </c>
      <c r="B88" s="46">
        <v>9203097813.3707104</v>
      </c>
      <c r="C88" s="56">
        <v>9254868559.2661304</v>
      </c>
      <c r="D88" s="44">
        <f>AVERAGE($C$82:C88)</f>
        <v>9256144440.9562263</v>
      </c>
      <c r="E88" s="45">
        <f t="shared" si="9"/>
        <v>53046627.585515976</v>
      </c>
      <c r="F88" s="45">
        <f t="shared" si="10"/>
        <v>51770745.895420074</v>
      </c>
      <c r="H88" s="46">
        <v>953302000</v>
      </c>
      <c r="I88" s="50">
        <v>954382275.36379004</v>
      </c>
      <c r="J88" s="38">
        <f t="shared" si="11"/>
        <v>1080275.3637900352</v>
      </c>
      <c r="K88" s="35">
        <f t="shared" si="12"/>
        <v>54126902.949306011</v>
      </c>
      <c r="L88" s="44">
        <f t="shared" si="13"/>
        <v>52851021.25921011</v>
      </c>
    </row>
    <row r="89" spans="1:14" ht="12.65" customHeight="1">
      <c r="A89" s="33">
        <v>43125</v>
      </c>
      <c r="B89" s="46">
        <v>9203097813.3707104</v>
      </c>
      <c r="C89" s="56">
        <v>9256697644.7699299</v>
      </c>
      <c r="D89" s="44">
        <f>AVERAGE($C$82:C89)</f>
        <v>9256213591.4329395</v>
      </c>
      <c r="E89" s="45">
        <f t="shared" si="9"/>
        <v>53115778.062229156</v>
      </c>
      <c r="F89" s="45">
        <f t="shared" si="10"/>
        <v>53599831.399219513</v>
      </c>
      <c r="H89" s="46">
        <v>953302000</v>
      </c>
      <c r="I89" s="50">
        <v>954628095.64048004</v>
      </c>
      <c r="J89" s="38">
        <f t="shared" si="11"/>
        <v>1326095.6404800415</v>
      </c>
      <c r="K89" s="35">
        <f t="shared" si="12"/>
        <v>54441873.702709198</v>
      </c>
      <c r="L89" s="44">
        <f t="shared" si="13"/>
        <v>54925927.039699554</v>
      </c>
    </row>
    <row r="90" spans="1:14" ht="12.65" customHeight="1">
      <c r="A90" s="33">
        <v>43126</v>
      </c>
      <c r="B90" s="46">
        <v>9203097813.3707104</v>
      </c>
      <c r="C90" s="56">
        <v>8995608063.4141598</v>
      </c>
      <c r="D90" s="44">
        <f>AVERAGE($C$82:C90)</f>
        <v>9227257421.6530743</v>
      </c>
      <c r="E90" s="45">
        <f t="shared" si="9"/>
        <v>24159608.282363892</v>
      </c>
      <c r="F90" s="45">
        <f t="shared" si="10"/>
        <v>-207489749.9565506</v>
      </c>
      <c r="H90" s="46">
        <v>953302000</v>
      </c>
      <c r="I90" s="50">
        <v>954350926.08431005</v>
      </c>
      <c r="J90" s="38">
        <f t="shared" si="11"/>
        <v>1048926.0843100548</v>
      </c>
      <c r="K90" s="35">
        <f t="shared" si="12"/>
        <v>25208534.366673946</v>
      </c>
      <c r="L90" s="44">
        <f t="shared" si="13"/>
        <v>-206440823.87224054</v>
      </c>
    </row>
    <row r="91" spans="1:14" ht="12.65" customHeight="1">
      <c r="A91" s="33">
        <v>43129</v>
      </c>
      <c r="B91" s="46">
        <v>9203097813.3707104</v>
      </c>
      <c r="C91" s="56">
        <v>9256386121.5066109</v>
      </c>
      <c r="D91" s="44">
        <f>AVERAGE($C$82:C91)</f>
        <v>9230170291.6384277</v>
      </c>
      <c r="E91" s="45">
        <f t="shared" si="9"/>
        <v>27072478.267717361</v>
      </c>
      <c r="F91" s="45">
        <f t="shared" si="10"/>
        <v>53288308.135900497</v>
      </c>
      <c r="H91" s="46">
        <v>953302000</v>
      </c>
      <c r="I91" s="50">
        <v>954752878.80560994</v>
      </c>
      <c r="J91" s="38">
        <f t="shared" si="11"/>
        <v>1450878.8056099415</v>
      </c>
      <c r="K91" s="35">
        <f t="shared" si="12"/>
        <v>28523357.073327303</v>
      </c>
      <c r="L91" s="44">
        <f t="shared" si="13"/>
        <v>54739186.941510439</v>
      </c>
    </row>
    <row r="92" spans="1:14" ht="12.65" customHeight="1">
      <c r="A92" s="33">
        <v>43130</v>
      </c>
      <c r="B92" s="46">
        <v>9203097813.3707104</v>
      </c>
      <c r="C92" s="56">
        <v>9257380114.0518208</v>
      </c>
      <c r="D92" s="44">
        <f>AVERAGE($C$82:C92)</f>
        <v>9232643911.8578262</v>
      </c>
      <c r="E92" s="45">
        <f t="shared" si="9"/>
        <v>29546098.48711586</v>
      </c>
      <c r="F92" s="45">
        <f t="shared" si="10"/>
        <v>54282300.681110382</v>
      </c>
      <c r="H92" s="46">
        <v>953302000</v>
      </c>
      <c r="I92" s="50">
        <v>954594757.23433995</v>
      </c>
      <c r="J92" s="38">
        <f t="shared" si="11"/>
        <v>1292757.2343399525</v>
      </c>
      <c r="K92" s="35">
        <f t="shared" si="12"/>
        <v>30838855.721455812</v>
      </c>
      <c r="L92" s="44">
        <f t="shared" si="13"/>
        <v>55575057.915450335</v>
      </c>
    </row>
    <row r="93" spans="1:14" ht="12.65" customHeight="1">
      <c r="A93" s="33">
        <v>43131</v>
      </c>
      <c r="B93" s="46">
        <v>9203097813.3707104</v>
      </c>
      <c r="C93" s="56">
        <v>9260978929.1760807</v>
      </c>
      <c r="D93" s="44">
        <f>AVERAGE($C$82:C93)</f>
        <v>9235005163.3010159</v>
      </c>
      <c r="E93" s="45">
        <f t="shared" si="9"/>
        <v>31907349.930305481</v>
      </c>
      <c r="F93" s="45">
        <f t="shared" si="10"/>
        <v>57881115.805370331</v>
      </c>
      <c r="H93" s="46">
        <v>953302000</v>
      </c>
      <c r="I93" s="50">
        <v>954323931.44359004</v>
      </c>
      <c r="J93" s="38">
        <f t="shared" si="11"/>
        <v>1021931.443590045</v>
      </c>
      <c r="K93" s="35">
        <f t="shared" si="12"/>
        <v>32929281.373895526</v>
      </c>
      <c r="L93" s="44">
        <f t="shared" si="13"/>
        <v>58903047.248960376</v>
      </c>
    </row>
    <row r="94" spans="1:14" ht="12.65" customHeight="1">
      <c r="A94" s="33">
        <v>43132</v>
      </c>
      <c r="B94" s="46">
        <v>8978869552.2455292</v>
      </c>
      <c r="C94" s="56">
        <v>9031913451.0627804</v>
      </c>
      <c r="D94" s="44">
        <f>AVERAGE($C$94:C94)</f>
        <v>9031913451.0627804</v>
      </c>
      <c r="E94" s="45">
        <f t="shared" si="9"/>
        <v>53043898.817251205</v>
      </c>
      <c r="F94" s="45">
        <f t="shared" si="10"/>
        <v>53043898.817251205</v>
      </c>
      <c r="H94" s="46">
        <v>902648000</v>
      </c>
      <c r="I94" s="50">
        <v>903902131.79787004</v>
      </c>
      <c r="J94" s="38">
        <f t="shared" si="11"/>
        <v>1254131.7978700399</v>
      </c>
      <c r="K94" s="35">
        <f t="shared" si="12"/>
        <v>54298030.615121245</v>
      </c>
      <c r="L94" s="44">
        <f t="shared" si="13"/>
        <v>54298030.615121245</v>
      </c>
    </row>
    <row r="95" spans="1:14" ht="12.65" customHeight="1">
      <c r="A95" s="33">
        <v>43133</v>
      </c>
      <c r="B95" s="46">
        <v>8978869552.2455292</v>
      </c>
      <c r="C95" s="56">
        <v>9025703709.3818893</v>
      </c>
      <c r="D95" s="44">
        <f>AVERAGE($C$94:C95)</f>
        <v>9028808580.2223358</v>
      </c>
      <c r="E95" s="45">
        <f t="shared" si="9"/>
        <v>49939027.976806641</v>
      </c>
      <c r="F95" s="45">
        <f t="shared" si="10"/>
        <v>46834157.136360168</v>
      </c>
      <c r="H95" s="46">
        <v>902648000</v>
      </c>
      <c r="I95" s="50">
        <v>903986473.00533998</v>
      </c>
      <c r="J95" s="38">
        <f t="shared" si="11"/>
        <v>1338473.0053399801</v>
      </c>
      <c r="K95" s="35">
        <f t="shared" si="12"/>
        <v>51277500.982146621</v>
      </c>
      <c r="L95" s="44">
        <f t="shared" si="13"/>
        <v>48172630.141700149</v>
      </c>
      <c r="N95" s="1536">
        <v>43101</v>
      </c>
    </row>
    <row r="96" spans="1:14" ht="12.65" customHeight="1">
      <c r="A96" s="33">
        <v>43136</v>
      </c>
      <c r="B96" s="46">
        <v>8978869552.2455292</v>
      </c>
      <c r="C96" s="56">
        <v>9031488987.5878696</v>
      </c>
      <c r="D96" s="44">
        <f>AVERAGE($C$94:C96)</f>
        <v>9029702049.3441792</v>
      </c>
      <c r="E96" s="45">
        <f t="shared" si="9"/>
        <v>50832497.098649979</v>
      </c>
      <c r="F96" s="45">
        <f t="shared" si="10"/>
        <v>52619435.342340469</v>
      </c>
      <c r="H96" s="46">
        <v>902648000</v>
      </c>
      <c r="I96" s="50">
        <v>903902155.21780002</v>
      </c>
      <c r="J96" s="38">
        <f t="shared" si="11"/>
        <v>1254155.2178000212</v>
      </c>
      <c r="K96" s="35">
        <f t="shared" si="12"/>
        <v>52086652.31645</v>
      </c>
      <c r="L96" s="44">
        <f t="shared" si="13"/>
        <v>53873590.560140491</v>
      </c>
      <c r="N96" s="1536">
        <v>43147</v>
      </c>
    </row>
    <row r="97" spans="1:14" ht="12.65" customHeight="1">
      <c r="A97" s="33">
        <v>43137</v>
      </c>
      <c r="B97" s="46">
        <v>8978869552.2455292</v>
      </c>
      <c r="C97" s="56">
        <v>9029508095.6553001</v>
      </c>
      <c r="D97" s="44">
        <f>AVERAGE($C$94:C97)</f>
        <v>9029653560.9219589</v>
      </c>
      <c r="E97" s="45">
        <f t="shared" si="9"/>
        <v>50784008.676429749</v>
      </c>
      <c r="F97" s="45">
        <f t="shared" si="10"/>
        <v>50638543.409770966</v>
      </c>
      <c r="H97" s="46">
        <v>902648000</v>
      </c>
      <c r="I97" s="50">
        <v>903797389.62289</v>
      </c>
      <c r="J97" s="38">
        <f t="shared" si="11"/>
        <v>1149389.6228899956</v>
      </c>
      <c r="K97" s="35">
        <f t="shared" si="12"/>
        <v>51933398.299319744</v>
      </c>
      <c r="L97" s="44">
        <f t="shared" si="13"/>
        <v>51787933.032660961</v>
      </c>
      <c r="N97" s="1536">
        <v>43177</v>
      </c>
    </row>
    <row r="98" spans="1:14" ht="12.65" customHeight="1">
      <c r="A98" s="33">
        <v>43138</v>
      </c>
      <c r="B98" s="46">
        <v>8978869552.2455292</v>
      </c>
      <c r="C98" s="56">
        <v>9030315047.58494</v>
      </c>
      <c r="D98" s="44">
        <f>AVERAGE($C$94:C98)</f>
        <v>9029785858.2545547</v>
      </c>
      <c r="E98" s="45">
        <f t="shared" si="9"/>
        <v>50916306.009025574</v>
      </c>
      <c r="F98" s="45">
        <f t="shared" si="10"/>
        <v>51445495.339410782</v>
      </c>
      <c r="H98" s="46">
        <v>902648000</v>
      </c>
      <c r="I98" s="50">
        <v>904000859.42218995</v>
      </c>
      <c r="J98" s="38">
        <f t="shared" si="11"/>
        <v>1352859.4221899509</v>
      </c>
      <c r="K98" s="35">
        <f t="shared" si="12"/>
        <v>52269165.431215525</v>
      </c>
      <c r="L98" s="44">
        <f t="shared" si="13"/>
        <v>52798354.761600733</v>
      </c>
      <c r="N98" s="1536">
        <v>43189</v>
      </c>
    </row>
    <row r="99" spans="1:14" ht="12.65" customHeight="1">
      <c r="A99" s="33">
        <v>43139</v>
      </c>
      <c r="B99" s="46">
        <v>8978869552.2455292</v>
      </c>
      <c r="C99" s="56">
        <v>9031256452.5990906</v>
      </c>
      <c r="D99" s="44">
        <f>AVERAGE($C$94:C99)</f>
        <v>9030030957.3119774</v>
      </c>
      <c r="E99" s="45">
        <f t="shared" si="9"/>
        <v>51161405.066448212</v>
      </c>
      <c r="F99" s="45">
        <f t="shared" si="10"/>
        <v>52386900.353561401</v>
      </c>
      <c r="H99" s="46">
        <v>945885000</v>
      </c>
      <c r="I99" s="50">
        <v>947352127.61452997</v>
      </c>
      <c r="J99" s="38">
        <f t="shared" si="11"/>
        <v>1467127.6145299673</v>
      </c>
      <c r="K99" s="35">
        <f t="shared" si="12"/>
        <v>52628532.680978179</v>
      </c>
      <c r="L99" s="44">
        <f t="shared" si="13"/>
        <v>53854027.968091369</v>
      </c>
      <c r="N99" s="1536">
        <v>43221</v>
      </c>
    </row>
    <row r="100" spans="1:14" ht="12.65" customHeight="1">
      <c r="A100" s="33">
        <v>43140</v>
      </c>
      <c r="B100" s="46">
        <v>8978869552.2455292</v>
      </c>
      <c r="C100" s="56">
        <v>9030959015.6788692</v>
      </c>
      <c r="D100" s="44">
        <f>AVERAGE($C$94:C100)</f>
        <v>9030163537.0786762</v>
      </c>
      <c r="E100" s="45">
        <f t="shared" si="9"/>
        <v>51293984.833147049</v>
      </c>
      <c r="F100" s="45">
        <f t="shared" si="10"/>
        <v>52089463.433340073</v>
      </c>
      <c r="H100" s="46">
        <v>945885000</v>
      </c>
      <c r="I100" s="50">
        <v>947055815.05435002</v>
      </c>
      <c r="J100" s="38">
        <f t="shared" si="11"/>
        <v>1170815.0543500185</v>
      </c>
      <c r="K100" s="35">
        <f t="shared" si="12"/>
        <v>52464799.887497067</v>
      </c>
      <c r="L100" s="44">
        <f t="shared" si="13"/>
        <v>53260278.487690091</v>
      </c>
      <c r="N100" s="1536">
        <v>43230</v>
      </c>
    </row>
    <row r="101" spans="1:14" ht="12.65" customHeight="1">
      <c r="A101" s="33">
        <v>43143</v>
      </c>
      <c r="B101" s="46">
        <v>8978869552.2455292</v>
      </c>
      <c r="C101" s="56">
        <v>9036974967.4155903</v>
      </c>
      <c r="D101" s="44">
        <f>AVERAGE($C$94:C101)</f>
        <v>9031014965.8707905</v>
      </c>
      <c r="E101" s="45">
        <f t="shared" si="9"/>
        <v>52145413.625261307</v>
      </c>
      <c r="F101" s="45">
        <f t="shared" si="10"/>
        <v>58105415.170061111</v>
      </c>
      <c r="H101" s="46">
        <v>945885000</v>
      </c>
      <c r="I101" s="50">
        <v>947205494.92352998</v>
      </c>
      <c r="J101" s="38">
        <f t="shared" si="11"/>
        <v>1320494.9235299826</v>
      </c>
      <c r="K101" s="35">
        <f t="shared" si="12"/>
        <v>53465908.548791289</v>
      </c>
      <c r="L101" s="44">
        <f t="shared" si="13"/>
        <v>59425910.093591094</v>
      </c>
      <c r="N101" s="1536">
        <v>43249</v>
      </c>
    </row>
    <row r="102" spans="1:14" ht="12.65" customHeight="1">
      <c r="A102" s="33">
        <v>43144</v>
      </c>
      <c r="B102" s="46">
        <v>8978869552.2455292</v>
      </c>
      <c r="C102" s="56">
        <v>9300108516.4174595</v>
      </c>
      <c r="D102" s="44">
        <f>AVERAGE($C$94:C102)</f>
        <v>9060914249.2648659</v>
      </c>
      <c r="E102" s="45">
        <f t="shared" si="9"/>
        <v>82044697.0193367</v>
      </c>
      <c r="F102" s="45">
        <f t="shared" si="10"/>
        <v>321238964.17193031</v>
      </c>
      <c r="H102" s="46">
        <v>945885000</v>
      </c>
      <c r="I102" s="50">
        <v>947143448.77825999</v>
      </c>
      <c r="J102" s="38">
        <f t="shared" si="11"/>
        <v>1258448.7782599926</v>
      </c>
      <c r="K102" s="35">
        <f t="shared" si="12"/>
        <v>83303145.797596693</v>
      </c>
      <c r="L102" s="44">
        <f t="shared" si="13"/>
        <v>322497412.95019031</v>
      </c>
      <c r="N102" s="1536">
        <v>43264</v>
      </c>
    </row>
    <row r="103" spans="1:14" ht="12.65" customHeight="1">
      <c r="A103" s="33">
        <v>43145</v>
      </c>
      <c r="B103" s="46">
        <v>8978869552.2455292</v>
      </c>
      <c r="C103" s="56">
        <v>9097125845.1240807</v>
      </c>
      <c r="D103" s="44">
        <f>AVERAGE($C$94:C103)</f>
        <v>9064535408.8507881</v>
      </c>
      <c r="E103" s="45">
        <f t="shared" si="9"/>
        <v>85665856.605258942</v>
      </c>
      <c r="F103" s="45">
        <f t="shared" si="10"/>
        <v>118256292.87855148</v>
      </c>
      <c r="H103" s="46">
        <v>945885000</v>
      </c>
      <c r="I103" s="50">
        <v>947096305.94935</v>
      </c>
      <c r="J103" s="38">
        <f t="shared" si="11"/>
        <v>1211305.9493499994</v>
      </c>
      <c r="K103" s="35">
        <f t="shared" si="12"/>
        <v>86877162.554608941</v>
      </c>
      <c r="L103" s="44">
        <f t="shared" si="13"/>
        <v>119467598.82790148</v>
      </c>
      <c r="N103" s="1536">
        <v>43265</v>
      </c>
    </row>
    <row r="104" spans="1:14" ht="12.65" customHeight="1">
      <c r="A104" s="33">
        <v>43146</v>
      </c>
      <c r="B104" s="46">
        <v>8978869552.2455292</v>
      </c>
      <c r="C104" s="56">
        <v>9368267543.5471592</v>
      </c>
      <c r="D104" s="44">
        <f>AVERAGE($C$94:C104)</f>
        <v>9092147421.0959129</v>
      </c>
      <c r="E104" s="45">
        <f t="shared" si="9"/>
        <v>113277868.85038376</v>
      </c>
      <c r="F104" s="45">
        <f t="shared" si="10"/>
        <v>389397991.30163002</v>
      </c>
      <c r="H104" s="46">
        <v>945885000</v>
      </c>
      <c r="I104" s="50">
        <v>947064016.13743997</v>
      </c>
      <c r="J104" s="38">
        <f t="shared" si="11"/>
        <v>1179016.1374399662</v>
      </c>
      <c r="K104" s="35">
        <f t="shared" si="12"/>
        <v>114456884.98782372</v>
      </c>
      <c r="L104" s="44">
        <f t="shared" si="13"/>
        <v>390577007.43906999</v>
      </c>
      <c r="N104" s="1536">
        <v>43266</v>
      </c>
    </row>
    <row r="105" spans="1:14" ht="12.65" customHeight="1">
      <c r="A105" s="33">
        <v>43150</v>
      </c>
      <c r="B105" s="46">
        <v>9315701706.2072296</v>
      </c>
      <c r="C105" s="56">
        <v>9367607010.0162392</v>
      </c>
      <c r="D105" s="44">
        <f>AVERAGE($C$105:C105)</f>
        <v>9367607010.0162392</v>
      </c>
      <c r="E105" s="45">
        <f t="shared" si="9"/>
        <v>51905303.809009552</v>
      </c>
      <c r="F105" s="45">
        <f t="shared" si="10"/>
        <v>51905303.809009552</v>
      </c>
      <c r="H105" s="46">
        <v>933457000</v>
      </c>
      <c r="I105" s="50">
        <v>934690067.29069996</v>
      </c>
      <c r="J105" s="38">
        <f t="shared" si="11"/>
        <v>1233067.2906999588</v>
      </c>
      <c r="K105" s="35">
        <f t="shared" si="12"/>
        <v>53138371.099709511</v>
      </c>
      <c r="L105" s="44">
        <f t="shared" si="13"/>
        <v>53138371.099709511</v>
      </c>
      <c r="N105" s="1536">
        <v>43269</v>
      </c>
    </row>
    <row r="106" spans="1:14" ht="12.65" customHeight="1">
      <c r="A106" s="33">
        <v>43151</v>
      </c>
      <c r="B106" s="46">
        <v>9315701706.2072296</v>
      </c>
      <c r="C106" s="56">
        <v>9367640656.1933594</v>
      </c>
      <c r="D106" s="44">
        <f>AVERAGE($C$105:C106)</f>
        <v>9367623833.1047993</v>
      </c>
      <c r="E106" s="45">
        <f t="shared" si="9"/>
        <v>51922126.897569656</v>
      </c>
      <c r="F106" s="45">
        <f t="shared" si="10"/>
        <v>51938949.986129761</v>
      </c>
      <c r="H106" s="46">
        <v>933457000</v>
      </c>
      <c r="I106" s="50">
        <v>934924043.03284001</v>
      </c>
      <c r="J106" s="38">
        <f t="shared" si="11"/>
        <v>1467043.0328400135</v>
      </c>
      <c r="K106" s="35">
        <f t="shared" si="12"/>
        <v>53389169.93040967</v>
      </c>
      <c r="L106" s="44">
        <f t="shared" si="13"/>
        <v>53405993.018969774</v>
      </c>
      <c r="N106" s="1536">
        <v>43329</v>
      </c>
    </row>
    <row r="107" spans="1:14" ht="12.65" customHeight="1">
      <c r="A107" s="33">
        <v>43152</v>
      </c>
      <c r="B107" s="46">
        <v>9315701706.2072296</v>
      </c>
      <c r="C107" s="56">
        <v>9368852268.3565197</v>
      </c>
      <c r="D107" s="44">
        <f>AVERAGE($C$105:C107)</f>
        <v>9368033311.5220394</v>
      </c>
      <c r="E107" s="45">
        <f t="shared" si="9"/>
        <v>52331605.314809799</v>
      </c>
      <c r="F107" s="45">
        <f t="shared" si="10"/>
        <v>53150562.149290085</v>
      </c>
      <c r="H107" s="46">
        <v>933457000</v>
      </c>
      <c r="I107" s="50">
        <v>934816521.10306001</v>
      </c>
      <c r="J107" s="38">
        <f t="shared" si="11"/>
        <v>1359521.1030600071</v>
      </c>
      <c r="K107" s="35">
        <f t="shared" si="12"/>
        <v>53691126.417869806</v>
      </c>
      <c r="L107" s="44">
        <f t="shared" si="13"/>
        <v>54510083.252350092</v>
      </c>
      <c r="N107" s="1536">
        <v>43334</v>
      </c>
    </row>
    <row r="108" spans="1:14" ht="12.65" customHeight="1">
      <c r="A108" s="33">
        <v>43153</v>
      </c>
      <c r="B108" s="46">
        <v>9315701706.2072296</v>
      </c>
      <c r="C108" s="56">
        <v>9367504018.4226704</v>
      </c>
      <c r="D108" s="44">
        <f>AVERAGE($C$105:C108)</f>
        <v>9367900988.2471962</v>
      </c>
      <c r="E108" s="45">
        <f t="shared" si="9"/>
        <v>52199282.039966583</v>
      </c>
      <c r="F108" s="45">
        <f t="shared" si="10"/>
        <v>51802312.21544075</v>
      </c>
      <c r="H108" s="46">
        <v>933457000</v>
      </c>
      <c r="I108" s="50">
        <v>934761326.19092</v>
      </c>
      <c r="J108" s="38">
        <f t="shared" si="11"/>
        <v>1304326.1909199953</v>
      </c>
      <c r="K108" s="35">
        <f t="shared" si="12"/>
        <v>53503608.230886579</v>
      </c>
      <c r="L108" s="44">
        <f t="shared" si="13"/>
        <v>53106638.406360745</v>
      </c>
      <c r="N108" s="1536">
        <v>43354</v>
      </c>
    </row>
    <row r="109" spans="1:14" ht="12.65" customHeight="1">
      <c r="A109" s="33">
        <v>43154</v>
      </c>
      <c r="B109" s="46">
        <v>9315701706.2072296</v>
      </c>
      <c r="C109" s="56">
        <v>9366418690.2793808</v>
      </c>
      <c r="D109" s="44">
        <f>AVERAGE($C$105:C109)</f>
        <v>9367604528.6536331</v>
      </c>
      <c r="E109" s="45">
        <f t="shared" si="9"/>
        <v>51902822.446403503</v>
      </c>
      <c r="F109" s="45">
        <f t="shared" si="10"/>
        <v>50716984.072151184</v>
      </c>
      <c r="H109" s="46">
        <v>933457000</v>
      </c>
      <c r="I109" s="50">
        <v>934801040.68481004</v>
      </c>
      <c r="J109" s="38">
        <f t="shared" si="11"/>
        <v>1344040.6848100424</v>
      </c>
      <c r="K109" s="35">
        <f t="shared" si="12"/>
        <v>53246863.131213546</v>
      </c>
      <c r="L109" s="44">
        <f t="shared" si="13"/>
        <v>52061024.756961226</v>
      </c>
      <c r="N109" s="1536">
        <v>43424</v>
      </c>
    </row>
    <row r="110" spans="1:14" ht="12.65" customHeight="1">
      <c r="A110" s="33">
        <v>43157</v>
      </c>
      <c r="B110" s="46">
        <v>9315701706.2072296</v>
      </c>
      <c r="C110" s="56">
        <v>9369399789.3770905</v>
      </c>
      <c r="D110" s="44">
        <f>AVERAGE($C$105:C110)</f>
        <v>9367903738.77421</v>
      </c>
      <c r="E110" s="45">
        <f t="shared" si="9"/>
        <v>52202032.566980362</v>
      </c>
      <c r="F110" s="45">
        <f t="shared" si="10"/>
        <v>53698083.16986084</v>
      </c>
      <c r="H110" s="46">
        <v>919222000</v>
      </c>
      <c r="I110" s="50">
        <v>920271567.79117</v>
      </c>
      <c r="J110" s="38">
        <f t="shared" si="11"/>
        <v>1049567.791170001</v>
      </c>
      <c r="K110" s="35">
        <f t="shared" si="12"/>
        <v>53251600.358150363</v>
      </c>
      <c r="L110" s="44">
        <f t="shared" si="13"/>
        <v>54747650.961030841</v>
      </c>
      <c r="N110" s="1536">
        <v>43458</v>
      </c>
    </row>
    <row r="111" spans="1:14" ht="12.65" customHeight="1">
      <c r="A111" s="33">
        <v>43158</v>
      </c>
      <c r="B111" s="46">
        <v>9315701706.2072296</v>
      </c>
      <c r="C111" s="56">
        <v>9366158480.0760098</v>
      </c>
      <c r="D111" s="44">
        <f>AVERAGE($C$105:C111)</f>
        <v>9367654416.1030388</v>
      </c>
      <c r="E111" s="45">
        <f t="shared" si="9"/>
        <v>51952709.895809174</v>
      </c>
      <c r="F111" s="45">
        <f t="shared" si="10"/>
        <v>50456773.868780136</v>
      </c>
      <c r="H111" s="46">
        <v>919222000</v>
      </c>
      <c r="I111" s="50">
        <v>920604363.64319003</v>
      </c>
      <c r="J111" s="38">
        <f t="shared" si="11"/>
        <v>1382363.6431900263</v>
      </c>
      <c r="K111" s="35">
        <f t="shared" si="12"/>
        <v>53335073.5389992</v>
      </c>
      <c r="L111" s="44">
        <f t="shared" si="13"/>
        <v>51839137.511970162</v>
      </c>
      <c r="N111" s="1536">
        <v>43459</v>
      </c>
    </row>
    <row r="112" spans="1:14" ht="12.65" customHeight="1">
      <c r="A112" s="33">
        <v>43159</v>
      </c>
      <c r="B112" s="46">
        <v>9315701706.2072296</v>
      </c>
      <c r="C112" s="56">
        <v>9370263661.8241005</v>
      </c>
      <c r="D112" s="44">
        <f>AVERAGE($C$105:C112)</f>
        <v>9367980571.8181705</v>
      </c>
      <c r="E112" s="45">
        <f t="shared" si="9"/>
        <v>52278865.610940933</v>
      </c>
      <c r="F112" s="45">
        <f t="shared" si="10"/>
        <v>54561955.61687088</v>
      </c>
      <c r="H112" s="46">
        <v>919222000</v>
      </c>
      <c r="I112" s="50">
        <v>920711699.41208994</v>
      </c>
      <c r="J112" s="38">
        <f t="shared" si="11"/>
        <v>1489699.4120899439</v>
      </c>
      <c r="K112" s="35">
        <f t="shared" si="12"/>
        <v>53768565.023030877</v>
      </c>
      <c r="L112" s="44">
        <f t="shared" si="13"/>
        <v>56051655.028960824</v>
      </c>
      <c r="N112" s="1536">
        <v>43252</v>
      </c>
    </row>
    <row r="113" spans="1:14" ht="12.65" customHeight="1">
      <c r="A113" s="33">
        <v>43160</v>
      </c>
      <c r="B113" s="46">
        <v>9378015687.8594799</v>
      </c>
      <c r="C113" s="56">
        <v>9883100027.3176804</v>
      </c>
      <c r="D113" s="44">
        <f>AVERAGE($C$113:C113)</f>
        <v>9883100027.3176804</v>
      </c>
      <c r="E113" s="45">
        <f t="shared" si="9"/>
        <v>505084339.45820045</v>
      </c>
      <c r="F113" s="45">
        <f t="shared" si="10"/>
        <v>505084339.45820045</v>
      </c>
      <c r="H113" s="46">
        <v>923530000</v>
      </c>
      <c r="I113" s="50">
        <v>924828220.22562003</v>
      </c>
      <c r="J113" s="38">
        <f t="shared" si="11"/>
        <v>1298220.2256200314</v>
      </c>
      <c r="K113" s="35">
        <f t="shared" si="12"/>
        <v>506382559.68382049</v>
      </c>
      <c r="L113" s="44">
        <f t="shared" si="13"/>
        <v>506382559.68382049</v>
      </c>
      <c r="N113" s="1536">
        <v>43262</v>
      </c>
    </row>
    <row r="114" spans="1:14" ht="12.65" customHeight="1">
      <c r="A114" s="33">
        <v>43161</v>
      </c>
      <c r="B114" s="46">
        <v>9378015687.8594799</v>
      </c>
      <c r="C114" s="56">
        <v>9467742361.7938805</v>
      </c>
      <c r="D114" s="44">
        <f>AVERAGE($C$113:C114)</f>
        <v>9675421194.5557804</v>
      </c>
      <c r="E114" s="45">
        <f t="shared" si="9"/>
        <v>297405506.69630051</v>
      </c>
      <c r="F114" s="45">
        <f t="shared" si="10"/>
        <v>89726673.934400558</v>
      </c>
      <c r="H114" s="46">
        <v>923530000</v>
      </c>
      <c r="I114" s="50">
        <v>924960098.30974996</v>
      </c>
      <c r="J114" s="38">
        <f t="shared" si="11"/>
        <v>1430098.3097499609</v>
      </c>
      <c r="K114" s="35">
        <f t="shared" si="12"/>
        <v>298835605.00605047</v>
      </c>
      <c r="L114" s="44">
        <f t="shared" si="13"/>
        <v>91156772.244150519</v>
      </c>
      <c r="N114" s="1536">
        <v>43263</v>
      </c>
    </row>
    <row r="115" spans="1:14" ht="12.65" customHeight="1">
      <c r="A115" s="33">
        <v>43164</v>
      </c>
      <c r="B115" s="46">
        <v>9378015687.8594799</v>
      </c>
      <c r="C115" s="56">
        <v>9521858988.4428101</v>
      </c>
      <c r="D115" s="44">
        <f>AVERAGE($C$113:C115)</f>
        <v>9624233792.5181236</v>
      </c>
      <c r="E115" s="45">
        <f t="shared" si="9"/>
        <v>246218104.65864372</v>
      </c>
      <c r="F115" s="45">
        <f t="shared" si="10"/>
        <v>143843300.58333015</v>
      </c>
      <c r="H115" s="46">
        <v>923530000</v>
      </c>
      <c r="I115" s="50">
        <v>925060371.50915003</v>
      </c>
      <c r="J115" s="38">
        <f t="shared" si="11"/>
        <v>1530371.5091500282</v>
      </c>
      <c r="K115" s="35">
        <f t="shared" si="12"/>
        <v>247748476.16779375</v>
      </c>
      <c r="L115" s="44">
        <f t="shared" si="13"/>
        <v>145373672.09248018</v>
      </c>
    </row>
    <row r="116" spans="1:14" ht="12.65" customHeight="1">
      <c r="A116" s="33">
        <v>43165</v>
      </c>
      <c r="B116" s="46">
        <v>9378015687.8594799</v>
      </c>
      <c r="C116" s="56">
        <v>9087031129.0510292</v>
      </c>
      <c r="D116" s="44">
        <f>AVERAGE($C$113:C116)</f>
        <v>9489933126.65135</v>
      </c>
      <c r="E116" s="45">
        <f t="shared" si="9"/>
        <v>111917438.79187012</v>
      </c>
      <c r="F116" s="45">
        <f t="shared" si="10"/>
        <v>-290984558.8084507</v>
      </c>
      <c r="H116" s="46">
        <v>923530000</v>
      </c>
      <c r="I116" s="50">
        <v>924552905.17339003</v>
      </c>
      <c r="J116" s="38">
        <f t="shared" si="11"/>
        <v>1022905.1733900309</v>
      </c>
      <c r="K116" s="35">
        <f t="shared" si="12"/>
        <v>112940343.96526015</v>
      </c>
      <c r="L116" s="44">
        <f t="shared" si="13"/>
        <v>-289961653.63506067</v>
      </c>
    </row>
    <row r="117" spans="1:14" ht="12.65" customHeight="1">
      <c r="A117" s="33">
        <v>43166</v>
      </c>
      <c r="B117" s="46">
        <v>9378015687.8594799</v>
      </c>
      <c r="C117" s="56">
        <v>9451695905.1105709</v>
      </c>
      <c r="D117" s="44">
        <f>AVERAGE($C$113:C117)</f>
        <v>9482285682.343195</v>
      </c>
      <c r="E117" s="45">
        <f t="shared" si="9"/>
        <v>104269994.48371506</v>
      </c>
      <c r="F117" s="45">
        <f t="shared" si="10"/>
        <v>73680217.251091003</v>
      </c>
      <c r="H117" s="46">
        <v>923530000</v>
      </c>
      <c r="I117" s="50">
        <v>924730686.40629005</v>
      </c>
      <c r="J117" s="38">
        <f t="shared" si="11"/>
        <v>1200686.4062900543</v>
      </c>
      <c r="K117" s="35">
        <f t="shared" si="12"/>
        <v>105470680.89000511</v>
      </c>
      <c r="L117" s="44">
        <f t="shared" si="13"/>
        <v>74880903.657381058</v>
      </c>
    </row>
    <row r="118" spans="1:14" ht="12.65" customHeight="1">
      <c r="A118" s="33">
        <v>43167</v>
      </c>
      <c r="B118" s="46">
        <v>9378015687.8594799</v>
      </c>
      <c r="C118" s="56">
        <v>9429428537.7895393</v>
      </c>
      <c r="D118" s="44">
        <f>AVERAGE($C$113:C118)</f>
        <v>9473476158.2509174</v>
      </c>
      <c r="E118" s="45">
        <f t="shared" si="9"/>
        <v>95460470.391437531</v>
      </c>
      <c r="F118" s="45">
        <f t="shared" si="10"/>
        <v>51412849.930059433</v>
      </c>
      <c r="H118" s="46">
        <v>922344000</v>
      </c>
      <c r="I118" s="50">
        <v>923567869.57716</v>
      </c>
      <c r="J118" s="38">
        <f t="shared" si="11"/>
        <v>1223869.5771600008</v>
      </c>
      <c r="K118" s="35">
        <f t="shared" si="12"/>
        <v>96684339.968597531</v>
      </c>
      <c r="L118" s="44">
        <f t="shared" si="13"/>
        <v>52636719.507219434</v>
      </c>
    </row>
    <row r="119" spans="1:14" ht="12.65" customHeight="1">
      <c r="A119" s="33">
        <v>43168</v>
      </c>
      <c r="B119" s="46">
        <v>9378015687.8594799</v>
      </c>
      <c r="C119" s="56">
        <v>9430254939.1258507</v>
      </c>
      <c r="D119" s="44">
        <f>AVERAGE($C$113:C119)</f>
        <v>9467301698.3759098</v>
      </c>
      <c r="E119" s="45">
        <f t="shared" si="9"/>
        <v>89286010.516429901</v>
      </c>
      <c r="F119" s="45">
        <f t="shared" si="10"/>
        <v>52239251.266370773</v>
      </c>
      <c r="H119" s="46">
        <v>922344000</v>
      </c>
      <c r="I119" s="50">
        <v>923584327.07005</v>
      </c>
      <c r="J119" s="38">
        <f t="shared" si="11"/>
        <v>1240327.0700500011</v>
      </c>
      <c r="K119" s="35">
        <f t="shared" si="12"/>
        <v>90526337.586479902</v>
      </c>
      <c r="L119" s="44">
        <f t="shared" si="13"/>
        <v>53479578.336420774</v>
      </c>
    </row>
    <row r="120" spans="1:14" ht="12.65" customHeight="1">
      <c r="A120" s="33">
        <v>43171</v>
      </c>
      <c r="B120" s="46">
        <v>9378015687.8594799</v>
      </c>
      <c r="C120" s="56">
        <v>9435286149.6271591</v>
      </c>
      <c r="D120" s="44">
        <f>AVERAGE($C$113:C120)</f>
        <v>9463299754.7823143</v>
      </c>
      <c r="E120" s="45">
        <f t="shared" si="9"/>
        <v>85284066.922834396</v>
      </c>
      <c r="F120" s="45">
        <f t="shared" si="10"/>
        <v>57270461.767679214</v>
      </c>
      <c r="H120" s="46">
        <v>922344000</v>
      </c>
      <c r="I120" s="50">
        <v>923573993.70207</v>
      </c>
      <c r="J120" s="38">
        <f t="shared" si="11"/>
        <v>1229993.7020699978</v>
      </c>
      <c r="K120" s="35">
        <f t="shared" si="12"/>
        <v>86514060.624904394</v>
      </c>
      <c r="L120" s="44">
        <f t="shared" si="13"/>
        <v>58500455.469749212</v>
      </c>
    </row>
    <row r="121" spans="1:14" ht="12.65" customHeight="1">
      <c r="A121" s="33">
        <v>43172</v>
      </c>
      <c r="B121" s="46">
        <v>9378015687.8594799</v>
      </c>
      <c r="C121" s="56">
        <v>9430098686.10672</v>
      </c>
      <c r="D121" s="44">
        <f>AVERAGE($C$113:C121)</f>
        <v>9459610747.1516933</v>
      </c>
      <c r="E121" s="45">
        <f t="shared" si="9"/>
        <v>81595059.29221344</v>
      </c>
      <c r="F121" s="45">
        <f t="shared" si="10"/>
        <v>52082998.247240067</v>
      </c>
      <c r="H121" s="46">
        <v>922344000</v>
      </c>
      <c r="I121" s="50">
        <v>923666291.96762002</v>
      </c>
      <c r="J121" s="38">
        <f t="shared" si="11"/>
        <v>1322291.9676200151</v>
      </c>
      <c r="K121" s="35">
        <f t="shared" si="12"/>
        <v>82917351.259833455</v>
      </c>
      <c r="L121" s="44">
        <f t="shared" si="13"/>
        <v>53405290.214860082</v>
      </c>
    </row>
    <row r="122" spans="1:14" ht="12.65" customHeight="1">
      <c r="A122" s="33">
        <v>43173</v>
      </c>
      <c r="B122" s="46">
        <v>9378015687.8594799</v>
      </c>
      <c r="C122" s="56">
        <v>9450611008.4795609</v>
      </c>
      <c r="D122" s="44">
        <f>AVERAGE($C$113:C122)</f>
        <v>9458710773.2844791</v>
      </c>
      <c r="E122" s="45">
        <f t="shared" si="9"/>
        <v>80695085.424999237</v>
      </c>
      <c r="F122" s="45">
        <f t="shared" si="10"/>
        <v>72595320.620080948</v>
      </c>
      <c r="H122" s="46">
        <v>922344000</v>
      </c>
      <c r="I122" s="50">
        <v>923434758.77162004</v>
      </c>
      <c r="J122" s="38">
        <f t="shared" si="11"/>
        <v>1090758.7716200352</v>
      </c>
      <c r="K122" s="35">
        <f t="shared" si="12"/>
        <v>81785844.196619272</v>
      </c>
      <c r="L122" s="44">
        <f t="shared" si="13"/>
        <v>73686079.391700983</v>
      </c>
    </row>
    <row r="123" spans="1:14" ht="12.65" customHeight="1">
      <c r="A123" s="33">
        <v>43174</v>
      </c>
      <c r="B123" s="46">
        <v>9378015687.8594799</v>
      </c>
      <c r="C123" s="56">
        <v>9431354304.8663006</v>
      </c>
      <c r="D123" s="44">
        <f>AVERAGE($C$113:C123)</f>
        <v>9456223821.6100998</v>
      </c>
      <c r="E123" s="45">
        <f t="shared" si="9"/>
        <v>78208133.750619888</v>
      </c>
      <c r="F123" s="45">
        <f t="shared" si="10"/>
        <v>53338617.006820679</v>
      </c>
      <c r="H123" s="46">
        <v>922344000</v>
      </c>
      <c r="I123" s="50">
        <v>923733519.30092001</v>
      </c>
      <c r="J123" s="38">
        <f t="shared" si="11"/>
        <v>1389519.3009200096</v>
      </c>
      <c r="K123" s="35">
        <f t="shared" si="12"/>
        <v>79597653.051539898</v>
      </c>
      <c r="L123" s="44">
        <f t="shared" si="13"/>
        <v>54728136.307740688</v>
      </c>
    </row>
    <row r="124" spans="1:14" ht="12.65" customHeight="1">
      <c r="A124" s="33">
        <v>43175</v>
      </c>
      <c r="B124" s="46">
        <v>9433138546.6575108</v>
      </c>
      <c r="C124" s="56">
        <v>9488031875.4461098</v>
      </c>
      <c r="D124" s="44">
        <f>AVERAGE($C$113:C124)</f>
        <v>9458874492.7630997</v>
      </c>
      <c r="E124" s="45">
        <f t="shared" si="9"/>
        <v>25735946.105588913</v>
      </c>
      <c r="F124" s="45">
        <f t="shared" si="10"/>
        <v>54893328.788599014</v>
      </c>
      <c r="H124" s="46">
        <v>920813000</v>
      </c>
      <c r="I124" s="50">
        <v>922194446.73635995</v>
      </c>
      <c r="J124" s="38">
        <f t="shared" si="11"/>
        <v>1381446.7363599539</v>
      </c>
      <c r="K124" s="35">
        <f t="shared" si="12"/>
        <v>27117392.841948867</v>
      </c>
      <c r="L124" s="44">
        <f t="shared" si="13"/>
        <v>56274775.524958968</v>
      </c>
    </row>
    <row r="125" spans="1:14" ht="12.65" customHeight="1">
      <c r="A125" s="33">
        <v>43178</v>
      </c>
      <c r="B125" s="46">
        <v>9433138546.6575108</v>
      </c>
      <c r="C125" s="56">
        <v>9486273824.3971806</v>
      </c>
      <c r="D125" s="44">
        <f>AVERAGE($C$113:C125)</f>
        <v>9460982133.6580296</v>
      </c>
      <c r="E125" s="45">
        <f t="shared" si="9"/>
        <v>27843587.000518799</v>
      </c>
      <c r="F125" s="45">
        <f t="shared" si="10"/>
        <v>53135277.7396698</v>
      </c>
      <c r="H125" s="46">
        <v>920813000</v>
      </c>
      <c r="I125" s="50">
        <v>921861539.50427997</v>
      </c>
      <c r="J125" s="38">
        <f t="shared" si="11"/>
        <v>1048539.5042799711</v>
      </c>
      <c r="K125" s="35">
        <f t="shared" si="12"/>
        <v>28892126.50479877</v>
      </c>
      <c r="L125" s="44">
        <f t="shared" si="13"/>
        <v>54183817.243949771</v>
      </c>
    </row>
    <row r="126" spans="1:14" ht="12.65" customHeight="1">
      <c r="A126" s="33">
        <v>43179</v>
      </c>
      <c r="B126" s="46">
        <v>9433138546.6575108</v>
      </c>
      <c r="C126" s="56">
        <v>9485730098.1161804</v>
      </c>
      <c r="D126" s="44">
        <f>AVERAGE($C$113:C126)</f>
        <v>9462749845.4050407</v>
      </c>
      <c r="E126" s="45">
        <f t="shared" si="9"/>
        <v>29611298.747529984</v>
      </c>
      <c r="F126" s="45">
        <f t="shared" si="10"/>
        <v>52591551.458669662</v>
      </c>
      <c r="H126" s="46">
        <v>920813000</v>
      </c>
      <c r="I126" s="50">
        <v>922258575.91755998</v>
      </c>
      <c r="J126" s="38">
        <f t="shared" si="11"/>
        <v>1445575.9175599813</v>
      </c>
      <c r="K126" s="35">
        <f t="shared" si="12"/>
        <v>31056874.665089965</v>
      </c>
      <c r="L126" s="44">
        <f t="shared" si="13"/>
        <v>54037127.376229644</v>
      </c>
    </row>
    <row r="127" spans="1:14" ht="12.65" customHeight="1">
      <c r="A127" s="33">
        <v>43180</v>
      </c>
      <c r="B127" s="46">
        <v>9433138546.6575108</v>
      </c>
      <c r="C127" s="56">
        <v>9487034052.3748894</v>
      </c>
      <c r="D127" s="44">
        <f>AVERAGE($C$113:C127)</f>
        <v>9464368792.5363636</v>
      </c>
      <c r="E127" s="45">
        <f t="shared" si="9"/>
        <v>31230245.878852844</v>
      </c>
      <c r="F127" s="45">
        <f t="shared" si="10"/>
        <v>53895505.717378616</v>
      </c>
      <c r="H127" s="46">
        <v>920813000</v>
      </c>
      <c r="I127" s="50">
        <v>921869452.35970998</v>
      </c>
      <c r="J127" s="38">
        <f t="shared" si="11"/>
        <v>1056452.3597099781</v>
      </c>
      <c r="K127" s="35">
        <f t="shared" si="12"/>
        <v>32286698.238562822</v>
      </c>
      <c r="L127" s="44">
        <f t="shared" si="13"/>
        <v>54951958.077088594</v>
      </c>
    </row>
    <row r="128" spans="1:14" ht="12.65" customHeight="1">
      <c r="A128" s="33">
        <v>43181</v>
      </c>
      <c r="B128" s="46">
        <v>9433138546.6575108</v>
      </c>
      <c r="C128" s="56">
        <v>9488156594.6194592</v>
      </c>
      <c r="D128" s="44">
        <f>AVERAGE($C$113:C128)</f>
        <v>9465855530.1665554</v>
      </c>
      <c r="E128" s="45">
        <f t="shared" si="9"/>
        <v>32716983.509044647</v>
      </c>
      <c r="F128" s="45">
        <f t="shared" si="10"/>
        <v>55018047.961948395</v>
      </c>
      <c r="H128" s="46">
        <v>920813000</v>
      </c>
      <c r="I128" s="50">
        <v>922223598.72402</v>
      </c>
      <c r="J128" s="38">
        <f t="shared" si="11"/>
        <v>1410598.7240200043</v>
      </c>
      <c r="K128" s="35">
        <f t="shared" si="12"/>
        <v>34127582.233064651</v>
      </c>
      <c r="L128" s="44">
        <f t="shared" si="13"/>
        <v>56428646.685968399</v>
      </c>
    </row>
    <row r="129" spans="1:12" ht="12.65" customHeight="1">
      <c r="A129" s="33">
        <v>43182</v>
      </c>
      <c r="B129" s="46">
        <v>9433138546.6575108</v>
      </c>
      <c r="C129" s="56">
        <v>9845218492.1053295</v>
      </c>
      <c r="D129" s="44">
        <f>AVERAGE($C$113:C129)</f>
        <v>9488170998.5158939</v>
      </c>
      <c r="E129" s="45">
        <f t="shared" si="9"/>
        <v>55032451.858383179</v>
      </c>
      <c r="F129" s="45">
        <f t="shared" si="10"/>
        <v>412079945.44781876</v>
      </c>
      <c r="H129" s="46">
        <v>919507000</v>
      </c>
      <c r="I129" s="50">
        <v>922054319.89908004</v>
      </c>
      <c r="J129" s="38">
        <f t="shared" si="11"/>
        <v>2547319.8990800381</v>
      </c>
      <c r="K129" s="35">
        <f t="shared" si="12"/>
        <v>57579771.757463217</v>
      </c>
      <c r="L129" s="44">
        <f t="shared" si="13"/>
        <v>414627265.34689879</v>
      </c>
    </row>
    <row r="130" spans="1:12" ht="12.65" customHeight="1">
      <c r="A130" s="33">
        <v>43185</v>
      </c>
      <c r="B130" s="46">
        <v>9433138546.6575108</v>
      </c>
      <c r="C130" s="56">
        <v>9459223092.4116001</v>
      </c>
      <c r="D130" s="44">
        <f>AVERAGE($C$113:C130)</f>
        <v>9486562781.5100994</v>
      </c>
      <c r="E130" s="45">
        <f t="shared" ref="E130:E193" si="14">D130-B130</f>
        <v>53424234.852588654</v>
      </c>
      <c r="F130" s="45">
        <f t="shared" ref="F130:F193" si="15">C130-B130</f>
        <v>26084545.754089355</v>
      </c>
      <c r="H130" s="46">
        <v>919507000</v>
      </c>
      <c r="I130" s="50">
        <v>921126959.89232004</v>
      </c>
      <c r="J130" s="38">
        <f t="shared" ref="J130:J193" si="16">I130-H130</f>
        <v>1619959.8923200369</v>
      </c>
      <c r="K130" s="35">
        <f t="shared" ref="K130:K193" si="17">E130+J130</f>
        <v>55044194.74490869</v>
      </c>
      <c r="L130" s="44">
        <f t="shared" ref="L130:L193" si="18">F130+J130</f>
        <v>27704505.646409392</v>
      </c>
    </row>
    <row r="131" spans="1:12" ht="12.65" customHeight="1">
      <c r="A131" s="33">
        <v>43186</v>
      </c>
      <c r="B131" s="46">
        <v>9433138546.6575108</v>
      </c>
      <c r="C131" s="56">
        <v>9483777891.9597607</v>
      </c>
      <c r="D131" s="44">
        <f>AVERAGE($C$113:C131)</f>
        <v>9486416208.3758698</v>
      </c>
      <c r="E131" s="45">
        <f t="shared" si="14"/>
        <v>53277661.718358994</v>
      </c>
      <c r="F131" s="45">
        <f t="shared" si="15"/>
        <v>50639345.302249908</v>
      </c>
      <c r="H131" s="46">
        <v>919507000</v>
      </c>
      <c r="I131" s="50">
        <v>920561558.05988002</v>
      </c>
      <c r="J131" s="38">
        <f t="shared" si="16"/>
        <v>1054558.0598800182</v>
      </c>
      <c r="K131" s="35">
        <f t="shared" si="17"/>
        <v>54332219.778239012</v>
      </c>
      <c r="L131" s="44">
        <f t="shared" si="18"/>
        <v>51693903.362129927</v>
      </c>
    </row>
    <row r="132" spans="1:12" ht="12.65" customHeight="1">
      <c r="A132" s="33">
        <v>43187</v>
      </c>
      <c r="B132" s="46">
        <v>9433138546.6575108</v>
      </c>
      <c r="C132" s="56">
        <v>9564572628.92449</v>
      </c>
      <c r="D132" s="44">
        <f>AVERAGE($C$113:C132)</f>
        <v>9490324029.4033012</v>
      </c>
      <c r="E132" s="45">
        <f t="shared" si="14"/>
        <v>57185482.745790482</v>
      </c>
      <c r="F132" s="45">
        <f t="shared" si="15"/>
        <v>131434082.26697922</v>
      </c>
      <c r="H132" s="46">
        <v>919507000</v>
      </c>
      <c r="I132" s="50">
        <v>920779057.56685996</v>
      </c>
      <c r="J132" s="38">
        <f t="shared" si="16"/>
        <v>1272057.5668599606</v>
      </c>
      <c r="K132" s="35">
        <f t="shared" si="17"/>
        <v>58457540.312650442</v>
      </c>
      <c r="L132" s="44">
        <f t="shared" si="18"/>
        <v>132706139.83383918</v>
      </c>
    </row>
    <row r="133" spans="1:12" ht="12.65" customHeight="1">
      <c r="A133" s="33">
        <v>43188</v>
      </c>
      <c r="B133" s="46">
        <v>9433138546.6575108</v>
      </c>
      <c r="C133" s="56">
        <v>9486894122.4950294</v>
      </c>
      <c r="D133" s="44">
        <f>AVERAGE($C$113:C133)</f>
        <v>9490160700.5029087</v>
      </c>
      <c r="E133" s="45">
        <f t="shared" si="14"/>
        <v>57022153.845397949</v>
      </c>
      <c r="F133" s="45">
        <f t="shared" si="15"/>
        <v>53755575.837518692</v>
      </c>
      <c r="H133" s="46">
        <v>919507000</v>
      </c>
      <c r="I133" s="50">
        <v>920643642.95247996</v>
      </c>
      <c r="J133" s="38">
        <f t="shared" si="16"/>
        <v>1136642.9524799585</v>
      </c>
      <c r="K133" s="35">
        <f t="shared" si="17"/>
        <v>58158796.797877908</v>
      </c>
      <c r="L133" s="44">
        <f t="shared" si="18"/>
        <v>54892218.789998651</v>
      </c>
    </row>
    <row r="134" spans="1:12" ht="12.65" customHeight="1">
      <c r="A134" s="33">
        <v>43192</v>
      </c>
      <c r="B134" s="46">
        <v>9372045526.7173195</v>
      </c>
      <c r="C134" s="56">
        <v>9425227160.2398396</v>
      </c>
      <c r="D134" s="44">
        <f>AVERAGE($C$134:C134)</f>
        <v>9425227160.2398396</v>
      </c>
      <c r="E134" s="45">
        <f t="shared" si="14"/>
        <v>53181633.522520065</v>
      </c>
      <c r="F134" s="45">
        <f t="shared" si="15"/>
        <v>53181633.522520065</v>
      </c>
      <c r="H134" s="46">
        <v>895827000</v>
      </c>
      <c r="I134" s="50">
        <v>896902014.31085002</v>
      </c>
      <c r="J134" s="38">
        <f t="shared" si="16"/>
        <v>1075014.3108500242</v>
      </c>
      <c r="K134" s="35">
        <f t="shared" si="17"/>
        <v>54256647.83337009</v>
      </c>
      <c r="L134" s="44">
        <f t="shared" si="18"/>
        <v>54256647.83337009</v>
      </c>
    </row>
    <row r="135" spans="1:12" ht="12.65" customHeight="1">
      <c r="A135" s="33">
        <v>43193</v>
      </c>
      <c r="B135" s="46">
        <v>9372045526.7173195</v>
      </c>
      <c r="C135" s="56">
        <v>9424415112.7669392</v>
      </c>
      <c r="D135" s="44">
        <f>AVERAGE($C$134:C135)</f>
        <v>9424821136.5033894</v>
      </c>
      <c r="E135" s="45">
        <f t="shared" si="14"/>
        <v>52775609.78606987</v>
      </c>
      <c r="F135" s="45">
        <f t="shared" si="15"/>
        <v>52369586.049619675</v>
      </c>
      <c r="H135" s="46">
        <v>895827000</v>
      </c>
      <c r="I135" s="50">
        <v>897127717.33780003</v>
      </c>
      <c r="J135" s="38">
        <f t="shared" si="16"/>
        <v>1300717.3378000259</v>
      </c>
      <c r="K135" s="35">
        <f t="shared" si="17"/>
        <v>54076327.123869896</v>
      </c>
      <c r="L135" s="44">
        <f t="shared" si="18"/>
        <v>53670303.387419701</v>
      </c>
    </row>
    <row r="136" spans="1:12" ht="12.65" customHeight="1">
      <c r="A136" s="33">
        <v>43194</v>
      </c>
      <c r="B136" s="46">
        <v>9372045526.7173195</v>
      </c>
      <c r="C136" s="56">
        <v>9436736278.5450096</v>
      </c>
      <c r="D136" s="44">
        <f>AVERAGE($C$134:C136)</f>
        <v>9428792850.5172634</v>
      </c>
      <c r="E136" s="45">
        <f t="shared" si="14"/>
        <v>56747323.799943924</v>
      </c>
      <c r="F136" s="45">
        <f t="shared" si="15"/>
        <v>64690751.827690125</v>
      </c>
      <c r="H136" s="46">
        <v>895827000</v>
      </c>
      <c r="I136" s="50">
        <v>897073700.26505005</v>
      </c>
      <c r="J136" s="38">
        <f t="shared" si="16"/>
        <v>1246700.2650500536</v>
      </c>
      <c r="K136" s="35">
        <f t="shared" si="17"/>
        <v>57994024.064993978</v>
      </c>
      <c r="L136" s="44">
        <f t="shared" si="18"/>
        <v>65937452.092740178</v>
      </c>
    </row>
    <row r="137" spans="1:12" ht="12.65" customHeight="1">
      <c r="A137" s="33">
        <v>43195</v>
      </c>
      <c r="B137" s="46">
        <v>9372045526.7173195</v>
      </c>
      <c r="C137" s="56">
        <v>9425890214.2454605</v>
      </c>
      <c r="D137" s="44">
        <f>AVERAGE($C$134:C137)</f>
        <v>9428067191.4493122</v>
      </c>
      <c r="E137" s="45">
        <f t="shared" si="14"/>
        <v>56021664.731992722</v>
      </c>
      <c r="F137" s="45">
        <f t="shared" si="15"/>
        <v>53844687.528141022</v>
      </c>
      <c r="H137" s="46">
        <v>895827000</v>
      </c>
      <c r="I137" s="50">
        <v>897324887.67771995</v>
      </c>
      <c r="J137" s="38">
        <f t="shared" si="16"/>
        <v>1497887.6777199507</v>
      </c>
      <c r="K137" s="35">
        <f t="shared" si="17"/>
        <v>57519552.409712672</v>
      </c>
      <c r="L137" s="44">
        <f t="shared" si="18"/>
        <v>55342575.205860972</v>
      </c>
    </row>
    <row r="138" spans="1:12" ht="12.65" customHeight="1">
      <c r="A138" s="33">
        <v>43196</v>
      </c>
      <c r="B138" s="46">
        <v>9372045526.7173195</v>
      </c>
      <c r="C138" s="56">
        <v>9425528605.4610901</v>
      </c>
      <c r="D138" s="44">
        <f>AVERAGE($C$134:C138)</f>
        <v>9427559474.251667</v>
      </c>
      <c r="E138" s="45">
        <f t="shared" si="14"/>
        <v>55513947.534347534</v>
      </c>
      <c r="F138" s="45">
        <f t="shared" si="15"/>
        <v>53483078.743770599</v>
      </c>
      <c r="H138" s="46">
        <v>895827000</v>
      </c>
      <c r="I138" s="50">
        <v>897323976.89374995</v>
      </c>
      <c r="J138" s="38">
        <f t="shared" si="16"/>
        <v>1496976.8937499523</v>
      </c>
      <c r="K138" s="35">
        <f t="shared" si="17"/>
        <v>57010924.428097486</v>
      </c>
      <c r="L138" s="44">
        <f t="shared" si="18"/>
        <v>54980055.637520552</v>
      </c>
    </row>
    <row r="139" spans="1:12" ht="12.65" customHeight="1">
      <c r="A139" s="33">
        <v>43199</v>
      </c>
      <c r="B139" s="46">
        <v>9372045526.7173195</v>
      </c>
      <c r="C139" s="56">
        <v>11391239467.635</v>
      </c>
      <c r="D139" s="44">
        <f>AVERAGE($C$134:C139)</f>
        <v>9754839473.1488895</v>
      </c>
      <c r="E139" s="45">
        <f t="shared" si="14"/>
        <v>382793946.43157005</v>
      </c>
      <c r="F139" s="45">
        <f t="shared" si="15"/>
        <v>2019193940.9176807</v>
      </c>
      <c r="H139" s="46">
        <v>891096000</v>
      </c>
      <c r="I139" s="50">
        <v>893005599.36432004</v>
      </c>
      <c r="J139" s="38">
        <f t="shared" si="16"/>
        <v>1909599.3643200397</v>
      </c>
      <c r="K139" s="35">
        <f t="shared" si="17"/>
        <v>384703545.79589009</v>
      </c>
      <c r="L139" s="44">
        <f t="shared" si="18"/>
        <v>2021103540.2820008</v>
      </c>
    </row>
    <row r="140" spans="1:12" ht="12.65" customHeight="1">
      <c r="A140" s="33">
        <v>43200</v>
      </c>
      <c r="B140" s="46">
        <v>9372045526.7173195</v>
      </c>
      <c r="C140" s="56">
        <v>7453491034.724</v>
      </c>
      <c r="D140" s="44">
        <f>AVERAGE($C$134:C140)</f>
        <v>9426075410.5167637</v>
      </c>
      <c r="E140" s="45">
        <f t="shared" si="14"/>
        <v>54029883.799444199</v>
      </c>
      <c r="F140" s="45">
        <f t="shared" si="15"/>
        <v>-1918554491.9933195</v>
      </c>
      <c r="H140" s="46">
        <v>891096000</v>
      </c>
      <c r="I140" s="50">
        <v>892388719.67238998</v>
      </c>
      <c r="J140" s="38">
        <f t="shared" si="16"/>
        <v>1292719.6723899841</v>
      </c>
      <c r="K140" s="35">
        <f t="shared" si="17"/>
        <v>55322603.471834183</v>
      </c>
      <c r="L140" s="44">
        <f t="shared" si="18"/>
        <v>-1917261772.3209295</v>
      </c>
    </row>
    <row r="141" spans="1:12" ht="12.65" customHeight="1">
      <c r="A141" s="33">
        <v>43201</v>
      </c>
      <c r="B141" s="46">
        <v>9372045526.7173195</v>
      </c>
      <c r="C141" s="56">
        <v>9427965397.6996593</v>
      </c>
      <c r="D141" s="44">
        <f>AVERAGE($C$134:C141)</f>
        <v>9426311658.9146252</v>
      </c>
      <c r="E141" s="45">
        <f t="shared" si="14"/>
        <v>54266132.197305679</v>
      </c>
      <c r="F141" s="45">
        <f t="shared" si="15"/>
        <v>55919870.982339859</v>
      </c>
      <c r="H141" s="46">
        <v>891096000</v>
      </c>
      <c r="I141" s="50">
        <v>892431204.74555004</v>
      </c>
      <c r="J141" s="38">
        <f t="shared" si="16"/>
        <v>1335204.7455500364</v>
      </c>
      <c r="K141" s="35">
        <f t="shared" si="17"/>
        <v>55601336.942855716</v>
      </c>
      <c r="L141" s="44">
        <f t="shared" si="18"/>
        <v>57255075.727889895</v>
      </c>
    </row>
    <row r="142" spans="1:12" ht="12.65" customHeight="1">
      <c r="A142" s="33">
        <v>43202</v>
      </c>
      <c r="B142" s="46">
        <v>9372045526.7173195</v>
      </c>
      <c r="C142" s="56">
        <v>9427284975.9867706</v>
      </c>
      <c r="D142" s="44">
        <f>AVERAGE($C$134:C142)</f>
        <v>9426419805.2559738</v>
      </c>
      <c r="E142" s="45">
        <f t="shared" si="14"/>
        <v>54374278.538654327</v>
      </c>
      <c r="F142" s="45">
        <f t="shared" si="15"/>
        <v>55239449.269451141</v>
      </c>
      <c r="H142" s="46">
        <v>891096000</v>
      </c>
      <c r="I142" s="50">
        <v>892148944.42009997</v>
      </c>
      <c r="J142" s="38">
        <f t="shared" si="16"/>
        <v>1052944.4200999737</v>
      </c>
      <c r="K142" s="35">
        <f t="shared" si="17"/>
        <v>55427222.958754301</v>
      </c>
      <c r="L142" s="44">
        <f t="shared" si="18"/>
        <v>56292393.689551115</v>
      </c>
    </row>
    <row r="143" spans="1:12" ht="12.65" customHeight="1">
      <c r="A143" s="33">
        <v>43203</v>
      </c>
      <c r="B143" s="46">
        <v>9372045526.7173195</v>
      </c>
      <c r="C143" s="56">
        <v>9426201639.6467991</v>
      </c>
      <c r="D143" s="44">
        <f>AVERAGE($C$134:C143)</f>
        <v>9426397988.6950569</v>
      </c>
      <c r="E143" s="45">
        <f t="shared" si="14"/>
        <v>54352461.977737427</v>
      </c>
      <c r="F143" s="45">
        <f t="shared" si="15"/>
        <v>54156112.929479599</v>
      </c>
      <c r="H143" s="46">
        <v>891096000</v>
      </c>
      <c r="I143" s="50">
        <v>892314742.14828002</v>
      </c>
      <c r="J143" s="38">
        <f t="shared" si="16"/>
        <v>1218742.1482800245</v>
      </c>
      <c r="K143" s="35">
        <f t="shared" si="17"/>
        <v>55571204.126017451</v>
      </c>
      <c r="L143" s="44">
        <f t="shared" si="18"/>
        <v>55374855.077759624</v>
      </c>
    </row>
    <row r="144" spans="1:12" ht="12.65" customHeight="1">
      <c r="A144" s="33">
        <v>43206</v>
      </c>
      <c r="B144" s="46">
        <v>9369021279.7880096</v>
      </c>
      <c r="C144" s="56">
        <v>9422569768.9578094</v>
      </c>
      <c r="D144" s="44">
        <f>AVERAGE($C$144:C144)</f>
        <v>9422569768.9578094</v>
      </c>
      <c r="E144" s="45">
        <f t="shared" si="14"/>
        <v>53548489.169799805</v>
      </c>
      <c r="F144" s="45">
        <f t="shared" si="15"/>
        <v>53548489.169799805</v>
      </c>
      <c r="H144" s="46">
        <v>882314000</v>
      </c>
      <c r="I144" s="50">
        <v>925246314.93657994</v>
      </c>
      <c r="J144" s="38">
        <f t="shared" si="16"/>
        <v>42932314.936579943</v>
      </c>
      <c r="K144" s="35">
        <f t="shared" si="17"/>
        <v>96480804.106379747</v>
      </c>
      <c r="L144" s="44">
        <f t="shared" si="18"/>
        <v>96480804.106379747</v>
      </c>
    </row>
    <row r="145" spans="1:12" ht="12.65" customHeight="1">
      <c r="A145" s="33">
        <v>43207</v>
      </c>
      <c r="B145" s="46">
        <v>9369021279.7880096</v>
      </c>
      <c r="C145" s="56">
        <v>9422934771.9746094</v>
      </c>
      <c r="D145" s="44">
        <f>AVERAGE($C$144:C145)</f>
        <v>9422752270.4662094</v>
      </c>
      <c r="E145" s="45">
        <f t="shared" si="14"/>
        <v>53730990.678199768</v>
      </c>
      <c r="F145" s="45">
        <f t="shared" si="15"/>
        <v>53913492.186599731</v>
      </c>
      <c r="H145" s="46">
        <v>882314000</v>
      </c>
      <c r="I145" s="50">
        <v>883663816.86064005</v>
      </c>
      <c r="J145" s="38">
        <f t="shared" si="16"/>
        <v>1349816.860640049</v>
      </c>
      <c r="K145" s="35">
        <f t="shared" si="17"/>
        <v>55080807.538839817</v>
      </c>
      <c r="L145" s="44">
        <f t="shared" si="18"/>
        <v>55263309.04723978</v>
      </c>
    </row>
    <row r="146" spans="1:12" ht="12.65" customHeight="1">
      <c r="A146" s="33">
        <v>43208</v>
      </c>
      <c r="B146" s="46">
        <v>9369021279.7880096</v>
      </c>
      <c r="C146" s="56">
        <v>9421393319.65485</v>
      </c>
      <c r="D146" s="44">
        <f>AVERAGE($C$144:C146)</f>
        <v>9422299286.8624229</v>
      </c>
      <c r="E146" s="45">
        <f t="shared" si="14"/>
        <v>53278007.0744133</v>
      </c>
      <c r="F146" s="45">
        <f t="shared" si="15"/>
        <v>52372039.866840363</v>
      </c>
      <c r="H146" s="46">
        <v>882314000</v>
      </c>
      <c r="I146" s="50">
        <v>883505991.23751998</v>
      </c>
      <c r="J146" s="38">
        <f t="shared" si="16"/>
        <v>1191991.2375199795</v>
      </c>
      <c r="K146" s="35">
        <f t="shared" si="17"/>
        <v>54469998.311933279</v>
      </c>
      <c r="L146" s="44">
        <f t="shared" si="18"/>
        <v>53564031.104360342</v>
      </c>
    </row>
    <row r="147" spans="1:12" ht="12.65" customHeight="1">
      <c r="A147" s="33">
        <v>43209</v>
      </c>
      <c r="B147" s="46">
        <v>9369021279.7880096</v>
      </c>
      <c r="C147" s="56">
        <v>9422077939.7147903</v>
      </c>
      <c r="D147" s="44">
        <f>AVERAGE($C$144:C147)</f>
        <v>9422243950.0755157</v>
      </c>
      <c r="E147" s="45">
        <f t="shared" si="14"/>
        <v>53222670.287506104</v>
      </c>
      <c r="F147" s="45">
        <f t="shared" si="15"/>
        <v>53056659.926780701</v>
      </c>
      <c r="H147" s="46">
        <v>882314000</v>
      </c>
      <c r="I147" s="50">
        <v>883497971.40443003</v>
      </c>
      <c r="J147" s="38">
        <f t="shared" si="16"/>
        <v>1183971.4044300318</v>
      </c>
      <c r="K147" s="35">
        <f t="shared" si="17"/>
        <v>54406641.691936135</v>
      </c>
      <c r="L147" s="44">
        <f t="shared" si="18"/>
        <v>54240631.331210732</v>
      </c>
    </row>
    <row r="148" spans="1:12" ht="12.65" customHeight="1">
      <c r="A148" s="33">
        <v>43210</v>
      </c>
      <c r="B148" s="46">
        <v>9369021279.7880096</v>
      </c>
      <c r="C148" s="56">
        <v>9420442952.8281708</v>
      </c>
      <c r="D148" s="44">
        <f>AVERAGE($C$144:C148)</f>
        <v>9421883750.6260471</v>
      </c>
      <c r="E148" s="45">
        <f t="shared" si="14"/>
        <v>52862470.838037491</v>
      </c>
      <c r="F148" s="45">
        <f t="shared" si="15"/>
        <v>51421673.040161133</v>
      </c>
      <c r="H148" s="46">
        <v>882314000</v>
      </c>
      <c r="I148" s="50">
        <v>884012824.48452997</v>
      </c>
      <c r="J148" s="38">
        <f t="shared" si="16"/>
        <v>1698824.4845299721</v>
      </c>
      <c r="K148" s="35">
        <f t="shared" si="17"/>
        <v>54561295.322567463</v>
      </c>
      <c r="L148" s="44">
        <f t="shared" si="18"/>
        <v>53120497.524691105</v>
      </c>
    </row>
    <row r="149" spans="1:12" ht="12.65" customHeight="1">
      <c r="A149" s="33">
        <v>43213</v>
      </c>
      <c r="B149" s="46">
        <v>9369021279.7880096</v>
      </c>
      <c r="C149" s="56">
        <v>9422346575.3840599</v>
      </c>
      <c r="D149" s="44">
        <f>AVERAGE($C$144:C149)</f>
        <v>9421960888.0857162</v>
      </c>
      <c r="E149" s="45">
        <f t="shared" si="14"/>
        <v>52939608.297706604</v>
      </c>
      <c r="F149" s="45">
        <f t="shared" si="15"/>
        <v>53325295.596050262</v>
      </c>
      <c r="H149" s="46">
        <v>882314000</v>
      </c>
      <c r="I149" s="50">
        <v>883583639.15623999</v>
      </c>
      <c r="J149" s="38">
        <f t="shared" si="16"/>
        <v>1269639.1562399864</v>
      </c>
      <c r="K149" s="35">
        <f t="shared" si="17"/>
        <v>54209247.45394659</v>
      </c>
      <c r="L149" s="44">
        <f t="shared" si="18"/>
        <v>54594934.752290249</v>
      </c>
    </row>
    <row r="150" spans="1:12" ht="12.65" customHeight="1">
      <c r="A150" s="33">
        <v>43214</v>
      </c>
      <c r="B150" s="46">
        <v>9369021279.7880096</v>
      </c>
      <c r="C150" s="56">
        <v>9420526801.5261993</v>
      </c>
      <c r="D150" s="44">
        <f>AVERAGE($C$144:C150)</f>
        <v>9421756018.5772133</v>
      </c>
      <c r="E150" s="45">
        <f t="shared" si="14"/>
        <v>52734738.789203644</v>
      </c>
      <c r="F150" s="45">
        <f t="shared" si="15"/>
        <v>51505521.738189697</v>
      </c>
      <c r="H150" s="46">
        <v>840632000</v>
      </c>
      <c r="I150" s="50">
        <v>841969306.33073997</v>
      </c>
      <c r="J150" s="38">
        <f t="shared" si="16"/>
        <v>1337306.330739975</v>
      </c>
      <c r="K150" s="35">
        <f t="shared" si="17"/>
        <v>54072045.119943619</v>
      </c>
      <c r="L150" s="44">
        <f t="shared" si="18"/>
        <v>52842828.068929672</v>
      </c>
    </row>
    <row r="151" spans="1:12" ht="12.65" customHeight="1">
      <c r="A151" s="33">
        <v>43215</v>
      </c>
      <c r="B151" s="46">
        <v>9369021279.7880096</v>
      </c>
      <c r="C151" s="56">
        <v>8802665351.6904202</v>
      </c>
      <c r="D151" s="44">
        <f>AVERAGE($C$144:C151)</f>
        <v>9344369685.2163639</v>
      </c>
      <c r="E151" s="45">
        <f t="shared" si="14"/>
        <v>-24651594.571645737</v>
      </c>
      <c r="F151" s="45">
        <f t="shared" si="15"/>
        <v>-566355928.09758949</v>
      </c>
      <c r="H151" s="46">
        <v>840632000</v>
      </c>
      <c r="I151" s="50">
        <v>842058892.12240005</v>
      </c>
      <c r="J151" s="38">
        <f t="shared" si="16"/>
        <v>1426892.1224000454</v>
      </c>
      <c r="K151" s="35">
        <f t="shared" si="17"/>
        <v>-23224702.449245691</v>
      </c>
      <c r="L151" s="44">
        <f t="shared" si="18"/>
        <v>-564929035.97518945</v>
      </c>
    </row>
    <row r="152" spans="1:12" ht="12.65" customHeight="1">
      <c r="A152" s="33">
        <v>43216</v>
      </c>
      <c r="B152" s="46">
        <v>9369021279.7880096</v>
      </c>
      <c r="C152" s="56">
        <v>10821596589.6126</v>
      </c>
      <c r="D152" s="44">
        <f>AVERAGE($C$144:C152)</f>
        <v>9508506007.9270554</v>
      </c>
      <c r="E152" s="45">
        <f t="shared" si="14"/>
        <v>139484728.13904572</v>
      </c>
      <c r="F152" s="45">
        <f t="shared" si="15"/>
        <v>1452575309.8245907</v>
      </c>
      <c r="H152" s="46">
        <v>840632000</v>
      </c>
      <c r="I152" s="50">
        <v>842002738.66983998</v>
      </c>
      <c r="J152" s="38">
        <f t="shared" si="16"/>
        <v>1370738.6698399782</v>
      </c>
      <c r="K152" s="35">
        <f t="shared" si="17"/>
        <v>140855466.80888569</v>
      </c>
      <c r="L152" s="44">
        <f t="shared" si="18"/>
        <v>1453946048.4944305</v>
      </c>
    </row>
    <row r="153" spans="1:12" ht="12.65" customHeight="1">
      <c r="A153" s="33">
        <v>43217</v>
      </c>
      <c r="B153" s="46">
        <v>9369021279.7880096</v>
      </c>
      <c r="C153" s="56">
        <v>10372156520.5184</v>
      </c>
      <c r="D153" s="44">
        <f>AVERAGE($C$144:C153)</f>
        <v>9594871059.1861916</v>
      </c>
      <c r="E153" s="45">
        <f t="shared" si="14"/>
        <v>225849779.39818192</v>
      </c>
      <c r="F153" s="45">
        <f t="shared" si="15"/>
        <v>1003135240.7303905</v>
      </c>
      <c r="H153" s="46">
        <v>840632000</v>
      </c>
      <c r="I153" s="50">
        <v>841909960.47800004</v>
      </c>
      <c r="J153" s="38">
        <f t="shared" si="16"/>
        <v>1277960.4780000448</v>
      </c>
      <c r="K153" s="35">
        <f t="shared" si="17"/>
        <v>227127739.87618196</v>
      </c>
      <c r="L153" s="44">
        <f t="shared" si="18"/>
        <v>1004413201.2083906</v>
      </c>
    </row>
    <row r="154" spans="1:12" ht="12.65" customHeight="1">
      <c r="A154" s="33">
        <v>43220</v>
      </c>
      <c r="B154" s="46">
        <v>9369021279.7880096</v>
      </c>
      <c r="C154" s="56">
        <v>7508640994.7151499</v>
      </c>
      <c r="D154" s="44">
        <f>AVERAGE($C$144:C154)</f>
        <v>9405213780.5979137</v>
      </c>
      <c r="E154" s="45">
        <f t="shared" si="14"/>
        <v>36192500.809904099</v>
      </c>
      <c r="F154" s="45">
        <f t="shared" si="15"/>
        <v>-1860380285.0728598</v>
      </c>
      <c r="H154" s="46">
        <v>840632000</v>
      </c>
      <c r="I154" s="50">
        <v>841776003.50274003</v>
      </c>
      <c r="J154" s="38">
        <f t="shared" si="16"/>
        <v>1144003.5027400255</v>
      </c>
      <c r="K154" s="35">
        <f t="shared" si="17"/>
        <v>37336504.312644124</v>
      </c>
      <c r="L154" s="44">
        <f t="shared" si="18"/>
        <v>-1859236281.5701199</v>
      </c>
    </row>
    <row r="155" spans="1:12" ht="12.65" customHeight="1">
      <c r="A155" s="33">
        <v>43222</v>
      </c>
      <c r="B155" s="46">
        <v>9365193735.4510498</v>
      </c>
      <c r="C155" s="56">
        <v>8103899353.0391598</v>
      </c>
      <c r="D155" s="44">
        <f>AVERAGE($C$144:C155)</f>
        <v>9296770911.6346836</v>
      </c>
      <c r="E155" s="45">
        <f t="shared" si="14"/>
        <v>-68422823.816366196</v>
      </c>
      <c r="F155" s="45">
        <f t="shared" si="15"/>
        <v>-1261294382.41189</v>
      </c>
      <c r="H155" s="46">
        <v>824449000</v>
      </c>
      <c r="I155" s="50">
        <v>826275209.03066003</v>
      </c>
      <c r="J155" s="38">
        <f t="shared" si="16"/>
        <v>1826209.0306600332</v>
      </c>
      <c r="K155" s="35">
        <f t="shared" si="17"/>
        <v>-66596614.785706162</v>
      </c>
      <c r="L155" s="44">
        <f t="shared" si="18"/>
        <v>-1259468173.3812299</v>
      </c>
    </row>
    <row r="156" spans="1:12" ht="12.65" customHeight="1">
      <c r="A156" s="33">
        <v>43223</v>
      </c>
      <c r="B156" s="46">
        <v>9365193735.4510498</v>
      </c>
      <c r="C156" s="56">
        <v>12041796542.249599</v>
      </c>
      <c r="D156" s="44">
        <f>AVERAGE($C$144:C156)</f>
        <v>9507926729.3742943</v>
      </c>
      <c r="E156" s="45">
        <f t="shared" si="14"/>
        <v>142732993.92324448</v>
      </c>
      <c r="F156" s="45">
        <f t="shared" si="15"/>
        <v>2676602806.7985497</v>
      </c>
      <c r="H156" s="46">
        <v>824449000</v>
      </c>
      <c r="I156" s="50">
        <v>825619915.16217995</v>
      </c>
      <c r="J156" s="38">
        <f t="shared" si="16"/>
        <v>1170915.1621799469</v>
      </c>
      <c r="K156" s="35">
        <f t="shared" si="17"/>
        <v>143903909.08542442</v>
      </c>
      <c r="L156" s="44">
        <f t="shared" si="18"/>
        <v>2677773721.9607296</v>
      </c>
    </row>
    <row r="157" spans="1:12" ht="12.65" customHeight="1">
      <c r="A157" s="33">
        <v>43224</v>
      </c>
      <c r="B157" s="46">
        <v>9365193735.4510498</v>
      </c>
      <c r="C157" s="56">
        <v>8031258194.9097404</v>
      </c>
      <c r="D157" s="44">
        <f>AVERAGE($C$144:C157)</f>
        <v>9402450405.4839687</v>
      </c>
      <c r="E157" s="45">
        <f t="shared" si="14"/>
        <v>37256670.03291893</v>
      </c>
      <c r="F157" s="45">
        <f t="shared" si="15"/>
        <v>-1333935540.5413094</v>
      </c>
      <c r="H157" s="46">
        <v>824449000</v>
      </c>
      <c r="I157" s="50">
        <v>825873702.44052994</v>
      </c>
      <c r="J157" s="38">
        <f t="shared" si="16"/>
        <v>1424702.4405299425</v>
      </c>
      <c r="K157" s="35">
        <f t="shared" si="17"/>
        <v>38681372.473448873</v>
      </c>
      <c r="L157" s="44">
        <f t="shared" si="18"/>
        <v>-1332510838.1007795</v>
      </c>
    </row>
    <row r="158" spans="1:12" ht="12.65" customHeight="1">
      <c r="A158" s="33">
        <v>43227</v>
      </c>
      <c r="B158" s="46">
        <v>9365193735.4510498</v>
      </c>
      <c r="C158" s="56">
        <v>9415807419.4724407</v>
      </c>
      <c r="D158" s="44">
        <f>AVERAGE($C$144:C158)</f>
        <v>9403340873.0831985</v>
      </c>
      <c r="E158" s="45">
        <f t="shared" si="14"/>
        <v>38147137.632148743</v>
      </c>
      <c r="F158" s="45">
        <f t="shared" si="15"/>
        <v>50613684.021390915</v>
      </c>
      <c r="H158" s="46">
        <v>824449000</v>
      </c>
      <c r="I158" s="50">
        <v>825700405.14146996</v>
      </c>
      <c r="J158" s="38">
        <f t="shared" si="16"/>
        <v>1251405.1414699554</v>
      </c>
      <c r="K158" s="35">
        <f t="shared" si="17"/>
        <v>39398542.773618698</v>
      </c>
      <c r="L158" s="44">
        <f t="shared" si="18"/>
        <v>51865089.16286087</v>
      </c>
    </row>
    <row r="159" spans="1:12" ht="12.65" customHeight="1">
      <c r="A159" s="33">
        <v>43228</v>
      </c>
      <c r="B159" s="46">
        <v>9365193735.4510498</v>
      </c>
      <c r="C159" s="56">
        <v>9486054274.3271408</v>
      </c>
      <c r="D159" s="44">
        <f>AVERAGE($C$144:C159)</f>
        <v>9408510460.6609459</v>
      </c>
      <c r="E159" s="45">
        <f t="shared" si="14"/>
        <v>43316725.209896088</v>
      </c>
      <c r="F159" s="45">
        <f t="shared" si="15"/>
        <v>120860538.876091</v>
      </c>
      <c r="H159" s="46">
        <v>836287000</v>
      </c>
      <c r="I159" s="50">
        <v>837432279.28680003</v>
      </c>
      <c r="J159" s="38">
        <f t="shared" si="16"/>
        <v>1145279.2868000269</v>
      </c>
      <c r="K159" s="35">
        <f t="shared" si="17"/>
        <v>44462004.496696115</v>
      </c>
      <c r="L159" s="44">
        <f t="shared" si="18"/>
        <v>122005818.16289103</v>
      </c>
    </row>
    <row r="160" spans="1:12" ht="12.65" customHeight="1">
      <c r="A160" s="33">
        <v>43229</v>
      </c>
      <c r="B160" s="46">
        <v>9365193735.4510498</v>
      </c>
      <c r="C160" s="56">
        <v>9546259479.7721806</v>
      </c>
      <c r="D160" s="44">
        <f>AVERAGE($C$144:C160)</f>
        <v>9416613344.1380768</v>
      </c>
      <c r="E160" s="45">
        <f t="shared" si="14"/>
        <v>51419608.687026978</v>
      </c>
      <c r="F160" s="45">
        <f t="shared" si="15"/>
        <v>181065744.32113075</v>
      </c>
      <c r="H160" s="46">
        <v>836287000</v>
      </c>
      <c r="I160" s="50">
        <v>837472067.2615</v>
      </c>
      <c r="J160" s="38">
        <f t="shared" si="16"/>
        <v>1185067.261500001</v>
      </c>
      <c r="K160" s="35">
        <f t="shared" si="17"/>
        <v>52604675.948526978</v>
      </c>
      <c r="L160" s="44">
        <f t="shared" si="18"/>
        <v>182250811.58263075</v>
      </c>
    </row>
    <row r="161" spans="1:12" ht="12.65" customHeight="1">
      <c r="A161" s="33">
        <v>43231</v>
      </c>
      <c r="B161" s="46">
        <v>9365193735.4510498</v>
      </c>
      <c r="C161" s="56">
        <v>9421371497.6921406</v>
      </c>
      <c r="D161" s="44">
        <f>AVERAGE($C$144:C161)</f>
        <v>9416877686.0021915</v>
      </c>
      <c r="E161" s="45">
        <f t="shared" si="14"/>
        <v>51683950.551141739</v>
      </c>
      <c r="F161" s="45">
        <f t="shared" si="15"/>
        <v>56177762.241090775</v>
      </c>
      <c r="H161" s="46">
        <v>836287000</v>
      </c>
      <c r="I161" s="50">
        <v>837700726.20397997</v>
      </c>
      <c r="J161" s="38">
        <f t="shared" si="16"/>
        <v>1413726.203979969</v>
      </c>
      <c r="K161" s="35">
        <f t="shared" si="17"/>
        <v>53097676.755121708</v>
      </c>
      <c r="L161" s="44">
        <f t="shared" si="18"/>
        <v>57591488.445070744</v>
      </c>
    </row>
    <row r="162" spans="1:12" ht="12.65" customHeight="1">
      <c r="A162" s="33">
        <v>43234</v>
      </c>
      <c r="B162" s="46">
        <v>9365193735.4510498</v>
      </c>
      <c r="C162" s="56">
        <v>9398949390.5748291</v>
      </c>
      <c r="D162" s="44">
        <f>AVERAGE($C$144:C162)</f>
        <v>9415934091.5060158</v>
      </c>
      <c r="E162" s="45">
        <f t="shared" si="14"/>
        <v>50740356.054965973</v>
      </c>
      <c r="F162" s="45">
        <f t="shared" si="15"/>
        <v>33755655.123779297</v>
      </c>
      <c r="H162" s="46">
        <v>836287000</v>
      </c>
      <c r="I162" s="50">
        <v>837435583.11703002</v>
      </c>
      <c r="J162" s="38">
        <f t="shared" si="16"/>
        <v>1148583.1170300245</v>
      </c>
      <c r="K162" s="35">
        <f t="shared" si="17"/>
        <v>51888939.171995997</v>
      </c>
      <c r="L162" s="44">
        <f t="shared" si="18"/>
        <v>34904238.240809321</v>
      </c>
    </row>
    <row r="163" spans="1:12" ht="12.65" customHeight="1">
      <c r="A163" s="33">
        <v>43235</v>
      </c>
      <c r="B163" s="46">
        <v>9365193735.4510498</v>
      </c>
      <c r="C163" s="56">
        <v>9408753930.3951702</v>
      </c>
      <c r="D163" s="44">
        <f>AVERAGE($C$144:C163)</f>
        <v>9415575083.4504738</v>
      </c>
      <c r="E163" s="45">
        <f t="shared" si="14"/>
        <v>50381347.999423981</v>
      </c>
      <c r="F163" s="45">
        <f t="shared" si="15"/>
        <v>43560194.944120407</v>
      </c>
      <c r="H163" s="46">
        <v>836287000</v>
      </c>
      <c r="I163" s="50">
        <v>837468411.95582998</v>
      </c>
      <c r="J163" s="38">
        <f t="shared" si="16"/>
        <v>1181411.955829978</v>
      </c>
      <c r="K163" s="35">
        <f t="shared" si="17"/>
        <v>51562759.955253959</v>
      </c>
      <c r="L163" s="44">
        <f t="shared" si="18"/>
        <v>44741606.899950385</v>
      </c>
    </row>
    <row r="164" spans="1:12" ht="12.65" customHeight="1">
      <c r="A164" s="33">
        <v>43236</v>
      </c>
      <c r="B164" s="46">
        <v>9541363000</v>
      </c>
      <c r="C164" s="56">
        <v>11846382834.7439</v>
      </c>
      <c r="D164" s="44">
        <f>AVERAGE($C$164:C164)</f>
        <v>11846382834.7439</v>
      </c>
      <c r="E164" s="45">
        <f t="shared" si="14"/>
        <v>2305019834.7439003</v>
      </c>
      <c r="F164" s="45">
        <f t="shared" si="15"/>
        <v>2305019834.7439003</v>
      </c>
      <c r="H164" s="46">
        <v>827760000</v>
      </c>
      <c r="I164" s="50">
        <v>829170224.39377999</v>
      </c>
      <c r="J164" s="38">
        <f t="shared" si="16"/>
        <v>1410224.3937799931</v>
      </c>
      <c r="K164" s="35">
        <f t="shared" si="17"/>
        <v>2306430059.1376801</v>
      </c>
      <c r="L164" s="44">
        <f t="shared" si="18"/>
        <v>2306430059.1376801</v>
      </c>
    </row>
    <row r="165" spans="1:12" ht="12.65" customHeight="1">
      <c r="A165" s="33">
        <v>43237</v>
      </c>
      <c r="B165" s="46">
        <v>9541363000</v>
      </c>
      <c r="C165" s="56">
        <v>10880130163.2118</v>
      </c>
      <c r="D165" s="44">
        <f>AVERAGE($C$164:C165)</f>
        <v>11363256498.97785</v>
      </c>
      <c r="E165" s="45">
        <f t="shared" si="14"/>
        <v>1821893498.97785</v>
      </c>
      <c r="F165" s="45">
        <f t="shared" si="15"/>
        <v>1338767163.2117996</v>
      </c>
      <c r="H165" s="46">
        <v>827760000</v>
      </c>
      <c r="I165" s="50">
        <v>829186489.29957998</v>
      </c>
      <c r="J165" s="38">
        <f t="shared" si="16"/>
        <v>1426489.299579978</v>
      </c>
      <c r="K165" s="35">
        <f t="shared" si="17"/>
        <v>1823319988.2774301</v>
      </c>
      <c r="L165" s="44">
        <f t="shared" si="18"/>
        <v>1340193652.5113797</v>
      </c>
    </row>
    <row r="166" spans="1:12" ht="12.65" customHeight="1">
      <c r="A166" s="33">
        <v>43238</v>
      </c>
      <c r="B166" s="46">
        <v>9541363000</v>
      </c>
      <c r="C166" s="56">
        <v>10880130163.2118</v>
      </c>
      <c r="D166" s="44">
        <f>AVERAGE($C$164:C166)</f>
        <v>11202214387.055834</v>
      </c>
      <c r="E166" s="45">
        <f t="shared" si="14"/>
        <v>1660851387.0558338</v>
      </c>
      <c r="F166" s="45">
        <f t="shared" si="15"/>
        <v>1338767163.2117996</v>
      </c>
      <c r="H166" s="46">
        <v>827760000</v>
      </c>
      <c r="I166" s="50">
        <v>829186489.29957998</v>
      </c>
      <c r="J166" s="38">
        <f t="shared" si="16"/>
        <v>1426489.299579978</v>
      </c>
      <c r="K166" s="35">
        <f t="shared" si="17"/>
        <v>1662277876.3554139</v>
      </c>
      <c r="L166" s="44">
        <f t="shared" si="18"/>
        <v>1340193652.5113797</v>
      </c>
    </row>
    <row r="167" spans="1:12" ht="12.65" customHeight="1">
      <c r="A167" s="33">
        <v>43241</v>
      </c>
      <c r="B167" s="46">
        <v>9541363000</v>
      </c>
      <c r="C167" s="56">
        <v>10588504581.539</v>
      </c>
      <c r="D167" s="44">
        <f>AVERAGE($C$164:C167)</f>
        <v>11048786935.676624</v>
      </c>
      <c r="E167" s="45">
        <f t="shared" si="14"/>
        <v>1507423935.6766243</v>
      </c>
      <c r="F167" s="45">
        <f t="shared" si="15"/>
        <v>1047141581.5389996</v>
      </c>
      <c r="H167" s="46">
        <v>827760000</v>
      </c>
      <c r="I167" s="50">
        <v>828994779.71098995</v>
      </c>
      <c r="J167" s="38">
        <f t="shared" si="16"/>
        <v>1234779.7109899521</v>
      </c>
      <c r="K167" s="35">
        <f t="shared" si="17"/>
        <v>1508658715.3876143</v>
      </c>
      <c r="L167" s="44">
        <f t="shared" si="18"/>
        <v>1048376361.2499895</v>
      </c>
    </row>
    <row r="168" spans="1:12" ht="12.65" customHeight="1">
      <c r="A168" s="33">
        <v>43242</v>
      </c>
      <c r="B168" s="46">
        <v>9541363000</v>
      </c>
      <c r="C168" s="56">
        <v>9936616497.2006798</v>
      </c>
      <c r="D168" s="44">
        <f>AVERAGE($C$164:C168)</f>
        <v>10826352847.981436</v>
      </c>
      <c r="E168" s="45">
        <f t="shared" si="14"/>
        <v>1284989847.9814358</v>
      </c>
      <c r="F168" s="45">
        <f t="shared" si="15"/>
        <v>395253497.20067978</v>
      </c>
      <c r="H168" s="46">
        <v>827760000</v>
      </c>
      <c r="I168" s="50">
        <v>828879505.25187004</v>
      </c>
      <c r="J168" s="38">
        <f t="shared" si="16"/>
        <v>1119505.2518700361</v>
      </c>
      <c r="K168" s="35">
        <f t="shared" si="17"/>
        <v>1286109353.2333059</v>
      </c>
      <c r="L168" s="44">
        <f t="shared" si="18"/>
        <v>396373002.45254982</v>
      </c>
    </row>
    <row r="169" spans="1:12" ht="12.65" customHeight="1">
      <c r="A169" s="33">
        <v>43243</v>
      </c>
      <c r="B169" s="46">
        <v>9541363000</v>
      </c>
      <c r="C169" s="56">
        <v>11519850665.9548</v>
      </c>
      <c r="D169" s="44">
        <f>AVERAGE($C$164:C169)</f>
        <v>10941935817.643663</v>
      </c>
      <c r="E169" s="45">
        <f t="shared" si="14"/>
        <v>1400572817.6436634</v>
      </c>
      <c r="F169" s="45">
        <f t="shared" si="15"/>
        <v>1978487665.9547997</v>
      </c>
      <c r="H169" s="46">
        <v>827760000</v>
      </c>
      <c r="I169" s="50">
        <v>828895529.58622003</v>
      </c>
      <c r="J169" s="38">
        <f t="shared" si="16"/>
        <v>1135529.586220026</v>
      </c>
      <c r="K169" s="35">
        <f t="shared" si="17"/>
        <v>1401708347.2298834</v>
      </c>
      <c r="L169" s="44">
        <f t="shared" si="18"/>
        <v>1979623195.5410197</v>
      </c>
    </row>
    <row r="170" spans="1:12" ht="12.65" customHeight="1">
      <c r="A170" s="33">
        <v>43244</v>
      </c>
      <c r="B170" s="46">
        <v>9541363000</v>
      </c>
      <c r="C170" s="56">
        <v>11037077002.403</v>
      </c>
      <c r="D170" s="44">
        <f>AVERAGE($C$164:C170)</f>
        <v>10955527415.466427</v>
      </c>
      <c r="E170" s="45">
        <f t="shared" si="14"/>
        <v>1414164415.4664268</v>
      </c>
      <c r="F170" s="45">
        <f t="shared" si="15"/>
        <v>1495714002.4029999</v>
      </c>
      <c r="H170" s="46">
        <v>830219000</v>
      </c>
      <c r="I170" s="50">
        <v>831707891.49109995</v>
      </c>
      <c r="J170" s="38">
        <f t="shared" si="16"/>
        <v>1488891.4910999537</v>
      </c>
      <c r="K170" s="35">
        <f t="shared" si="17"/>
        <v>1415653306.9575267</v>
      </c>
      <c r="L170" s="44">
        <f t="shared" si="18"/>
        <v>1497202893.8940997</v>
      </c>
    </row>
    <row r="171" spans="1:12" ht="12.65" customHeight="1">
      <c r="A171" s="33">
        <v>43245</v>
      </c>
      <c r="B171" s="46">
        <v>9541363000</v>
      </c>
      <c r="C171" s="56">
        <v>7583449590.2595596</v>
      </c>
      <c r="D171" s="44">
        <f>AVERAGE($C$164:C171)</f>
        <v>10534017687.315567</v>
      </c>
      <c r="E171" s="45">
        <f t="shared" si="14"/>
        <v>992654687.31556702</v>
      </c>
      <c r="F171" s="45">
        <f t="shared" si="15"/>
        <v>-1957913409.7404404</v>
      </c>
      <c r="H171" s="46">
        <v>830219000</v>
      </c>
      <c r="I171" s="50">
        <v>831723138.11877</v>
      </c>
      <c r="J171" s="38">
        <f t="shared" si="16"/>
        <v>1504138.1187700033</v>
      </c>
      <c r="K171" s="35">
        <f t="shared" si="17"/>
        <v>994158825.43433702</v>
      </c>
      <c r="L171" s="44">
        <f t="shared" si="18"/>
        <v>-1956409271.6216702</v>
      </c>
    </row>
    <row r="172" spans="1:12" ht="12.65" customHeight="1">
      <c r="A172" s="33">
        <v>43248</v>
      </c>
      <c r="B172" s="46">
        <v>9541363000</v>
      </c>
      <c r="C172" s="56">
        <v>7646668557.8140602</v>
      </c>
      <c r="D172" s="44">
        <f>AVERAGE($C$164:C172)</f>
        <v>10213201117.370955</v>
      </c>
      <c r="E172" s="45">
        <f t="shared" si="14"/>
        <v>671838117.37095451</v>
      </c>
      <c r="F172" s="45">
        <f t="shared" si="15"/>
        <v>-1894694442.1859398</v>
      </c>
      <c r="H172" s="46">
        <v>830219000</v>
      </c>
      <c r="I172" s="50">
        <v>831285566.34379995</v>
      </c>
      <c r="J172" s="38">
        <f t="shared" si="16"/>
        <v>1066566.3437999487</v>
      </c>
      <c r="K172" s="35">
        <f t="shared" si="17"/>
        <v>672904683.71475446</v>
      </c>
      <c r="L172" s="44">
        <f t="shared" si="18"/>
        <v>-1893627875.8421397</v>
      </c>
    </row>
    <row r="173" spans="1:12" ht="12.65" customHeight="1">
      <c r="A173" s="33">
        <v>43250</v>
      </c>
      <c r="B173" s="46">
        <v>9541363000</v>
      </c>
      <c r="C173" s="56">
        <v>7765144890.0877104</v>
      </c>
      <c r="D173" s="44">
        <f>AVERAGE($C$164:C173)</f>
        <v>9968395494.6426296</v>
      </c>
      <c r="E173" s="45">
        <f t="shared" si="14"/>
        <v>427032494.64262962</v>
      </c>
      <c r="F173" s="45">
        <f t="shared" si="15"/>
        <v>-1776218109.9122896</v>
      </c>
      <c r="H173" s="46">
        <v>830219000</v>
      </c>
      <c r="I173" s="50">
        <v>831439675.73881996</v>
      </c>
      <c r="J173" s="38">
        <f t="shared" si="16"/>
        <v>1220675.7388199568</v>
      </c>
      <c r="K173" s="35">
        <f t="shared" si="17"/>
        <v>428253170.38144958</v>
      </c>
      <c r="L173" s="44">
        <f t="shared" si="18"/>
        <v>-1774997434.1734695</v>
      </c>
    </row>
    <row r="174" spans="1:12" ht="12.65" customHeight="1">
      <c r="A174" s="33">
        <v>43251</v>
      </c>
      <c r="B174" s="46">
        <v>9541363000</v>
      </c>
      <c r="C174" s="56">
        <v>7572353647.0171604</v>
      </c>
      <c r="D174" s="44">
        <f>AVERAGE($C$164:C174)</f>
        <v>9750573508.4948597</v>
      </c>
      <c r="E174" s="45">
        <f t="shared" si="14"/>
        <v>209210508.4948597</v>
      </c>
      <c r="F174" s="45">
        <f t="shared" si="15"/>
        <v>-1969009352.9828396</v>
      </c>
      <c r="H174" s="46">
        <v>830219000</v>
      </c>
      <c r="I174" s="50">
        <v>924394310.43594003</v>
      </c>
      <c r="J174" s="38">
        <f t="shared" si="16"/>
        <v>94175310.435940027</v>
      </c>
      <c r="K174" s="35">
        <f t="shared" si="17"/>
        <v>303385818.93079972</v>
      </c>
      <c r="L174" s="44">
        <f t="shared" si="18"/>
        <v>-1874834042.5468996</v>
      </c>
    </row>
    <row r="175" spans="1:12" ht="12.65" customHeight="1">
      <c r="A175" s="33">
        <v>43255</v>
      </c>
      <c r="B175" s="46">
        <v>9425925000</v>
      </c>
      <c r="C175" s="56">
        <v>9506175801.8348598</v>
      </c>
      <c r="D175" s="44">
        <f>AVERAGE($C$175:C175)</f>
        <v>9506175801.8348598</v>
      </c>
      <c r="E175" s="45">
        <f t="shared" si="14"/>
        <v>80250801.834859848</v>
      </c>
      <c r="F175" s="45">
        <f t="shared" si="15"/>
        <v>80250801.834859848</v>
      </c>
      <c r="H175" s="46">
        <v>886041000</v>
      </c>
      <c r="I175" s="50">
        <v>887330730.34257996</v>
      </c>
      <c r="J175" s="38">
        <f t="shared" si="16"/>
        <v>1289730.3425799608</v>
      </c>
      <c r="K175" s="35">
        <f t="shared" si="17"/>
        <v>81540532.177439809</v>
      </c>
      <c r="L175" s="44">
        <f t="shared" si="18"/>
        <v>81540532.177439809</v>
      </c>
    </row>
    <row r="176" spans="1:12" ht="12.65" customHeight="1">
      <c r="A176" s="33">
        <v>43256</v>
      </c>
      <c r="B176" s="46">
        <v>9425925000</v>
      </c>
      <c r="C176" s="56">
        <v>9490997564.6831093</v>
      </c>
      <c r="D176" s="44">
        <f>AVERAGE($C$175:C176)</f>
        <v>9498586683.2589836</v>
      </c>
      <c r="E176" s="45">
        <f t="shared" si="14"/>
        <v>72661683.258983612</v>
      </c>
      <c r="F176" s="45">
        <f t="shared" si="15"/>
        <v>65072564.683109283</v>
      </c>
      <c r="H176" s="46">
        <v>886041000</v>
      </c>
      <c r="I176" s="50">
        <v>887174011.90102994</v>
      </c>
      <c r="J176" s="38">
        <f t="shared" si="16"/>
        <v>1133011.9010299444</v>
      </c>
      <c r="K176" s="35">
        <f t="shared" si="17"/>
        <v>73794695.160013556</v>
      </c>
      <c r="L176" s="44">
        <f t="shared" si="18"/>
        <v>66205576.584139228</v>
      </c>
    </row>
    <row r="177" spans="1:12" ht="12.65" customHeight="1">
      <c r="A177" s="33">
        <v>43257</v>
      </c>
      <c r="B177" s="46">
        <v>9425925000</v>
      </c>
      <c r="C177" s="56">
        <v>11665431104.062799</v>
      </c>
      <c r="D177" s="44">
        <f>AVERAGE($C$175:C177)</f>
        <v>10220868156.860254</v>
      </c>
      <c r="E177" s="45">
        <f t="shared" si="14"/>
        <v>794943156.86025429</v>
      </c>
      <c r="F177" s="45">
        <f t="shared" si="15"/>
        <v>2239506104.0627995</v>
      </c>
      <c r="H177" s="46">
        <v>886041000</v>
      </c>
      <c r="I177" s="50">
        <v>887647359.83206999</v>
      </c>
      <c r="J177" s="38">
        <f t="shared" si="16"/>
        <v>1606359.832069993</v>
      </c>
      <c r="K177" s="35">
        <f t="shared" si="17"/>
        <v>796549516.69232428</v>
      </c>
      <c r="L177" s="44">
        <f t="shared" si="18"/>
        <v>2241112463.8948693</v>
      </c>
    </row>
    <row r="178" spans="1:12" ht="12.65" customHeight="1">
      <c r="A178" s="33">
        <v>43258</v>
      </c>
      <c r="B178" s="46">
        <v>9425925000</v>
      </c>
      <c r="C178" s="56">
        <v>9450202291.8690796</v>
      </c>
      <c r="D178" s="44">
        <f>AVERAGE($C$175:C178)</f>
        <v>10028201690.612461</v>
      </c>
      <c r="E178" s="45">
        <f t="shared" si="14"/>
        <v>602276690.61246109</v>
      </c>
      <c r="F178" s="45">
        <f t="shared" si="15"/>
        <v>24277291.86907959</v>
      </c>
      <c r="H178" s="46">
        <v>886041000</v>
      </c>
      <c r="I178" s="50">
        <v>887244790.28021002</v>
      </c>
      <c r="J178" s="38">
        <f t="shared" si="16"/>
        <v>1203790.2802100182</v>
      </c>
      <c r="K178" s="35">
        <f t="shared" si="17"/>
        <v>603480480.89267111</v>
      </c>
      <c r="L178" s="44">
        <f t="shared" si="18"/>
        <v>25481082.149289608</v>
      </c>
    </row>
    <row r="179" spans="1:12" ht="12.65" customHeight="1">
      <c r="A179" s="33">
        <v>43259</v>
      </c>
      <c r="B179" s="46">
        <v>9425925000</v>
      </c>
      <c r="C179" s="56">
        <v>8456643479.4671698</v>
      </c>
      <c r="D179" s="44">
        <f>AVERAGE($C$175:C179)</f>
        <v>9713890048.3834038</v>
      </c>
      <c r="E179" s="45">
        <f t="shared" si="14"/>
        <v>287965048.38340378</v>
      </c>
      <c r="F179" s="45">
        <f t="shared" si="15"/>
        <v>-969281520.53283024</v>
      </c>
      <c r="H179" s="46">
        <v>907636000</v>
      </c>
      <c r="I179" s="50">
        <v>946023540.60977995</v>
      </c>
      <c r="J179" s="38">
        <f t="shared" si="16"/>
        <v>38387540.609779954</v>
      </c>
      <c r="K179" s="35">
        <f t="shared" si="17"/>
        <v>326352588.99318373</v>
      </c>
      <c r="L179" s="44">
        <f t="shared" si="18"/>
        <v>-930893979.92305028</v>
      </c>
    </row>
    <row r="180" spans="1:12" ht="12.65" customHeight="1">
      <c r="A180" s="33">
        <v>43270</v>
      </c>
      <c r="B180" s="46">
        <v>9345812696.1516609</v>
      </c>
      <c r="C180" s="56">
        <v>10348908127.851101</v>
      </c>
      <c r="D180" s="44">
        <f>AVERAGE($C$175:C180)</f>
        <v>9819726394.9613514</v>
      </c>
      <c r="E180" s="45">
        <f t="shared" si="14"/>
        <v>473913698.80969048</v>
      </c>
      <c r="F180" s="45">
        <f t="shared" si="15"/>
        <v>1003095431.69944</v>
      </c>
      <c r="H180" s="46">
        <v>883475000</v>
      </c>
      <c r="I180" s="50">
        <v>885332844.13012004</v>
      </c>
      <c r="J180" s="38">
        <f t="shared" si="16"/>
        <v>1857844.130120039</v>
      </c>
      <c r="K180" s="35">
        <f t="shared" si="17"/>
        <v>475771542.93981051</v>
      </c>
      <c r="L180" s="44">
        <f t="shared" si="18"/>
        <v>1004953275.82956</v>
      </c>
    </row>
    <row r="181" spans="1:12" ht="12.65" customHeight="1">
      <c r="A181" s="33">
        <v>43271</v>
      </c>
      <c r="B181" s="46">
        <v>9345812696.1516609</v>
      </c>
      <c r="C181" s="56">
        <v>14079692533.747999</v>
      </c>
      <c r="D181" s="44">
        <f>AVERAGE($C$175:C181)</f>
        <v>10428292986.216587</v>
      </c>
      <c r="E181" s="45">
        <f t="shared" si="14"/>
        <v>1082480290.0649261</v>
      </c>
      <c r="F181" s="45">
        <f t="shared" si="15"/>
        <v>4733879837.5963383</v>
      </c>
      <c r="H181" s="46">
        <v>883475000</v>
      </c>
      <c r="I181" s="50">
        <v>887418932.57334995</v>
      </c>
      <c r="J181" s="38">
        <f t="shared" si="16"/>
        <v>3943932.5733499527</v>
      </c>
      <c r="K181" s="35">
        <f t="shared" si="17"/>
        <v>1086424222.6382761</v>
      </c>
      <c r="L181" s="44">
        <f t="shared" si="18"/>
        <v>4737823770.1696882</v>
      </c>
    </row>
    <row r="182" spans="1:12" ht="12.65" customHeight="1">
      <c r="A182" s="33">
        <v>43272</v>
      </c>
      <c r="B182" s="46">
        <v>9345812696.1516609</v>
      </c>
      <c r="C182" s="56">
        <v>16721596606.6789</v>
      </c>
      <c r="D182" s="44">
        <f>AVERAGE($C$175:C182)</f>
        <v>11214955938.774376</v>
      </c>
      <c r="E182" s="45">
        <f t="shared" si="14"/>
        <v>1869143242.622715</v>
      </c>
      <c r="F182" s="45">
        <f t="shared" si="15"/>
        <v>7375783910.5272388</v>
      </c>
      <c r="H182" s="46">
        <v>883475000</v>
      </c>
      <c r="I182" s="50">
        <v>884771872.82339001</v>
      </c>
      <c r="J182" s="38">
        <f t="shared" si="16"/>
        <v>1296872.823390007</v>
      </c>
      <c r="K182" s="35">
        <f t="shared" si="17"/>
        <v>1870440115.446105</v>
      </c>
      <c r="L182" s="44">
        <f t="shared" si="18"/>
        <v>7377080783.3506289</v>
      </c>
    </row>
    <row r="183" spans="1:12" ht="12.65" customHeight="1">
      <c r="A183" s="33">
        <v>43273</v>
      </c>
      <c r="B183" s="46">
        <v>9345812696.1516609</v>
      </c>
      <c r="C183" s="56">
        <v>8071092835.6708097</v>
      </c>
      <c r="D183" s="44">
        <f>AVERAGE($C$175:C183)</f>
        <v>10865637816.207314</v>
      </c>
      <c r="E183" s="45">
        <f t="shared" si="14"/>
        <v>1519825120.0556526</v>
      </c>
      <c r="F183" s="45">
        <f t="shared" si="15"/>
        <v>-1274719860.4808512</v>
      </c>
      <c r="H183" s="46">
        <v>883475000</v>
      </c>
      <c r="I183" s="50">
        <v>884888460.03622997</v>
      </c>
      <c r="J183" s="38">
        <f t="shared" si="16"/>
        <v>1413460.0362299681</v>
      </c>
      <c r="K183" s="35">
        <f t="shared" si="17"/>
        <v>1521238580.0918827</v>
      </c>
      <c r="L183" s="44">
        <f t="shared" si="18"/>
        <v>-1273306400.4446211</v>
      </c>
    </row>
    <row r="184" spans="1:12" ht="12.65" customHeight="1">
      <c r="A184" s="33">
        <v>43276</v>
      </c>
      <c r="B184" s="46">
        <v>9345812696.1516609</v>
      </c>
      <c r="C184" s="56">
        <v>8054783107.1764202</v>
      </c>
      <c r="D184" s="44">
        <f>AVERAGE($C$175:C184)</f>
        <v>10584552345.304224</v>
      </c>
      <c r="E184" s="45">
        <f t="shared" si="14"/>
        <v>1238739649.1525631</v>
      </c>
      <c r="F184" s="45">
        <f t="shared" si="15"/>
        <v>-1291029588.9752407</v>
      </c>
      <c r="H184" s="46">
        <v>883176000</v>
      </c>
      <c r="I184" s="50">
        <v>885354397.92423999</v>
      </c>
      <c r="J184" s="38">
        <f t="shared" si="16"/>
        <v>2178397.9242399931</v>
      </c>
      <c r="K184" s="35">
        <f t="shared" si="17"/>
        <v>1240918047.0768032</v>
      </c>
      <c r="L184" s="44">
        <f t="shared" si="18"/>
        <v>-1288851191.0510006</v>
      </c>
    </row>
    <row r="185" spans="1:12" ht="12.65" customHeight="1">
      <c r="A185" s="33">
        <v>43277</v>
      </c>
      <c r="B185" s="46">
        <v>9345812696.1516609</v>
      </c>
      <c r="C185" s="56">
        <v>7242965897.4085703</v>
      </c>
      <c r="D185" s="44">
        <f>AVERAGE($C$175:C185)</f>
        <v>10280771759.131891</v>
      </c>
      <c r="E185" s="45">
        <f t="shared" si="14"/>
        <v>934959062.98023033</v>
      </c>
      <c r="F185" s="45">
        <f t="shared" si="15"/>
        <v>-2102846798.7430906</v>
      </c>
      <c r="H185" s="46">
        <v>883176000</v>
      </c>
      <c r="I185" s="50">
        <v>885874467.82466996</v>
      </c>
      <c r="J185" s="38">
        <f t="shared" si="16"/>
        <v>2698467.8246699572</v>
      </c>
      <c r="K185" s="35">
        <f t="shared" si="17"/>
        <v>937657530.80490029</v>
      </c>
      <c r="L185" s="44">
        <f t="shared" si="18"/>
        <v>-2100148330.9184208</v>
      </c>
    </row>
    <row r="186" spans="1:12" ht="12.65" customHeight="1">
      <c r="A186" s="33">
        <v>43278</v>
      </c>
      <c r="B186" s="46">
        <v>9345812696.1516609</v>
      </c>
      <c r="C186" s="56">
        <v>7559043244.52915</v>
      </c>
      <c r="D186" s="44">
        <f>AVERAGE($C$175:C186)</f>
        <v>10053961049.581663</v>
      </c>
      <c r="E186" s="45">
        <f t="shared" si="14"/>
        <v>708148353.43000221</v>
      </c>
      <c r="F186" s="45">
        <f t="shared" si="15"/>
        <v>-1786769451.6225109</v>
      </c>
      <c r="H186" s="46">
        <v>883176000</v>
      </c>
      <c r="I186" s="50">
        <v>884989059.06558001</v>
      </c>
      <c r="J186" s="38">
        <f t="shared" si="16"/>
        <v>1813059.0655800104</v>
      </c>
      <c r="K186" s="35">
        <f t="shared" si="17"/>
        <v>709961412.49558222</v>
      </c>
      <c r="L186" s="44">
        <f t="shared" si="18"/>
        <v>-1784956392.556931</v>
      </c>
    </row>
    <row r="187" spans="1:12" ht="12.65" customHeight="1">
      <c r="A187" s="33">
        <v>43279</v>
      </c>
      <c r="B187" s="46">
        <v>9345812696.1516609</v>
      </c>
      <c r="C187" s="56">
        <v>7552783749.5118103</v>
      </c>
      <c r="D187" s="44">
        <f>AVERAGE($C$175:C187)</f>
        <v>9861562795.730135</v>
      </c>
      <c r="E187" s="45">
        <f t="shared" si="14"/>
        <v>515750099.57847404</v>
      </c>
      <c r="F187" s="45">
        <f t="shared" si="15"/>
        <v>-1793028946.6398506</v>
      </c>
      <c r="H187" s="46">
        <v>883176000</v>
      </c>
      <c r="I187" s="50">
        <v>885362319.44897997</v>
      </c>
      <c r="J187" s="38">
        <f t="shared" si="16"/>
        <v>2186319.4489799738</v>
      </c>
      <c r="K187" s="35">
        <f t="shared" si="17"/>
        <v>517936419.02745402</v>
      </c>
      <c r="L187" s="44">
        <f t="shared" si="18"/>
        <v>-1790842627.1908708</v>
      </c>
    </row>
    <row r="188" spans="1:12" ht="12.65" customHeight="1">
      <c r="A188" s="33">
        <v>43280</v>
      </c>
      <c r="B188" s="46">
        <v>9345812696.1516609</v>
      </c>
      <c r="C188" s="56">
        <v>7831089231.21171</v>
      </c>
      <c r="D188" s="44">
        <f>AVERAGE($C$175:C188)</f>
        <v>9716528969.6931057</v>
      </c>
      <c r="E188" s="45">
        <f t="shared" si="14"/>
        <v>370716273.54144478</v>
      </c>
      <c r="F188" s="45">
        <f t="shared" si="15"/>
        <v>-1514723464.9399509</v>
      </c>
      <c r="H188" s="46">
        <v>883176000</v>
      </c>
      <c r="I188" s="50">
        <v>920197774.41505003</v>
      </c>
      <c r="J188" s="38">
        <f t="shared" si="16"/>
        <v>37021774.41505003</v>
      </c>
      <c r="K188" s="35">
        <f t="shared" si="17"/>
        <v>407738047.95649481</v>
      </c>
      <c r="L188" s="44">
        <f t="shared" si="18"/>
        <v>-1477701690.5249009</v>
      </c>
    </row>
    <row r="189" spans="1:12" ht="12.65" customHeight="1">
      <c r="A189" s="33">
        <v>43283</v>
      </c>
      <c r="B189" s="46">
        <v>9140536946.1088505</v>
      </c>
      <c r="C189" s="56">
        <v>9195737371.8296795</v>
      </c>
      <c r="D189" s="44">
        <f>AVERAGE($C$175:C189)</f>
        <v>9681809529.8355427</v>
      </c>
      <c r="E189" s="45">
        <f t="shared" si="14"/>
        <v>541272583.7266922</v>
      </c>
      <c r="F189" s="45">
        <f t="shared" si="15"/>
        <v>55200425.72082901</v>
      </c>
      <c r="H189" s="46">
        <v>876720000</v>
      </c>
      <c r="I189" s="50">
        <v>880063861.28199995</v>
      </c>
      <c r="J189" s="38">
        <f t="shared" si="16"/>
        <v>3343861.2819999456</v>
      </c>
      <c r="K189" s="35">
        <f t="shared" si="17"/>
        <v>544616445.00869215</v>
      </c>
      <c r="L189" s="44">
        <f t="shared" si="18"/>
        <v>58544287.002828956</v>
      </c>
    </row>
    <row r="190" spans="1:12" ht="12.65" customHeight="1">
      <c r="A190" s="33">
        <v>43284</v>
      </c>
      <c r="B190" s="46">
        <v>9140536946.1088505</v>
      </c>
      <c r="C190" s="56">
        <v>9200539613.6266098</v>
      </c>
      <c r="D190" s="44">
        <f>AVERAGE($C$175:C190)</f>
        <v>9651730160.072485</v>
      </c>
      <c r="E190" s="45">
        <f t="shared" si="14"/>
        <v>511193213.96363449</v>
      </c>
      <c r="F190" s="45">
        <f t="shared" si="15"/>
        <v>60002667.517759323</v>
      </c>
      <c r="H190" s="46">
        <v>876720000</v>
      </c>
      <c r="I190" s="50">
        <v>878526951.41465998</v>
      </c>
      <c r="J190" s="38">
        <f t="shared" si="16"/>
        <v>1806951.414659977</v>
      </c>
      <c r="K190" s="35">
        <f t="shared" si="17"/>
        <v>513000165.37829447</v>
      </c>
      <c r="L190" s="44">
        <f t="shared" si="18"/>
        <v>61809618.9324193</v>
      </c>
    </row>
    <row r="191" spans="1:12" ht="12.65" customHeight="1">
      <c r="A191" s="33">
        <v>43285</v>
      </c>
      <c r="B191" s="46">
        <v>9140536946.1088505</v>
      </c>
      <c r="C191" s="56">
        <v>9193786262.1270809</v>
      </c>
      <c r="D191" s="44">
        <f>AVERAGE($C$175:C191)</f>
        <v>9624792283.7227554</v>
      </c>
      <c r="E191" s="45">
        <f t="shared" si="14"/>
        <v>484255337.61390495</v>
      </c>
      <c r="F191" s="45">
        <f t="shared" si="15"/>
        <v>53249316.018230438</v>
      </c>
      <c r="H191" s="46">
        <v>876720000</v>
      </c>
      <c r="I191" s="50">
        <v>878591829.75462997</v>
      </c>
      <c r="J191" s="38">
        <f t="shared" si="16"/>
        <v>1871829.7546299696</v>
      </c>
      <c r="K191" s="35">
        <f t="shared" si="17"/>
        <v>486127167.36853492</v>
      </c>
      <c r="L191" s="44">
        <f t="shared" si="18"/>
        <v>55121145.772860408</v>
      </c>
    </row>
    <row r="192" spans="1:12" ht="12.65" customHeight="1">
      <c r="A192" s="33">
        <v>43286</v>
      </c>
      <c r="B192" s="46">
        <v>9140536946.1088505</v>
      </c>
      <c r="C192" s="56">
        <v>9193934332.4025497</v>
      </c>
      <c r="D192" s="44">
        <f>AVERAGE($C$175:C192)</f>
        <v>9600855730.8716335</v>
      </c>
      <c r="E192" s="45">
        <f t="shared" si="14"/>
        <v>460318784.76278305</v>
      </c>
      <c r="F192" s="45">
        <f t="shared" si="15"/>
        <v>53397386.293699265</v>
      </c>
      <c r="H192" s="46">
        <v>876720000</v>
      </c>
      <c r="I192" s="50">
        <v>878042391.62223005</v>
      </c>
      <c r="J192" s="38">
        <f t="shared" si="16"/>
        <v>1322391.6222300529</v>
      </c>
      <c r="K192" s="35">
        <f t="shared" si="17"/>
        <v>461641176.3850131</v>
      </c>
      <c r="L192" s="44">
        <f t="shared" si="18"/>
        <v>54719777.915929317</v>
      </c>
    </row>
    <row r="193" spans="1:12" ht="12.65" customHeight="1">
      <c r="A193" s="33">
        <v>43287</v>
      </c>
      <c r="B193" s="46">
        <v>9140536946.1088505</v>
      </c>
      <c r="C193" s="56">
        <v>9195381243.2629509</v>
      </c>
      <c r="D193" s="44">
        <f>AVERAGE($C$175:C193)</f>
        <v>9579514968.3659115</v>
      </c>
      <c r="E193" s="45">
        <f t="shared" si="14"/>
        <v>438978022.257061</v>
      </c>
      <c r="F193" s="45">
        <f t="shared" si="15"/>
        <v>54844297.154100418</v>
      </c>
      <c r="H193" s="46">
        <v>876720000</v>
      </c>
      <c r="I193" s="50">
        <v>947348960.50569999</v>
      </c>
      <c r="J193" s="38">
        <f t="shared" si="16"/>
        <v>70628960.505699992</v>
      </c>
      <c r="K193" s="35">
        <f t="shared" si="17"/>
        <v>509606982.762761</v>
      </c>
      <c r="L193" s="44">
        <f t="shared" si="18"/>
        <v>125473257.65980041</v>
      </c>
    </row>
    <row r="194" spans="1:12" ht="12.65" customHeight="1">
      <c r="A194" s="33">
        <v>43290</v>
      </c>
      <c r="B194" s="46">
        <v>9140536946.1088505</v>
      </c>
      <c r="C194" s="56">
        <v>9193508710.0875702</v>
      </c>
      <c r="D194" s="44">
        <f>AVERAGE($C$175:C194)</f>
        <v>9560214655.4519958</v>
      </c>
      <c r="E194" s="45">
        <f t="shared" ref="E194:E248" si="19">D194-B194</f>
        <v>419677709.34314537</v>
      </c>
      <c r="F194" s="45">
        <f t="shared" ref="F194:F257" si="20">C194-B194</f>
        <v>52971763.978719711</v>
      </c>
      <c r="H194" s="46">
        <v>945633000</v>
      </c>
      <c r="I194" s="50">
        <v>946912543.72837996</v>
      </c>
      <c r="J194" s="38">
        <f t="shared" ref="J194:J250" si="21">I194-H194</f>
        <v>1279543.7283799648</v>
      </c>
      <c r="K194" s="35">
        <f t="shared" ref="K194:K248" si="22">E194+J194</f>
        <v>420957253.07152534</v>
      </c>
      <c r="L194" s="44">
        <f t="shared" ref="L194:L257" si="23">F194+J194</f>
        <v>54251307.707099676</v>
      </c>
    </row>
    <row r="195" spans="1:12" ht="12.65" customHeight="1">
      <c r="A195" s="33">
        <v>43291</v>
      </c>
      <c r="B195" s="46">
        <v>9140536946.1088505</v>
      </c>
      <c r="C195" s="56">
        <v>9191814637.7819996</v>
      </c>
      <c r="D195" s="44">
        <f>AVERAGE($C$175:C195)</f>
        <v>9542671797.4677105</v>
      </c>
      <c r="E195" s="45">
        <f t="shared" si="19"/>
        <v>402134851.35886002</v>
      </c>
      <c r="F195" s="45">
        <f t="shared" si="20"/>
        <v>51277691.673149109</v>
      </c>
      <c r="H195" s="46">
        <v>945633000</v>
      </c>
      <c r="I195" s="50">
        <v>947074894.47668004</v>
      </c>
      <c r="J195" s="38">
        <f t="shared" si="21"/>
        <v>1441894.4766800404</v>
      </c>
      <c r="K195" s="35">
        <f t="shared" si="22"/>
        <v>403576745.83554006</v>
      </c>
      <c r="L195" s="44">
        <f t="shared" si="23"/>
        <v>52719586.149829149</v>
      </c>
    </row>
    <row r="196" spans="1:12" ht="12.65" customHeight="1">
      <c r="A196" s="33">
        <v>43292</v>
      </c>
      <c r="B196" s="46">
        <v>9140536946.1088505</v>
      </c>
      <c r="C196" s="56">
        <v>9192666436.7773991</v>
      </c>
      <c r="D196" s="44">
        <f>AVERAGE($C$175:C196)</f>
        <v>9526762462.8908787</v>
      </c>
      <c r="E196" s="45">
        <f t="shared" si="19"/>
        <v>386225516.7820282</v>
      </c>
      <c r="F196" s="45">
        <f t="shared" si="20"/>
        <v>52129490.668548584</v>
      </c>
      <c r="H196" s="46">
        <v>945633000</v>
      </c>
      <c r="I196" s="50">
        <v>946969645.67253995</v>
      </c>
      <c r="J196" s="38">
        <f t="shared" si="21"/>
        <v>1336645.6725399494</v>
      </c>
      <c r="K196" s="35">
        <f t="shared" si="22"/>
        <v>387562162.45456815</v>
      </c>
      <c r="L196" s="44">
        <f t="shared" si="23"/>
        <v>53466136.341088533</v>
      </c>
    </row>
    <row r="197" spans="1:12" ht="12.65" customHeight="1">
      <c r="A197" s="33">
        <v>43293</v>
      </c>
      <c r="B197" s="46">
        <v>9140536946.1088505</v>
      </c>
      <c r="C197" s="56">
        <v>9193621812.7819996</v>
      </c>
      <c r="D197" s="44">
        <f>AVERAGE($C$175:C197)</f>
        <v>9512278086.7991886</v>
      </c>
      <c r="E197" s="45">
        <f t="shared" si="19"/>
        <v>371741140.69033813</v>
      </c>
      <c r="F197" s="45">
        <f t="shared" si="20"/>
        <v>53084866.673149109</v>
      </c>
      <c r="H197" s="46">
        <v>945633000</v>
      </c>
      <c r="I197" s="50">
        <v>947000175.11556995</v>
      </c>
      <c r="J197" s="38">
        <f t="shared" si="21"/>
        <v>1367175.1155699492</v>
      </c>
      <c r="K197" s="35">
        <f t="shared" si="22"/>
        <v>373108315.80590808</v>
      </c>
      <c r="L197" s="44">
        <f t="shared" si="23"/>
        <v>54452041.788719058</v>
      </c>
    </row>
    <row r="198" spans="1:12" ht="12.65" customHeight="1">
      <c r="A198" s="33">
        <v>43294</v>
      </c>
      <c r="B198" s="46">
        <v>9140536946.1088505</v>
      </c>
      <c r="C198" s="56">
        <v>9129009210.9510994</v>
      </c>
      <c r="D198" s="44">
        <f>AVERAGE($C$175:C198)</f>
        <v>9496308550.3055191</v>
      </c>
      <c r="E198" s="45">
        <f t="shared" si="19"/>
        <v>355771604.19666862</v>
      </c>
      <c r="F198" s="45">
        <f t="shared" si="20"/>
        <v>-11527735.157751083</v>
      </c>
      <c r="H198" s="46">
        <v>945633000</v>
      </c>
      <c r="I198" s="50">
        <v>946775928.32035005</v>
      </c>
      <c r="J198" s="38">
        <f t="shared" si="21"/>
        <v>1142928.3203500509</v>
      </c>
      <c r="K198" s="35">
        <f t="shared" si="22"/>
        <v>356914532.51701868</v>
      </c>
      <c r="L198" s="44">
        <f t="shared" si="23"/>
        <v>-10384806.837401032</v>
      </c>
    </row>
    <row r="199" spans="1:12" ht="12.65" customHeight="1">
      <c r="A199" s="33">
        <v>43297</v>
      </c>
      <c r="B199" s="46">
        <v>9228892692.01301</v>
      </c>
      <c r="C199" s="56">
        <v>9309536941.6595402</v>
      </c>
      <c r="D199" s="44">
        <f>AVERAGE($C$175:C199)</f>
        <v>9488837685.9596806</v>
      </c>
      <c r="E199" s="45">
        <f t="shared" si="19"/>
        <v>259944993.94667053</v>
      </c>
      <c r="F199" s="45">
        <f t="shared" si="20"/>
        <v>80644249.646530151</v>
      </c>
      <c r="H199" s="46">
        <v>977802000</v>
      </c>
      <c r="I199" s="50">
        <v>979594988.18847001</v>
      </c>
      <c r="J199" s="38">
        <f t="shared" si="21"/>
        <v>1792988.188470006</v>
      </c>
      <c r="K199" s="35">
        <f t="shared" si="22"/>
        <v>261737982.13514054</v>
      </c>
      <c r="L199" s="44">
        <f t="shared" si="23"/>
        <v>82437237.835000157</v>
      </c>
    </row>
    <row r="200" spans="1:12" ht="12.65" customHeight="1">
      <c r="A200" s="33">
        <v>43298</v>
      </c>
      <c r="B200" s="46">
        <v>9228892692.01301</v>
      </c>
      <c r="C200" s="56">
        <v>9283184933.9937191</v>
      </c>
      <c r="D200" s="44">
        <f>AVERAGE($C$175:C200)</f>
        <v>9480927964.7302208</v>
      </c>
      <c r="E200" s="45">
        <f t="shared" si="19"/>
        <v>252035272.71721077</v>
      </c>
      <c r="F200" s="45">
        <f t="shared" si="20"/>
        <v>54292241.980709076</v>
      </c>
      <c r="H200" s="46">
        <v>977802000</v>
      </c>
      <c r="I200" s="50">
        <v>979260880.43643999</v>
      </c>
      <c r="J200" s="38">
        <f t="shared" si="21"/>
        <v>1458880.436439991</v>
      </c>
      <c r="K200" s="35">
        <f t="shared" si="22"/>
        <v>253494153.15365076</v>
      </c>
      <c r="L200" s="44">
        <f t="shared" si="23"/>
        <v>55751122.417149067</v>
      </c>
    </row>
    <row r="201" spans="1:12" ht="12.65" customHeight="1">
      <c r="A201" s="33">
        <v>43299</v>
      </c>
      <c r="B201" s="46">
        <v>9228892692.01301</v>
      </c>
      <c r="C201" s="56">
        <v>9280647839.9327793</v>
      </c>
      <c r="D201" s="44">
        <f>AVERAGE($C$175:C201)</f>
        <v>9473510182.3303146</v>
      </c>
      <c r="E201" s="45">
        <f t="shared" si="19"/>
        <v>244617490.31730461</v>
      </c>
      <c r="F201" s="45">
        <f t="shared" si="20"/>
        <v>51755147.919769287</v>
      </c>
      <c r="H201" s="46">
        <v>977802000</v>
      </c>
      <c r="I201" s="50">
        <v>979100773.12865996</v>
      </c>
      <c r="J201" s="38">
        <f t="shared" si="21"/>
        <v>1298773.1286599636</v>
      </c>
      <c r="K201" s="35">
        <f t="shared" si="22"/>
        <v>245916263.44596457</v>
      </c>
      <c r="L201" s="44">
        <f t="shared" si="23"/>
        <v>53053921.048429251</v>
      </c>
    </row>
    <row r="202" spans="1:12" ht="12.65" customHeight="1">
      <c r="A202" s="33">
        <v>43300</v>
      </c>
      <c r="B202" s="46">
        <v>9228892692.01301</v>
      </c>
      <c r="C202" s="56">
        <v>9282900712.0772305</v>
      </c>
      <c r="D202" s="44">
        <f>AVERAGE($C$175:C202)</f>
        <v>9466702701.2498474</v>
      </c>
      <c r="E202" s="45">
        <f t="shared" si="19"/>
        <v>237810009.23683739</v>
      </c>
      <c r="F202" s="45">
        <f t="shared" si="20"/>
        <v>54008020.064220428</v>
      </c>
      <c r="H202" s="46">
        <v>977802000</v>
      </c>
      <c r="I202" s="50">
        <v>979281481.40631998</v>
      </c>
      <c r="J202" s="38">
        <f t="shared" si="21"/>
        <v>1479481.4063199759</v>
      </c>
      <c r="K202" s="35">
        <f t="shared" si="22"/>
        <v>239289490.64315736</v>
      </c>
      <c r="L202" s="44">
        <f t="shared" si="23"/>
        <v>55487501.470540404</v>
      </c>
    </row>
    <row r="203" spans="1:12" ht="12.65" customHeight="1">
      <c r="A203" s="33">
        <v>43301</v>
      </c>
      <c r="B203" s="46">
        <v>9228892692.01301</v>
      </c>
      <c r="C203" s="56">
        <v>7266886022.2421999</v>
      </c>
      <c r="D203" s="44">
        <f>AVERAGE($C$175:C203)</f>
        <v>9390846953.6978588</v>
      </c>
      <c r="E203" s="45">
        <f t="shared" si="19"/>
        <v>161954261.68484879</v>
      </c>
      <c r="F203" s="45">
        <f t="shared" si="20"/>
        <v>-1962006669.7708101</v>
      </c>
      <c r="H203" s="46">
        <v>977802000</v>
      </c>
      <c r="I203" s="50">
        <v>979778581.03529</v>
      </c>
      <c r="J203" s="38">
        <f t="shared" si="21"/>
        <v>1976581.0352900028</v>
      </c>
      <c r="K203" s="35">
        <f t="shared" si="22"/>
        <v>163930842.72013879</v>
      </c>
      <c r="L203" s="44">
        <f t="shared" si="23"/>
        <v>-1960030088.7355201</v>
      </c>
    </row>
    <row r="204" spans="1:12" ht="12.65" customHeight="1">
      <c r="A204" s="33">
        <v>43304</v>
      </c>
      <c r="B204" s="46">
        <v>9228892692.01301</v>
      </c>
      <c r="C204" s="56">
        <v>11128370779.5672</v>
      </c>
      <c r="D204" s="44">
        <f>AVERAGE($C$175:C204)</f>
        <v>9448764414.5601711</v>
      </c>
      <c r="E204" s="45">
        <f t="shared" si="19"/>
        <v>219871722.5471611</v>
      </c>
      <c r="F204" s="45">
        <f t="shared" si="20"/>
        <v>1899478087.5541897</v>
      </c>
      <c r="H204" s="46">
        <v>977802000</v>
      </c>
      <c r="I204" s="50">
        <v>978821192.02719998</v>
      </c>
      <c r="J204" s="38">
        <f t="shared" si="21"/>
        <v>1019192.0271999836</v>
      </c>
      <c r="K204" s="35">
        <f t="shared" si="22"/>
        <v>220890914.57436109</v>
      </c>
      <c r="L204" s="44">
        <f t="shared" si="23"/>
        <v>1900497279.5813897</v>
      </c>
    </row>
    <row r="205" spans="1:12" ht="12.65" customHeight="1">
      <c r="A205" s="33">
        <v>43305</v>
      </c>
      <c r="B205" s="46">
        <v>9228892692.01301</v>
      </c>
      <c r="C205" s="56">
        <v>9285272717.8840904</v>
      </c>
      <c r="D205" s="44">
        <f>AVERAGE($C$175:C205)</f>
        <v>9443490488.8609428</v>
      </c>
      <c r="E205" s="45">
        <f t="shared" si="19"/>
        <v>214597796.84793282</v>
      </c>
      <c r="F205" s="45">
        <f t="shared" si="20"/>
        <v>56380025.871080399</v>
      </c>
      <c r="H205" s="46">
        <v>998054000</v>
      </c>
      <c r="I205" s="50">
        <v>999691117.79496002</v>
      </c>
      <c r="J205" s="38">
        <f t="shared" si="21"/>
        <v>1637117.794960022</v>
      </c>
      <c r="K205" s="35">
        <f t="shared" si="22"/>
        <v>216234914.64289284</v>
      </c>
      <c r="L205" s="44">
        <f t="shared" si="23"/>
        <v>58017143.666040421</v>
      </c>
    </row>
    <row r="206" spans="1:12" ht="12.65" customHeight="1">
      <c r="A206" s="33">
        <v>43306</v>
      </c>
      <c r="B206" s="46">
        <v>9228892692.01301</v>
      </c>
      <c r="C206" s="56">
        <v>9286891754.6277695</v>
      </c>
      <c r="D206" s="44">
        <f>AVERAGE($C$175:C206)</f>
        <v>9438596778.4161549</v>
      </c>
      <c r="E206" s="45">
        <f t="shared" si="19"/>
        <v>209704086.40314484</v>
      </c>
      <c r="F206" s="45">
        <f t="shared" si="20"/>
        <v>57999062.614759445</v>
      </c>
      <c r="H206" s="46">
        <v>998054000</v>
      </c>
      <c r="I206" s="50">
        <v>999874120.97078001</v>
      </c>
      <c r="J206" s="38">
        <f t="shared" si="21"/>
        <v>1820120.970780015</v>
      </c>
      <c r="K206" s="35">
        <f t="shared" si="22"/>
        <v>211524207.37392485</v>
      </c>
      <c r="L206" s="44">
        <f t="shared" si="23"/>
        <v>59819183.58553946</v>
      </c>
    </row>
    <row r="207" spans="1:12" ht="12.65" customHeight="1">
      <c r="A207" s="33">
        <v>43307</v>
      </c>
      <c r="B207" s="46">
        <v>9228892692.01301</v>
      </c>
      <c r="C207" s="56">
        <v>11155300203.7493</v>
      </c>
      <c r="D207" s="44">
        <f>AVERAGE($C$175:C207)</f>
        <v>9490618094.3353424</v>
      </c>
      <c r="E207" s="45">
        <f t="shared" si="19"/>
        <v>261725402.32233238</v>
      </c>
      <c r="F207" s="45">
        <f t="shared" si="20"/>
        <v>1926407511.73629</v>
      </c>
      <c r="H207" s="46">
        <v>998054000</v>
      </c>
      <c r="I207" s="50">
        <v>999371738.27451003</v>
      </c>
      <c r="J207" s="38">
        <f t="shared" si="21"/>
        <v>1317738.274510026</v>
      </c>
      <c r="K207" s="35">
        <f t="shared" si="22"/>
        <v>263043140.59684241</v>
      </c>
      <c r="L207" s="44">
        <f t="shared" si="23"/>
        <v>1927725250.0107999</v>
      </c>
    </row>
    <row r="208" spans="1:12" ht="12.65" customHeight="1">
      <c r="A208" s="33">
        <v>43308</v>
      </c>
      <c r="B208" s="46">
        <v>9228892692.01301</v>
      </c>
      <c r="C208" s="56">
        <v>7286222784.84062</v>
      </c>
      <c r="D208" s="44">
        <f>AVERAGE($C$175:C208)</f>
        <v>9425782938.1737328</v>
      </c>
      <c r="E208" s="45">
        <f t="shared" si="19"/>
        <v>196890246.16072273</v>
      </c>
      <c r="F208" s="45">
        <f t="shared" si="20"/>
        <v>-1942669907.17239</v>
      </c>
      <c r="H208" s="46">
        <v>998054000</v>
      </c>
      <c r="I208" s="50">
        <v>999681446.47402</v>
      </c>
      <c r="J208" s="38">
        <f t="shared" si="21"/>
        <v>1627446.4740200043</v>
      </c>
      <c r="K208" s="35">
        <f t="shared" si="22"/>
        <v>198517692.63474274</v>
      </c>
      <c r="L208" s="44">
        <f t="shared" si="23"/>
        <v>-1941042460.69837</v>
      </c>
    </row>
    <row r="209" spans="1:12" ht="12.65" customHeight="1">
      <c r="A209" s="33">
        <v>43311</v>
      </c>
      <c r="B209" s="46">
        <v>9228892692.01301</v>
      </c>
      <c r="C209" s="56">
        <v>9280663847.3686409</v>
      </c>
      <c r="D209" s="44">
        <f>AVERAGE($C$175:C209)</f>
        <v>9421636678.4364452</v>
      </c>
      <c r="E209" s="45">
        <f t="shared" si="19"/>
        <v>192743986.42343521</v>
      </c>
      <c r="F209" s="45">
        <f t="shared" si="20"/>
        <v>51771155.355630875</v>
      </c>
      <c r="H209" s="46">
        <v>998054000</v>
      </c>
      <c r="I209" s="50">
        <v>1038814186.89121</v>
      </c>
      <c r="J209" s="38">
        <f t="shared" si="21"/>
        <v>40760186.89120996</v>
      </c>
      <c r="K209" s="35">
        <f t="shared" si="22"/>
        <v>233504173.31464517</v>
      </c>
      <c r="L209" s="44">
        <f t="shared" si="23"/>
        <v>92531342.246840835</v>
      </c>
    </row>
    <row r="210" spans="1:12" ht="12.65" customHeight="1">
      <c r="A210" s="33">
        <v>43312</v>
      </c>
      <c r="B210" s="46">
        <v>9228892692.01301</v>
      </c>
      <c r="C210" s="56">
        <v>9283545271.0470409</v>
      </c>
      <c r="D210" s="44">
        <f>AVERAGE($C$175:C210)</f>
        <v>9417800806.0089626</v>
      </c>
      <c r="E210" s="45">
        <f t="shared" si="19"/>
        <v>188908113.99595261</v>
      </c>
      <c r="F210" s="45">
        <f t="shared" si="20"/>
        <v>54652579.034030914</v>
      </c>
      <c r="H210" s="46">
        <v>998054000</v>
      </c>
      <c r="I210" s="50">
        <v>999279060.60128999</v>
      </c>
      <c r="J210" s="38">
        <f t="shared" si="21"/>
        <v>1225060.6012899876</v>
      </c>
      <c r="K210" s="35">
        <f t="shared" si="22"/>
        <v>190133174.59724259</v>
      </c>
      <c r="L210" s="44">
        <f t="shared" si="23"/>
        <v>55877639.635320902</v>
      </c>
    </row>
    <row r="211" spans="1:12" ht="12.65" customHeight="1">
      <c r="A211" s="33">
        <v>43313</v>
      </c>
      <c r="B211" s="46">
        <v>9275929399.3097191</v>
      </c>
      <c r="C211" s="56">
        <v>9329404521.3400803</v>
      </c>
      <c r="D211" s="44">
        <f>AVERAGE($C$175:C211)</f>
        <v>9415411717.234127</v>
      </c>
      <c r="E211" s="45">
        <f t="shared" si="19"/>
        <v>139482317.92440796</v>
      </c>
      <c r="F211" s="45">
        <f t="shared" si="20"/>
        <v>53475122.030361176</v>
      </c>
      <c r="H211" s="46">
        <v>1013218000</v>
      </c>
      <c r="I211" s="50">
        <v>1014542830.2045701</v>
      </c>
      <c r="J211" s="38">
        <f t="shared" si="21"/>
        <v>1324830.204570055</v>
      </c>
      <c r="K211" s="35">
        <f t="shared" si="22"/>
        <v>140807148.12897801</v>
      </c>
      <c r="L211" s="44">
        <f t="shared" si="23"/>
        <v>54799952.234931231</v>
      </c>
    </row>
    <row r="212" spans="1:12" ht="12.65" customHeight="1">
      <c r="A212" s="33">
        <v>43314</v>
      </c>
      <c r="B212" s="46">
        <v>9275929399.3097191</v>
      </c>
      <c r="C212" s="56">
        <v>9327149895.0618401</v>
      </c>
      <c r="D212" s="44">
        <f>AVERAGE($C$175:C212)</f>
        <v>9413089037.7032776</v>
      </c>
      <c r="E212" s="45">
        <f t="shared" si="19"/>
        <v>137159638.3935585</v>
      </c>
      <c r="F212" s="45">
        <f t="shared" si="20"/>
        <v>51220495.752120972</v>
      </c>
      <c r="H212" s="46">
        <v>1013218000</v>
      </c>
      <c r="I212" s="50">
        <v>1014688248.32183</v>
      </c>
      <c r="J212" s="38">
        <f t="shared" si="21"/>
        <v>1470248.3218300343</v>
      </c>
      <c r="K212" s="35">
        <f t="shared" si="22"/>
        <v>138629886.71538854</v>
      </c>
      <c r="L212" s="44">
        <f t="shared" si="23"/>
        <v>52690744.073951006</v>
      </c>
    </row>
    <row r="213" spans="1:12" ht="12.65" customHeight="1">
      <c r="A213" s="33">
        <v>43315</v>
      </c>
      <c r="B213" s="46">
        <v>9275929399.3097191</v>
      </c>
      <c r="C213" s="56">
        <v>7337875491.1300497</v>
      </c>
      <c r="D213" s="44">
        <f>AVERAGE($C$175:C213)</f>
        <v>9359878433.9449902</v>
      </c>
      <c r="E213" s="45">
        <f t="shared" si="19"/>
        <v>83949034.635271072</v>
      </c>
      <c r="F213" s="45">
        <f t="shared" si="20"/>
        <v>-1938053908.1796694</v>
      </c>
      <c r="H213" s="46">
        <v>1013218000</v>
      </c>
      <c r="I213" s="50">
        <v>1014379518.44153</v>
      </c>
      <c r="J213" s="38">
        <f t="shared" si="21"/>
        <v>1161518.4415299892</v>
      </c>
      <c r="K213" s="35">
        <f t="shared" si="22"/>
        <v>85110553.076801062</v>
      </c>
      <c r="L213" s="44">
        <f t="shared" si="23"/>
        <v>-1936892389.7381394</v>
      </c>
    </row>
    <row r="214" spans="1:12" ht="12.65" customHeight="1">
      <c r="A214" s="33">
        <v>43318</v>
      </c>
      <c r="B214" s="46">
        <v>9275929399.3097191</v>
      </c>
      <c r="C214" s="56">
        <v>11289501081.264099</v>
      </c>
      <c r="D214" s="44">
        <f>AVERAGE($C$175:C214)</f>
        <v>9408119000.1279678</v>
      </c>
      <c r="E214" s="45">
        <f t="shared" si="19"/>
        <v>132189600.81824875</v>
      </c>
      <c r="F214" s="45">
        <f t="shared" si="20"/>
        <v>2013571681.95438</v>
      </c>
      <c r="H214" s="46">
        <v>1013218000</v>
      </c>
      <c r="I214" s="50">
        <v>1015108411.03432</v>
      </c>
      <c r="J214" s="38">
        <f t="shared" si="21"/>
        <v>1890411.0343199968</v>
      </c>
      <c r="K214" s="35">
        <f t="shared" si="22"/>
        <v>134080011.85256875</v>
      </c>
      <c r="L214" s="44">
        <f t="shared" si="23"/>
        <v>2015462092.9886999</v>
      </c>
    </row>
    <row r="215" spans="1:12" ht="12.65" customHeight="1">
      <c r="A215" s="33">
        <v>43319</v>
      </c>
      <c r="B215" s="46">
        <v>9275929399.3097191</v>
      </c>
      <c r="C215" s="56">
        <v>9328881732.37393</v>
      </c>
      <c r="D215" s="44">
        <f>AVERAGE($C$175:C215)</f>
        <v>9406186383.8412838</v>
      </c>
      <c r="E215" s="45">
        <f t="shared" si="19"/>
        <v>130256984.53156471</v>
      </c>
      <c r="F215" s="45">
        <f t="shared" si="20"/>
        <v>52952333.064210892</v>
      </c>
      <c r="H215" s="46">
        <v>1013218000</v>
      </c>
      <c r="I215" s="50">
        <v>1014988883.45495</v>
      </c>
      <c r="J215" s="38">
        <f t="shared" si="21"/>
        <v>1770883.454949975</v>
      </c>
      <c r="K215" s="35">
        <f t="shared" si="22"/>
        <v>132027867.98651469</v>
      </c>
      <c r="L215" s="44">
        <f t="shared" si="23"/>
        <v>54723216.519160867</v>
      </c>
    </row>
    <row r="216" spans="1:12" ht="12.65" customHeight="1">
      <c r="A216" s="33">
        <v>43320</v>
      </c>
      <c r="B216" s="46">
        <v>9275929399.3097191</v>
      </c>
      <c r="C216" s="56">
        <v>10704699259.7118</v>
      </c>
      <c r="D216" s="44">
        <f>AVERAGE($C$175:C216)</f>
        <v>9437103357.0762959</v>
      </c>
      <c r="E216" s="45">
        <f t="shared" si="19"/>
        <v>161173957.76657677</v>
      </c>
      <c r="F216" s="45">
        <f t="shared" si="20"/>
        <v>1428769860.4020805</v>
      </c>
      <c r="H216" s="46">
        <v>986868000</v>
      </c>
      <c r="I216" s="50">
        <v>988839301.10809004</v>
      </c>
      <c r="J216" s="38">
        <f t="shared" si="21"/>
        <v>1971301.1080900431</v>
      </c>
      <c r="K216" s="35">
        <f t="shared" si="22"/>
        <v>163145258.87466681</v>
      </c>
      <c r="L216" s="44">
        <f t="shared" si="23"/>
        <v>1430741161.5101705</v>
      </c>
    </row>
    <row r="217" spans="1:12" ht="12.65" customHeight="1">
      <c r="A217" s="33">
        <v>43321</v>
      </c>
      <c r="B217" s="46">
        <v>9275929399.3097191</v>
      </c>
      <c r="C217" s="56">
        <v>9966876668.6061707</v>
      </c>
      <c r="D217" s="44">
        <f>AVERAGE($C$175:C217)</f>
        <v>9449423666.6467571</v>
      </c>
      <c r="E217" s="45">
        <f t="shared" si="19"/>
        <v>173494267.33703804</v>
      </c>
      <c r="F217" s="45">
        <f t="shared" si="20"/>
        <v>690947269.29645157</v>
      </c>
      <c r="H217" s="46">
        <v>986868000</v>
      </c>
      <c r="I217" s="50">
        <v>988147424.24354994</v>
      </c>
      <c r="J217" s="38">
        <f t="shared" si="21"/>
        <v>1279424.243549943</v>
      </c>
      <c r="K217" s="35">
        <f t="shared" si="22"/>
        <v>174773691.58058798</v>
      </c>
      <c r="L217" s="44">
        <f t="shared" si="23"/>
        <v>692226693.54000151</v>
      </c>
    </row>
    <row r="218" spans="1:12" ht="12.65" customHeight="1">
      <c r="A218" s="33">
        <v>43322</v>
      </c>
      <c r="B218" s="46">
        <v>9275929399.3097191</v>
      </c>
      <c r="C218" s="56">
        <v>7358033231.6826</v>
      </c>
      <c r="D218" s="44">
        <f>AVERAGE($C$175:C218)</f>
        <v>9401892065.8521175</v>
      </c>
      <c r="E218" s="45">
        <f t="shared" si="19"/>
        <v>125962666.54239845</v>
      </c>
      <c r="F218" s="45">
        <f t="shared" si="20"/>
        <v>-1917896167.6271191</v>
      </c>
      <c r="H218" s="46">
        <v>986868000</v>
      </c>
      <c r="I218" s="50">
        <v>988681736.82868004</v>
      </c>
      <c r="J218" s="38">
        <f t="shared" si="21"/>
        <v>1813736.8286800385</v>
      </c>
      <c r="K218" s="35">
        <f t="shared" si="22"/>
        <v>127776403.37107849</v>
      </c>
      <c r="L218" s="44">
        <f t="shared" si="23"/>
        <v>-1916082430.798439</v>
      </c>
    </row>
    <row r="219" spans="1:12" ht="12.65" customHeight="1">
      <c r="A219" s="33">
        <v>43325</v>
      </c>
      <c r="B219" s="46">
        <v>9275929399.3097191</v>
      </c>
      <c r="C219" s="56">
        <v>10726142658.9275</v>
      </c>
      <c r="D219" s="44">
        <f>AVERAGE($C$175:C219)</f>
        <v>9431319856.8093472</v>
      </c>
      <c r="E219" s="45">
        <f t="shared" si="19"/>
        <v>155390457.49962807</v>
      </c>
      <c r="F219" s="45">
        <f t="shared" si="20"/>
        <v>1450213259.6177807</v>
      </c>
      <c r="H219" s="46">
        <v>986868000</v>
      </c>
      <c r="I219" s="50">
        <v>991344312.76628006</v>
      </c>
      <c r="J219" s="38">
        <f t="shared" si="21"/>
        <v>4476312.766280055</v>
      </c>
      <c r="K219" s="35">
        <f t="shared" si="22"/>
        <v>159866770.26590812</v>
      </c>
      <c r="L219" s="44">
        <f t="shared" si="23"/>
        <v>1454689572.3840609</v>
      </c>
    </row>
    <row r="220" spans="1:12" ht="12.65" customHeight="1">
      <c r="A220" s="33">
        <v>43326</v>
      </c>
      <c r="B220" s="46">
        <v>9275929399.3097191</v>
      </c>
      <c r="C220" s="56">
        <v>9330199439.2419109</v>
      </c>
      <c r="D220" s="44">
        <f>AVERAGE($C$175:C220)</f>
        <v>9429121586.8622284</v>
      </c>
      <c r="E220" s="45">
        <f t="shared" si="19"/>
        <v>153192187.55250931</v>
      </c>
      <c r="F220" s="45">
        <f t="shared" si="20"/>
        <v>54270039.932191849</v>
      </c>
      <c r="H220" s="46">
        <v>986868000</v>
      </c>
      <c r="I220" s="50">
        <v>988628106.16724002</v>
      </c>
      <c r="J220" s="38">
        <f t="shared" si="21"/>
        <v>1760106.1672400236</v>
      </c>
      <c r="K220" s="35">
        <f t="shared" si="22"/>
        <v>154952293.71974933</v>
      </c>
      <c r="L220" s="44">
        <f t="shared" si="23"/>
        <v>56030146.099431872</v>
      </c>
    </row>
    <row r="221" spans="1:12" ht="12.65" customHeight="1">
      <c r="A221" s="33">
        <v>43327</v>
      </c>
      <c r="B221" s="46">
        <v>9275929399.3097191</v>
      </c>
      <c r="C221" s="56">
        <v>7858221039.6493597</v>
      </c>
      <c r="D221" s="44">
        <f>AVERAGE($C$175:C221)</f>
        <v>9395698170.9640827</v>
      </c>
      <c r="E221" s="45">
        <f t="shared" si="19"/>
        <v>119768771.65436363</v>
      </c>
      <c r="F221" s="45">
        <f t="shared" si="20"/>
        <v>-1417708359.6603594</v>
      </c>
      <c r="H221" s="46">
        <v>986868000</v>
      </c>
      <c r="I221" s="50">
        <v>988138296.77594995</v>
      </c>
      <c r="J221" s="38">
        <f t="shared" si="21"/>
        <v>1270296.775949955</v>
      </c>
      <c r="K221" s="35">
        <f t="shared" si="22"/>
        <v>121039068.43031359</v>
      </c>
      <c r="L221" s="44">
        <f t="shared" si="23"/>
        <v>-1416438062.8844094</v>
      </c>
    </row>
    <row r="222" spans="1:12" ht="12.65" customHeight="1">
      <c r="A222" s="33">
        <v>43328</v>
      </c>
      <c r="B222" s="46">
        <v>9372720942.3042603</v>
      </c>
      <c r="C222" s="56">
        <v>7474558260.94734</v>
      </c>
      <c r="D222" s="44">
        <f>AVERAGE($C$175:C222)</f>
        <v>9355674422.8387337</v>
      </c>
      <c r="E222" s="45">
        <f t="shared" si="19"/>
        <v>-17046519.465526581</v>
      </c>
      <c r="F222" s="45">
        <f t="shared" si="20"/>
        <v>-1898162681.3569202</v>
      </c>
      <c r="H222" s="46">
        <v>965772000</v>
      </c>
      <c r="I222" s="50">
        <v>967015954.11461997</v>
      </c>
      <c r="J222" s="38">
        <f t="shared" si="21"/>
        <v>1243954.1146199703</v>
      </c>
      <c r="K222" s="35">
        <f t="shared" si="22"/>
        <v>-15802565.35090661</v>
      </c>
      <c r="L222" s="44">
        <f t="shared" si="23"/>
        <v>-1896918727.2423003</v>
      </c>
    </row>
    <row r="223" spans="1:12" ht="12.65" customHeight="1">
      <c r="A223" s="33">
        <v>43332</v>
      </c>
      <c r="B223" s="46">
        <v>9372720942.3042603</v>
      </c>
      <c r="C223" s="56">
        <v>12683618753.9053</v>
      </c>
      <c r="D223" s="44">
        <f>AVERAGE($C$175:C223)</f>
        <v>9423591654.0849895</v>
      </c>
      <c r="E223" s="45">
        <f t="shared" si="19"/>
        <v>50870711.780729294</v>
      </c>
      <c r="F223" s="45">
        <f t="shared" si="20"/>
        <v>3310897811.6010399</v>
      </c>
      <c r="H223" s="46">
        <v>965772000</v>
      </c>
      <c r="I223" s="50">
        <v>967728926.52350998</v>
      </c>
      <c r="J223" s="38">
        <f t="shared" si="21"/>
        <v>1956926.5235099792</v>
      </c>
      <c r="K223" s="35">
        <f t="shared" si="22"/>
        <v>52827638.304239273</v>
      </c>
      <c r="L223" s="44">
        <f t="shared" si="23"/>
        <v>3312854738.1245499</v>
      </c>
    </row>
    <row r="224" spans="1:12" ht="12.65" customHeight="1">
      <c r="A224" s="33">
        <v>43333</v>
      </c>
      <c r="B224" s="46">
        <v>9372720942.3042603</v>
      </c>
      <c r="C224" s="56">
        <v>8252156654.5003204</v>
      </c>
      <c r="D224" s="44">
        <f>AVERAGE($C$175:C224)</f>
        <v>9400162954.0932961</v>
      </c>
      <c r="E224" s="45">
        <f t="shared" si="19"/>
        <v>27442011.789035797</v>
      </c>
      <c r="F224" s="45">
        <f t="shared" si="20"/>
        <v>-1120564287.8039398</v>
      </c>
      <c r="H224" s="46">
        <v>965772000</v>
      </c>
      <c r="I224" s="50">
        <v>967426665.84501004</v>
      </c>
      <c r="J224" s="38">
        <f t="shared" si="21"/>
        <v>1654665.8450100422</v>
      </c>
      <c r="K224" s="35">
        <f t="shared" si="22"/>
        <v>29096677.634045839</v>
      </c>
      <c r="L224" s="44">
        <f t="shared" si="23"/>
        <v>-1118909621.9589298</v>
      </c>
    </row>
    <row r="225" spans="1:12" ht="12.65" customHeight="1">
      <c r="A225" s="33">
        <v>43335</v>
      </c>
      <c r="B225" s="46">
        <v>9372720942.3042603</v>
      </c>
      <c r="C225" s="56">
        <v>11202776877.114</v>
      </c>
      <c r="D225" s="44">
        <f>AVERAGE($C$175:C225)</f>
        <v>9435508325.1329174</v>
      </c>
      <c r="E225" s="45">
        <f t="shared" si="19"/>
        <v>62787382.82865715</v>
      </c>
      <c r="F225" s="45">
        <f t="shared" si="20"/>
        <v>1830055934.8097401</v>
      </c>
      <c r="H225" s="46">
        <v>965772000</v>
      </c>
      <c r="I225" s="50">
        <v>967007031.08623004</v>
      </c>
      <c r="J225" s="38">
        <f t="shared" si="21"/>
        <v>1235031.0862300396</v>
      </c>
      <c r="K225" s="35">
        <f t="shared" si="22"/>
        <v>64022413.91488719</v>
      </c>
      <c r="L225" s="44">
        <f t="shared" si="23"/>
        <v>1831290965.8959701</v>
      </c>
    </row>
    <row r="226" spans="1:12" ht="12.65" customHeight="1">
      <c r="A226" s="33">
        <v>43336</v>
      </c>
      <c r="B226" s="46">
        <v>9372720942.3042603</v>
      </c>
      <c r="C226" s="56">
        <v>7560266508.2823095</v>
      </c>
      <c r="D226" s="44">
        <f>AVERAGE($C$175:C226)</f>
        <v>9399445982.5011749</v>
      </c>
      <c r="E226" s="45">
        <f t="shared" si="19"/>
        <v>26725040.196914673</v>
      </c>
      <c r="F226" s="45">
        <f t="shared" si="20"/>
        <v>-1812454434.0219507</v>
      </c>
      <c r="H226" s="46">
        <v>962508000</v>
      </c>
      <c r="I226" s="50">
        <v>964088085.10514998</v>
      </c>
      <c r="J226" s="38">
        <f t="shared" si="21"/>
        <v>1580085.1051499844</v>
      </c>
      <c r="K226" s="35">
        <f t="shared" si="22"/>
        <v>28305125.302064657</v>
      </c>
      <c r="L226" s="44">
        <f t="shared" si="23"/>
        <v>-1810874348.9168007</v>
      </c>
    </row>
    <row r="227" spans="1:12" ht="12.65" customHeight="1">
      <c r="A227" s="33">
        <v>43339</v>
      </c>
      <c r="B227" s="46">
        <v>9372720942.3042603</v>
      </c>
      <c r="C227" s="56">
        <v>10728916015.103201</v>
      </c>
      <c r="D227" s="44">
        <f>AVERAGE($C$175:C227)</f>
        <v>9424530322.7389488</v>
      </c>
      <c r="E227" s="45">
        <f t="shared" si="19"/>
        <v>51809380.434688568</v>
      </c>
      <c r="F227" s="45">
        <f t="shared" si="20"/>
        <v>1356195072.7989407</v>
      </c>
      <c r="H227" s="46">
        <v>962508000</v>
      </c>
      <c r="I227" s="50">
        <v>963875248.34790003</v>
      </c>
      <c r="J227" s="38">
        <f t="shared" si="21"/>
        <v>1367248.347900033</v>
      </c>
      <c r="K227" s="35">
        <f t="shared" si="22"/>
        <v>53176628.782588601</v>
      </c>
      <c r="L227" s="44">
        <f t="shared" si="23"/>
        <v>1357562321.1468406</v>
      </c>
    </row>
    <row r="228" spans="1:12" ht="12.65" customHeight="1">
      <c r="A228" s="33">
        <v>43340</v>
      </c>
      <c r="B228" s="46">
        <v>9372720942.3042603</v>
      </c>
      <c r="C228" s="56">
        <v>11577124290.244101</v>
      </c>
      <c r="D228" s="44">
        <f>AVERAGE($C$175:C228)</f>
        <v>9464393173.9890442</v>
      </c>
      <c r="E228" s="45">
        <f t="shared" si="19"/>
        <v>91672231.684783936</v>
      </c>
      <c r="F228" s="45">
        <f t="shared" si="20"/>
        <v>2204403347.9398403</v>
      </c>
      <c r="H228" s="46">
        <v>962508000</v>
      </c>
      <c r="I228" s="50">
        <v>963969426.77954996</v>
      </c>
      <c r="J228" s="38">
        <f t="shared" si="21"/>
        <v>1461426.7795499563</v>
      </c>
      <c r="K228" s="35">
        <f t="shared" si="22"/>
        <v>93133658.464333892</v>
      </c>
      <c r="L228" s="44">
        <f t="shared" si="23"/>
        <v>2205864774.7193904</v>
      </c>
    </row>
    <row r="229" spans="1:12" ht="12.65" customHeight="1">
      <c r="A229" s="33">
        <v>43341</v>
      </c>
      <c r="B229" s="46">
        <v>9372720942.3042603</v>
      </c>
      <c r="C229" s="56">
        <v>9025430444.06106</v>
      </c>
      <c r="D229" s="44">
        <f>AVERAGE($C$175:C229)</f>
        <v>9456412033.4448986</v>
      </c>
      <c r="E229" s="45">
        <f t="shared" si="19"/>
        <v>83691091.140638351</v>
      </c>
      <c r="F229" s="45">
        <f t="shared" si="20"/>
        <v>-347290498.2432003</v>
      </c>
      <c r="H229" s="46">
        <v>962508000</v>
      </c>
      <c r="I229" s="50">
        <v>963696385.07459998</v>
      </c>
      <c r="J229" s="38">
        <f t="shared" si="21"/>
        <v>1188385.0745999813</v>
      </c>
      <c r="K229" s="35">
        <f t="shared" si="22"/>
        <v>84879476.215238333</v>
      </c>
      <c r="L229" s="44">
        <f t="shared" si="23"/>
        <v>-346102113.16860032</v>
      </c>
    </row>
    <row r="230" spans="1:12" ht="12.65" customHeight="1">
      <c r="A230" s="33">
        <v>43342</v>
      </c>
      <c r="B230" s="46">
        <v>9372720942.3042603</v>
      </c>
      <c r="C230" s="56">
        <v>7917105805.6662903</v>
      </c>
      <c r="D230" s="44">
        <f>AVERAGE($C$175:C230)</f>
        <v>9428924422.2345676</v>
      </c>
      <c r="E230" s="45">
        <f t="shared" si="19"/>
        <v>56203479.930307388</v>
      </c>
      <c r="F230" s="45">
        <f t="shared" si="20"/>
        <v>-1455615136.63797</v>
      </c>
      <c r="H230" s="46">
        <v>962508000</v>
      </c>
      <c r="I230" s="50">
        <v>964419981.99328995</v>
      </c>
      <c r="J230" s="38">
        <f t="shared" si="21"/>
        <v>1911981.9932899475</v>
      </c>
      <c r="K230" s="35">
        <f t="shared" si="22"/>
        <v>58115461.923597336</v>
      </c>
      <c r="L230" s="44">
        <f t="shared" si="23"/>
        <v>-1453703154.64468</v>
      </c>
    </row>
    <row r="231" spans="1:12" ht="12.65" customHeight="1">
      <c r="A231" s="33">
        <v>43343</v>
      </c>
      <c r="B231" s="46">
        <v>9372720942.3042603</v>
      </c>
      <c r="C231" s="56">
        <v>8499324232.3718395</v>
      </c>
      <c r="D231" s="44">
        <f>AVERAGE($C$175:C231)</f>
        <v>9412615646.9738178</v>
      </c>
      <c r="E231" s="45">
        <f t="shared" si="19"/>
        <v>39894704.669557571</v>
      </c>
      <c r="F231" s="45">
        <f t="shared" si="20"/>
        <v>-873396709.93242073</v>
      </c>
      <c r="H231" s="46">
        <v>962508000</v>
      </c>
      <c r="I231" s="50">
        <v>1004846572.16934</v>
      </c>
      <c r="J231" s="38">
        <f t="shared" si="21"/>
        <v>42338572.169340014</v>
      </c>
      <c r="K231" s="35">
        <f t="shared" si="22"/>
        <v>82233276.838897586</v>
      </c>
      <c r="L231" s="44">
        <f t="shared" si="23"/>
        <v>-831058137.76308072</v>
      </c>
    </row>
    <row r="232" spans="1:12" ht="12.65" customHeight="1">
      <c r="A232" s="33">
        <v>43346</v>
      </c>
      <c r="B232" s="46">
        <v>9422913144.5748405</v>
      </c>
      <c r="C232" s="56">
        <v>7462588365.8908501</v>
      </c>
      <c r="D232" s="44">
        <f>AVERAGE($C$175:C232)</f>
        <v>9378994486.9551449</v>
      </c>
      <c r="E232" s="45">
        <f t="shared" si="19"/>
        <v>-43918657.619695663</v>
      </c>
      <c r="F232" s="45">
        <f t="shared" si="20"/>
        <v>-1960324778.6839905</v>
      </c>
      <c r="H232" s="46">
        <v>952906000</v>
      </c>
      <c r="I232" s="50">
        <v>954090169.96038997</v>
      </c>
      <c r="J232" s="38">
        <f t="shared" si="21"/>
        <v>1184169.9603899717</v>
      </c>
      <c r="K232" s="35">
        <f t="shared" si="22"/>
        <v>-42734487.659305692</v>
      </c>
      <c r="L232" s="44">
        <f t="shared" si="23"/>
        <v>-1959140608.7236004</v>
      </c>
    </row>
    <row r="233" spans="1:12" ht="12.65" customHeight="1">
      <c r="A233" s="33">
        <v>43347</v>
      </c>
      <c r="B233" s="46">
        <v>9422913144.5748405</v>
      </c>
      <c r="C233" s="56">
        <v>9223041045.1621208</v>
      </c>
      <c r="D233" s="44">
        <f>AVERAGE($C$232:C233)</f>
        <v>8342814705.5264854</v>
      </c>
      <c r="E233" s="45">
        <f t="shared" si="19"/>
        <v>-1080098439.0483551</v>
      </c>
      <c r="F233" s="45">
        <f t="shared" si="20"/>
        <v>-199872099.41271973</v>
      </c>
      <c r="H233" s="46">
        <v>952906000</v>
      </c>
      <c r="I233" s="50">
        <v>954099515.04000998</v>
      </c>
      <c r="J233" s="38">
        <f t="shared" si="21"/>
        <v>1193515.0400099754</v>
      </c>
      <c r="K233" s="35">
        <f t="shared" si="22"/>
        <v>-1078904924.0083451</v>
      </c>
      <c r="L233" s="44">
        <f t="shared" si="23"/>
        <v>-198678584.37270975</v>
      </c>
    </row>
    <row r="234" spans="1:12" ht="12.65" customHeight="1">
      <c r="A234" s="33">
        <v>43348</v>
      </c>
      <c r="B234" s="46">
        <v>9422913144.5748405</v>
      </c>
      <c r="C234" s="56">
        <v>10891249046.7876</v>
      </c>
      <c r="D234" s="44">
        <f>AVERAGE($C$232:C234)</f>
        <v>9192292819.2801895</v>
      </c>
      <c r="E234" s="45">
        <f t="shared" si="19"/>
        <v>-230620325.29465103</v>
      </c>
      <c r="F234" s="45">
        <f t="shared" si="20"/>
        <v>1468335902.212759</v>
      </c>
      <c r="H234" s="46">
        <v>952906000</v>
      </c>
      <c r="I234" s="50">
        <v>954239731.39593005</v>
      </c>
      <c r="J234" s="38">
        <f t="shared" si="21"/>
        <v>1333731.3959300518</v>
      </c>
      <c r="K234" s="35">
        <f t="shared" si="22"/>
        <v>-229286593.89872098</v>
      </c>
      <c r="L234" s="44">
        <f t="shared" si="23"/>
        <v>1469669633.6086891</v>
      </c>
    </row>
    <row r="235" spans="1:12" ht="12.65" customHeight="1">
      <c r="A235" s="33">
        <v>43349</v>
      </c>
      <c r="B235" s="46">
        <v>9422913144.5748405</v>
      </c>
      <c r="C235" s="56">
        <v>8753270128.2463398</v>
      </c>
      <c r="D235" s="44">
        <f>AVERAGE($C$232:C235)</f>
        <v>9082537146.5217266</v>
      </c>
      <c r="E235" s="45">
        <f t="shared" si="19"/>
        <v>-340375998.05311394</v>
      </c>
      <c r="F235" s="45">
        <f t="shared" si="20"/>
        <v>-669643016.32850075</v>
      </c>
      <c r="H235" s="46">
        <v>952906000</v>
      </c>
      <c r="I235" s="50">
        <v>953961919.18552005</v>
      </c>
      <c r="J235" s="38">
        <f t="shared" si="21"/>
        <v>1055919.1855200529</v>
      </c>
      <c r="K235" s="35">
        <f t="shared" si="22"/>
        <v>-339320078.86759388</v>
      </c>
      <c r="L235" s="44">
        <f t="shared" si="23"/>
        <v>-668587097.14298069</v>
      </c>
    </row>
    <row r="236" spans="1:12" ht="12.65" customHeight="1">
      <c r="A236" s="33">
        <v>43350</v>
      </c>
      <c r="B236" s="46">
        <v>9422913144.5748405</v>
      </c>
      <c r="C236" s="56">
        <v>12014936025.6022</v>
      </c>
      <c r="D236" s="44">
        <f>AVERAGE($C$232:C236)</f>
        <v>9669016922.3378201</v>
      </c>
      <c r="E236" s="45">
        <f t="shared" si="19"/>
        <v>246103777.76297951</v>
      </c>
      <c r="F236" s="45">
        <f t="shared" si="20"/>
        <v>2592022881.027359</v>
      </c>
      <c r="H236" s="46">
        <v>952906000</v>
      </c>
      <c r="I236" s="50">
        <v>971986463.46045995</v>
      </c>
      <c r="J236" s="38">
        <f t="shared" si="21"/>
        <v>19080463.460459948</v>
      </c>
      <c r="K236" s="35">
        <f t="shared" si="22"/>
        <v>265184241.22343946</v>
      </c>
      <c r="L236" s="44">
        <f t="shared" si="23"/>
        <v>2611103344.4878187</v>
      </c>
    </row>
    <row r="237" spans="1:12" ht="12.65" customHeight="1">
      <c r="A237" s="33">
        <v>43353</v>
      </c>
      <c r="B237" s="46">
        <v>9422913144.5748405</v>
      </c>
      <c r="C237" s="56">
        <v>7983416810.8089895</v>
      </c>
      <c r="D237" s="44">
        <f>AVERAGE($C$232:C237)</f>
        <v>9388083570.4163494</v>
      </c>
      <c r="E237" s="45">
        <f t="shared" si="19"/>
        <v>-34829574.158491135</v>
      </c>
      <c r="F237" s="45">
        <f t="shared" si="20"/>
        <v>-1439496333.765851</v>
      </c>
      <c r="H237" s="46">
        <v>970752000</v>
      </c>
      <c r="I237" s="50">
        <v>972240394.83353996</v>
      </c>
      <c r="J237" s="38">
        <f t="shared" si="21"/>
        <v>1488394.8335399628</v>
      </c>
      <c r="K237" s="35">
        <f t="shared" si="22"/>
        <v>-33341179.324951172</v>
      </c>
      <c r="L237" s="44">
        <f t="shared" si="23"/>
        <v>-1438007938.9323111</v>
      </c>
    </row>
    <row r="238" spans="1:12" ht="12.65" customHeight="1">
      <c r="A238" s="33">
        <v>43355</v>
      </c>
      <c r="B238" s="46">
        <v>9422913144.5748405</v>
      </c>
      <c r="C238" s="56">
        <v>9732435443.9759502</v>
      </c>
      <c r="D238" s="44">
        <f>AVERAGE($C$232:C238)</f>
        <v>9437276695.210577</v>
      </c>
      <c r="E238" s="45">
        <f t="shared" si="19"/>
        <v>14363550.635736465</v>
      </c>
      <c r="F238" s="45">
        <f t="shared" si="20"/>
        <v>309522299.4011097</v>
      </c>
      <c r="H238" s="46">
        <v>970752000</v>
      </c>
      <c r="I238" s="50">
        <v>972267460.84254003</v>
      </c>
      <c r="J238" s="38">
        <f t="shared" si="21"/>
        <v>1515460.8425400257</v>
      </c>
      <c r="K238" s="35">
        <f t="shared" si="22"/>
        <v>15879011.478276491</v>
      </c>
      <c r="L238" s="44">
        <f t="shared" si="23"/>
        <v>311037760.24364972</v>
      </c>
    </row>
    <row r="239" spans="1:12" ht="12.65" customHeight="1">
      <c r="A239" s="33">
        <v>43356</v>
      </c>
      <c r="B239" s="46">
        <v>9422913144.5748405</v>
      </c>
      <c r="C239" s="56">
        <v>11254343166.947201</v>
      </c>
      <c r="D239" s="44">
        <f>AVERAGE($C$232:C239)</f>
        <v>9664410004.1776562</v>
      </c>
      <c r="E239" s="45">
        <f t="shared" si="19"/>
        <v>241496859.60281563</v>
      </c>
      <c r="F239" s="45">
        <f t="shared" si="20"/>
        <v>1831430022.3723602</v>
      </c>
      <c r="H239" s="46">
        <v>970752000</v>
      </c>
      <c r="I239" s="50">
        <v>972498476.94096994</v>
      </c>
      <c r="J239" s="38">
        <f t="shared" si="21"/>
        <v>1746476.940969944</v>
      </c>
      <c r="K239" s="35">
        <f t="shared" si="22"/>
        <v>243243336.54378557</v>
      </c>
      <c r="L239" s="44">
        <f t="shared" si="23"/>
        <v>1833176499.3133302</v>
      </c>
    </row>
    <row r="240" spans="1:12" ht="12.65" customHeight="1">
      <c r="A240" s="33">
        <v>43357</v>
      </c>
      <c r="B240" s="46">
        <v>9422913144.5748405</v>
      </c>
      <c r="C240" s="56">
        <v>7920766256.1763697</v>
      </c>
      <c r="D240" s="44">
        <f>AVERAGE($C$232:C240)</f>
        <v>9470671809.9552917</v>
      </c>
      <c r="E240" s="45">
        <f t="shared" si="19"/>
        <v>47758665.380451202</v>
      </c>
      <c r="F240" s="45">
        <f t="shared" si="20"/>
        <v>-1502146888.3984709</v>
      </c>
      <c r="H240" s="46">
        <v>970752000</v>
      </c>
      <c r="I240" s="50">
        <v>972711354.62276995</v>
      </c>
      <c r="J240" s="38">
        <f t="shared" si="21"/>
        <v>1959354.6227699518</v>
      </c>
      <c r="K240" s="35">
        <f t="shared" si="22"/>
        <v>49718020.003221154</v>
      </c>
      <c r="L240" s="44">
        <f t="shared" si="23"/>
        <v>-1500187533.775701</v>
      </c>
    </row>
    <row r="241" spans="1:12" ht="12.65" customHeight="1">
      <c r="A241" s="33">
        <v>43360</v>
      </c>
      <c r="B241" s="46">
        <v>9457088498.0457706</v>
      </c>
      <c r="C241" s="56">
        <v>11955899832.7749</v>
      </c>
      <c r="D241" s="44">
        <f>AVERAGE($C$232:C241)</f>
        <v>9719194612.2372532</v>
      </c>
      <c r="E241" s="45">
        <f t="shared" si="19"/>
        <v>262106114.19148254</v>
      </c>
      <c r="F241" s="45">
        <f t="shared" si="20"/>
        <v>2498811334.7291298</v>
      </c>
      <c r="H241" s="46">
        <v>968207000</v>
      </c>
      <c r="I241" s="50">
        <v>970661382.43164003</v>
      </c>
      <c r="J241" s="38">
        <f t="shared" si="21"/>
        <v>2454382.431640029</v>
      </c>
      <c r="K241" s="35">
        <f t="shared" si="22"/>
        <v>264560496.62312257</v>
      </c>
      <c r="L241" s="44">
        <f t="shared" si="23"/>
        <v>2501265717.1607699</v>
      </c>
    </row>
    <row r="242" spans="1:12" ht="12.65" customHeight="1">
      <c r="A242" s="33">
        <v>43361</v>
      </c>
      <c r="B242" s="46">
        <v>9457088498.0457706</v>
      </c>
      <c r="C242" s="56">
        <v>12886280680.3255</v>
      </c>
      <c r="D242" s="44">
        <f>AVERAGE($C$232:C242)</f>
        <v>10007111527.518003</v>
      </c>
      <c r="E242" s="45">
        <f t="shared" si="19"/>
        <v>550023029.47223282</v>
      </c>
      <c r="F242" s="45">
        <f t="shared" si="20"/>
        <v>3429192182.2797298</v>
      </c>
      <c r="H242" s="46">
        <v>968207000</v>
      </c>
      <c r="I242" s="50">
        <v>969621540.03289998</v>
      </c>
      <c r="J242" s="38">
        <f t="shared" si="21"/>
        <v>1414540.0328999758</v>
      </c>
      <c r="K242" s="35">
        <f t="shared" si="22"/>
        <v>551437569.50513279</v>
      </c>
      <c r="L242" s="44">
        <f t="shared" si="23"/>
        <v>3430606722.3126297</v>
      </c>
    </row>
    <row r="243" spans="1:12" ht="12.65" customHeight="1">
      <c r="A243" s="33">
        <v>43362</v>
      </c>
      <c r="B243" s="46">
        <v>9457088498.0457706</v>
      </c>
      <c r="C243" s="56">
        <v>15564511029.692801</v>
      </c>
      <c r="D243" s="44">
        <f>AVERAGE($C$232:C243)</f>
        <v>10470228152.699236</v>
      </c>
      <c r="E243" s="45">
        <f t="shared" si="19"/>
        <v>1013139654.6534653</v>
      </c>
      <c r="F243" s="45">
        <f t="shared" si="20"/>
        <v>6107422531.6470299</v>
      </c>
      <c r="H243" s="46">
        <v>968207000</v>
      </c>
      <c r="I243" s="50">
        <v>969446770.54144001</v>
      </c>
      <c r="J243" s="38">
        <f t="shared" si="21"/>
        <v>1239770.5414400101</v>
      </c>
      <c r="K243" s="35">
        <f t="shared" si="22"/>
        <v>1014379425.1949053</v>
      </c>
      <c r="L243" s="44">
        <f t="shared" si="23"/>
        <v>6108662302.1884699</v>
      </c>
    </row>
    <row r="244" spans="1:12" ht="12.65" customHeight="1">
      <c r="A244" s="33">
        <v>43363</v>
      </c>
      <c r="B244" s="46">
        <v>9457088498.0457706</v>
      </c>
      <c r="C244" s="56">
        <v>10508961931.3076</v>
      </c>
      <c r="D244" s="44">
        <f>AVERAGE($C$232:C244)</f>
        <v>10473207674.130648</v>
      </c>
      <c r="E244" s="45">
        <f t="shared" si="19"/>
        <v>1016119176.084877</v>
      </c>
      <c r="F244" s="45">
        <f t="shared" si="20"/>
        <v>1051873433.2618294</v>
      </c>
      <c r="H244" s="46">
        <v>968207000</v>
      </c>
      <c r="I244" s="50">
        <v>969831692.39762998</v>
      </c>
      <c r="J244" s="38">
        <f t="shared" si="21"/>
        <v>1624692.3976299763</v>
      </c>
      <c r="K244" s="35">
        <f t="shared" si="22"/>
        <v>1017743868.482507</v>
      </c>
      <c r="L244" s="44">
        <f t="shared" si="23"/>
        <v>1053498125.6594594</v>
      </c>
    </row>
    <row r="245" spans="1:12" ht="12.65" customHeight="1">
      <c r="A245" s="33">
        <v>43364</v>
      </c>
      <c r="B245" s="46">
        <v>9457088498.0457706</v>
      </c>
      <c r="C245" s="56">
        <v>7331683929.7824697</v>
      </c>
      <c r="D245" s="44">
        <f>AVERAGE($C$232:C245)</f>
        <v>10248813120.962921</v>
      </c>
      <c r="E245" s="45">
        <f t="shared" si="19"/>
        <v>791724622.9171505</v>
      </c>
      <c r="F245" s="45">
        <f t="shared" si="20"/>
        <v>-2125404568.2633009</v>
      </c>
      <c r="H245" s="46">
        <v>968207000</v>
      </c>
      <c r="I245" s="50">
        <v>969272370.96308005</v>
      </c>
      <c r="J245" s="38">
        <f t="shared" si="21"/>
        <v>1065370.9630800486</v>
      </c>
      <c r="K245" s="35">
        <f t="shared" si="22"/>
        <v>792789993.88023055</v>
      </c>
      <c r="L245" s="44">
        <f t="shared" si="23"/>
        <v>-2124339197.300221</v>
      </c>
    </row>
    <row r="246" spans="1:12" ht="12.65" customHeight="1">
      <c r="A246" s="33">
        <v>43367</v>
      </c>
      <c r="B246" s="46">
        <v>9457088498.0457706</v>
      </c>
      <c r="C246" s="56">
        <v>7345232748.9568195</v>
      </c>
      <c r="D246" s="44">
        <f>AVERAGE($C$232:C246)</f>
        <v>10055241096.162514</v>
      </c>
      <c r="E246" s="45">
        <f t="shared" si="19"/>
        <v>598152598.11674309</v>
      </c>
      <c r="F246" s="45">
        <f t="shared" si="20"/>
        <v>-2111855749.0889511</v>
      </c>
      <c r="H246" s="46">
        <v>975418000</v>
      </c>
      <c r="I246" s="50">
        <v>977184093.74126005</v>
      </c>
      <c r="J246" s="38">
        <f t="shared" si="21"/>
        <v>1766093.7412600517</v>
      </c>
      <c r="K246" s="35">
        <f t="shared" si="22"/>
        <v>599918691.85800314</v>
      </c>
      <c r="L246" s="44">
        <f t="shared" si="23"/>
        <v>-2110089655.3476911</v>
      </c>
    </row>
    <row r="247" spans="1:12" ht="12.65" customHeight="1">
      <c r="A247" s="33">
        <v>43368</v>
      </c>
      <c r="B247" s="46">
        <v>9457088498.0457706</v>
      </c>
      <c r="C247" s="56">
        <v>7378054625.9983997</v>
      </c>
      <c r="D247" s="44">
        <f>AVERAGE($C$232:C247)</f>
        <v>9887916941.7772579</v>
      </c>
      <c r="E247" s="45">
        <f t="shared" si="19"/>
        <v>430828443.73148727</v>
      </c>
      <c r="F247" s="45">
        <f t="shared" si="20"/>
        <v>-2079033872.0473709</v>
      </c>
      <c r="H247" s="46">
        <v>975418000</v>
      </c>
      <c r="I247" s="50">
        <v>977358189.94309998</v>
      </c>
      <c r="J247" s="43">
        <f t="shared" si="21"/>
        <v>1940189.9430999756</v>
      </c>
      <c r="K247" s="35">
        <f t="shared" si="22"/>
        <v>432768633.67458725</v>
      </c>
      <c r="L247" s="44">
        <f t="shared" si="23"/>
        <v>-2077093682.1042709</v>
      </c>
    </row>
    <row r="248" spans="1:12" ht="12.65" customHeight="1">
      <c r="A248" s="33">
        <v>43369</v>
      </c>
      <c r="B248" s="46">
        <v>9457088498.0457706</v>
      </c>
      <c r="C248" s="56">
        <v>7323091541.4190502</v>
      </c>
      <c r="D248" s="44">
        <f>AVERAGE($C$232:C248)</f>
        <v>9737044859.403244</v>
      </c>
      <c r="E248" s="45">
        <f t="shared" si="19"/>
        <v>279956361.35747337</v>
      </c>
      <c r="F248" s="45">
        <f t="shared" si="20"/>
        <v>-2133996956.6267204</v>
      </c>
      <c r="H248" s="46">
        <v>975418000</v>
      </c>
      <c r="I248" s="50">
        <v>977094057.67936003</v>
      </c>
      <c r="J248" s="43">
        <f t="shared" si="21"/>
        <v>1676057.6793600321</v>
      </c>
      <c r="K248" s="35">
        <f t="shared" si="22"/>
        <v>281632419.03683341</v>
      </c>
      <c r="L248" s="44">
        <f t="shared" si="23"/>
        <v>-2132320898.9473605</v>
      </c>
    </row>
    <row r="249" spans="1:12" ht="12.65" customHeight="1">
      <c r="A249" s="33">
        <v>43370</v>
      </c>
      <c r="B249" s="46">
        <v>9457088498.0457706</v>
      </c>
      <c r="C249" s="56">
        <v>7389231890.2600002</v>
      </c>
      <c r="F249" s="45">
        <f t="shared" si="20"/>
        <v>-2067856607.7857704</v>
      </c>
      <c r="H249" s="46">
        <v>975418000</v>
      </c>
      <c r="I249" s="50">
        <v>976750378.88835001</v>
      </c>
      <c r="J249" s="43">
        <f t="shared" si="21"/>
        <v>1332378.8883500099</v>
      </c>
      <c r="L249" s="44">
        <f t="shared" si="23"/>
        <v>-2066524228.8974204</v>
      </c>
    </row>
    <row r="250" spans="1:12" ht="12.65" customHeight="1">
      <c r="A250" s="33">
        <v>43371</v>
      </c>
      <c r="B250" s="46">
        <v>9457088498.0457706</v>
      </c>
      <c r="C250" s="56">
        <v>7392001136.4185896</v>
      </c>
      <c r="F250" s="45">
        <f t="shared" si="20"/>
        <v>-2065087361.6271811</v>
      </c>
      <c r="H250" s="46">
        <v>975418000</v>
      </c>
      <c r="I250" s="50">
        <v>976849530.89419997</v>
      </c>
      <c r="J250" s="43">
        <f t="shared" si="21"/>
        <v>1431530.8941999674</v>
      </c>
      <c r="L250" s="44">
        <f t="shared" si="23"/>
        <v>-2063655830.7329812</v>
      </c>
    </row>
    <row r="251" spans="1:12" ht="12.65" customHeight="1">
      <c r="A251" s="33">
        <v>43373</v>
      </c>
      <c r="B251" s="46">
        <v>9457088498.0457706</v>
      </c>
      <c r="C251" s="56">
        <v>7392001136.4185896</v>
      </c>
      <c r="F251" s="45">
        <f t="shared" si="20"/>
        <v>-2065087361.6271811</v>
      </c>
      <c r="H251" s="46">
        <v>975418000</v>
      </c>
      <c r="I251" s="50">
        <v>976849530.89419997</v>
      </c>
      <c r="L251" s="44">
        <f t="shared" si="23"/>
        <v>-2065087361.6271811</v>
      </c>
    </row>
    <row r="252" spans="1:12" ht="12.65" customHeight="1">
      <c r="A252" s="33">
        <v>43374</v>
      </c>
      <c r="B252" s="46">
        <v>9332073316.9229393</v>
      </c>
      <c r="C252" s="56">
        <v>9386804128.0051193</v>
      </c>
      <c r="F252" s="45">
        <f t="shared" si="20"/>
        <v>54730811.082180023</v>
      </c>
      <c r="H252" s="46">
        <v>972052685.59223104</v>
      </c>
      <c r="I252" s="50">
        <v>973881405.73079002</v>
      </c>
      <c r="L252" s="44">
        <f t="shared" si="23"/>
        <v>54730811.082180023</v>
      </c>
    </row>
    <row r="253" spans="1:12" ht="12.65" customHeight="1">
      <c r="A253" s="33">
        <v>43375</v>
      </c>
      <c r="B253" s="46">
        <v>9332073316.9229393</v>
      </c>
      <c r="C253" s="56">
        <v>9382909467.1851997</v>
      </c>
      <c r="F253" s="45">
        <f t="shared" si="20"/>
        <v>50836150.262260437</v>
      </c>
      <c r="H253" s="46">
        <v>972052685.59223104</v>
      </c>
      <c r="I253" s="50">
        <v>973157825.24594998</v>
      </c>
      <c r="L253" s="44">
        <f t="shared" si="23"/>
        <v>50836150.262260437</v>
      </c>
    </row>
    <row r="254" spans="1:12" ht="12.65" customHeight="1">
      <c r="A254" s="33">
        <v>43376</v>
      </c>
      <c r="B254" s="46">
        <v>9332073316.9229393</v>
      </c>
      <c r="C254" s="56">
        <v>9383831378.8673706</v>
      </c>
      <c r="F254" s="45">
        <f t="shared" si="20"/>
        <v>51758061.944431305</v>
      </c>
      <c r="H254" s="46">
        <v>972052685.59223104</v>
      </c>
      <c r="I254" s="50">
        <v>973851945.29130006</v>
      </c>
      <c r="L254" s="44">
        <f t="shared" si="23"/>
        <v>51758061.944431305</v>
      </c>
    </row>
    <row r="255" spans="1:12" ht="12.65" customHeight="1">
      <c r="A255" s="33">
        <v>43377</v>
      </c>
      <c r="B255" s="46">
        <v>9332073316.9229393</v>
      </c>
      <c r="C255" s="56">
        <v>12538069545.698</v>
      </c>
      <c r="F255" s="45">
        <f t="shared" si="20"/>
        <v>3205996228.7750607</v>
      </c>
      <c r="H255" s="46">
        <v>972052685.59223104</v>
      </c>
      <c r="I255" s="50">
        <v>973090488.32674003</v>
      </c>
      <c r="L255" s="44">
        <f t="shared" si="23"/>
        <v>3205996228.7750607</v>
      </c>
    </row>
    <row r="256" spans="1:12" ht="12.65" customHeight="1">
      <c r="A256" s="33">
        <v>43378</v>
      </c>
      <c r="B256" s="46">
        <v>9332073316.9229393</v>
      </c>
      <c r="C256" s="56">
        <v>7347627776.9291201</v>
      </c>
      <c r="F256" s="45">
        <f t="shared" si="20"/>
        <v>-1984445539.9938192</v>
      </c>
      <c r="H256" s="46">
        <v>972052685.59223104</v>
      </c>
      <c r="I256" s="50">
        <v>973266667.75136995</v>
      </c>
      <c r="L256" s="44">
        <f t="shared" si="23"/>
        <v>-1984445539.9938192</v>
      </c>
    </row>
    <row r="257" spans="1:12" ht="12.65" customHeight="1">
      <c r="A257" s="33">
        <v>43381</v>
      </c>
      <c r="B257" s="46">
        <v>9332073316.9229393</v>
      </c>
      <c r="C257" s="56">
        <v>9382602487.9668999</v>
      </c>
      <c r="F257" s="45">
        <f t="shared" si="20"/>
        <v>50529171.043960571</v>
      </c>
      <c r="H257" s="46">
        <v>972052685.59223104</v>
      </c>
      <c r="I257" s="50">
        <v>973988713.46494997</v>
      </c>
      <c r="L257" s="44">
        <f t="shared" si="23"/>
        <v>50529171.043960571</v>
      </c>
    </row>
    <row r="258" spans="1:12" ht="12.65" customHeight="1">
      <c r="A258" s="33">
        <v>43382</v>
      </c>
      <c r="B258" s="46">
        <v>9332073316.9229393</v>
      </c>
      <c r="C258" s="56">
        <v>10073356843.818899</v>
      </c>
      <c r="F258" s="45">
        <f t="shared" ref="F258:F321" si="24">C258-B258</f>
        <v>741283526.89595985</v>
      </c>
      <c r="H258" s="46">
        <v>972052685.59223104</v>
      </c>
      <c r="I258" s="50">
        <v>973969318.18438005</v>
      </c>
      <c r="L258" s="44">
        <f t="shared" ref="L258:L321" si="25">F258+J258</f>
        <v>741283526.89595985</v>
      </c>
    </row>
    <row r="259" spans="1:12" ht="12.65" customHeight="1">
      <c r="A259" s="33">
        <v>43383</v>
      </c>
      <c r="B259" s="46">
        <v>9332073316.9229393</v>
      </c>
      <c r="C259" s="56">
        <v>11769161721.7148</v>
      </c>
      <c r="F259" s="45">
        <f t="shared" si="24"/>
        <v>2437088404.7918606</v>
      </c>
      <c r="H259" s="46">
        <v>972052685.59223104</v>
      </c>
      <c r="I259" s="50">
        <v>973637310.52604997</v>
      </c>
      <c r="L259" s="44">
        <f t="shared" si="25"/>
        <v>2437088404.7918606</v>
      </c>
    </row>
    <row r="260" spans="1:12" ht="12.65" customHeight="1">
      <c r="A260" s="33">
        <v>43384</v>
      </c>
      <c r="B260" s="46">
        <v>9332073316.9229393</v>
      </c>
      <c r="C260" s="56">
        <v>9021815116.8734798</v>
      </c>
      <c r="F260" s="45">
        <f t="shared" si="24"/>
        <v>-310258200.04945946</v>
      </c>
      <c r="H260" s="46">
        <v>972052685.59223104</v>
      </c>
      <c r="I260" s="50">
        <v>973866732.77936006</v>
      </c>
      <c r="L260" s="44">
        <f t="shared" si="25"/>
        <v>-310258200.04945946</v>
      </c>
    </row>
    <row r="261" spans="1:12" ht="12.65" customHeight="1">
      <c r="A261" s="33">
        <v>43385</v>
      </c>
      <c r="B261" s="46">
        <v>9332073316.9229393</v>
      </c>
      <c r="C261" s="56">
        <v>7328578295.3491297</v>
      </c>
      <c r="F261" s="45">
        <f t="shared" si="24"/>
        <v>-2003495021.5738096</v>
      </c>
      <c r="H261" s="46">
        <v>972052685.59223104</v>
      </c>
      <c r="I261" s="50">
        <v>973965883.40345001</v>
      </c>
      <c r="L261" s="44">
        <f t="shared" si="25"/>
        <v>-2003495021.5738096</v>
      </c>
    </row>
    <row r="262" spans="1:12" ht="12.65" customHeight="1">
      <c r="A262" s="33">
        <v>43388</v>
      </c>
      <c r="B262" s="46">
        <v>9332073316.9229393</v>
      </c>
      <c r="C262" s="56">
        <v>7540042623.4863005</v>
      </c>
      <c r="F262" s="45">
        <f t="shared" si="24"/>
        <v>-1792030693.4366388</v>
      </c>
      <c r="H262" s="46">
        <v>972052685.59223104</v>
      </c>
      <c r="I262" s="50">
        <v>1010187102.42589</v>
      </c>
      <c r="L262" s="44">
        <f t="shared" si="25"/>
        <v>-1792030693.4366388</v>
      </c>
    </row>
    <row r="263" spans="1:12" ht="12.65" customHeight="1">
      <c r="A263" s="33">
        <v>43389</v>
      </c>
      <c r="B263" s="46">
        <v>9253578903.2458992</v>
      </c>
      <c r="C263" s="56">
        <v>11789139873.986099</v>
      </c>
      <c r="F263" s="45">
        <f t="shared" si="24"/>
        <v>2535560970.7402</v>
      </c>
      <c r="H263" s="46">
        <v>1008990000</v>
      </c>
      <c r="I263" s="50">
        <v>1010978731.5306799</v>
      </c>
      <c r="L263" s="44">
        <f t="shared" si="25"/>
        <v>2535560970.7402</v>
      </c>
    </row>
    <row r="264" spans="1:12" ht="12.65" customHeight="1">
      <c r="A264" s="33">
        <v>43390</v>
      </c>
      <c r="B264" s="46">
        <v>9253578903.2458992</v>
      </c>
      <c r="C264" s="56">
        <v>8005337076.5004702</v>
      </c>
      <c r="F264" s="45">
        <f t="shared" si="24"/>
        <v>-1248241826.745429</v>
      </c>
      <c r="H264" s="46">
        <v>1008990000</v>
      </c>
      <c r="I264" s="50">
        <v>1010582281.09132</v>
      </c>
      <c r="L264" s="44">
        <f t="shared" si="25"/>
        <v>-1248241826.745429</v>
      </c>
    </row>
    <row r="265" spans="1:12" ht="12.65" customHeight="1">
      <c r="A265" s="33">
        <v>43391</v>
      </c>
      <c r="B265" s="46">
        <v>9253578903.2458992</v>
      </c>
      <c r="C265" s="56">
        <v>8744155211.0862503</v>
      </c>
      <c r="F265" s="45">
        <f t="shared" si="24"/>
        <v>-509423692.1596489</v>
      </c>
      <c r="H265" s="46">
        <v>1008990000</v>
      </c>
      <c r="I265" s="50">
        <v>1009989952.87072</v>
      </c>
      <c r="L265" s="44">
        <f t="shared" si="25"/>
        <v>-509423692.1596489</v>
      </c>
    </row>
    <row r="266" spans="1:12" ht="12.65" customHeight="1">
      <c r="A266" s="33">
        <v>43392</v>
      </c>
      <c r="B266" s="46">
        <v>9253578903.2458992</v>
      </c>
      <c r="C266" s="56">
        <v>9306275800.5959492</v>
      </c>
      <c r="F266" s="45">
        <f t="shared" si="24"/>
        <v>52696897.350049973</v>
      </c>
      <c r="H266" s="46">
        <v>1008990000</v>
      </c>
      <c r="I266" s="50">
        <v>1010012035.16155</v>
      </c>
      <c r="L266" s="44">
        <f t="shared" si="25"/>
        <v>52696897.350049973</v>
      </c>
    </row>
    <row r="267" spans="1:12" ht="12.65" customHeight="1">
      <c r="A267" s="33">
        <v>43395</v>
      </c>
      <c r="B267" s="46">
        <v>9253578903.2458992</v>
      </c>
      <c r="C267" s="56">
        <v>9748517453.9670601</v>
      </c>
      <c r="F267" s="45">
        <f t="shared" si="24"/>
        <v>494938550.72116089</v>
      </c>
      <c r="H267" s="46">
        <v>1008990000</v>
      </c>
      <c r="I267" s="50">
        <v>1010631599.7621599</v>
      </c>
      <c r="L267" s="44">
        <f t="shared" si="25"/>
        <v>494938550.72116089</v>
      </c>
    </row>
    <row r="268" spans="1:12" ht="12.65" customHeight="1">
      <c r="A268" s="33">
        <v>43396</v>
      </c>
      <c r="B268" s="46">
        <v>9253578903.2458992</v>
      </c>
      <c r="C268" s="56">
        <v>9290798623.7009392</v>
      </c>
      <c r="F268" s="45">
        <f t="shared" si="24"/>
        <v>37219720.455039978</v>
      </c>
      <c r="H268" s="46">
        <v>1008990000</v>
      </c>
      <c r="I268" s="50">
        <v>1010624734.77651</v>
      </c>
      <c r="L268" s="44">
        <f t="shared" si="25"/>
        <v>37219720.455039978</v>
      </c>
    </row>
    <row r="269" spans="1:12" ht="12.65" customHeight="1">
      <c r="A269" s="33">
        <v>43397</v>
      </c>
      <c r="B269" s="46">
        <v>9253578903.2458992</v>
      </c>
      <c r="C269" s="56">
        <v>10810625839.576799</v>
      </c>
      <c r="F269" s="45">
        <f t="shared" si="24"/>
        <v>1557046936.3309002</v>
      </c>
      <c r="H269" s="46">
        <v>1008990000</v>
      </c>
      <c r="I269" s="50">
        <v>1010192426.20754</v>
      </c>
      <c r="L269" s="44">
        <f t="shared" si="25"/>
        <v>1557046936.3309002</v>
      </c>
    </row>
    <row r="270" spans="1:12" ht="12.65" customHeight="1">
      <c r="A270" s="33">
        <v>43398</v>
      </c>
      <c r="B270" s="46">
        <v>9253578903.2458992</v>
      </c>
      <c r="C270" s="56">
        <v>10637895615.3699</v>
      </c>
      <c r="F270" s="45">
        <f t="shared" si="24"/>
        <v>1384316712.1240005</v>
      </c>
      <c r="H270" s="46">
        <v>1008990000</v>
      </c>
      <c r="I270" s="50">
        <v>1010235487.26958</v>
      </c>
      <c r="L270" s="44">
        <f t="shared" si="25"/>
        <v>1384316712.1240005</v>
      </c>
    </row>
    <row r="271" spans="1:12" ht="12.65" customHeight="1">
      <c r="A271" s="33">
        <v>43399</v>
      </c>
      <c r="B271" s="46">
        <v>9253578903.2458992</v>
      </c>
      <c r="C271" s="56">
        <v>7390871235.7986803</v>
      </c>
      <c r="F271" s="45">
        <f t="shared" si="24"/>
        <v>-1862707667.4472189</v>
      </c>
      <c r="H271" s="46">
        <v>1008990000</v>
      </c>
      <c r="I271" s="50">
        <v>1010146440.42172</v>
      </c>
      <c r="L271" s="44">
        <f t="shared" si="25"/>
        <v>-1862707667.4472189</v>
      </c>
    </row>
    <row r="272" spans="1:12" ht="12.65" customHeight="1">
      <c r="A272" s="33">
        <v>43402</v>
      </c>
      <c r="B272" s="46">
        <v>9253578903.2458992</v>
      </c>
      <c r="C272" s="56">
        <v>8532805204.4355202</v>
      </c>
      <c r="F272" s="45">
        <f t="shared" si="24"/>
        <v>-720773698.81037903</v>
      </c>
      <c r="H272" s="46">
        <v>1008990000</v>
      </c>
      <c r="I272" s="50">
        <v>1010057297.1367</v>
      </c>
      <c r="L272" s="44">
        <f t="shared" si="25"/>
        <v>-720773698.81037903</v>
      </c>
    </row>
    <row r="273" spans="1:12" ht="12.65" customHeight="1">
      <c r="A273" s="33">
        <v>43403</v>
      </c>
      <c r="B273" s="46">
        <v>9253578903.2458992</v>
      </c>
      <c r="C273" s="56">
        <v>8241026237.4422197</v>
      </c>
      <c r="F273" s="45">
        <f t="shared" si="24"/>
        <v>-1012552665.8036795</v>
      </c>
      <c r="H273" s="46">
        <v>1008990000</v>
      </c>
      <c r="I273" s="50">
        <v>1010221905.9753</v>
      </c>
      <c r="L273" s="44">
        <f t="shared" si="25"/>
        <v>-1012552665.8036795</v>
      </c>
    </row>
    <row r="274" spans="1:12" ht="12.65" customHeight="1">
      <c r="A274" s="33">
        <v>43404</v>
      </c>
      <c r="B274" s="46">
        <v>9253578903.2458992</v>
      </c>
      <c r="C274" s="56">
        <v>8755635938.3582497</v>
      </c>
      <c r="F274" s="45">
        <f t="shared" si="24"/>
        <v>-497942964.88764954</v>
      </c>
      <c r="H274" s="46">
        <v>1008990000</v>
      </c>
      <c r="I274" s="50">
        <v>1010365328.71997</v>
      </c>
      <c r="L274" s="44">
        <f t="shared" si="25"/>
        <v>-497942964.88764954</v>
      </c>
    </row>
    <row r="275" spans="1:12" ht="12.65" customHeight="1">
      <c r="A275" s="33">
        <v>43405</v>
      </c>
      <c r="B275" s="46">
        <v>9334958740.5680809</v>
      </c>
      <c r="C275" s="56">
        <v>8262249145.8421202</v>
      </c>
      <c r="F275" s="45">
        <f t="shared" si="24"/>
        <v>-1072709594.7259607</v>
      </c>
      <c r="H275" s="46">
        <v>1063406000</v>
      </c>
      <c r="I275" s="50">
        <v>1065168429.06919</v>
      </c>
      <c r="L275" s="44">
        <f t="shared" si="25"/>
        <v>-1072709594.7259607</v>
      </c>
    </row>
    <row r="276" spans="1:12" ht="12.65" customHeight="1">
      <c r="A276" s="33">
        <v>43406</v>
      </c>
      <c r="B276" s="46">
        <v>9334958740.5680809</v>
      </c>
      <c r="C276" s="56">
        <v>8155806737.3169804</v>
      </c>
      <c r="F276" s="45">
        <f t="shared" si="24"/>
        <v>-1179152003.2511005</v>
      </c>
      <c r="H276" s="46">
        <v>1063406000</v>
      </c>
      <c r="I276" s="50">
        <v>1064793936.8178999</v>
      </c>
      <c r="L276" s="44">
        <f t="shared" si="25"/>
        <v>-1179152003.2511005</v>
      </c>
    </row>
    <row r="277" spans="1:12" ht="12.65" customHeight="1">
      <c r="A277" s="33">
        <v>43409</v>
      </c>
      <c r="B277" s="46">
        <v>9334958740.5680809</v>
      </c>
      <c r="C277" s="56">
        <v>13889910423.243999</v>
      </c>
      <c r="F277" s="45">
        <f t="shared" si="24"/>
        <v>4554951682.6759186</v>
      </c>
      <c r="H277" s="46">
        <v>1063406000</v>
      </c>
      <c r="I277" s="50">
        <v>1064977392.60699</v>
      </c>
      <c r="L277" s="44">
        <f t="shared" si="25"/>
        <v>4554951682.6759186</v>
      </c>
    </row>
    <row r="278" spans="1:12" ht="12.65" customHeight="1">
      <c r="A278" s="33">
        <v>43410</v>
      </c>
      <c r="B278" s="46">
        <v>9334958740.5680809</v>
      </c>
      <c r="C278" s="56">
        <v>11303208590.0091</v>
      </c>
      <c r="F278" s="45">
        <f t="shared" si="24"/>
        <v>1968249849.4410191</v>
      </c>
      <c r="H278" s="46">
        <v>1063406000</v>
      </c>
      <c r="I278" s="50">
        <v>1065090392.14218</v>
      </c>
      <c r="L278" s="44">
        <f t="shared" si="25"/>
        <v>1968249849.4410191</v>
      </c>
    </row>
    <row r="279" spans="1:12" ht="12.65" customHeight="1">
      <c r="A279" s="33">
        <v>43411</v>
      </c>
      <c r="B279" s="46">
        <v>9334958740.5680809</v>
      </c>
      <c r="C279" s="56">
        <v>12945724167.3806</v>
      </c>
      <c r="F279" s="45">
        <f t="shared" si="24"/>
        <v>3610765426.8125191</v>
      </c>
      <c r="H279" s="46">
        <v>1063406000</v>
      </c>
      <c r="I279" s="50">
        <v>1064576432.43169</v>
      </c>
      <c r="L279" s="44">
        <f t="shared" si="25"/>
        <v>3610765426.8125191</v>
      </c>
    </row>
    <row r="280" spans="1:12" ht="12.65" customHeight="1">
      <c r="A280" s="33">
        <v>43412</v>
      </c>
      <c r="B280" s="46">
        <v>9334958740.5680809</v>
      </c>
      <c r="C280" s="56">
        <v>11339096073.012501</v>
      </c>
      <c r="F280" s="45">
        <f t="shared" si="24"/>
        <v>2004137332.4444199</v>
      </c>
      <c r="H280" s="46">
        <v>1063406000</v>
      </c>
      <c r="I280" s="50">
        <v>1065115542.49782</v>
      </c>
      <c r="L280" s="44">
        <f t="shared" si="25"/>
        <v>2004137332.4444199</v>
      </c>
    </row>
    <row r="281" spans="1:12" ht="12.65" customHeight="1">
      <c r="A281" s="33">
        <v>43413</v>
      </c>
      <c r="B281" s="46">
        <v>9334958740.5680809</v>
      </c>
      <c r="C281" s="56">
        <v>7547730131.8178701</v>
      </c>
      <c r="F281" s="45">
        <f t="shared" si="24"/>
        <v>-1787228608.7502108</v>
      </c>
      <c r="H281" s="46">
        <v>1063406000</v>
      </c>
      <c r="I281" s="50">
        <v>1065201719.15086</v>
      </c>
      <c r="L281" s="44">
        <f t="shared" si="25"/>
        <v>-1787228608.7502108</v>
      </c>
    </row>
    <row r="282" spans="1:12" ht="12.65" customHeight="1">
      <c r="A282" s="33">
        <v>43416</v>
      </c>
      <c r="B282" s="46">
        <v>9334958740.5680809</v>
      </c>
      <c r="C282" s="56">
        <v>7620702418.5513296</v>
      </c>
      <c r="F282" s="45">
        <f t="shared" si="24"/>
        <v>-1714256322.0167513</v>
      </c>
      <c r="H282" s="46">
        <v>1063406000</v>
      </c>
      <c r="I282" s="50">
        <v>1064452731.97249</v>
      </c>
      <c r="L282" s="44">
        <f t="shared" si="25"/>
        <v>-1714256322.0167513</v>
      </c>
    </row>
    <row r="283" spans="1:12" ht="12.65" customHeight="1">
      <c r="A283" s="33">
        <v>43417</v>
      </c>
      <c r="B283" s="46">
        <v>9334958740.5680809</v>
      </c>
      <c r="C283" s="56">
        <v>7445276989.2610903</v>
      </c>
      <c r="F283" s="45">
        <f t="shared" si="24"/>
        <v>-1889681751.3069906</v>
      </c>
      <c r="H283" s="46">
        <v>1063406000</v>
      </c>
      <c r="I283" s="50">
        <v>1064502772.27429</v>
      </c>
      <c r="L283" s="44">
        <f t="shared" si="25"/>
        <v>-1889681751.3069906</v>
      </c>
    </row>
    <row r="284" spans="1:12" ht="12.65" customHeight="1">
      <c r="A284" s="33">
        <v>43418</v>
      </c>
      <c r="B284" s="46">
        <v>9334958740.5680809</v>
      </c>
      <c r="C284" s="56">
        <v>7325391780.2847004</v>
      </c>
      <c r="F284" s="45">
        <f t="shared" si="24"/>
        <v>-2009566960.2833805</v>
      </c>
      <c r="H284" s="46">
        <v>1063406000</v>
      </c>
      <c r="I284" s="50">
        <v>1065188572.13159</v>
      </c>
      <c r="L284" s="44">
        <f t="shared" si="25"/>
        <v>-2009566960.2833805</v>
      </c>
    </row>
    <row r="285" spans="1:12" ht="12.65" customHeight="1">
      <c r="A285" s="33">
        <v>43419</v>
      </c>
      <c r="B285" s="46">
        <v>9334958740.5680809</v>
      </c>
      <c r="C285" s="56">
        <v>7415374603.2680101</v>
      </c>
      <c r="F285" s="45">
        <f t="shared" si="24"/>
        <v>-1919584137.3000708</v>
      </c>
      <c r="H285" s="46">
        <v>1063406000</v>
      </c>
      <c r="I285" s="50">
        <v>1065054057.8531899</v>
      </c>
      <c r="L285" s="44">
        <f t="shared" si="25"/>
        <v>-1919584137.3000708</v>
      </c>
    </row>
    <row r="286" spans="1:12" ht="12.65" customHeight="1">
      <c r="A286" s="33">
        <v>43420</v>
      </c>
      <c r="B286" s="46">
        <v>9335085509.1515694</v>
      </c>
      <c r="C286" s="56">
        <v>7323398673.0822201</v>
      </c>
      <c r="F286" s="45">
        <f t="shared" si="24"/>
        <v>-2011686836.0693493</v>
      </c>
      <c r="H286" s="46">
        <v>1086943000</v>
      </c>
      <c r="I286" s="50">
        <v>1090136415.3994701</v>
      </c>
      <c r="L286" s="44">
        <f t="shared" si="25"/>
        <v>-2011686836.0693493</v>
      </c>
    </row>
    <row r="287" spans="1:12" ht="12.65" customHeight="1">
      <c r="A287" s="33">
        <v>43423</v>
      </c>
      <c r="B287" s="46">
        <v>9335085509.1515694</v>
      </c>
      <c r="C287" s="56">
        <v>7687228581.5635796</v>
      </c>
      <c r="F287" s="45">
        <f t="shared" si="24"/>
        <v>-1647856927.5879898</v>
      </c>
      <c r="H287" s="46">
        <v>1086943000</v>
      </c>
      <c r="I287" s="50">
        <v>1090274596.3734901</v>
      </c>
      <c r="L287" s="44">
        <f t="shared" si="25"/>
        <v>-1647856927.5879898</v>
      </c>
    </row>
    <row r="288" spans="1:12" ht="12.65" customHeight="1">
      <c r="A288" s="33">
        <v>43425</v>
      </c>
      <c r="B288" s="46">
        <v>9335085509.1515694</v>
      </c>
      <c r="C288" s="56">
        <v>10106355928.7887</v>
      </c>
      <c r="F288" s="45">
        <f t="shared" si="24"/>
        <v>771270419.63713074</v>
      </c>
      <c r="H288" s="46">
        <v>1086943000</v>
      </c>
      <c r="I288" s="50">
        <v>1090440947.08693</v>
      </c>
      <c r="L288" s="44">
        <f t="shared" si="25"/>
        <v>771270419.63713074</v>
      </c>
    </row>
    <row r="289" spans="1:12" ht="12.65" customHeight="1">
      <c r="A289" s="33">
        <v>43426</v>
      </c>
      <c r="B289" s="46">
        <v>9335085509.1515694</v>
      </c>
      <c r="C289" s="56">
        <v>13195191198.787201</v>
      </c>
      <c r="F289" s="45">
        <f t="shared" si="24"/>
        <v>3860105689.6356316</v>
      </c>
      <c r="H289" s="46">
        <v>1086943000</v>
      </c>
      <c r="I289" s="50">
        <v>1090466454.1549799</v>
      </c>
      <c r="L289" s="44">
        <f t="shared" si="25"/>
        <v>3860105689.6356316</v>
      </c>
    </row>
    <row r="290" spans="1:12" ht="12.65" customHeight="1">
      <c r="A290" s="33">
        <v>43427</v>
      </c>
      <c r="B290" s="46">
        <v>9335085509.1515694</v>
      </c>
      <c r="C290" s="56">
        <v>13022815113.101801</v>
      </c>
      <c r="F290" s="45">
        <f t="shared" si="24"/>
        <v>3687729603.9502316</v>
      </c>
      <c r="H290" s="46">
        <v>1086943000</v>
      </c>
      <c r="I290" s="50">
        <v>1090058470.0361099</v>
      </c>
      <c r="L290" s="44">
        <f t="shared" si="25"/>
        <v>3687729603.9502316</v>
      </c>
    </row>
    <row r="291" spans="1:12" ht="12.65" customHeight="1">
      <c r="A291" s="33">
        <v>43430</v>
      </c>
      <c r="B291" s="46">
        <v>9335085509.1515694</v>
      </c>
      <c r="C291" s="56">
        <v>11464297749.313999</v>
      </c>
      <c r="F291" s="45">
        <f t="shared" si="24"/>
        <v>2129212240.1624298</v>
      </c>
      <c r="H291" s="46">
        <v>1086943000</v>
      </c>
      <c r="I291" s="50">
        <v>1090112513.9698601</v>
      </c>
      <c r="L291" s="44">
        <f t="shared" si="25"/>
        <v>2129212240.1624298</v>
      </c>
    </row>
    <row r="292" spans="1:12" ht="12.65" customHeight="1">
      <c r="A292" s="33">
        <v>43431</v>
      </c>
      <c r="B292" s="46">
        <v>9335085509.1515694</v>
      </c>
      <c r="C292" s="56">
        <v>8681712503.8207607</v>
      </c>
      <c r="F292" s="45">
        <f t="shared" si="24"/>
        <v>-653373005.33080864</v>
      </c>
      <c r="H292" s="46">
        <v>1086943000</v>
      </c>
      <c r="I292" s="50">
        <v>1090037882.6284201</v>
      </c>
      <c r="L292" s="44">
        <f t="shared" si="25"/>
        <v>-653373005.33080864</v>
      </c>
    </row>
    <row r="293" spans="1:12" ht="12.65" customHeight="1">
      <c r="A293" s="33">
        <v>43432</v>
      </c>
      <c r="B293" s="46">
        <v>9335085509.1515694</v>
      </c>
      <c r="C293" s="56">
        <v>7471174637.9462605</v>
      </c>
      <c r="F293" s="45">
        <f t="shared" si="24"/>
        <v>-1863910871.2053089</v>
      </c>
      <c r="H293" s="46">
        <v>1086943000</v>
      </c>
      <c r="I293" s="50">
        <v>1090233618.3460701</v>
      </c>
      <c r="L293" s="44">
        <f t="shared" si="25"/>
        <v>-1863910871.2053089</v>
      </c>
    </row>
    <row r="294" spans="1:12" ht="12.65" customHeight="1">
      <c r="A294" s="33">
        <v>43433</v>
      </c>
      <c r="B294" s="46">
        <v>9335085509.1515694</v>
      </c>
      <c r="C294" s="56">
        <v>7460877861.1873198</v>
      </c>
      <c r="F294" s="45">
        <f t="shared" si="24"/>
        <v>-1874207647.9642496</v>
      </c>
      <c r="H294" s="46">
        <v>1086943000</v>
      </c>
      <c r="I294" s="50">
        <v>1091305435.6275101</v>
      </c>
      <c r="L294" s="44">
        <f t="shared" si="25"/>
        <v>-1874207647.9642496</v>
      </c>
    </row>
    <row r="295" spans="1:12" ht="12.65" customHeight="1">
      <c r="A295" s="33">
        <v>43434</v>
      </c>
      <c r="B295" s="46">
        <v>9335085509.1515694</v>
      </c>
      <c r="C295" s="56">
        <v>7460965906.4819098</v>
      </c>
      <c r="F295" s="45">
        <f t="shared" si="24"/>
        <v>-1874119602.6696596</v>
      </c>
      <c r="H295" s="46">
        <v>1086943000</v>
      </c>
      <c r="I295" s="50">
        <v>1090335766.0332799</v>
      </c>
      <c r="L295" s="44">
        <f t="shared" si="25"/>
        <v>-1874119602.6696596</v>
      </c>
    </row>
    <row r="296" spans="1:12" ht="12.65" customHeight="1">
      <c r="A296" s="33">
        <v>43437</v>
      </c>
      <c r="B296" s="46">
        <v>9287021298.2887897</v>
      </c>
      <c r="C296" s="56">
        <v>9338910986.1686592</v>
      </c>
      <c r="F296" s="45">
        <f t="shared" si="24"/>
        <v>51889687.879869461</v>
      </c>
      <c r="H296" s="46">
        <v>992649000</v>
      </c>
      <c r="I296" s="50">
        <v>985389830.98655999</v>
      </c>
      <c r="L296" s="44">
        <f t="shared" si="25"/>
        <v>51889687.879869461</v>
      </c>
    </row>
    <row r="297" spans="1:12" ht="12.65" customHeight="1">
      <c r="A297" s="33">
        <v>43438</v>
      </c>
      <c r="B297" s="46">
        <v>9287021298.2887897</v>
      </c>
      <c r="C297" s="56">
        <v>10657769073.689301</v>
      </c>
      <c r="F297" s="45">
        <f t="shared" si="24"/>
        <v>1370747775.4005108</v>
      </c>
      <c r="H297" s="46">
        <v>992649000</v>
      </c>
      <c r="I297" s="50">
        <v>983911813.75466001</v>
      </c>
      <c r="L297" s="44">
        <f t="shared" si="25"/>
        <v>1370747775.4005108</v>
      </c>
    </row>
    <row r="298" spans="1:12" ht="12.65" customHeight="1">
      <c r="A298" s="33">
        <v>43439</v>
      </c>
      <c r="B298" s="46">
        <v>9287021298.2887897</v>
      </c>
      <c r="C298" s="56">
        <v>10999866821.859301</v>
      </c>
      <c r="F298" s="45">
        <f t="shared" si="24"/>
        <v>1712845523.5705109</v>
      </c>
      <c r="H298" s="46">
        <v>992649000</v>
      </c>
      <c r="I298" s="50">
        <v>983814444.14042997</v>
      </c>
      <c r="L298" s="44">
        <f t="shared" si="25"/>
        <v>1712845523.5705109</v>
      </c>
    </row>
    <row r="299" spans="1:12" ht="12.65" customHeight="1">
      <c r="A299" s="33">
        <v>43440</v>
      </c>
      <c r="B299" s="46">
        <v>9287021298.2887897</v>
      </c>
      <c r="C299" s="56">
        <v>12708067202.603001</v>
      </c>
      <c r="F299" s="45">
        <f t="shared" si="24"/>
        <v>3421045904.3142109</v>
      </c>
      <c r="H299" s="46">
        <v>992649000</v>
      </c>
      <c r="I299" s="50">
        <v>984340991.07442999</v>
      </c>
      <c r="L299" s="44">
        <f t="shared" si="25"/>
        <v>3421045904.3142109</v>
      </c>
    </row>
    <row r="300" spans="1:12" ht="12.65" customHeight="1">
      <c r="A300" s="33">
        <v>43441</v>
      </c>
      <c r="B300" s="46">
        <v>9287021298.2887897</v>
      </c>
      <c r="C300" s="56">
        <v>9292303852.7473602</v>
      </c>
      <c r="F300" s="45">
        <f t="shared" si="24"/>
        <v>5282554.4585704803</v>
      </c>
      <c r="H300" s="46">
        <v>992649000</v>
      </c>
      <c r="I300" s="50">
        <v>984104138.49398005</v>
      </c>
      <c r="L300" s="44">
        <f t="shared" si="25"/>
        <v>5282554.4585704803</v>
      </c>
    </row>
    <row r="301" spans="1:12" ht="12.65" customHeight="1">
      <c r="A301" s="33">
        <v>43444</v>
      </c>
      <c r="B301" s="46">
        <v>9287021298.2887897</v>
      </c>
      <c r="C301" s="56">
        <v>10538122949.6096</v>
      </c>
      <c r="F301" s="45">
        <f t="shared" si="24"/>
        <v>1251101651.3208103</v>
      </c>
      <c r="H301" s="46">
        <v>992649000</v>
      </c>
      <c r="I301" s="50">
        <v>984404980.38775003</v>
      </c>
      <c r="L301" s="44">
        <f t="shared" si="25"/>
        <v>1251101651.3208103</v>
      </c>
    </row>
    <row r="302" spans="1:12" ht="12.65" customHeight="1">
      <c r="A302" s="33">
        <v>43445</v>
      </c>
      <c r="B302" s="46">
        <v>9287021298.2887897</v>
      </c>
      <c r="C302" s="56">
        <v>7449928086.4287901</v>
      </c>
      <c r="F302" s="45">
        <f t="shared" si="24"/>
        <v>-1837093211.8599997</v>
      </c>
      <c r="H302" s="46">
        <v>992649000</v>
      </c>
      <c r="I302" s="50">
        <v>984188010.24524999</v>
      </c>
      <c r="L302" s="44">
        <f t="shared" si="25"/>
        <v>-1837093211.8599997</v>
      </c>
    </row>
    <row r="303" spans="1:12" ht="12.65" customHeight="1">
      <c r="A303" s="33">
        <v>43446</v>
      </c>
      <c r="B303" s="46">
        <v>9287021298.2887897</v>
      </c>
      <c r="C303" s="56">
        <v>8037183048.4757004</v>
      </c>
      <c r="F303" s="45">
        <f t="shared" si="24"/>
        <v>-1249838249.8130894</v>
      </c>
      <c r="H303" s="46">
        <v>992649000</v>
      </c>
      <c r="I303" s="50">
        <v>983761730.50283003</v>
      </c>
      <c r="L303" s="44">
        <f t="shared" si="25"/>
        <v>-1249838249.8130894</v>
      </c>
    </row>
    <row r="304" spans="1:12" ht="12.65" customHeight="1">
      <c r="A304" s="33">
        <v>43447</v>
      </c>
      <c r="B304" s="46">
        <v>9287021298.2887897</v>
      </c>
      <c r="C304" s="56">
        <v>7341517955.5707703</v>
      </c>
      <c r="F304" s="45">
        <f t="shared" si="24"/>
        <v>-1945503342.7180195</v>
      </c>
      <c r="H304" s="46">
        <v>992649000</v>
      </c>
      <c r="I304" s="50">
        <v>984531320.14965999</v>
      </c>
      <c r="L304" s="44">
        <f t="shared" si="25"/>
        <v>-1945503342.7180195</v>
      </c>
    </row>
    <row r="305" spans="1:12" ht="12.65" customHeight="1">
      <c r="A305" s="33">
        <v>43448</v>
      </c>
      <c r="B305" s="46">
        <v>9287021298.2887897</v>
      </c>
      <c r="C305" s="56">
        <v>7262027952.9718103</v>
      </c>
      <c r="F305" s="45">
        <f t="shared" si="24"/>
        <v>-2024993345.3169794</v>
      </c>
      <c r="H305" s="46">
        <v>992649000</v>
      </c>
      <c r="I305" s="50">
        <v>984605480.25422001</v>
      </c>
      <c r="L305" s="44">
        <f t="shared" si="25"/>
        <v>-2024993345.3169794</v>
      </c>
    </row>
    <row r="306" spans="1:12" ht="12.65" customHeight="1">
      <c r="A306" s="33">
        <v>43451</v>
      </c>
      <c r="B306" s="46">
        <v>9188706362.6427994</v>
      </c>
      <c r="C306" s="56">
        <v>14664853908.0539</v>
      </c>
      <c r="F306" s="45">
        <f t="shared" si="24"/>
        <v>5476147545.4111004</v>
      </c>
      <c r="H306" s="46">
        <v>1003355000</v>
      </c>
      <c r="I306" s="50">
        <v>1005280202.28142</v>
      </c>
      <c r="L306" s="44">
        <f t="shared" si="25"/>
        <v>5476147545.4111004</v>
      </c>
    </row>
    <row r="307" spans="1:12" ht="12.65" customHeight="1">
      <c r="A307" s="33">
        <v>43452</v>
      </c>
      <c r="B307" s="46">
        <v>9188706362.6427994</v>
      </c>
      <c r="C307" s="56">
        <v>13753882103.923401</v>
      </c>
      <c r="F307" s="45">
        <f t="shared" si="24"/>
        <v>4565175741.2806015</v>
      </c>
      <c r="H307" s="46">
        <v>1003355000</v>
      </c>
      <c r="I307" s="50">
        <v>1004403576.0240099</v>
      </c>
      <c r="L307" s="44">
        <f t="shared" si="25"/>
        <v>4565175741.2806015</v>
      </c>
    </row>
    <row r="308" spans="1:12" ht="12.65" customHeight="1">
      <c r="A308" s="33">
        <v>43453</v>
      </c>
      <c r="B308" s="46">
        <v>9188706362.6427994</v>
      </c>
      <c r="C308" s="56">
        <v>19511516453.5863</v>
      </c>
      <c r="F308" s="45">
        <f t="shared" si="24"/>
        <v>10322810090.943501</v>
      </c>
      <c r="H308" s="46">
        <v>1003355000</v>
      </c>
      <c r="I308" s="50">
        <v>1045463265.38434</v>
      </c>
      <c r="L308" s="44">
        <f t="shared" si="25"/>
        <v>10322810090.943501</v>
      </c>
    </row>
    <row r="309" spans="1:12" ht="12.65" customHeight="1">
      <c r="A309" s="33">
        <v>43454</v>
      </c>
      <c r="B309" s="46">
        <v>9188706362.6427994</v>
      </c>
      <c r="C309" s="56">
        <v>6320044506.6449604</v>
      </c>
      <c r="F309" s="45">
        <f t="shared" si="24"/>
        <v>-2868661855.997839</v>
      </c>
      <c r="H309" s="46">
        <v>1003355000</v>
      </c>
      <c r="I309" s="50">
        <v>1048198341.8367</v>
      </c>
      <c r="L309" s="44">
        <f t="shared" si="25"/>
        <v>-2868661855.997839</v>
      </c>
    </row>
    <row r="310" spans="1:12" ht="12.65" customHeight="1">
      <c r="A310" s="33">
        <v>43455</v>
      </c>
      <c r="B310" s="46">
        <v>9188706362.6427994</v>
      </c>
      <c r="C310" s="56">
        <v>7007936890.2301702</v>
      </c>
      <c r="F310" s="45">
        <f t="shared" si="24"/>
        <v>-2180769472.4126291</v>
      </c>
      <c r="H310" s="46">
        <v>1003355000</v>
      </c>
      <c r="I310" s="50">
        <v>1042603808.02794</v>
      </c>
      <c r="L310" s="44">
        <f t="shared" si="25"/>
        <v>-2180769472.4126291</v>
      </c>
    </row>
    <row r="311" spans="1:12" ht="12.65" customHeight="1">
      <c r="A311" s="81">
        <v>43459</v>
      </c>
      <c r="B311" s="82">
        <v>9188706362.6427994</v>
      </c>
      <c r="C311" s="83">
        <v>7007936890.2301702</v>
      </c>
      <c r="D311" s="84"/>
      <c r="E311" s="84"/>
      <c r="F311" s="85">
        <f t="shared" si="24"/>
        <v>-2180769472.4126291</v>
      </c>
      <c r="G311" s="84"/>
      <c r="H311" s="82">
        <v>1003355000</v>
      </c>
      <c r="I311" s="82">
        <v>1042603808.02794</v>
      </c>
      <c r="J311" s="84"/>
      <c r="K311" s="84"/>
      <c r="L311" s="86">
        <f t="shared" si="25"/>
        <v>-2180769472.4126291</v>
      </c>
    </row>
    <row r="312" spans="1:12" ht="12.65" customHeight="1">
      <c r="A312" s="33">
        <v>43460</v>
      </c>
      <c r="B312" s="46">
        <v>9188706362.6427994</v>
      </c>
      <c r="C312" s="56">
        <v>6547571587.3753099</v>
      </c>
      <c r="F312" s="45">
        <f t="shared" si="24"/>
        <v>-2641134775.2674894</v>
      </c>
      <c r="H312" s="46">
        <v>1003355000</v>
      </c>
      <c r="I312" s="50">
        <v>1033730777.05738</v>
      </c>
      <c r="L312" s="44">
        <f t="shared" si="25"/>
        <v>-2641134775.2674894</v>
      </c>
    </row>
    <row r="313" spans="1:12" ht="12.65" customHeight="1">
      <c r="A313" s="33">
        <v>43461</v>
      </c>
      <c r="B313" s="46">
        <v>9188706362.6427994</v>
      </c>
      <c r="C313" s="56">
        <v>5650054757.5354204</v>
      </c>
      <c r="F313" s="45">
        <f t="shared" si="24"/>
        <v>-3538651605.107379</v>
      </c>
      <c r="H313" s="46">
        <v>1003355000</v>
      </c>
      <c r="I313" s="50">
        <v>1037843046.8292</v>
      </c>
      <c r="L313" s="44">
        <f t="shared" si="25"/>
        <v>-3538651605.107379</v>
      </c>
    </row>
    <row r="314" spans="1:12" ht="12.65" customHeight="1">
      <c r="A314" s="33">
        <v>43462</v>
      </c>
      <c r="B314" s="46">
        <v>9188706362.6427994</v>
      </c>
      <c r="C314" s="56">
        <v>5615753360.3010101</v>
      </c>
      <c r="F314" s="45">
        <f t="shared" si="24"/>
        <v>-3572953002.3417892</v>
      </c>
      <c r="H314" s="46">
        <v>1003355000</v>
      </c>
      <c r="I314" s="50">
        <v>1044821038.91353</v>
      </c>
      <c r="L314" s="44">
        <f t="shared" si="25"/>
        <v>-3572953002.3417892</v>
      </c>
    </row>
    <row r="315" spans="1:12" ht="12.65" customHeight="1">
      <c r="A315" s="33">
        <v>43465</v>
      </c>
      <c r="B315" s="46">
        <v>9188706362.6427994</v>
      </c>
      <c r="C315" s="56">
        <v>6204305091.0307598</v>
      </c>
      <c r="F315" s="45">
        <f t="shared" si="24"/>
        <v>-2984401271.6120396</v>
      </c>
      <c r="H315" s="46">
        <v>1003355000</v>
      </c>
      <c r="I315" s="50">
        <v>1030071402.8299</v>
      </c>
      <c r="L315" s="44">
        <f t="shared" si="25"/>
        <v>-2984401271.6120396</v>
      </c>
    </row>
    <row r="316" spans="1:12" ht="12.65" customHeight="1">
      <c r="A316" s="33">
        <v>43467</v>
      </c>
      <c r="B316" s="46">
        <v>9141046933.6079693</v>
      </c>
      <c r="C316" s="56">
        <v>15081209282.019199</v>
      </c>
      <c r="F316" s="45">
        <f t="shared" si="24"/>
        <v>5940162348.4112301</v>
      </c>
      <c r="H316" s="46">
        <v>965538000</v>
      </c>
      <c r="I316" s="50">
        <v>966877909.15303004</v>
      </c>
      <c r="L316" s="44">
        <f t="shared" si="25"/>
        <v>5940162348.4112301</v>
      </c>
    </row>
    <row r="317" spans="1:12" ht="12.65" customHeight="1">
      <c r="A317" s="33">
        <v>43468</v>
      </c>
      <c r="B317" s="46">
        <v>9141046933.6079693</v>
      </c>
      <c r="C317" s="56">
        <v>18191940951.652</v>
      </c>
      <c r="F317" s="45">
        <f t="shared" si="24"/>
        <v>9050894018.0440311</v>
      </c>
      <c r="H317" s="46">
        <v>965538000</v>
      </c>
      <c r="I317" s="50">
        <v>966829328.08718002</v>
      </c>
      <c r="L317" s="44">
        <f t="shared" si="25"/>
        <v>9050894018.0440311</v>
      </c>
    </row>
    <row r="318" spans="1:12" ht="12.65" customHeight="1">
      <c r="A318" s="33">
        <v>43469</v>
      </c>
      <c r="B318" s="46">
        <v>9141046933.6079693</v>
      </c>
      <c r="C318" s="56">
        <v>9196893567.2357998</v>
      </c>
      <c r="F318" s="45">
        <f t="shared" si="24"/>
        <v>55846633.627830505</v>
      </c>
      <c r="H318" s="46">
        <v>965538000</v>
      </c>
      <c r="I318" s="50">
        <v>967282920.61178005</v>
      </c>
      <c r="L318" s="44">
        <f t="shared" si="25"/>
        <v>55846633.627830505</v>
      </c>
    </row>
    <row r="319" spans="1:12" ht="12.65" customHeight="1">
      <c r="A319" s="33">
        <v>43472</v>
      </c>
      <c r="B319" s="46">
        <v>9141046933.6079693</v>
      </c>
      <c r="C319" s="56">
        <v>11264794777.231701</v>
      </c>
      <c r="F319" s="45">
        <f t="shared" si="24"/>
        <v>2123747843.6237316</v>
      </c>
      <c r="H319" s="46">
        <v>965538000</v>
      </c>
      <c r="I319" s="50">
        <v>966897310.21524</v>
      </c>
      <c r="L319" s="44">
        <f t="shared" si="25"/>
        <v>2123747843.6237316</v>
      </c>
    </row>
    <row r="320" spans="1:12" ht="12.65" customHeight="1">
      <c r="A320" s="33">
        <v>43473</v>
      </c>
      <c r="B320" s="46">
        <v>9141046933.6079693</v>
      </c>
      <c r="C320" s="56">
        <v>8818616302.4161396</v>
      </c>
      <c r="F320" s="45">
        <f t="shared" si="24"/>
        <v>-322430631.19182968</v>
      </c>
      <c r="H320" s="46">
        <v>965538000</v>
      </c>
      <c r="I320" s="50">
        <v>1057239602.17875</v>
      </c>
      <c r="L320" s="44">
        <f t="shared" si="25"/>
        <v>-322430631.19182968</v>
      </c>
    </row>
    <row r="321" spans="1:12" ht="12.65" customHeight="1">
      <c r="A321" s="33">
        <v>43474</v>
      </c>
      <c r="B321" s="46">
        <v>9141046933.6079693</v>
      </c>
      <c r="C321" s="56">
        <v>6235668121.3867903</v>
      </c>
      <c r="F321" s="45">
        <f t="shared" si="24"/>
        <v>-2905378812.221179</v>
      </c>
      <c r="H321" s="46">
        <v>965538000</v>
      </c>
      <c r="I321" s="50">
        <v>966603458.59856999</v>
      </c>
      <c r="L321" s="44">
        <f t="shared" si="25"/>
        <v>-2905378812.221179</v>
      </c>
    </row>
    <row r="322" spans="1:12" ht="12.65" customHeight="1">
      <c r="A322" s="33">
        <v>43475</v>
      </c>
      <c r="B322" s="46">
        <v>9141046933.6079693</v>
      </c>
      <c r="C322" s="56">
        <v>6052820822.1678495</v>
      </c>
      <c r="F322" s="45">
        <f t="shared" ref="F322:F385" si="26">C322-B322</f>
        <v>-3088226111.4401197</v>
      </c>
      <c r="H322" s="46">
        <v>965538000</v>
      </c>
      <c r="I322" s="50">
        <v>967299379.1559</v>
      </c>
      <c r="L322" s="44">
        <f t="shared" ref="L322:L385" si="27">F322+J322</f>
        <v>-3088226111.4401197</v>
      </c>
    </row>
    <row r="323" spans="1:12" ht="12.65" customHeight="1">
      <c r="A323" s="33">
        <v>43476</v>
      </c>
      <c r="B323" s="46">
        <v>9141046933.6079693</v>
      </c>
      <c r="C323" s="56">
        <v>6093471979.2295704</v>
      </c>
      <c r="F323" s="45">
        <f t="shared" si="26"/>
        <v>-3047574954.3783989</v>
      </c>
      <c r="H323" s="46">
        <v>965538000</v>
      </c>
      <c r="I323" s="50">
        <v>1000533399.96453</v>
      </c>
      <c r="L323" s="44">
        <f t="shared" si="27"/>
        <v>-3047574954.3783989</v>
      </c>
    </row>
    <row r="324" spans="1:12" ht="12.65" customHeight="1">
      <c r="A324" s="33">
        <v>43479</v>
      </c>
      <c r="B324" s="46">
        <v>9141046933.6079693</v>
      </c>
      <c r="C324" s="56">
        <v>6025652063.5122004</v>
      </c>
      <c r="F324" s="45">
        <f t="shared" si="26"/>
        <v>-3115394870.0957689</v>
      </c>
      <c r="H324" s="46">
        <v>965538000</v>
      </c>
      <c r="I324" s="50">
        <v>967550698.41478002</v>
      </c>
      <c r="L324" s="44">
        <f t="shared" si="27"/>
        <v>-3115394870.0957689</v>
      </c>
    </row>
    <row r="325" spans="1:12" ht="12.65" customHeight="1">
      <c r="A325" s="33">
        <v>43480</v>
      </c>
      <c r="B325" s="46">
        <v>9141046933.6079693</v>
      </c>
      <c r="C325" s="56">
        <v>5548394307.4060898</v>
      </c>
      <c r="F325" s="45">
        <f t="shared" si="26"/>
        <v>-3592652626.2018795</v>
      </c>
      <c r="H325" s="46">
        <v>965538000</v>
      </c>
      <c r="I325" s="50">
        <v>966901932.30130005</v>
      </c>
      <c r="L325" s="44">
        <f t="shared" si="27"/>
        <v>-3592652626.2018795</v>
      </c>
    </row>
    <row r="326" spans="1:12" ht="12.65" customHeight="1">
      <c r="A326" s="33">
        <v>43481</v>
      </c>
      <c r="B326" s="46">
        <v>9075630194.8449802</v>
      </c>
      <c r="C326" s="56">
        <v>8970242201.0809994</v>
      </c>
      <c r="F326" s="45">
        <f t="shared" si="26"/>
        <v>-105387993.76398087</v>
      </c>
      <c r="H326" s="46">
        <v>1090884000</v>
      </c>
      <c r="I326" s="50">
        <v>1092354193.6013401</v>
      </c>
      <c r="L326" s="44">
        <f t="shared" si="27"/>
        <v>-105387993.76398087</v>
      </c>
    </row>
    <row r="327" spans="1:12" ht="12.65" customHeight="1">
      <c r="A327" s="33">
        <v>43482</v>
      </c>
      <c r="B327" s="46">
        <v>9075630194.8449802</v>
      </c>
      <c r="C327" s="56">
        <v>9788241593.0789509</v>
      </c>
      <c r="F327" s="45">
        <f t="shared" si="26"/>
        <v>712611398.23397064</v>
      </c>
      <c r="H327" s="46">
        <v>1090884000</v>
      </c>
      <c r="I327" s="50">
        <v>1092337665.5494599</v>
      </c>
      <c r="L327" s="44">
        <f t="shared" si="27"/>
        <v>712611398.23397064</v>
      </c>
    </row>
    <row r="328" spans="1:12" ht="12.65" customHeight="1">
      <c r="A328" s="33">
        <v>43483</v>
      </c>
      <c r="B328" s="46">
        <v>9075630194.8449802</v>
      </c>
      <c r="C328" s="56">
        <v>11414104581.668501</v>
      </c>
      <c r="F328" s="45">
        <f t="shared" si="26"/>
        <v>2338474386.8235207</v>
      </c>
      <c r="H328" s="46">
        <v>1090884000</v>
      </c>
      <c r="I328" s="50">
        <v>1092250754.1275499</v>
      </c>
      <c r="L328" s="44">
        <f t="shared" si="27"/>
        <v>2338474386.8235207</v>
      </c>
    </row>
    <row r="329" spans="1:12" ht="12.65" customHeight="1">
      <c r="A329" s="33">
        <v>43486</v>
      </c>
      <c r="B329" s="46">
        <v>9075630194.8449802</v>
      </c>
      <c r="C329" s="56">
        <v>11649677370.828199</v>
      </c>
      <c r="F329" s="45">
        <f t="shared" si="26"/>
        <v>2574047175.9832191</v>
      </c>
      <c r="H329" s="46">
        <v>1090884000</v>
      </c>
      <c r="I329" s="50">
        <v>1092149026.0401599</v>
      </c>
      <c r="L329" s="44">
        <f t="shared" si="27"/>
        <v>2574047175.9832191</v>
      </c>
    </row>
    <row r="330" spans="1:12" ht="12.65" customHeight="1">
      <c r="A330" s="33">
        <v>43487</v>
      </c>
      <c r="B330" s="46">
        <v>9075630194.8449802</v>
      </c>
      <c r="C330" s="56">
        <v>13497367148.931</v>
      </c>
      <c r="F330" s="45">
        <f t="shared" si="26"/>
        <v>4421736954.0860195</v>
      </c>
      <c r="H330" s="46">
        <v>1090884000</v>
      </c>
      <c r="I330" s="50">
        <v>1092061398.3420501</v>
      </c>
      <c r="L330" s="44">
        <f t="shared" si="27"/>
        <v>4421736954.0860195</v>
      </c>
    </row>
    <row r="331" spans="1:12" ht="12.65" customHeight="1">
      <c r="A331" s="33">
        <v>43488</v>
      </c>
      <c r="B331" s="46">
        <v>9075630194.8449802</v>
      </c>
      <c r="C331" s="56">
        <v>13275449888.079</v>
      </c>
      <c r="F331" s="45">
        <f t="shared" si="26"/>
        <v>4199819693.2340202</v>
      </c>
      <c r="H331" s="46">
        <v>1090884000</v>
      </c>
      <c r="I331" s="50">
        <v>1091895790.3742001</v>
      </c>
      <c r="L331" s="44">
        <f t="shared" si="27"/>
        <v>4199819693.2340202</v>
      </c>
    </row>
    <row r="332" spans="1:12" ht="12.65" customHeight="1">
      <c r="A332" s="33">
        <v>43489</v>
      </c>
      <c r="B332" s="46">
        <v>9075630194.8449802</v>
      </c>
      <c r="C332" s="56">
        <v>10559483632.0851</v>
      </c>
      <c r="F332" s="45">
        <f t="shared" si="26"/>
        <v>1483853437.2401199</v>
      </c>
      <c r="H332" s="46">
        <v>1090884000</v>
      </c>
      <c r="I332" s="50">
        <v>1092176204.97769</v>
      </c>
      <c r="L332" s="44">
        <f t="shared" si="27"/>
        <v>1483853437.2401199</v>
      </c>
    </row>
    <row r="333" spans="1:12" ht="12.65" customHeight="1">
      <c r="A333" s="33">
        <v>43490</v>
      </c>
      <c r="B333" s="46">
        <v>9075630194.8449802</v>
      </c>
      <c r="C333" s="56">
        <v>6086453015.71667</v>
      </c>
      <c r="F333" s="45">
        <f t="shared" si="26"/>
        <v>-2989177179.1283102</v>
      </c>
      <c r="H333" s="46">
        <v>1090884000</v>
      </c>
      <c r="I333" s="50">
        <v>1091745559.64622</v>
      </c>
      <c r="L333" s="44">
        <f t="shared" si="27"/>
        <v>-2989177179.1283102</v>
      </c>
    </row>
    <row r="334" spans="1:12" ht="12.65" customHeight="1">
      <c r="A334" s="33">
        <v>43493</v>
      </c>
      <c r="B334" s="46">
        <v>9075630194.8449802</v>
      </c>
      <c r="C334" s="56">
        <v>6050323593.3238697</v>
      </c>
      <c r="F334" s="45">
        <f t="shared" si="26"/>
        <v>-3025306601.5211105</v>
      </c>
      <c r="H334" s="46">
        <v>1090884000</v>
      </c>
      <c r="I334" s="50">
        <v>1092102568.28708</v>
      </c>
      <c r="L334" s="44">
        <f t="shared" si="27"/>
        <v>-3025306601.5211105</v>
      </c>
    </row>
    <row r="335" spans="1:12" ht="12.65" customHeight="1">
      <c r="A335" s="33">
        <v>43494</v>
      </c>
      <c r="B335" s="46">
        <v>9075630194.8449802</v>
      </c>
      <c r="C335" s="56">
        <v>6065805375.9921503</v>
      </c>
      <c r="F335" s="45">
        <f t="shared" si="26"/>
        <v>-3009824818.8528299</v>
      </c>
      <c r="H335" s="46">
        <v>1090884000</v>
      </c>
      <c r="I335" s="50">
        <v>1092313917.0509701</v>
      </c>
      <c r="L335" s="44">
        <f t="shared" si="27"/>
        <v>-3009824818.8528299</v>
      </c>
    </row>
    <row r="336" spans="1:12" ht="12.65" customHeight="1">
      <c r="A336" s="33">
        <v>43495</v>
      </c>
      <c r="B336" s="46">
        <v>9075630194.8449802</v>
      </c>
      <c r="C336" s="56">
        <v>6066272054.8438301</v>
      </c>
      <c r="F336" s="45">
        <f t="shared" si="26"/>
        <v>-3009358140.0011501</v>
      </c>
      <c r="H336" s="46">
        <v>1090884000</v>
      </c>
      <c r="I336" s="50">
        <v>1092177151.9658899</v>
      </c>
      <c r="L336" s="44">
        <f t="shared" si="27"/>
        <v>-3009358140.0011501</v>
      </c>
    </row>
    <row r="337" spans="1:12" ht="12.65" customHeight="1">
      <c r="A337" s="33">
        <v>43496</v>
      </c>
      <c r="B337" s="46">
        <v>9075630194.8449802</v>
      </c>
      <c r="C337" s="56">
        <v>6552813400.6185102</v>
      </c>
      <c r="F337" s="45">
        <f t="shared" si="26"/>
        <v>-2522816794.22647</v>
      </c>
      <c r="H337" s="46">
        <v>1090884000</v>
      </c>
      <c r="I337" s="50">
        <v>1092657195.0171399</v>
      </c>
      <c r="L337" s="44">
        <f t="shared" si="27"/>
        <v>-2522816794.22647</v>
      </c>
    </row>
    <row r="338" spans="1:12" ht="12.65" customHeight="1">
      <c r="A338" s="33">
        <v>43497</v>
      </c>
      <c r="B338" s="46">
        <v>8913647490.76194</v>
      </c>
      <c r="C338" s="56">
        <v>7142341225.1446199</v>
      </c>
      <c r="F338" s="45">
        <f t="shared" si="26"/>
        <v>-1771306265.6173201</v>
      </c>
      <c r="H338" s="46">
        <v>1153635000</v>
      </c>
      <c r="I338" s="50">
        <v>1155247890.04369</v>
      </c>
      <c r="L338" s="44">
        <f t="shared" si="27"/>
        <v>-1771306265.6173201</v>
      </c>
    </row>
    <row r="339" spans="1:12" ht="12.65" customHeight="1">
      <c r="A339" s="33">
        <v>43500</v>
      </c>
      <c r="B339" s="46">
        <v>8913647490.76194</v>
      </c>
      <c r="C339" s="56">
        <v>9670341815.8717098</v>
      </c>
      <c r="F339" s="45">
        <f t="shared" si="26"/>
        <v>756694325.10976982</v>
      </c>
      <c r="H339" s="46">
        <v>1153635000</v>
      </c>
      <c r="I339" s="50">
        <v>1154889498.30112</v>
      </c>
      <c r="L339" s="44">
        <f t="shared" si="27"/>
        <v>756694325.10976982</v>
      </c>
    </row>
    <row r="340" spans="1:12" ht="12.65" customHeight="1">
      <c r="A340" s="33">
        <v>43502</v>
      </c>
      <c r="B340" s="46">
        <v>8913647490.76194</v>
      </c>
      <c r="C340" s="56">
        <v>9255236753.5618191</v>
      </c>
      <c r="F340" s="45">
        <f t="shared" si="26"/>
        <v>341589262.79987907</v>
      </c>
      <c r="H340" s="46">
        <v>1153635000</v>
      </c>
      <c r="I340" s="50">
        <v>1155108292.6864901</v>
      </c>
      <c r="L340" s="44">
        <f t="shared" si="27"/>
        <v>341589262.79987907</v>
      </c>
    </row>
    <row r="341" spans="1:12" ht="12.65" customHeight="1">
      <c r="A341" s="33">
        <v>43503</v>
      </c>
      <c r="B341" s="46">
        <v>8913647490.76194</v>
      </c>
      <c r="C341" s="56">
        <v>9151523794.0162106</v>
      </c>
      <c r="F341" s="45">
        <f t="shared" si="26"/>
        <v>237876303.25427055</v>
      </c>
      <c r="H341" s="46">
        <v>1153635000</v>
      </c>
      <c r="I341" s="50">
        <v>1154826197.1110001</v>
      </c>
      <c r="L341" s="44">
        <f t="shared" si="27"/>
        <v>237876303.25427055</v>
      </c>
    </row>
    <row r="342" spans="1:12" ht="12.65" customHeight="1">
      <c r="A342" s="33">
        <v>43504</v>
      </c>
      <c r="B342" s="46">
        <v>8913647490.76194</v>
      </c>
      <c r="C342" s="56">
        <v>9112505653.1834297</v>
      </c>
      <c r="F342" s="45">
        <f t="shared" si="26"/>
        <v>198858162.42148972</v>
      </c>
      <c r="H342" s="46">
        <v>1153635000</v>
      </c>
      <c r="I342" s="50">
        <v>1155846881.6463101</v>
      </c>
      <c r="L342" s="44">
        <f t="shared" si="27"/>
        <v>198858162.42148972</v>
      </c>
    </row>
    <row r="343" spans="1:12" ht="12.65" customHeight="1">
      <c r="A343" s="33">
        <v>43507</v>
      </c>
      <c r="B343" s="46">
        <v>8913647490.76194</v>
      </c>
      <c r="C343" s="56">
        <v>7782636014.4888096</v>
      </c>
      <c r="F343" s="45">
        <f t="shared" si="26"/>
        <v>-1131011476.2731304</v>
      </c>
      <c r="H343" s="46">
        <v>1153635000</v>
      </c>
      <c r="I343" s="50">
        <v>1155796594.0407701</v>
      </c>
      <c r="L343" s="44">
        <f t="shared" si="27"/>
        <v>-1131011476.2731304</v>
      </c>
    </row>
    <row r="344" spans="1:12" ht="12.65" customHeight="1">
      <c r="A344" s="33">
        <v>43508</v>
      </c>
      <c r="B344" s="46">
        <v>8913647490.76194</v>
      </c>
      <c r="C344" s="56">
        <v>10702885005.4014</v>
      </c>
      <c r="F344" s="45">
        <f t="shared" si="26"/>
        <v>1789237514.6394596</v>
      </c>
      <c r="H344" s="46">
        <v>1153635000</v>
      </c>
      <c r="I344" s="50">
        <v>1154861140.4518399</v>
      </c>
      <c r="L344" s="44">
        <f t="shared" si="27"/>
        <v>1789237514.6394596</v>
      </c>
    </row>
    <row r="345" spans="1:12" ht="12.65" customHeight="1">
      <c r="A345" s="33">
        <v>43509</v>
      </c>
      <c r="B345" s="46">
        <v>8913647490.76194</v>
      </c>
      <c r="C345" s="56">
        <v>12749665207.1406</v>
      </c>
      <c r="F345" s="45">
        <f t="shared" si="26"/>
        <v>3836017716.3786602</v>
      </c>
      <c r="H345" s="46">
        <v>1153635000</v>
      </c>
      <c r="I345" s="50">
        <v>1154730096.3742399</v>
      </c>
      <c r="L345" s="44">
        <f t="shared" si="27"/>
        <v>3836017716.3786602</v>
      </c>
    </row>
    <row r="346" spans="1:12" ht="12.65" customHeight="1">
      <c r="A346" s="33">
        <v>43510</v>
      </c>
      <c r="B346" s="46">
        <v>8913647490.76194</v>
      </c>
      <c r="C346" s="56">
        <v>7609168358.2045603</v>
      </c>
      <c r="F346" s="45">
        <f t="shared" si="26"/>
        <v>-1304479132.5573797</v>
      </c>
      <c r="H346" s="46">
        <v>1153635000</v>
      </c>
      <c r="I346" s="50">
        <v>1154896428.4314899</v>
      </c>
      <c r="L346" s="44">
        <f t="shared" si="27"/>
        <v>-1304479132.5573797</v>
      </c>
    </row>
    <row r="347" spans="1:12" ht="12.65" customHeight="1">
      <c r="A347" s="33">
        <v>43511</v>
      </c>
      <c r="B347" s="46">
        <v>8913647490.76194</v>
      </c>
      <c r="C347" s="56">
        <v>6591756389.1077003</v>
      </c>
      <c r="F347" s="45">
        <f t="shared" si="26"/>
        <v>-2321891101.6542397</v>
      </c>
      <c r="H347" s="46">
        <v>1153635000</v>
      </c>
      <c r="I347" s="50">
        <v>1155604116.0446501</v>
      </c>
      <c r="L347" s="44">
        <f t="shared" si="27"/>
        <v>-2321891101.6542397</v>
      </c>
    </row>
    <row r="348" spans="1:12" ht="12.65" customHeight="1">
      <c r="A348" s="33">
        <v>43514</v>
      </c>
      <c r="B348" s="46">
        <v>8995782522.9309692</v>
      </c>
      <c r="C348" s="56">
        <v>12292052830.361099</v>
      </c>
      <c r="F348" s="45">
        <f t="shared" si="26"/>
        <v>3296270307.43013</v>
      </c>
      <c r="H348" s="46">
        <v>1185309000</v>
      </c>
      <c r="I348" s="50">
        <v>1188078761.7469201</v>
      </c>
      <c r="L348" s="44">
        <f t="shared" si="27"/>
        <v>3296270307.43013</v>
      </c>
    </row>
    <row r="349" spans="1:12" ht="12.65" customHeight="1">
      <c r="A349" s="33">
        <v>43515</v>
      </c>
      <c r="B349" s="46">
        <v>8995782522.9309692</v>
      </c>
      <c r="C349" s="56">
        <v>11936300938.17</v>
      </c>
      <c r="F349" s="45">
        <f t="shared" si="26"/>
        <v>2940518415.2390308</v>
      </c>
      <c r="H349" s="46">
        <v>1185309000</v>
      </c>
      <c r="I349" s="50">
        <v>1187068009.29898</v>
      </c>
      <c r="L349" s="44">
        <f t="shared" si="27"/>
        <v>2940518415.2390308</v>
      </c>
    </row>
    <row r="350" spans="1:12" ht="12.65" customHeight="1">
      <c r="A350" s="33">
        <v>43516</v>
      </c>
      <c r="B350" s="46">
        <v>8995782522.9309692</v>
      </c>
      <c r="C350" s="56">
        <v>11479826609.806</v>
      </c>
      <c r="F350" s="45">
        <f t="shared" si="26"/>
        <v>2484044086.8750305</v>
      </c>
      <c r="H350" s="46">
        <v>1185309000</v>
      </c>
      <c r="I350" s="50">
        <v>1187195080.9828401</v>
      </c>
      <c r="L350" s="44">
        <f t="shared" si="27"/>
        <v>2484044086.8750305</v>
      </c>
    </row>
    <row r="351" spans="1:12" ht="12.65" customHeight="1">
      <c r="A351" s="33">
        <v>43517</v>
      </c>
      <c r="B351" s="46">
        <v>8995782522.9309692</v>
      </c>
      <c r="C351" s="56">
        <v>10582657238.633301</v>
      </c>
      <c r="F351" s="45">
        <f t="shared" si="26"/>
        <v>1586874715.7023315</v>
      </c>
      <c r="H351" s="46">
        <v>1185309000</v>
      </c>
      <c r="I351" s="50">
        <v>1187169109.79989</v>
      </c>
      <c r="L351" s="44">
        <f t="shared" si="27"/>
        <v>1586874715.7023315</v>
      </c>
    </row>
    <row r="352" spans="1:12" ht="12.65" customHeight="1">
      <c r="A352" s="33">
        <v>43518</v>
      </c>
      <c r="B352" s="46">
        <v>8995782522.9309692</v>
      </c>
      <c r="C352" s="56">
        <v>8929576696.0453205</v>
      </c>
      <c r="F352" s="45">
        <f t="shared" si="26"/>
        <v>-66205826.885648727</v>
      </c>
      <c r="H352" s="46">
        <v>1185309000</v>
      </c>
      <c r="I352" s="50">
        <v>1186759139.28896</v>
      </c>
      <c r="L352" s="44">
        <f t="shared" si="27"/>
        <v>-66205826.885648727</v>
      </c>
    </row>
    <row r="353" spans="1:12" ht="12.65" customHeight="1">
      <c r="A353" s="33">
        <v>43521</v>
      </c>
      <c r="B353" s="46">
        <v>8995782522.9309692</v>
      </c>
      <c r="C353" s="56">
        <v>9202142860.9625092</v>
      </c>
      <c r="F353" s="45">
        <f t="shared" si="26"/>
        <v>206360338.03153992</v>
      </c>
      <c r="H353" s="46">
        <v>1185309000</v>
      </c>
      <c r="I353" s="50">
        <v>1186978259.47629</v>
      </c>
      <c r="L353" s="44">
        <f t="shared" si="27"/>
        <v>206360338.03153992</v>
      </c>
    </row>
    <row r="354" spans="1:12" ht="12.65" customHeight="1">
      <c r="A354" s="33">
        <v>43522</v>
      </c>
      <c r="B354" s="46">
        <v>8995782522.9309692</v>
      </c>
      <c r="C354" s="56">
        <v>6036996913.7715197</v>
      </c>
      <c r="F354" s="45">
        <f t="shared" si="26"/>
        <v>-2958785609.1594496</v>
      </c>
      <c r="H354" s="46">
        <v>1185309000</v>
      </c>
      <c r="I354" s="50">
        <v>1187221124.8533399</v>
      </c>
      <c r="L354" s="44">
        <f t="shared" si="27"/>
        <v>-2958785609.1594496</v>
      </c>
    </row>
    <row r="355" spans="1:12" ht="12.65" customHeight="1">
      <c r="A355" s="33">
        <v>43523</v>
      </c>
      <c r="B355" s="46">
        <v>8995782522.9309692</v>
      </c>
      <c r="C355" s="56">
        <v>5799347468.8484297</v>
      </c>
      <c r="F355" s="45">
        <f t="shared" si="26"/>
        <v>-3196435054.0825396</v>
      </c>
      <c r="H355" s="46">
        <v>1185309000</v>
      </c>
      <c r="I355" s="50">
        <v>1186699399.1308401</v>
      </c>
      <c r="L355" s="44">
        <f t="shared" si="27"/>
        <v>-3196435054.0825396</v>
      </c>
    </row>
    <row r="356" spans="1:12" ht="12.65" customHeight="1">
      <c r="A356" s="33">
        <v>43524</v>
      </c>
      <c r="B356" s="46">
        <v>8995782522.9309692</v>
      </c>
      <c r="C356" s="56">
        <v>5819970787.8515596</v>
      </c>
      <c r="F356" s="45">
        <f t="shared" si="26"/>
        <v>-3175811735.0794096</v>
      </c>
      <c r="H356" s="46">
        <v>1185309000</v>
      </c>
      <c r="I356" s="50">
        <v>1247908429.50804</v>
      </c>
      <c r="L356" s="44">
        <f t="shared" si="27"/>
        <v>-3175811735.0794096</v>
      </c>
    </row>
    <row r="357" spans="1:12" ht="12.65" customHeight="1">
      <c r="A357" s="33">
        <v>43525</v>
      </c>
      <c r="B357" s="46">
        <v>8917976246.5876999</v>
      </c>
      <c r="C357" s="56">
        <v>9908603289.8712502</v>
      </c>
      <c r="F357" s="45">
        <f t="shared" si="26"/>
        <v>990627043.28355026</v>
      </c>
      <c r="H357" s="46">
        <v>1165563000</v>
      </c>
      <c r="I357" s="50">
        <v>1166882908.21294</v>
      </c>
      <c r="L357" s="44">
        <f t="shared" si="27"/>
        <v>990627043.28355026</v>
      </c>
    </row>
    <row r="358" spans="1:12" ht="12.65" customHeight="1">
      <c r="A358" s="33">
        <v>43528</v>
      </c>
      <c r="B358" s="46">
        <v>8917976246.5876999</v>
      </c>
      <c r="C358" s="56">
        <v>9976735209.8047295</v>
      </c>
      <c r="F358" s="45">
        <f t="shared" si="26"/>
        <v>1058758963.2170296</v>
      </c>
      <c r="H358" s="46">
        <v>1165563000</v>
      </c>
      <c r="I358" s="50">
        <v>1167103742.1249101</v>
      </c>
      <c r="L358" s="44">
        <f t="shared" si="27"/>
        <v>1058758963.2170296</v>
      </c>
    </row>
    <row r="359" spans="1:12" ht="12.65" customHeight="1">
      <c r="A359" s="33">
        <v>43529</v>
      </c>
      <c r="B359" s="46">
        <v>8917976246.5876999</v>
      </c>
      <c r="C359" s="56">
        <v>11048139413.2747</v>
      </c>
      <c r="F359" s="45">
        <f t="shared" si="26"/>
        <v>2130163166.6870003</v>
      </c>
      <c r="H359" s="46">
        <v>1165563000</v>
      </c>
      <c r="I359" s="50">
        <v>1208208465.42083</v>
      </c>
      <c r="L359" s="44">
        <f t="shared" si="27"/>
        <v>2130163166.6870003</v>
      </c>
    </row>
    <row r="360" spans="1:12" ht="12.65" customHeight="1">
      <c r="A360" s="33">
        <v>43530</v>
      </c>
      <c r="B360" s="46">
        <v>8917976246.5876999</v>
      </c>
      <c r="C360" s="56">
        <v>11721841154.283701</v>
      </c>
      <c r="F360" s="45">
        <f t="shared" si="26"/>
        <v>2803864907.6960011</v>
      </c>
      <c r="H360" s="46">
        <v>1165563000</v>
      </c>
      <c r="I360" s="50">
        <v>1167373919.4393599</v>
      </c>
      <c r="L360" s="44">
        <f t="shared" si="27"/>
        <v>2803864907.6960011</v>
      </c>
    </row>
    <row r="361" spans="1:12" ht="12.65" customHeight="1">
      <c r="A361" s="33">
        <v>43531</v>
      </c>
      <c r="B361" s="46">
        <v>8917976246.5876999</v>
      </c>
      <c r="F361" s="45">
        <f t="shared" si="26"/>
        <v>-8917976246.5876999</v>
      </c>
      <c r="H361" s="46">
        <v>1165563000</v>
      </c>
      <c r="L361" s="44">
        <f t="shared" si="27"/>
        <v>-8917976246.5876999</v>
      </c>
    </row>
    <row r="362" spans="1:12" ht="12.65" customHeight="1">
      <c r="A362" s="33">
        <v>43532</v>
      </c>
      <c r="B362" s="46">
        <v>8917976246.5876999</v>
      </c>
      <c r="C362" s="56">
        <v>10087505978.6675</v>
      </c>
      <c r="F362" s="45">
        <f t="shared" si="26"/>
        <v>1169529732.0797997</v>
      </c>
      <c r="H362" s="46">
        <v>1165563000</v>
      </c>
      <c r="I362" s="50">
        <v>1166574485.6614101</v>
      </c>
      <c r="L362" s="44">
        <f t="shared" si="27"/>
        <v>1169529732.0797997</v>
      </c>
    </row>
    <row r="363" spans="1:12" ht="12.65" customHeight="1">
      <c r="A363" s="33">
        <v>43535</v>
      </c>
      <c r="B363" s="46">
        <v>8917976246.5876999</v>
      </c>
      <c r="C363" s="56">
        <v>11836534722.8344</v>
      </c>
      <c r="F363" s="45">
        <f t="shared" si="26"/>
        <v>2918558476.2467003</v>
      </c>
      <c r="H363" s="46">
        <v>1165563000</v>
      </c>
      <c r="I363" s="50">
        <v>1167409679.6834199</v>
      </c>
      <c r="L363" s="44">
        <f t="shared" si="27"/>
        <v>2918558476.2467003</v>
      </c>
    </row>
    <row r="364" spans="1:12" ht="12.65" customHeight="1">
      <c r="A364" s="33">
        <v>43536</v>
      </c>
      <c r="B364" s="46">
        <v>8917976246.5876999</v>
      </c>
      <c r="C364" s="56">
        <v>7785610864.9867096</v>
      </c>
      <c r="F364" s="45">
        <f t="shared" si="26"/>
        <v>-1132365381.6009903</v>
      </c>
      <c r="H364" s="46">
        <v>1165563000</v>
      </c>
      <c r="I364" s="50">
        <v>1167746245.43226</v>
      </c>
      <c r="L364" s="44">
        <f t="shared" si="27"/>
        <v>-1132365381.6009903</v>
      </c>
    </row>
    <row r="365" spans="1:12" ht="12.65" customHeight="1">
      <c r="A365" s="33">
        <v>43537</v>
      </c>
      <c r="B365" s="46">
        <v>8917976246.5876999</v>
      </c>
      <c r="C365" s="56">
        <v>5867302781.52244</v>
      </c>
      <c r="F365" s="45">
        <f t="shared" si="26"/>
        <v>-3050673465.0652599</v>
      </c>
      <c r="H365" s="46">
        <v>1165563000</v>
      </c>
      <c r="I365" s="50">
        <v>1166672781.0963099</v>
      </c>
      <c r="L365" s="44">
        <f t="shared" si="27"/>
        <v>-3050673465.0652599</v>
      </c>
    </row>
    <row r="366" spans="1:12" ht="12.65" customHeight="1">
      <c r="A366" s="33">
        <v>43538</v>
      </c>
      <c r="B366" s="46">
        <v>8917976246.5876999</v>
      </c>
      <c r="C366" s="56">
        <v>5744908516.97124</v>
      </c>
      <c r="F366" s="45">
        <f t="shared" si="26"/>
        <v>-3173067729.6164598</v>
      </c>
      <c r="H366" s="46">
        <v>1165563000</v>
      </c>
      <c r="I366" s="50">
        <v>1167295322.10706</v>
      </c>
      <c r="L366" s="44">
        <f t="shared" si="27"/>
        <v>-3173067729.6164598</v>
      </c>
    </row>
    <row r="367" spans="1:12" ht="12.65" customHeight="1">
      <c r="A367" s="33">
        <v>43539</v>
      </c>
      <c r="B367" s="46">
        <v>8917976246.5876999</v>
      </c>
      <c r="C367" s="56">
        <v>5619723572.2964697</v>
      </c>
      <c r="F367" s="45">
        <f t="shared" si="26"/>
        <v>-3298252674.2912302</v>
      </c>
      <c r="H367" s="46">
        <v>1165563000</v>
      </c>
      <c r="I367" s="50">
        <v>1167036172.70927</v>
      </c>
      <c r="L367" s="44">
        <f t="shared" si="27"/>
        <v>-3298252674.2912302</v>
      </c>
    </row>
    <row r="368" spans="1:12" ht="12.65" customHeight="1">
      <c r="A368" s="33">
        <v>43542</v>
      </c>
      <c r="B368" s="46">
        <v>8913620960.0124607</v>
      </c>
      <c r="C368" s="56">
        <v>7534904540.4982595</v>
      </c>
      <c r="F368" s="45">
        <f t="shared" si="26"/>
        <v>-1378716419.5142012</v>
      </c>
      <c r="H368" s="46">
        <v>1162083000</v>
      </c>
      <c r="I368" s="50">
        <v>1163924425.7068601</v>
      </c>
      <c r="L368" s="44">
        <f t="shared" si="27"/>
        <v>-1378716419.5142012</v>
      </c>
    </row>
    <row r="369" spans="1:12" ht="12.65" customHeight="1">
      <c r="A369" s="33">
        <v>43543</v>
      </c>
      <c r="B369" s="46">
        <v>8913620960.0124607</v>
      </c>
      <c r="C369" s="56">
        <v>6389244677.9129496</v>
      </c>
      <c r="F369" s="45">
        <f t="shared" si="26"/>
        <v>-2524376282.0995111</v>
      </c>
      <c r="H369" s="46">
        <v>1162083000</v>
      </c>
      <c r="I369" s="50">
        <v>1163765278.67435</v>
      </c>
      <c r="L369" s="44">
        <f t="shared" si="27"/>
        <v>-2524376282.0995111</v>
      </c>
    </row>
    <row r="370" spans="1:12" ht="12.65" customHeight="1">
      <c r="A370" s="33">
        <v>43544</v>
      </c>
      <c r="B370" s="46">
        <v>8913620960.0124607</v>
      </c>
      <c r="C370" s="56">
        <v>11696955346.4097</v>
      </c>
      <c r="F370" s="45">
        <f t="shared" si="26"/>
        <v>2783334386.3972397</v>
      </c>
      <c r="H370" s="46">
        <v>1162083000</v>
      </c>
      <c r="I370" s="50">
        <v>1163268923.5444</v>
      </c>
      <c r="L370" s="44">
        <f t="shared" si="27"/>
        <v>2783334386.3972397</v>
      </c>
    </row>
    <row r="371" spans="1:12" ht="12.65" customHeight="1">
      <c r="A371" s="33">
        <v>43545</v>
      </c>
      <c r="B371" s="46">
        <v>8913620960.0124607</v>
      </c>
      <c r="C371" s="56">
        <v>11027951406.112801</v>
      </c>
      <c r="F371" s="45">
        <f t="shared" si="26"/>
        <v>2114330446.1003399</v>
      </c>
      <c r="H371" s="46">
        <v>1162083000</v>
      </c>
      <c r="I371" s="50">
        <v>1163236511.07074</v>
      </c>
      <c r="L371" s="44">
        <f t="shared" si="27"/>
        <v>2114330446.1003399</v>
      </c>
    </row>
    <row r="372" spans="1:12" ht="12.65" customHeight="1">
      <c r="A372" s="33">
        <v>43546</v>
      </c>
      <c r="B372" s="46">
        <v>8913620960.0124607</v>
      </c>
      <c r="C372" s="56">
        <v>8056645002.7352104</v>
      </c>
      <c r="F372" s="45">
        <f t="shared" si="26"/>
        <v>-856975957.27725029</v>
      </c>
      <c r="H372" s="46">
        <v>1162083000</v>
      </c>
      <c r="I372" s="50">
        <v>1163146839.90958</v>
      </c>
      <c r="L372" s="44">
        <f t="shared" si="27"/>
        <v>-856975957.27725029</v>
      </c>
    </row>
    <row r="373" spans="1:12" ht="12.65" customHeight="1">
      <c r="A373" s="33">
        <v>43549</v>
      </c>
      <c r="B373" s="46">
        <v>8913620960.0124607</v>
      </c>
      <c r="C373" s="56">
        <v>11317657456.452801</v>
      </c>
      <c r="F373" s="45">
        <f t="shared" si="26"/>
        <v>2404036496.44034</v>
      </c>
      <c r="H373" s="46">
        <v>1162083000</v>
      </c>
      <c r="I373" s="50">
        <v>1163787900.9805701</v>
      </c>
      <c r="L373" s="44">
        <f t="shared" si="27"/>
        <v>2404036496.44034</v>
      </c>
    </row>
    <row r="374" spans="1:12" ht="12.65" customHeight="1">
      <c r="A374" s="33">
        <v>43550</v>
      </c>
      <c r="B374" s="46">
        <v>8913620960.0124607</v>
      </c>
      <c r="C374" s="56">
        <v>10172808178.4856</v>
      </c>
      <c r="F374" s="45">
        <f t="shared" si="26"/>
        <v>1259187218.4731388</v>
      </c>
      <c r="H374" s="46">
        <v>1162083000</v>
      </c>
      <c r="I374" s="50">
        <v>1163615732.0795701</v>
      </c>
      <c r="L374" s="44">
        <f t="shared" si="27"/>
        <v>1259187218.4731388</v>
      </c>
    </row>
    <row r="375" spans="1:12" ht="12.65" customHeight="1">
      <c r="A375" s="33">
        <v>43551</v>
      </c>
      <c r="B375" s="46">
        <v>8913620960.0124607</v>
      </c>
      <c r="C375" s="56">
        <v>10590527198.789499</v>
      </c>
      <c r="F375" s="45">
        <f t="shared" si="26"/>
        <v>1676906238.7770386</v>
      </c>
      <c r="H375" s="46">
        <v>1162083000</v>
      </c>
      <c r="I375" s="50">
        <v>1163239199.4026999</v>
      </c>
      <c r="L375" s="44">
        <f t="shared" si="27"/>
        <v>1676906238.7770386</v>
      </c>
    </row>
    <row r="376" spans="1:12" ht="12.65" customHeight="1">
      <c r="A376" s="33">
        <v>43552</v>
      </c>
      <c r="B376" s="46">
        <v>8913620960.0124607</v>
      </c>
      <c r="C376" s="56">
        <v>7196261232.8406401</v>
      </c>
      <c r="F376" s="45">
        <f t="shared" si="26"/>
        <v>-1717359727.1718206</v>
      </c>
      <c r="H376" s="46">
        <v>1162083000</v>
      </c>
      <c r="I376" s="50">
        <v>1163999178.8324201</v>
      </c>
      <c r="L376" s="44">
        <f t="shared" si="27"/>
        <v>-1717359727.1718206</v>
      </c>
    </row>
    <row r="377" spans="1:12" ht="12.65" customHeight="1">
      <c r="A377" s="33">
        <v>43553</v>
      </c>
      <c r="B377" s="46">
        <v>8913620960.0124607</v>
      </c>
      <c r="C377" s="56">
        <v>5629317022.0210304</v>
      </c>
      <c r="F377" s="45">
        <f t="shared" si="26"/>
        <v>-3284303937.9914303</v>
      </c>
      <c r="H377" s="46">
        <v>1162083000</v>
      </c>
      <c r="I377" s="50">
        <v>1164103338.1461699</v>
      </c>
      <c r="L377" s="44">
        <f t="shared" si="27"/>
        <v>-3284303937.9914303</v>
      </c>
    </row>
    <row r="378" spans="1:12" ht="12.65" customHeight="1">
      <c r="A378" s="33">
        <v>43555</v>
      </c>
      <c r="B378" s="46">
        <v>8913620960.0124607</v>
      </c>
      <c r="C378" s="56">
        <v>5629317022.0210304</v>
      </c>
      <c r="F378" s="45">
        <f t="shared" si="26"/>
        <v>-3284303937.9914303</v>
      </c>
      <c r="H378" s="46">
        <v>1162083000</v>
      </c>
      <c r="I378" s="50">
        <v>1164103338.1461699</v>
      </c>
      <c r="L378" s="44">
        <f t="shared" si="27"/>
        <v>-3284303937.9914303</v>
      </c>
    </row>
    <row r="379" spans="1:12" ht="12.65" customHeight="1">
      <c r="A379" s="33">
        <v>43556</v>
      </c>
      <c r="B379" s="46">
        <v>8917608200.7577705</v>
      </c>
      <c r="C379" s="56">
        <v>10989368576.813299</v>
      </c>
      <c r="F379" s="45">
        <f t="shared" si="26"/>
        <v>2071760376.0555286</v>
      </c>
      <c r="H379" s="46">
        <v>1137680000</v>
      </c>
      <c r="I379" s="50">
        <v>1139653108.4688001</v>
      </c>
      <c r="L379" s="44">
        <f t="shared" si="27"/>
        <v>2071760376.0555286</v>
      </c>
    </row>
    <row r="380" spans="1:12" ht="12.65" customHeight="1">
      <c r="A380" s="33">
        <v>43557</v>
      </c>
      <c r="B380" s="46">
        <v>8917608200.7577705</v>
      </c>
      <c r="C380" s="56">
        <v>10381249033.1938</v>
      </c>
      <c r="F380" s="45">
        <f t="shared" si="26"/>
        <v>1463640832.4360294</v>
      </c>
      <c r="H380" s="46">
        <v>1137680000</v>
      </c>
      <c r="I380" s="50">
        <v>1139370340.0450201</v>
      </c>
      <c r="L380" s="44">
        <f t="shared" si="27"/>
        <v>1463640832.4360294</v>
      </c>
    </row>
    <row r="381" spans="1:12" ht="12.65" customHeight="1">
      <c r="A381" s="33">
        <v>43558</v>
      </c>
      <c r="C381" s="83"/>
      <c r="F381" s="45">
        <f t="shared" si="26"/>
        <v>0</v>
      </c>
      <c r="I381" s="82"/>
      <c r="L381" s="44">
        <f t="shared" si="27"/>
        <v>0</v>
      </c>
    </row>
    <row r="382" spans="1:12" ht="12.65" customHeight="1">
      <c r="A382" s="33">
        <v>43559</v>
      </c>
      <c r="B382" s="46">
        <v>8917608200.7577705</v>
      </c>
      <c r="C382" s="56">
        <v>10725577653.7766</v>
      </c>
      <c r="F382" s="45">
        <f t="shared" si="26"/>
        <v>1807969453.0188293</v>
      </c>
      <c r="H382" s="46">
        <v>1137680000</v>
      </c>
      <c r="I382" s="50">
        <v>1138892041.85063</v>
      </c>
      <c r="L382" s="44">
        <f t="shared" si="27"/>
        <v>1807969453.0188293</v>
      </c>
    </row>
    <row r="383" spans="1:12" ht="12.65" customHeight="1">
      <c r="A383" s="33">
        <v>43560</v>
      </c>
      <c r="B383" s="46">
        <v>8917608200.7577705</v>
      </c>
      <c r="C383" s="56">
        <v>8500564135.7081404</v>
      </c>
      <c r="F383" s="45">
        <f t="shared" si="26"/>
        <v>-417044065.04963017</v>
      </c>
      <c r="H383" s="46">
        <v>1137680000</v>
      </c>
      <c r="I383" s="50">
        <v>1139037325.5854199</v>
      </c>
      <c r="L383" s="44">
        <f t="shared" si="27"/>
        <v>-417044065.04963017</v>
      </c>
    </row>
    <row r="384" spans="1:12" ht="12.65" customHeight="1">
      <c r="A384" s="33">
        <v>43563</v>
      </c>
      <c r="B384" s="46">
        <v>8917608200.7577705</v>
      </c>
      <c r="C384" s="56">
        <v>9423801792.1784306</v>
      </c>
      <c r="F384" s="45">
        <f t="shared" si="26"/>
        <v>506193591.42066002</v>
      </c>
      <c r="H384" s="46">
        <v>1137680000</v>
      </c>
      <c r="I384" s="50">
        <v>1138924909.18239</v>
      </c>
      <c r="L384" s="44">
        <f t="shared" si="27"/>
        <v>506193591.42066002</v>
      </c>
    </row>
    <row r="385" spans="1:12" ht="12.65" customHeight="1">
      <c r="A385" s="33">
        <v>43564</v>
      </c>
      <c r="B385" s="46">
        <v>8917608200.7577705</v>
      </c>
      <c r="C385" s="56">
        <v>9380097471.7504597</v>
      </c>
      <c r="F385" s="45">
        <f t="shared" si="26"/>
        <v>462489270.99268913</v>
      </c>
      <c r="H385" s="46">
        <v>1137680000</v>
      </c>
      <c r="I385" s="50">
        <v>1139648229.57481</v>
      </c>
      <c r="L385" s="44">
        <f t="shared" si="27"/>
        <v>462489270.99268913</v>
      </c>
    </row>
    <row r="386" spans="1:12" ht="12.65" customHeight="1">
      <c r="A386" s="33">
        <v>43565</v>
      </c>
      <c r="B386" s="46">
        <v>8917608200.7577705</v>
      </c>
      <c r="C386" s="56">
        <v>8651055658.8681297</v>
      </c>
      <c r="F386" s="45">
        <f t="shared" ref="F386:F449" si="28">C386-B386</f>
        <v>-266552541.88964081</v>
      </c>
      <c r="H386" s="46">
        <v>1137680000</v>
      </c>
      <c r="I386" s="50">
        <v>1138964621.6363001</v>
      </c>
      <c r="L386" s="44">
        <f t="shared" ref="L386:L449" si="29">F386+J386</f>
        <v>-266552541.88964081</v>
      </c>
    </row>
    <row r="387" spans="1:12" ht="12.65" customHeight="1">
      <c r="A387" s="33">
        <v>43566</v>
      </c>
      <c r="B387" s="46">
        <v>8917608200.7577705</v>
      </c>
      <c r="C387" s="56">
        <v>7714829133.5435104</v>
      </c>
      <c r="F387" s="45">
        <f t="shared" si="28"/>
        <v>-1202779067.2142601</v>
      </c>
      <c r="H387" s="46">
        <v>1137680000</v>
      </c>
      <c r="I387" s="50">
        <v>1140426698.75334</v>
      </c>
      <c r="L387" s="44">
        <f t="shared" si="29"/>
        <v>-1202779067.2142601</v>
      </c>
    </row>
    <row r="388" spans="1:12" ht="12.65" customHeight="1">
      <c r="A388" s="33">
        <v>43567</v>
      </c>
      <c r="B388" s="46">
        <v>8917608200.7577705</v>
      </c>
      <c r="C388" s="56">
        <v>7057228365.5827303</v>
      </c>
      <c r="F388" s="45">
        <f t="shared" si="28"/>
        <v>-1860379835.1750402</v>
      </c>
      <c r="H388" s="46">
        <v>1137680000</v>
      </c>
      <c r="I388" s="50">
        <v>1140419792.72191</v>
      </c>
      <c r="L388" s="44">
        <f t="shared" si="29"/>
        <v>-1860379835.1750402</v>
      </c>
    </row>
    <row r="389" spans="1:12" ht="12.65" customHeight="1">
      <c r="A389" s="33">
        <v>43570</v>
      </c>
      <c r="B389" s="46">
        <v>8917608200.7577705</v>
      </c>
      <c r="C389" s="56">
        <v>6878759695.9705</v>
      </c>
      <c r="F389" s="45">
        <f t="shared" si="28"/>
        <v>-2038848504.7872705</v>
      </c>
      <c r="H389" s="46">
        <v>1137680000</v>
      </c>
      <c r="I389" s="50">
        <v>1140350139.7618999</v>
      </c>
      <c r="L389" s="44">
        <f t="shared" si="29"/>
        <v>-2038848504.7872705</v>
      </c>
    </row>
    <row r="390" spans="1:12" ht="12.65" customHeight="1">
      <c r="A390" s="33">
        <v>43571</v>
      </c>
      <c r="B390" s="46">
        <v>8921713883.5220394</v>
      </c>
      <c r="C390" s="56">
        <v>12144109749.4601</v>
      </c>
      <c r="F390" s="45">
        <f t="shared" si="28"/>
        <v>3222395865.9380608</v>
      </c>
      <c r="H390" s="46">
        <v>1163268000</v>
      </c>
      <c r="I390" s="50">
        <v>1165456265.9421699</v>
      </c>
      <c r="L390" s="44">
        <f t="shared" si="29"/>
        <v>3222395865.9380608</v>
      </c>
    </row>
    <row r="391" spans="1:12" ht="12.65" customHeight="1">
      <c r="A391" s="33">
        <v>43572</v>
      </c>
      <c r="B391" s="46">
        <v>8921713883.5220394</v>
      </c>
      <c r="C391" s="83"/>
      <c r="F391" s="45">
        <f t="shared" si="28"/>
        <v>-8921713883.5220394</v>
      </c>
      <c r="H391" s="46">
        <v>1163268000</v>
      </c>
      <c r="I391" s="82"/>
      <c r="L391" s="44">
        <f t="shared" si="29"/>
        <v>-8921713883.5220394</v>
      </c>
    </row>
    <row r="392" spans="1:12" ht="12.65" customHeight="1">
      <c r="A392" s="33">
        <v>43573</v>
      </c>
      <c r="B392" s="46">
        <v>8921713883.5220394</v>
      </c>
      <c r="C392" s="56">
        <v>7097251812.3925304</v>
      </c>
      <c r="F392" s="45">
        <f t="shared" si="28"/>
        <v>-1824462071.129509</v>
      </c>
      <c r="H392" s="46">
        <v>1163268000</v>
      </c>
      <c r="I392" s="50">
        <v>1163444522.6681199</v>
      </c>
      <c r="L392" s="44">
        <f t="shared" si="29"/>
        <v>-1824462071.129509</v>
      </c>
    </row>
    <row r="393" spans="1:12" ht="12.65" customHeight="1">
      <c r="A393" s="33">
        <v>43574</v>
      </c>
      <c r="B393" s="46">
        <v>8921713883.5220394</v>
      </c>
      <c r="C393" s="83"/>
      <c r="F393" s="45">
        <f t="shared" si="28"/>
        <v>-8921713883.5220394</v>
      </c>
      <c r="H393" s="46">
        <v>1163268000</v>
      </c>
      <c r="I393" s="83"/>
      <c r="L393" s="44">
        <f t="shared" si="29"/>
        <v>-8921713883.5220394</v>
      </c>
    </row>
    <row r="394" spans="1:12" ht="12.65" customHeight="1">
      <c r="A394" s="33">
        <v>43577</v>
      </c>
      <c r="B394" s="46">
        <v>8921713883.5220394</v>
      </c>
      <c r="C394" s="56">
        <v>8095408409.00735</v>
      </c>
      <c r="F394" s="45">
        <f t="shared" si="28"/>
        <v>-826305474.51468945</v>
      </c>
      <c r="H394" s="46">
        <v>1163268000</v>
      </c>
      <c r="I394" s="50">
        <v>1165831904.27858</v>
      </c>
      <c r="L394" s="44">
        <f t="shared" si="29"/>
        <v>-826305474.51468945</v>
      </c>
    </row>
    <row r="395" spans="1:12" ht="12.65" customHeight="1">
      <c r="A395" s="33">
        <v>43578</v>
      </c>
      <c r="B395" s="46">
        <v>8921713883.5220394</v>
      </c>
      <c r="C395" s="56">
        <v>12979216697.612</v>
      </c>
      <c r="F395" s="45">
        <f t="shared" si="28"/>
        <v>4057502814.0899601</v>
      </c>
      <c r="H395" s="46">
        <v>1163268000</v>
      </c>
      <c r="I395" s="50">
        <v>1164647032.86256</v>
      </c>
      <c r="L395" s="44">
        <f t="shared" si="29"/>
        <v>4057502814.0899601</v>
      </c>
    </row>
    <row r="396" spans="1:12" ht="12.65" customHeight="1">
      <c r="A396" s="33">
        <v>43579</v>
      </c>
      <c r="B396" s="46">
        <v>8921713883.5220394</v>
      </c>
      <c r="C396" s="56">
        <v>12711762684.7658</v>
      </c>
      <c r="F396" s="45">
        <f t="shared" si="28"/>
        <v>3790048801.2437611</v>
      </c>
      <c r="H396" s="46">
        <v>1163268000</v>
      </c>
      <c r="I396" s="50">
        <v>1165273403.61307</v>
      </c>
      <c r="L396" s="44">
        <f t="shared" si="29"/>
        <v>3790048801.2437611</v>
      </c>
    </row>
    <row r="397" spans="1:12" ht="12.65" customHeight="1">
      <c r="A397" s="33">
        <v>43580</v>
      </c>
      <c r="B397" s="46">
        <v>8921713883.5220394</v>
      </c>
      <c r="C397" s="56">
        <v>7345142224.5427303</v>
      </c>
      <c r="F397" s="45">
        <f t="shared" si="28"/>
        <v>-1576571658.9793091</v>
      </c>
      <c r="H397" s="46">
        <v>1163268000</v>
      </c>
      <c r="I397" s="50">
        <v>1165318897.1793399</v>
      </c>
      <c r="L397" s="44">
        <f t="shared" si="29"/>
        <v>-1576571658.9793091</v>
      </c>
    </row>
    <row r="398" spans="1:12" ht="12.65" customHeight="1">
      <c r="A398" s="33">
        <v>43581</v>
      </c>
      <c r="B398" s="46">
        <v>8921713883.5220394</v>
      </c>
      <c r="C398" s="56">
        <v>7045244302.5350904</v>
      </c>
      <c r="F398" s="45">
        <f t="shared" si="28"/>
        <v>-1876469580.986949</v>
      </c>
      <c r="H398" s="46">
        <v>1163268000</v>
      </c>
      <c r="I398" s="50">
        <v>1163943377.7560401</v>
      </c>
      <c r="L398" s="44">
        <f t="shared" si="29"/>
        <v>-1876469580.986949</v>
      </c>
    </row>
    <row r="399" spans="1:12" ht="12.65" customHeight="1">
      <c r="A399" s="33">
        <v>43584</v>
      </c>
      <c r="B399" s="46">
        <v>8921713883.5220394</v>
      </c>
      <c r="C399" s="56">
        <v>7606813121.3350296</v>
      </c>
      <c r="F399" s="45">
        <f t="shared" si="28"/>
        <v>-1314900762.1870098</v>
      </c>
      <c r="H399" s="46">
        <v>1163268000</v>
      </c>
      <c r="I399" s="50">
        <v>1164611886.0361199</v>
      </c>
      <c r="L399" s="44">
        <f t="shared" si="29"/>
        <v>-1314900762.1870098</v>
      </c>
    </row>
    <row r="400" spans="1:12" ht="12.65" customHeight="1">
      <c r="A400" s="33">
        <v>43585</v>
      </c>
      <c r="B400" s="46">
        <v>8921713883.5220394</v>
      </c>
      <c r="C400" s="56">
        <v>5511228906.4173002</v>
      </c>
      <c r="F400" s="45">
        <f t="shared" si="28"/>
        <v>-3410484977.1047392</v>
      </c>
      <c r="H400" s="46">
        <v>1163268000</v>
      </c>
      <c r="I400" s="50">
        <v>1165031872.8428199</v>
      </c>
      <c r="L400" s="44">
        <f t="shared" si="29"/>
        <v>-3410484977.1047392</v>
      </c>
    </row>
    <row r="401" spans="1:12" ht="12.65" customHeight="1">
      <c r="A401" s="33">
        <v>43586</v>
      </c>
      <c r="B401" s="46">
        <v>8969134166.2270508</v>
      </c>
      <c r="C401" s="83"/>
      <c r="F401" s="45">
        <f t="shared" si="28"/>
        <v>-8969134166.2270508</v>
      </c>
      <c r="H401" s="46">
        <v>1235861000</v>
      </c>
      <c r="I401" s="82"/>
      <c r="L401" s="44">
        <f t="shared" si="29"/>
        <v>-8969134166.2270508</v>
      </c>
    </row>
    <row r="402" spans="1:12" ht="12.65" customHeight="1">
      <c r="A402" s="33">
        <v>43587</v>
      </c>
      <c r="B402" s="46">
        <v>8969134166.2270508</v>
      </c>
      <c r="C402" s="56">
        <v>9230365430.4517498</v>
      </c>
      <c r="F402" s="45">
        <f t="shared" si="28"/>
        <v>261231264.22469902</v>
      </c>
      <c r="H402" s="46">
        <v>1235861000</v>
      </c>
      <c r="I402" s="50">
        <v>1244924919.3020999</v>
      </c>
      <c r="L402" s="44">
        <f t="shared" si="29"/>
        <v>261231264.22469902</v>
      </c>
    </row>
    <row r="403" spans="1:12" ht="12.65" customHeight="1">
      <c r="A403" s="33">
        <v>43588</v>
      </c>
      <c r="B403" s="46">
        <v>8969134166.2270508</v>
      </c>
      <c r="C403" s="56">
        <v>9904171333.0112705</v>
      </c>
      <c r="F403" s="45">
        <f t="shared" si="28"/>
        <v>935037166.78421974</v>
      </c>
      <c r="H403" s="46">
        <v>1235861000</v>
      </c>
      <c r="I403" s="50">
        <v>1237345185.77651</v>
      </c>
      <c r="L403" s="44">
        <f t="shared" si="29"/>
        <v>935037166.78421974</v>
      </c>
    </row>
    <row r="404" spans="1:12" ht="12.65" customHeight="1">
      <c r="A404" s="33">
        <v>43591</v>
      </c>
      <c r="B404" s="46">
        <v>8969134166.2270508</v>
      </c>
      <c r="C404" s="56">
        <v>10689794587.417801</v>
      </c>
      <c r="F404" s="45">
        <f t="shared" si="28"/>
        <v>1720660421.1907501</v>
      </c>
      <c r="H404" s="46">
        <v>1235861000</v>
      </c>
      <c r="I404" s="50">
        <v>1237849823.03262</v>
      </c>
      <c r="L404" s="44">
        <f t="shared" si="29"/>
        <v>1720660421.1907501</v>
      </c>
    </row>
    <row r="405" spans="1:12" ht="12.65" customHeight="1">
      <c r="A405" s="33">
        <v>43592</v>
      </c>
      <c r="B405" s="46">
        <v>8969134166.2270508</v>
      </c>
      <c r="C405" s="56">
        <v>11314069251.5672</v>
      </c>
      <c r="F405" s="45">
        <f t="shared" si="28"/>
        <v>2344935085.3401489</v>
      </c>
      <c r="H405" s="46">
        <v>1235861000</v>
      </c>
      <c r="I405" s="50">
        <v>1237761511.9737599</v>
      </c>
      <c r="L405" s="44">
        <f t="shared" si="29"/>
        <v>2344935085.3401489</v>
      </c>
    </row>
    <row r="406" spans="1:12" ht="12.65" customHeight="1">
      <c r="A406" s="33">
        <v>43593</v>
      </c>
      <c r="B406" s="46">
        <v>8969134166.2270508</v>
      </c>
      <c r="C406" s="56">
        <v>12944896957.5175</v>
      </c>
      <c r="F406" s="45">
        <f t="shared" si="28"/>
        <v>3975762791.2904491</v>
      </c>
      <c r="H406" s="46">
        <v>1235861000</v>
      </c>
      <c r="I406" s="50">
        <v>1237710327.76437</v>
      </c>
      <c r="L406" s="44">
        <f t="shared" si="29"/>
        <v>3975762791.2904491</v>
      </c>
    </row>
    <row r="407" spans="1:12" ht="12.65" customHeight="1">
      <c r="A407" s="33">
        <v>43594</v>
      </c>
      <c r="B407" s="46">
        <v>8969134166.2270508</v>
      </c>
      <c r="C407" s="56">
        <v>8528617402.6352596</v>
      </c>
      <c r="F407" s="45">
        <f t="shared" si="28"/>
        <v>-440516763.59179115</v>
      </c>
      <c r="H407" s="46">
        <v>1235861000</v>
      </c>
      <c r="I407" s="50">
        <v>1237192524.9891701</v>
      </c>
      <c r="L407" s="44">
        <f t="shared" si="29"/>
        <v>-440516763.59179115</v>
      </c>
    </row>
    <row r="408" spans="1:12" ht="12.65" customHeight="1">
      <c r="A408" s="33">
        <v>43595</v>
      </c>
      <c r="B408" s="46">
        <v>8969134166.2270508</v>
      </c>
      <c r="C408" s="56">
        <v>6509967384.0733099</v>
      </c>
      <c r="F408" s="45">
        <f t="shared" si="28"/>
        <v>-2459166782.1537409</v>
      </c>
      <c r="H408" s="46">
        <v>1235861000</v>
      </c>
      <c r="I408" s="50">
        <v>1237313144.53966</v>
      </c>
      <c r="L408" s="44">
        <f t="shared" si="29"/>
        <v>-2459166782.1537409</v>
      </c>
    </row>
    <row r="409" spans="1:12" ht="12.65" customHeight="1">
      <c r="A409" s="33">
        <v>43598</v>
      </c>
      <c r="B409" s="46">
        <v>8969134166.2270508</v>
      </c>
      <c r="C409" s="56">
        <v>7134312313.6953297</v>
      </c>
      <c r="F409" s="45">
        <f t="shared" si="28"/>
        <v>-1834821852.5317211</v>
      </c>
      <c r="H409" s="46">
        <v>1235861000</v>
      </c>
      <c r="I409" s="50">
        <v>1237065832.3638501</v>
      </c>
      <c r="L409" s="44">
        <f t="shared" si="29"/>
        <v>-1834821852.5317211</v>
      </c>
    </row>
    <row r="410" spans="1:12" ht="12.65" customHeight="1">
      <c r="A410" s="33">
        <v>43599</v>
      </c>
      <c r="B410" s="46">
        <v>8969134166.2270508</v>
      </c>
      <c r="C410" s="56">
        <v>6077247793.5034504</v>
      </c>
      <c r="F410" s="45">
        <f t="shared" si="28"/>
        <v>-2891886372.7236004</v>
      </c>
      <c r="H410" s="46">
        <v>1235861000</v>
      </c>
      <c r="I410" s="50">
        <v>1237124860.04179</v>
      </c>
      <c r="L410" s="44">
        <f t="shared" si="29"/>
        <v>-2891886372.7236004</v>
      </c>
    </row>
    <row r="411" spans="1:12" ht="12.65" customHeight="1">
      <c r="A411" s="33">
        <v>43600</v>
      </c>
      <c r="B411" s="46">
        <v>8969134166.2270508</v>
      </c>
      <c r="C411" s="56">
        <v>6743291845.9302597</v>
      </c>
      <c r="F411" s="45">
        <f t="shared" si="28"/>
        <v>-2225842320.2967911</v>
      </c>
      <c r="H411" s="46">
        <v>1235861000</v>
      </c>
      <c r="I411" s="50">
        <v>1237771706.7355399</v>
      </c>
      <c r="L411" s="44">
        <f t="shared" si="29"/>
        <v>-2225842320.2967911</v>
      </c>
    </row>
    <row r="412" spans="1:12" ht="12.65" customHeight="1">
      <c r="A412" s="33">
        <v>43601</v>
      </c>
      <c r="B412" s="46">
        <v>8995130676.3766994</v>
      </c>
      <c r="C412" s="56">
        <v>7381191628.2624197</v>
      </c>
      <c r="F412" s="45">
        <f t="shared" si="28"/>
        <v>-1613939048.1142797</v>
      </c>
      <c r="H412" s="46">
        <v>1233813000</v>
      </c>
      <c r="I412" s="50">
        <v>1235741274.17976</v>
      </c>
      <c r="L412" s="44">
        <f t="shared" si="29"/>
        <v>-1613939048.1142797</v>
      </c>
    </row>
    <row r="413" spans="1:12" ht="12.65" customHeight="1">
      <c r="A413" s="33">
        <v>43602</v>
      </c>
      <c r="B413" s="46">
        <v>8995130676.3766994</v>
      </c>
      <c r="C413" s="56">
        <v>9549423007.6410198</v>
      </c>
      <c r="F413" s="45">
        <f t="shared" si="28"/>
        <v>554292331.26432037</v>
      </c>
      <c r="H413" s="46">
        <v>1233813000</v>
      </c>
      <c r="I413" s="50">
        <v>1235711462.0706301</v>
      </c>
      <c r="L413" s="44">
        <f t="shared" si="29"/>
        <v>554292331.26432037</v>
      </c>
    </row>
    <row r="414" spans="1:12" ht="12.65" customHeight="1">
      <c r="A414" s="33">
        <v>43605</v>
      </c>
      <c r="B414" s="46">
        <v>8995130676.3766994</v>
      </c>
      <c r="C414" s="56">
        <v>11024070058.3487</v>
      </c>
      <c r="F414" s="45">
        <f t="shared" si="28"/>
        <v>2028939381.9720001</v>
      </c>
      <c r="H414" s="46">
        <v>1233813000</v>
      </c>
      <c r="I414" s="50">
        <v>1235568305.76264</v>
      </c>
      <c r="L414" s="44">
        <f t="shared" si="29"/>
        <v>2028939381.9720001</v>
      </c>
    </row>
    <row r="415" spans="1:12" ht="12.65" customHeight="1">
      <c r="A415" s="33">
        <v>43606</v>
      </c>
      <c r="B415" s="46">
        <v>8995130676.3766994</v>
      </c>
      <c r="C415" s="56">
        <v>9103079772.8551903</v>
      </c>
      <c r="F415" s="45">
        <f t="shared" si="28"/>
        <v>107949096.47849083</v>
      </c>
      <c r="H415" s="46">
        <v>1233813000</v>
      </c>
      <c r="I415" s="50">
        <v>1234848068.62012</v>
      </c>
      <c r="L415" s="44">
        <f t="shared" si="29"/>
        <v>107949096.47849083</v>
      </c>
    </row>
    <row r="416" spans="1:12" ht="12.65" customHeight="1">
      <c r="A416" s="33">
        <v>43607</v>
      </c>
      <c r="B416" s="46">
        <v>8995130676.3766994</v>
      </c>
      <c r="C416" s="56">
        <v>9969544365.4316597</v>
      </c>
      <c r="F416" s="45">
        <f t="shared" si="28"/>
        <v>974413689.05496025</v>
      </c>
      <c r="H416" s="46">
        <v>1233813000</v>
      </c>
      <c r="I416" s="50">
        <v>1625967108.16313</v>
      </c>
      <c r="L416" s="44">
        <f t="shared" si="29"/>
        <v>974413689.05496025</v>
      </c>
    </row>
    <row r="417" spans="1:12" ht="12.65" customHeight="1">
      <c r="A417" s="33">
        <v>43608</v>
      </c>
      <c r="B417" s="46">
        <v>8995130676.3766994</v>
      </c>
      <c r="C417" s="56">
        <v>13388564776.8948</v>
      </c>
      <c r="F417" s="45">
        <f t="shared" si="28"/>
        <v>4393434100.5181007</v>
      </c>
      <c r="H417" s="46">
        <v>1233813000</v>
      </c>
      <c r="I417" s="50">
        <v>1235219708.1435201</v>
      </c>
      <c r="L417" s="44">
        <f t="shared" si="29"/>
        <v>4393434100.5181007</v>
      </c>
    </row>
    <row r="418" spans="1:12" ht="12.65" customHeight="1">
      <c r="A418" s="33">
        <v>43609</v>
      </c>
      <c r="B418" s="46">
        <v>8995130676.3766994</v>
      </c>
      <c r="C418" s="56">
        <v>10993409275.6455</v>
      </c>
      <c r="F418" s="45">
        <f t="shared" si="28"/>
        <v>1998278599.2688007</v>
      </c>
      <c r="H418" s="46">
        <v>1233813000</v>
      </c>
      <c r="I418" s="50">
        <v>1235741364.73894</v>
      </c>
      <c r="L418" s="44">
        <f t="shared" si="29"/>
        <v>1998278599.2688007</v>
      </c>
    </row>
    <row r="419" spans="1:12" ht="12.65" customHeight="1">
      <c r="A419" s="33">
        <v>43612</v>
      </c>
      <c r="B419" s="46">
        <v>8995130676.3766994</v>
      </c>
      <c r="C419" s="56">
        <v>11047984266.940201</v>
      </c>
      <c r="F419" s="45">
        <f t="shared" si="28"/>
        <v>2052853590.5635014</v>
      </c>
      <c r="H419" s="46">
        <v>1233813000</v>
      </c>
      <c r="I419" s="50">
        <v>1235166969.2572501</v>
      </c>
      <c r="L419" s="44">
        <f t="shared" si="29"/>
        <v>2052853590.5635014</v>
      </c>
    </row>
    <row r="420" spans="1:12" ht="12.65" customHeight="1">
      <c r="A420" s="33">
        <v>43613</v>
      </c>
      <c r="B420" s="46">
        <v>8995130676.3766994</v>
      </c>
      <c r="C420" s="56">
        <v>6267374687.5257597</v>
      </c>
      <c r="F420" s="45">
        <f t="shared" si="28"/>
        <v>-2727755988.8509398</v>
      </c>
      <c r="H420" s="46">
        <v>1233813000</v>
      </c>
      <c r="I420" s="50">
        <v>1249096409.46896</v>
      </c>
      <c r="L420" s="44">
        <f t="shared" si="29"/>
        <v>-2727755988.8509398</v>
      </c>
    </row>
    <row r="421" spans="1:12" ht="12.65" customHeight="1">
      <c r="A421" s="33">
        <v>43614</v>
      </c>
      <c r="B421" s="46">
        <v>8995130676.3766994</v>
      </c>
      <c r="C421" s="56">
        <v>6086097227.1824398</v>
      </c>
      <c r="F421" s="45">
        <f t="shared" si="28"/>
        <v>-2909033449.1942596</v>
      </c>
      <c r="H421" s="46">
        <v>1233813000</v>
      </c>
      <c r="I421" s="50">
        <v>1234986496.6584499</v>
      </c>
      <c r="L421" s="44">
        <f t="shared" si="29"/>
        <v>-2909033449.1942596</v>
      </c>
    </row>
    <row r="422" spans="1:12" ht="12.65" customHeight="1">
      <c r="A422" s="33">
        <v>43615</v>
      </c>
      <c r="B422" s="46">
        <v>8995130676.3766994</v>
      </c>
      <c r="C422" s="83"/>
      <c r="F422" s="45">
        <f t="shared" si="28"/>
        <v>-8995130676.3766994</v>
      </c>
      <c r="H422" s="46">
        <v>1233813000</v>
      </c>
      <c r="I422" s="82"/>
      <c r="L422" s="44">
        <f t="shared" si="29"/>
        <v>-8995130676.3766994</v>
      </c>
    </row>
    <row r="423" spans="1:12" ht="12.65" customHeight="1">
      <c r="A423" s="33">
        <v>43616</v>
      </c>
      <c r="B423" s="46">
        <v>8995130676.3766994</v>
      </c>
      <c r="C423" s="56">
        <v>6071168181.6575899</v>
      </c>
      <c r="F423" s="45">
        <f t="shared" si="28"/>
        <v>-2923962494.7191095</v>
      </c>
      <c r="H423" s="46">
        <v>1233813000</v>
      </c>
      <c r="I423" s="50">
        <v>1235552666.22138</v>
      </c>
      <c r="L423" s="44">
        <f t="shared" si="29"/>
        <v>-2923962494.7191095</v>
      </c>
    </row>
    <row r="424" spans="1:12" ht="12.65" customHeight="1">
      <c r="A424" s="33">
        <v>43619</v>
      </c>
      <c r="B424" s="46">
        <v>8862155000</v>
      </c>
      <c r="C424" s="83"/>
      <c r="F424" s="45">
        <f t="shared" si="28"/>
        <v>-8862155000</v>
      </c>
      <c r="H424" s="46">
        <v>1331972000</v>
      </c>
      <c r="I424" s="82"/>
      <c r="L424" s="44">
        <f t="shared" si="29"/>
        <v>-8862155000</v>
      </c>
    </row>
    <row r="425" spans="1:12" ht="12.65" customHeight="1">
      <c r="A425" s="33">
        <v>43620</v>
      </c>
      <c r="B425" s="46">
        <v>8862155000</v>
      </c>
      <c r="C425" s="83"/>
      <c r="F425" s="45">
        <f t="shared" si="28"/>
        <v>-8862155000</v>
      </c>
      <c r="H425" s="46">
        <v>1331972000</v>
      </c>
      <c r="I425" s="82"/>
      <c r="L425" s="44">
        <f t="shared" si="29"/>
        <v>-8862155000</v>
      </c>
    </row>
    <row r="426" spans="1:12" ht="12.65" customHeight="1">
      <c r="A426" s="33">
        <v>43621</v>
      </c>
      <c r="B426" s="46">
        <v>8862155000</v>
      </c>
      <c r="C426" s="83"/>
      <c r="F426" s="45">
        <f t="shared" si="28"/>
        <v>-8862155000</v>
      </c>
      <c r="H426" s="46">
        <v>1331972000</v>
      </c>
      <c r="I426" s="82"/>
      <c r="L426" s="44">
        <f t="shared" si="29"/>
        <v>-8862155000</v>
      </c>
    </row>
    <row r="427" spans="1:12" ht="12.65" customHeight="1">
      <c r="A427" s="33">
        <v>43622</v>
      </c>
      <c r="B427" s="46">
        <v>8862155000</v>
      </c>
      <c r="C427" s="83"/>
      <c r="F427" s="45">
        <f t="shared" si="28"/>
        <v>-8862155000</v>
      </c>
      <c r="H427" s="46">
        <v>1331972000</v>
      </c>
      <c r="I427" s="82"/>
      <c r="L427" s="44">
        <f t="shared" si="29"/>
        <v>-8862155000</v>
      </c>
    </row>
    <row r="428" spans="1:12" ht="12.65" customHeight="1">
      <c r="A428" s="33">
        <v>43623</v>
      </c>
      <c r="B428" s="46">
        <v>8862155000</v>
      </c>
      <c r="C428" s="83"/>
      <c r="F428" s="45">
        <f t="shared" si="28"/>
        <v>-8862155000</v>
      </c>
      <c r="H428" s="46">
        <v>1331972000</v>
      </c>
      <c r="I428" s="82"/>
      <c r="L428" s="44">
        <f t="shared" si="29"/>
        <v>-8862155000</v>
      </c>
    </row>
    <row r="429" spans="1:12" ht="12.65" customHeight="1">
      <c r="A429" s="33">
        <v>43626</v>
      </c>
      <c r="B429" s="46">
        <v>8862155000</v>
      </c>
      <c r="C429" s="56">
        <v>13115750063.8451</v>
      </c>
      <c r="F429" s="45">
        <f t="shared" si="28"/>
        <v>4253595063.8451004</v>
      </c>
      <c r="H429" s="46">
        <v>1331972000</v>
      </c>
      <c r="I429" s="50">
        <v>1333344818.80497</v>
      </c>
      <c r="L429" s="44">
        <f t="shared" si="29"/>
        <v>4253595063.8451004</v>
      </c>
    </row>
    <row r="430" spans="1:12" ht="12.65" customHeight="1">
      <c r="A430" s="33">
        <v>43627</v>
      </c>
      <c r="B430" s="46">
        <v>8862155000</v>
      </c>
      <c r="C430" s="56">
        <v>12832223295.8153</v>
      </c>
      <c r="F430" s="45">
        <f t="shared" si="28"/>
        <v>3970068295.8153</v>
      </c>
      <c r="H430" s="46">
        <v>1331972000</v>
      </c>
      <c r="I430" s="50">
        <v>1348244111.0137999</v>
      </c>
      <c r="L430" s="44">
        <f t="shared" si="29"/>
        <v>3970068295.8153</v>
      </c>
    </row>
    <row r="431" spans="1:12" ht="12.65" customHeight="1">
      <c r="A431" s="33">
        <v>43628</v>
      </c>
      <c r="B431" s="46">
        <v>8862155000</v>
      </c>
      <c r="C431" s="56">
        <v>7187988110.2614298</v>
      </c>
      <c r="F431" s="45">
        <f t="shared" si="28"/>
        <v>-1674166889.7385702</v>
      </c>
      <c r="H431" s="46">
        <v>1331972000</v>
      </c>
      <c r="I431" s="50">
        <v>1356941348.10853</v>
      </c>
      <c r="L431" s="44">
        <f t="shared" si="29"/>
        <v>-1674166889.7385702</v>
      </c>
    </row>
    <row r="432" spans="1:12" ht="12.65" customHeight="1">
      <c r="A432" s="33">
        <v>43629</v>
      </c>
      <c r="B432" s="46">
        <v>8862155000</v>
      </c>
      <c r="C432" s="56">
        <v>6036268808.4442101</v>
      </c>
      <c r="F432" s="45">
        <f t="shared" si="28"/>
        <v>-2825886191.5557899</v>
      </c>
      <c r="H432" s="46">
        <v>1331972000</v>
      </c>
      <c r="I432" s="50">
        <v>1357712030.07408</v>
      </c>
      <c r="L432" s="44">
        <f t="shared" si="29"/>
        <v>-2825886191.5557899</v>
      </c>
    </row>
    <row r="433" spans="1:12" ht="12.65" customHeight="1">
      <c r="A433" s="33">
        <v>43630</v>
      </c>
      <c r="B433" s="46">
        <v>8862155000</v>
      </c>
      <c r="C433" s="56">
        <v>6052820033.64431</v>
      </c>
      <c r="F433" s="45">
        <f t="shared" si="28"/>
        <v>-2809334966.35569</v>
      </c>
      <c r="H433" s="46">
        <v>1331972000</v>
      </c>
      <c r="I433" s="50">
        <v>1357261242.41658</v>
      </c>
      <c r="L433" s="44">
        <f t="shared" si="29"/>
        <v>-2809334966.35569</v>
      </c>
    </row>
    <row r="434" spans="1:12" ht="12.65" customHeight="1">
      <c r="A434" s="33">
        <v>43633</v>
      </c>
      <c r="B434" s="46">
        <v>9011346136.1879292</v>
      </c>
      <c r="C434" s="56">
        <v>12403069963.502701</v>
      </c>
      <c r="F434" s="45">
        <f t="shared" si="28"/>
        <v>3391723827.3147717</v>
      </c>
      <c r="H434" s="46">
        <v>1324482000</v>
      </c>
      <c r="I434" s="50">
        <v>1351346432.1032901</v>
      </c>
      <c r="L434" s="44">
        <f t="shared" si="29"/>
        <v>3391723827.3147717</v>
      </c>
    </row>
    <row r="435" spans="1:12" ht="12.65" customHeight="1">
      <c r="A435" s="33">
        <v>43634</v>
      </c>
      <c r="B435" s="46">
        <v>9011346136.1879292</v>
      </c>
      <c r="C435" s="56">
        <v>7019522927.6334696</v>
      </c>
      <c r="F435" s="45">
        <f t="shared" si="28"/>
        <v>-1991823208.5544596</v>
      </c>
      <c r="H435" s="46">
        <v>1324482000</v>
      </c>
      <c r="I435" s="50">
        <v>1349856392.21189</v>
      </c>
      <c r="L435" s="44">
        <f t="shared" si="29"/>
        <v>-1991823208.5544596</v>
      </c>
    </row>
    <row r="436" spans="1:12" ht="12.65" customHeight="1">
      <c r="A436" s="33">
        <v>43635</v>
      </c>
      <c r="B436" s="46">
        <v>9011346136.1879292</v>
      </c>
      <c r="C436" s="56">
        <v>16452856452.3913</v>
      </c>
      <c r="F436" s="45">
        <f t="shared" si="28"/>
        <v>7441510316.203371</v>
      </c>
      <c r="H436" s="46">
        <v>1324482000</v>
      </c>
      <c r="I436" s="50">
        <v>1350898597.05235</v>
      </c>
      <c r="L436" s="44">
        <f t="shared" si="29"/>
        <v>7441510316.203371</v>
      </c>
    </row>
    <row r="437" spans="1:12" ht="12.65" customHeight="1">
      <c r="A437" s="33">
        <v>43636</v>
      </c>
      <c r="B437" s="46">
        <v>9011346136.1879292</v>
      </c>
      <c r="C437" s="56">
        <v>18060045642.552898</v>
      </c>
      <c r="F437" s="45">
        <f t="shared" si="28"/>
        <v>9048699506.3649693</v>
      </c>
      <c r="H437" s="46">
        <v>1324482000</v>
      </c>
      <c r="I437" s="50">
        <v>1385160996.74383</v>
      </c>
      <c r="L437" s="44">
        <f t="shared" si="29"/>
        <v>9048699506.3649693</v>
      </c>
    </row>
    <row r="438" spans="1:12" ht="12.65" customHeight="1">
      <c r="A438" s="33">
        <v>43637</v>
      </c>
      <c r="B438" s="46">
        <v>9011346136.1879292</v>
      </c>
      <c r="C438" s="56">
        <v>6175634606.7060804</v>
      </c>
      <c r="F438" s="45">
        <f t="shared" si="28"/>
        <v>-2835711529.4818487</v>
      </c>
      <c r="H438" s="46">
        <v>1324482000</v>
      </c>
      <c r="I438" s="50">
        <v>1350199379.54409</v>
      </c>
      <c r="L438" s="44">
        <f t="shared" si="29"/>
        <v>-2835711529.4818487</v>
      </c>
    </row>
    <row r="439" spans="1:12" ht="12.65" customHeight="1">
      <c r="A439" s="33">
        <v>43640</v>
      </c>
      <c r="B439" s="46">
        <v>9011346136.1879292</v>
      </c>
      <c r="C439" s="56">
        <v>9119694548.8750305</v>
      </c>
      <c r="F439" s="45">
        <f t="shared" si="28"/>
        <v>108348412.68710136</v>
      </c>
      <c r="H439" s="46">
        <v>1324482000</v>
      </c>
      <c r="I439" s="50">
        <v>1350799924.1784501</v>
      </c>
      <c r="L439" s="44">
        <f t="shared" si="29"/>
        <v>108348412.68710136</v>
      </c>
    </row>
    <row r="440" spans="1:12" ht="12.65" customHeight="1">
      <c r="A440" s="33">
        <v>43641</v>
      </c>
      <c r="B440" s="46">
        <v>9011346136.1879292</v>
      </c>
      <c r="C440" s="56">
        <v>5530755917.7104397</v>
      </c>
      <c r="F440" s="45">
        <f t="shared" si="28"/>
        <v>-3480590218.4774895</v>
      </c>
      <c r="H440" s="46">
        <v>1324482000</v>
      </c>
      <c r="I440" s="50">
        <v>1349920261.8952501</v>
      </c>
      <c r="L440" s="44">
        <f t="shared" si="29"/>
        <v>-3480590218.4774895</v>
      </c>
    </row>
    <row r="441" spans="1:12" ht="12.65" customHeight="1">
      <c r="A441" s="33">
        <v>43642</v>
      </c>
      <c r="B441" s="46">
        <v>9011346136.1879292</v>
      </c>
      <c r="C441" s="56">
        <v>5547991063.5286703</v>
      </c>
      <c r="F441" s="45">
        <f t="shared" si="28"/>
        <v>-3463355072.6592588</v>
      </c>
      <c r="H441" s="46">
        <v>1324482000</v>
      </c>
      <c r="I441" s="50">
        <v>1350600059.9221001</v>
      </c>
      <c r="L441" s="44">
        <f t="shared" si="29"/>
        <v>-3463355072.6592588</v>
      </c>
    </row>
    <row r="442" spans="1:12" ht="12.65" customHeight="1">
      <c r="A442" s="33">
        <v>43643</v>
      </c>
      <c r="B442" s="46">
        <v>9011346136.1879292</v>
      </c>
      <c r="C442" s="56">
        <v>5594238006.0379896</v>
      </c>
      <c r="F442" s="45">
        <f t="shared" si="28"/>
        <v>-3417108130.1499395</v>
      </c>
      <c r="H442" s="46">
        <v>1324482000</v>
      </c>
      <c r="I442" s="50">
        <v>1350042297.0692699</v>
      </c>
      <c r="L442" s="44">
        <f t="shared" si="29"/>
        <v>-3417108130.1499395</v>
      </c>
    </row>
    <row r="443" spans="1:12" ht="12.65" customHeight="1">
      <c r="A443" s="33">
        <v>43644</v>
      </c>
      <c r="B443" s="46">
        <v>9011346136.1879292</v>
      </c>
      <c r="C443" s="56">
        <v>5200692113.2589397</v>
      </c>
      <c r="F443" s="45">
        <f t="shared" si="28"/>
        <v>-3810654022.9289894</v>
      </c>
      <c r="H443" s="46">
        <v>1324482000</v>
      </c>
      <c r="I443" s="50">
        <v>1350424908.0153799</v>
      </c>
      <c r="L443" s="44">
        <f t="shared" si="29"/>
        <v>-3810654022.9289894</v>
      </c>
    </row>
    <row r="444" spans="1:12" ht="12.65" customHeight="1">
      <c r="A444" s="33">
        <v>43647</v>
      </c>
      <c r="B444" s="46">
        <v>8322249624.5812302</v>
      </c>
      <c r="C444" s="56">
        <v>13204765248.4093</v>
      </c>
      <c r="F444" s="45">
        <f t="shared" si="28"/>
        <v>4882515623.8280697</v>
      </c>
      <c r="H444" s="46">
        <v>1078533000</v>
      </c>
      <c r="I444" s="50">
        <v>1098758747.1301501</v>
      </c>
      <c r="L444" s="44">
        <f t="shared" si="29"/>
        <v>4882515623.8280697</v>
      </c>
    </row>
    <row r="445" spans="1:12" ht="12.65" customHeight="1">
      <c r="A445" s="33">
        <v>43648</v>
      </c>
      <c r="B445" s="46">
        <v>8322249624.5812302</v>
      </c>
      <c r="C445" s="56">
        <v>14735216772.5392</v>
      </c>
      <c r="F445" s="45">
        <f t="shared" si="28"/>
        <v>6412967147.9579697</v>
      </c>
      <c r="H445" s="46">
        <v>1078533000</v>
      </c>
      <c r="I445" s="50">
        <v>1101643753.39783</v>
      </c>
      <c r="L445" s="44">
        <f t="shared" si="29"/>
        <v>6412967147.9579697</v>
      </c>
    </row>
    <row r="446" spans="1:12" ht="12.65" customHeight="1">
      <c r="A446" s="33">
        <v>43649</v>
      </c>
      <c r="B446" s="46">
        <v>8322249624.5812302</v>
      </c>
      <c r="C446" s="56">
        <v>11944576684.980101</v>
      </c>
      <c r="F446" s="45">
        <f t="shared" si="28"/>
        <v>3622327060.3988705</v>
      </c>
      <c r="H446" s="46">
        <v>1078533000</v>
      </c>
      <c r="I446" s="50">
        <v>1105502490.1667399</v>
      </c>
      <c r="L446" s="44">
        <f t="shared" si="29"/>
        <v>3622327060.3988705</v>
      </c>
    </row>
    <row r="447" spans="1:12" ht="12.65" customHeight="1">
      <c r="A447" s="33">
        <v>43650</v>
      </c>
      <c r="B447" s="46">
        <v>8322249624.5812302</v>
      </c>
      <c r="C447" s="56">
        <v>11104544721.9949</v>
      </c>
      <c r="F447" s="45">
        <f t="shared" si="28"/>
        <v>2782295097.4136696</v>
      </c>
      <c r="H447" s="46">
        <v>1078533000</v>
      </c>
      <c r="I447" s="50">
        <v>1093738778.18659</v>
      </c>
      <c r="L447" s="44">
        <f t="shared" si="29"/>
        <v>2782295097.4136696</v>
      </c>
    </row>
    <row r="448" spans="1:12" ht="12.65" customHeight="1">
      <c r="A448" s="33">
        <v>43651</v>
      </c>
      <c r="B448" s="46">
        <v>8322249624.5812302</v>
      </c>
      <c r="C448" s="56">
        <v>8829797101.01968</v>
      </c>
      <c r="F448" s="45">
        <f t="shared" si="28"/>
        <v>507547476.43844986</v>
      </c>
      <c r="H448" s="46">
        <v>1078533000</v>
      </c>
      <c r="I448" s="50">
        <v>1124785505.44381</v>
      </c>
      <c r="L448" s="44">
        <f t="shared" si="29"/>
        <v>507547476.43844986</v>
      </c>
    </row>
    <row r="449" spans="1:12" ht="12.65" customHeight="1">
      <c r="A449" s="33">
        <v>43654</v>
      </c>
      <c r="B449" s="46">
        <v>8322249624.5812302</v>
      </c>
      <c r="C449" s="56">
        <v>9721665616.7365398</v>
      </c>
      <c r="F449" s="45">
        <f t="shared" si="28"/>
        <v>1399415992.1553097</v>
      </c>
      <c r="H449" s="46">
        <v>1078533000</v>
      </c>
      <c r="I449" s="50">
        <v>1101490954.95013</v>
      </c>
      <c r="L449" s="44">
        <f t="shared" si="29"/>
        <v>1399415992.1553097</v>
      </c>
    </row>
    <row r="450" spans="1:12" ht="12.65" customHeight="1">
      <c r="A450" s="33">
        <v>43655</v>
      </c>
      <c r="B450" s="46">
        <v>8322249624.5812302</v>
      </c>
      <c r="C450" s="56">
        <v>10192003133.737101</v>
      </c>
      <c r="F450" s="45">
        <f t="shared" ref="F450:F513" si="30">C450-B450</f>
        <v>1869753509.1558704</v>
      </c>
      <c r="H450" s="46">
        <v>1078533000</v>
      </c>
      <c r="I450" s="50">
        <v>1132706924.3165901</v>
      </c>
      <c r="L450" s="44">
        <f t="shared" ref="L450:L513" si="31">F450+J450</f>
        <v>1869753509.1558704</v>
      </c>
    </row>
    <row r="451" spans="1:12" ht="12.65" customHeight="1">
      <c r="A451" s="33">
        <v>43656</v>
      </c>
      <c r="B451" s="46">
        <v>8322249624.5812302</v>
      </c>
      <c r="C451" s="56">
        <v>5109650506.6529903</v>
      </c>
      <c r="F451" s="45">
        <f t="shared" si="30"/>
        <v>-3212599117.9282398</v>
      </c>
      <c r="H451" s="46">
        <v>1078533000</v>
      </c>
      <c r="I451" s="50">
        <v>1090398087.5098901</v>
      </c>
      <c r="L451" s="44">
        <f t="shared" si="31"/>
        <v>-3212599117.9282398</v>
      </c>
    </row>
    <row r="452" spans="1:12" ht="12.65" customHeight="1">
      <c r="A452" s="33">
        <v>43657</v>
      </c>
      <c r="B452" s="46">
        <v>8322249624.5812302</v>
      </c>
      <c r="C452" s="56">
        <v>4627861412.6939802</v>
      </c>
      <c r="F452" s="45">
        <f t="shared" si="30"/>
        <v>-3694388211.8872499</v>
      </c>
      <c r="H452" s="46">
        <v>1078533000</v>
      </c>
      <c r="I452" s="50">
        <v>1100163326.2481101</v>
      </c>
      <c r="L452" s="44">
        <f t="shared" si="31"/>
        <v>-3694388211.8872499</v>
      </c>
    </row>
    <row r="453" spans="1:12" ht="12.65" customHeight="1">
      <c r="A453" s="33">
        <v>43658</v>
      </c>
      <c r="B453" s="46">
        <v>8322249624.5812302</v>
      </c>
      <c r="C453" s="56">
        <v>4655040031.9625902</v>
      </c>
      <c r="F453" s="45">
        <f t="shared" si="30"/>
        <v>-3667209592.6186399</v>
      </c>
      <c r="H453" s="46">
        <v>1078533000</v>
      </c>
      <c r="I453" s="50">
        <v>1092556984.39798</v>
      </c>
      <c r="L453" s="44">
        <f t="shared" si="31"/>
        <v>-3667209592.6186399</v>
      </c>
    </row>
    <row r="454" spans="1:12" ht="12.65" customHeight="1">
      <c r="A454" s="33">
        <v>43661</v>
      </c>
      <c r="B454" s="46">
        <v>8322249624.5812302</v>
      </c>
      <c r="C454" s="56">
        <v>4601970097.4735003</v>
      </c>
      <c r="F454" s="45">
        <f t="shared" si="30"/>
        <v>-3720279527.1077299</v>
      </c>
      <c r="H454" s="46">
        <v>1078533000</v>
      </c>
      <c r="I454" s="50">
        <v>1089837863.9172599</v>
      </c>
      <c r="L454" s="44">
        <f t="shared" si="31"/>
        <v>-3720279527.1077299</v>
      </c>
    </row>
    <row r="455" spans="1:12" ht="12.65" customHeight="1">
      <c r="A455" s="33">
        <v>43662</v>
      </c>
      <c r="B455" s="46">
        <v>8583356945.3069401</v>
      </c>
      <c r="C455" s="56">
        <v>8197813852.0072203</v>
      </c>
      <c r="F455" s="45">
        <f t="shared" si="30"/>
        <v>-385543093.29971981</v>
      </c>
      <c r="H455" s="46">
        <v>1134490000</v>
      </c>
      <c r="I455" s="50">
        <v>1159508698.13135</v>
      </c>
      <c r="L455" s="44">
        <f t="shared" si="31"/>
        <v>-385543093.29971981</v>
      </c>
    </row>
    <row r="456" spans="1:12" ht="12.65" customHeight="1">
      <c r="A456" s="33">
        <v>43663</v>
      </c>
      <c r="B456" s="46">
        <v>8583356945.3069401</v>
      </c>
      <c r="C456" s="56">
        <v>7968536509.6984196</v>
      </c>
      <c r="F456" s="45">
        <f t="shared" si="30"/>
        <v>-614820435.60852051</v>
      </c>
      <c r="H456" s="46">
        <v>1134490000</v>
      </c>
      <c r="I456" s="50">
        <v>1160230794.5868101</v>
      </c>
      <c r="L456" s="44">
        <f t="shared" si="31"/>
        <v>-614820435.60852051</v>
      </c>
    </row>
    <row r="457" spans="1:12" ht="12.65" customHeight="1">
      <c r="A457" s="33">
        <v>43664</v>
      </c>
      <c r="B457" s="46">
        <v>8583356945.3069401</v>
      </c>
      <c r="C457" s="56">
        <v>7973297034.3504</v>
      </c>
      <c r="F457" s="45">
        <f t="shared" si="30"/>
        <v>-610059910.95654011</v>
      </c>
      <c r="H457" s="46">
        <v>1134490000</v>
      </c>
      <c r="I457" s="50">
        <v>1164467366.26472</v>
      </c>
      <c r="L457" s="44">
        <f t="shared" si="31"/>
        <v>-610059910.95654011</v>
      </c>
    </row>
    <row r="458" spans="1:12" ht="12.65" customHeight="1">
      <c r="A458" s="33">
        <v>43665</v>
      </c>
      <c r="B458" s="46">
        <v>8583356945.3069401</v>
      </c>
      <c r="C458" s="56">
        <v>10283339053.2873</v>
      </c>
      <c r="F458" s="45">
        <f t="shared" si="30"/>
        <v>1699982107.98036</v>
      </c>
      <c r="H458" s="46">
        <v>1134490000</v>
      </c>
      <c r="I458" s="50">
        <v>1160168045.27772</v>
      </c>
      <c r="L458" s="44">
        <f t="shared" si="31"/>
        <v>1699982107.98036</v>
      </c>
    </row>
    <row r="459" spans="1:12" ht="12.65" customHeight="1">
      <c r="A459" s="81">
        <v>43666</v>
      </c>
      <c r="B459" s="82">
        <v>8583356945.3069401</v>
      </c>
      <c r="C459" s="83">
        <v>10283339053.2873</v>
      </c>
      <c r="D459" s="84"/>
      <c r="E459" s="84"/>
      <c r="F459" s="85">
        <f t="shared" si="30"/>
        <v>1699982107.98036</v>
      </c>
      <c r="G459" s="84"/>
      <c r="H459" s="82">
        <v>1134490000</v>
      </c>
      <c r="I459" s="82">
        <v>1160168045.27772</v>
      </c>
      <c r="J459" s="84"/>
      <c r="K459" s="84"/>
      <c r="L459" s="86">
        <f t="shared" si="31"/>
        <v>1699982107.98036</v>
      </c>
    </row>
    <row r="460" spans="1:12" ht="12.65" customHeight="1">
      <c r="A460" s="33">
        <v>43668</v>
      </c>
      <c r="B460" s="46">
        <v>8583356945.3069401</v>
      </c>
      <c r="C460" s="56">
        <v>9833477124.8020401</v>
      </c>
      <c r="F460" s="45">
        <f t="shared" si="30"/>
        <v>1250120179.4951</v>
      </c>
      <c r="H460" s="46">
        <v>1134490000</v>
      </c>
      <c r="I460" s="50">
        <v>1159618307.3374</v>
      </c>
      <c r="L460" s="44">
        <f t="shared" si="31"/>
        <v>1250120179.4951</v>
      </c>
    </row>
    <row r="461" spans="1:12" ht="12.65" customHeight="1">
      <c r="A461" s="33">
        <v>43669</v>
      </c>
      <c r="B461" s="46">
        <v>8583356945.3069401</v>
      </c>
      <c r="C461" s="56">
        <v>9665998366.0443401</v>
      </c>
      <c r="F461" s="45">
        <f t="shared" si="30"/>
        <v>1082641420.7374001</v>
      </c>
      <c r="H461" s="46">
        <v>1134490000</v>
      </c>
      <c r="I461" s="50">
        <v>1172433573.9665899</v>
      </c>
      <c r="L461" s="44">
        <f t="shared" si="31"/>
        <v>1082641420.7374001</v>
      </c>
    </row>
    <row r="462" spans="1:12" ht="12.65" customHeight="1">
      <c r="A462" s="33">
        <v>43670</v>
      </c>
      <c r="B462" s="46">
        <v>8583356945.3069401</v>
      </c>
      <c r="C462" s="56">
        <v>12304934209.166</v>
      </c>
      <c r="F462" s="45">
        <f t="shared" si="30"/>
        <v>3721577263.8590603</v>
      </c>
      <c r="H462" s="46">
        <v>1134490000</v>
      </c>
      <c r="I462" s="50">
        <v>1160242978.50121</v>
      </c>
      <c r="L462" s="44">
        <f t="shared" si="31"/>
        <v>3721577263.8590603</v>
      </c>
    </row>
    <row r="463" spans="1:12" ht="12.65" customHeight="1">
      <c r="A463" s="33">
        <v>43671</v>
      </c>
      <c r="B463" s="46">
        <v>8583356945.3069401</v>
      </c>
      <c r="C463" s="56">
        <v>10769314106.5709</v>
      </c>
      <c r="F463" s="45">
        <f t="shared" si="30"/>
        <v>2185957161.2639599</v>
      </c>
      <c r="H463" s="46">
        <v>1134490000</v>
      </c>
      <c r="I463" s="50">
        <v>1168508629.40066</v>
      </c>
      <c r="L463" s="44">
        <f t="shared" si="31"/>
        <v>2185957161.2639599</v>
      </c>
    </row>
    <row r="464" spans="1:12" ht="12.65" customHeight="1">
      <c r="A464" s="33">
        <v>43672</v>
      </c>
      <c r="B464" s="46">
        <v>8583356945.3069401</v>
      </c>
      <c r="C464" s="56">
        <v>9206353579.7428493</v>
      </c>
      <c r="F464" s="45">
        <f t="shared" si="30"/>
        <v>622996634.43590927</v>
      </c>
      <c r="H464" s="46">
        <v>1134490000</v>
      </c>
      <c r="I464" s="50">
        <v>1159779853.2551799</v>
      </c>
      <c r="L464" s="44">
        <f t="shared" si="31"/>
        <v>622996634.43590927</v>
      </c>
    </row>
    <row r="465" spans="1:14" ht="12.65" customHeight="1">
      <c r="A465" s="33">
        <v>43675</v>
      </c>
      <c r="B465" s="46">
        <v>8583356945.3069401</v>
      </c>
      <c r="C465" s="56">
        <v>8203286923.0381804</v>
      </c>
      <c r="F465" s="45">
        <f t="shared" si="30"/>
        <v>-380070022.26875973</v>
      </c>
      <c r="H465" s="46">
        <v>1134490000</v>
      </c>
      <c r="I465" s="50">
        <v>1160600976.6186199</v>
      </c>
      <c r="L465" s="44">
        <f t="shared" si="31"/>
        <v>-380070022.26875973</v>
      </c>
      <c r="N465" s="1537"/>
    </row>
    <row r="466" spans="1:14" ht="12.65" customHeight="1">
      <c r="A466" s="33">
        <v>43676</v>
      </c>
      <c r="B466" s="46">
        <v>8583356945.3069401</v>
      </c>
      <c r="C466" s="56">
        <v>4751432760.0719004</v>
      </c>
      <c r="F466" s="45">
        <f t="shared" si="30"/>
        <v>-3831924185.2350397</v>
      </c>
      <c r="H466" s="46">
        <v>1134490000</v>
      </c>
      <c r="I466" s="50">
        <v>1162575810.79825</v>
      </c>
      <c r="L466" s="44">
        <f t="shared" si="31"/>
        <v>-3831924185.2350397</v>
      </c>
    </row>
    <row r="467" spans="1:14" ht="12.65" customHeight="1">
      <c r="A467" s="33">
        <v>43677</v>
      </c>
      <c r="B467" s="46">
        <v>8583356945.3069401</v>
      </c>
      <c r="C467" s="56">
        <v>4723493160.6289701</v>
      </c>
      <c r="F467" s="45">
        <f t="shared" si="30"/>
        <v>-3859863784.6779699</v>
      </c>
      <c r="H467" s="46">
        <v>1134490000</v>
      </c>
      <c r="I467" s="50">
        <v>1159809551.7023101</v>
      </c>
      <c r="L467" s="44">
        <f t="shared" si="31"/>
        <v>-3859863784.6779699</v>
      </c>
    </row>
    <row r="468" spans="1:14" ht="12.65" customHeight="1">
      <c r="A468" s="33">
        <v>43678</v>
      </c>
      <c r="B468" s="46">
        <v>8645156093.5618896</v>
      </c>
      <c r="C468" s="56">
        <v>10031864699.687901</v>
      </c>
      <c r="F468" s="45">
        <f t="shared" si="30"/>
        <v>1386708606.1260109</v>
      </c>
      <c r="H468" s="46">
        <v>1081220000</v>
      </c>
      <c r="I468" s="50">
        <v>1109793853.67011</v>
      </c>
      <c r="L468" s="44">
        <f t="shared" si="31"/>
        <v>1386708606.1260109</v>
      </c>
    </row>
    <row r="469" spans="1:14" ht="12.65" customHeight="1">
      <c r="A469" s="33">
        <v>43679</v>
      </c>
      <c r="B469" s="46">
        <v>8645156093.5618896</v>
      </c>
      <c r="C469" s="56">
        <v>10967200018.153299</v>
      </c>
      <c r="F469" s="45">
        <f t="shared" si="30"/>
        <v>2322043924.5914097</v>
      </c>
      <c r="H469" s="46">
        <v>1081220000</v>
      </c>
      <c r="I469" s="50">
        <v>1106977565.6654899</v>
      </c>
      <c r="L469" s="44">
        <f t="shared" si="31"/>
        <v>2322043924.5914097</v>
      </c>
    </row>
    <row r="470" spans="1:14" ht="12.65" customHeight="1">
      <c r="A470" s="33">
        <v>43682</v>
      </c>
      <c r="B470" s="46">
        <v>8645156093.5618896</v>
      </c>
      <c r="C470" s="56">
        <v>11611345741.072599</v>
      </c>
      <c r="F470" s="45">
        <f t="shared" si="30"/>
        <v>2966189647.5107098</v>
      </c>
      <c r="H470" s="46">
        <v>1081220000</v>
      </c>
      <c r="I470" s="50">
        <v>1100040742.70173</v>
      </c>
      <c r="L470" s="44">
        <f t="shared" si="31"/>
        <v>2966189647.5107098</v>
      </c>
    </row>
    <row r="471" spans="1:14" ht="12.65" customHeight="1">
      <c r="A471" s="33">
        <v>43683</v>
      </c>
      <c r="B471" s="46">
        <v>8645156093.5618896</v>
      </c>
      <c r="C471" s="56">
        <v>10305380234.715401</v>
      </c>
      <c r="F471" s="45">
        <f t="shared" si="30"/>
        <v>1660224141.153511</v>
      </c>
      <c r="H471" s="46">
        <v>1081220000</v>
      </c>
      <c r="I471" s="50">
        <v>1106843204.48474</v>
      </c>
      <c r="L471" s="44">
        <f t="shared" si="31"/>
        <v>1660224141.153511</v>
      </c>
    </row>
    <row r="472" spans="1:14" ht="12.65" customHeight="1">
      <c r="A472" s="33">
        <v>43684</v>
      </c>
      <c r="B472" s="46">
        <v>8645156093.5618896</v>
      </c>
      <c r="C472" s="56">
        <v>10026299741.9088</v>
      </c>
      <c r="F472" s="45">
        <f t="shared" si="30"/>
        <v>1381143648.3469105</v>
      </c>
      <c r="H472" s="46">
        <v>1081220000</v>
      </c>
      <c r="I472" s="50">
        <v>1110407330.61167</v>
      </c>
      <c r="L472" s="44">
        <f t="shared" si="31"/>
        <v>1381143648.3469105</v>
      </c>
    </row>
    <row r="473" spans="1:14" ht="12.65" customHeight="1">
      <c r="A473" s="33">
        <v>43685</v>
      </c>
      <c r="B473" s="46">
        <v>8645156093.5618896</v>
      </c>
      <c r="C473" s="56">
        <v>6791484790.9454603</v>
      </c>
      <c r="F473" s="45">
        <f t="shared" si="30"/>
        <v>-1853671302.6164293</v>
      </c>
      <c r="H473" s="46">
        <v>1081220000</v>
      </c>
      <c r="I473" s="50">
        <v>1096558020.0159299</v>
      </c>
      <c r="L473" s="44">
        <f t="shared" si="31"/>
        <v>-1853671302.6164293</v>
      </c>
    </row>
    <row r="474" spans="1:14" ht="12.65" customHeight="1">
      <c r="A474" s="33">
        <v>43686</v>
      </c>
      <c r="B474" s="46">
        <v>8645156093.5618896</v>
      </c>
      <c r="C474" s="56">
        <v>5590168010.6591797</v>
      </c>
      <c r="F474" s="45">
        <f t="shared" si="30"/>
        <v>-3054988082.90271</v>
      </c>
      <c r="H474" s="46">
        <v>1081220000</v>
      </c>
      <c r="I474" s="50">
        <v>1106919549.164</v>
      </c>
      <c r="L474" s="44">
        <f t="shared" si="31"/>
        <v>-3054988082.90271</v>
      </c>
    </row>
    <row r="475" spans="1:14" ht="12.65" customHeight="1">
      <c r="A475" s="33">
        <v>43689</v>
      </c>
      <c r="B475" s="46">
        <v>8645156093.5618896</v>
      </c>
      <c r="C475" s="56">
        <v>7789332922.1163797</v>
      </c>
      <c r="F475" s="45">
        <f t="shared" si="30"/>
        <v>-855823171.44550991</v>
      </c>
      <c r="H475" s="46">
        <v>1081220000</v>
      </c>
      <c r="I475" s="50">
        <v>1115298588.76967</v>
      </c>
      <c r="L475" s="44">
        <f t="shared" si="31"/>
        <v>-855823171.44550991</v>
      </c>
    </row>
    <row r="476" spans="1:14" ht="12.65" customHeight="1">
      <c r="A476" s="33">
        <v>43690</v>
      </c>
      <c r="B476" s="46">
        <v>8645156093.5618896</v>
      </c>
      <c r="C476" s="56">
        <v>8607400822.1980495</v>
      </c>
      <c r="F476" s="45">
        <f t="shared" si="30"/>
        <v>-37755271.363840103</v>
      </c>
      <c r="H476" s="46">
        <v>1081220000</v>
      </c>
      <c r="I476" s="50">
        <v>1122067735.0074799</v>
      </c>
      <c r="L476" s="44">
        <f t="shared" si="31"/>
        <v>-37755271.363840103</v>
      </c>
    </row>
    <row r="477" spans="1:14" ht="12.65" customHeight="1">
      <c r="A477" s="33">
        <v>43691</v>
      </c>
      <c r="B477" s="46">
        <v>8645156093.5618896</v>
      </c>
      <c r="C477" s="56">
        <v>9067898800.2689095</v>
      </c>
      <c r="F477" s="45">
        <f t="shared" si="30"/>
        <v>422742706.70701981</v>
      </c>
      <c r="H477" s="46">
        <v>1081220000</v>
      </c>
      <c r="I477" s="50">
        <v>1106679394.4160199</v>
      </c>
      <c r="L477" s="44">
        <f t="shared" si="31"/>
        <v>422742706.70701981</v>
      </c>
    </row>
    <row r="478" spans="1:14" ht="12.65" customHeight="1">
      <c r="A478" s="33">
        <v>43692</v>
      </c>
      <c r="B478" s="46">
        <v>8645156093.5618896</v>
      </c>
      <c r="C478" s="56">
        <v>5088494097.18645</v>
      </c>
      <c r="F478" s="45">
        <f t="shared" si="30"/>
        <v>-3556661996.3754396</v>
      </c>
      <c r="H478" s="46">
        <v>1081220000</v>
      </c>
      <c r="I478" s="50">
        <v>1107098173.3635199</v>
      </c>
      <c r="L478" s="44">
        <f t="shared" si="31"/>
        <v>-3556661996.3754396</v>
      </c>
    </row>
    <row r="479" spans="1:14" ht="12.65" customHeight="1">
      <c r="A479" s="33">
        <v>43693</v>
      </c>
      <c r="B479" s="46">
        <v>8702345876.9434795</v>
      </c>
      <c r="C479" s="56">
        <v>8615294377.2389107</v>
      </c>
      <c r="F479" s="45">
        <f t="shared" si="30"/>
        <v>-87051499.704568863</v>
      </c>
      <c r="H479" s="46">
        <v>999037000</v>
      </c>
      <c r="I479" s="50">
        <v>1024966389.43774</v>
      </c>
      <c r="L479" s="44">
        <f t="shared" si="31"/>
        <v>-87051499.704568863</v>
      </c>
    </row>
    <row r="480" spans="1:14" ht="12.65" customHeight="1">
      <c r="A480" s="33">
        <v>43696</v>
      </c>
      <c r="B480" s="46">
        <v>8702345876.9434795</v>
      </c>
      <c r="C480" s="56">
        <v>11209586691.8703</v>
      </c>
      <c r="F480" s="45">
        <f t="shared" si="30"/>
        <v>2507240814.9268208</v>
      </c>
      <c r="H480" s="46">
        <v>999037000</v>
      </c>
      <c r="I480" s="50">
        <v>1024692715.87292</v>
      </c>
      <c r="L480" s="44">
        <f t="shared" si="31"/>
        <v>2507240814.9268208</v>
      </c>
    </row>
    <row r="481" spans="1:12" ht="12.65" customHeight="1">
      <c r="A481" s="33">
        <v>43697</v>
      </c>
      <c r="B481" s="46">
        <v>8702345876.9434795</v>
      </c>
      <c r="C481" s="56">
        <v>13694686554.747601</v>
      </c>
      <c r="F481" s="45">
        <f t="shared" si="30"/>
        <v>4992340677.804121</v>
      </c>
      <c r="H481" s="46">
        <v>999037000</v>
      </c>
      <c r="I481" s="50">
        <v>1024450750.94511</v>
      </c>
      <c r="L481" s="44">
        <f t="shared" si="31"/>
        <v>4992340677.804121</v>
      </c>
    </row>
    <row r="482" spans="1:12" ht="12.65" customHeight="1">
      <c r="A482" s="33">
        <v>43698</v>
      </c>
      <c r="B482" s="46">
        <v>8702345876.9434795</v>
      </c>
      <c r="C482" s="56">
        <v>12748324405.4487</v>
      </c>
      <c r="F482" s="45">
        <f t="shared" si="30"/>
        <v>4045978528.5052204</v>
      </c>
      <c r="H482" s="46">
        <v>999037000</v>
      </c>
      <c r="I482" s="50">
        <v>1025026057.8676</v>
      </c>
      <c r="L482" s="44">
        <f t="shared" si="31"/>
        <v>4045978528.5052204</v>
      </c>
    </row>
    <row r="483" spans="1:12" ht="12.65" customHeight="1">
      <c r="A483" s="33">
        <v>43699</v>
      </c>
      <c r="B483" s="46">
        <v>8702345876.9434795</v>
      </c>
      <c r="C483" s="56">
        <v>12409902165.273001</v>
      </c>
      <c r="F483" s="45">
        <f t="shared" si="30"/>
        <v>3707556288.3295212</v>
      </c>
      <c r="H483" s="46">
        <v>999037000</v>
      </c>
      <c r="I483" s="50">
        <v>1024440556.7017699</v>
      </c>
      <c r="L483" s="44">
        <f t="shared" si="31"/>
        <v>3707556288.3295212</v>
      </c>
    </row>
    <row r="484" spans="1:12" ht="12.65" customHeight="1">
      <c r="A484" s="33">
        <v>43700</v>
      </c>
      <c r="B484" s="46">
        <v>8702345876.9434795</v>
      </c>
      <c r="C484" s="56">
        <v>8862235044.8448696</v>
      </c>
      <c r="F484" s="45">
        <f t="shared" si="30"/>
        <v>159889167.90139008</v>
      </c>
      <c r="H484" s="46">
        <v>999037000</v>
      </c>
      <c r="I484" s="50">
        <v>1024487347.77065</v>
      </c>
      <c r="L484" s="44">
        <f t="shared" si="31"/>
        <v>159889167.90139008</v>
      </c>
    </row>
    <row r="485" spans="1:12" ht="12.65" customHeight="1">
      <c r="A485" s="33">
        <v>43703</v>
      </c>
      <c r="B485" s="46">
        <v>8702345876.9434795</v>
      </c>
      <c r="C485" s="56">
        <v>7844597885.3935299</v>
      </c>
      <c r="F485" s="45">
        <f t="shared" si="30"/>
        <v>-857747991.54994965</v>
      </c>
      <c r="H485" s="46">
        <v>999037000</v>
      </c>
      <c r="I485" s="50">
        <v>1031865337.0563999</v>
      </c>
      <c r="L485" s="44">
        <f t="shared" si="31"/>
        <v>-857747991.54994965</v>
      </c>
    </row>
    <row r="486" spans="1:12" ht="12.65" customHeight="1">
      <c r="A486" s="33">
        <v>43704</v>
      </c>
      <c r="B486" s="46">
        <v>8702345876.9434795</v>
      </c>
      <c r="C486" s="56">
        <v>6236308500.5264902</v>
      </c>
      <c r="F486" s="45">
        <f t="shared" si="30"/>
        <v>-2466037376.4169893</v>
      </c>
      <c r="H486" s="46">
        <v>999037000</v>
      </c>
      <c r="I486" s="50">
        <v>1009131398.03396</v>
      </c>
      <c r="L486" s="44">
        <f t="shared" si="31"/>
        <v>-2466037376.4169893</v>
      </c>
    </row>
    <row r="487" spans="1:12" ht="12.65" customHeight="1">
      <c r="A487" s="33">
        <v>43705</v>
      </c>
      <c r="B487" s="46">
        <v>8702345876.9434795</v>
      </c>
      <c r="C487" s="56">
        <v>4910027092.5981102</v>
      </c>
      <c r="F487" s="45">
        <f t="shared" si="30"/>
        <v>-3792318784.3453693</v>
      </c>
      <c r="H487" s="46">
        <v>999037000</v>
      </c>
      <c r="I487" s="50">
        <v>1001322972.09061</v>
      </c>
      <c r="L487" s="44">
        <f t="shared" si="31"/>
        <v>-3792318784.3453693</v>
      </c>
    </row>
    <row r="488" spans="1:12" ht="12.65" customHeight="1">
      <c r="A488" s="33">
        <v>43706</v>
      </c>
      <c r="B488" s="46">
        <v>8702345876.9434795</v>
      </c>
      <c r="C488" s="56">
        <v>4987547775.1912899</v>
      </c>
      <c r="F488" s="45">
        <f t="shared" si="30"/>
        <v>-3714798101.7521896</v>
      </c>
      <c r="H488" s="46">
        <v>999037000</v>
      </c>
      <c r="I488" s="50">
        <v>1024135884.03618</v>
      </c>
      <c r="L488" s="44">
        <f t="shared" si="31"/>
        <v>-3714798101.7521896</v>
      </c>
    </row>
    <row r="489" spans="1:12" ht="12.65" customHeight="1">
      <c r="A489" s="33">
        <v>43707</v>
      </c>
      <c r="B489" s="46">
        <v>8702345876.9434795</v>
      </c>
      <c r="C489" s="56">
        <v>5199060394.5661802</v>
      </c>
      <c r="F489" s="45">
        <f t="shared" si="30"/>
        <v>-3503285482.3772993</v>
      </c>
      <c r="H489" s="46">
        <v>999037000</v>
      </c>
      <c r="I489" s="50">
        <v>1024712262.78274</v>
      </c>
      <c r="L489" s="44">
        <f t="shared" si="31"/>
        <v>-3503285482.3772993</v>
      </c>
    </row>
    <row r="490" spans="1:12" ht="12.65" customHeight="1">
      <c r="A490" s="33">
        <v>43708</v>
      </c>
      <c r="B490" s="46">
        <v>8702345876.9434795</v>
      </c>
      <c r="C490" s="56">
        <v>5199060394.5661802</v>
      </c>
      <c r="F490" s="45">
        <f t="shared" si="30"/>
        <v>-3503285482.3772993</v>
      </c>
      <c r="H490" s="46">
        <v>999037000</v>
      </c>
      <c r="I490" s="50">
        <v>1024712262.78274</v>
      </c>
      <c r="L490" s="44">
        <f t="shared" si="31"/>
        <v>-3503285482.3772993</v>
      </c>
    </row>
    <row r="491" spans="1:12" ht="12.65" customHeight="1">
      <c r="A491" s="33">
        <v>43710</v>
      </c>
      <c r="B491" s="46">
        <v>8761496679.2086792</v>
      </c>
      <c r="C491" s="56">
        <v>10920772966.8207</v>
      </c>
      <c r="F491" s="45">
        <f t="shared" si="30"/>
        <v>2159276287.6120205</v>
      </c>
      <c r="H491" s="46">
        <v>1007757000</v>
      </c>
      <c r="I491" s="50">
        <v>1031087744.28093</v>
      </c>
      <c r="L491" s="44">
        <f t="shared" si="31"/>
        <v>2159276287.6120205</v>
      </c>
    </row>
    <row r="492" spans="1:12" ht="12.65" customHeight="1">
      <c r="A492" s="33">
        <v>43711</v>
      </c>
      <c r="B492" s="46">
        <v>8761496679.2086792</v>
      </c>
      <c r="C492" s="56">
        <v>10432292143.9533</v>
      </c>
      <c r="F492" s="45">
        <f t="shared" si="30"/>
        <v>1670795464.7446213</v>
      </c>
      <c r="H492" s="46">
        <v>1007757000</v>
      </c>
      <c r="I492" s="50">
        <v>1027559799.724</v>
      </c>
      <c r="L492" s="44">
        <f t="shared" si="31"/>
        <v>1670795464.7446213</v>
      </c>
    </row>
    <row r="493" spans="1:12" ht="12.65" customHeight="1">
      <c r="A493" s="33">
        <v>43712</v>
      </c>
      <c r="B493" s="46">
        <v>8761496679.2086792</v>
      </c>
      <c r="C493" s="56">
        <v>10194854001.767</v>
      </c>
      <c r="F493" s="45">
        <f t="shared" si="30"/>
        <v>1433357322.558321</v>
      </c>
      <c r="H493" s="46">
        <v>1007757000</v>
      </c>
      <c r="I493" s="50">
        <v>1033652635.2433</v>
      </c>
      <c r="L493" s="44">
        <f t="shared" si="31"/>
        <v>1433357322.558321</v>
      </c>
    </row>
    <row r="494" spans="1:12" ht="12.65" customHeight="1">
      <c r="A494" s="33">
        <v>43713</v>
      </c>
      <c r="B494" s="46">
        <v>8761496679.2086792</v>
      </c>
      <c r="C494" s="56">
        <v>9474715418.1872692</v>
      </c>
      <c r="F494" s="45">
        <f t="shared" si="30"/>
        <v>713218738.97859001</v>
      </c>
      <c r="H494" s="46">
        <v>1007757000</v>
      </c>
      <c r="I494" s="50">
        <v>1031284247.3443201</v>
      </c>
      <c r="L494" s="44">
        <f t="shared" si="31"/>
        <v>713218738.97859001</v>
      </c>
    </row>
    <row r="495" spans="1:12" ht="12.65" customHeight="1">
      <c r="A495" s="33">
        <v>43714</v>
      </c>
      <c r="B495" s="46">
        <v>8761496679.2086792</v>
      </c>
      <c r="C495" s="56">
        <v>7669605957.7742796</v>
      </c>
      <c r="F495" s="45">
        <f t="shared" si="30"/>
        <v>-1091890721.4343996</v>
      </c>
      <c r="H495" s="46">
        <v>1007757000</v>
      </c>
      <c r="I495" s="50">
        <v>1032853186.06024</v>
      </c>
      <c r="L495" s="44">
        <f t="shared" si="31"/>
        <v>-1091890721.4343996</v>
      </c>
    </row>
    <row r="496" spans="1:12" ht="12.65" customHeight="1">
      <c r="A496" s="33">
        <v>43717</v>
      </c>
      <c r="B496" s="46">
        <v>8761496679.2086792</v>
      </c>
      <c r="C496" s="56">
        <v>7286030108.9741402</v>
      </c>
      <c r="F496" s="45">
        <f t="shared" si="30"/>
        <v>-1475466570.234539</v>
      </c>
      <c r="H496" s="46">
        <v>1007757000</v>
      </c>
      <c r="I496" s="50">
        <v>1036527189.24763</v>
      </c>
      <c r="L496" s="44">
        <f t="shared" si="31"/>
        <v>-1475466570.234539</v>
      </c>
    </row>
    <row r="497" spans="1:12" ht="12.65" customHeight="1">
      <c r="A497" s="33">
        <v>43718</v>
      </c>
      <c r="B497" s="46">
        <v>8761496679.2086792</v>
      </c>
      <c r="C497" s="56">
        <v>6625908412.2869902</v>
      </c>
      <c r="F497" s="45">
        <f t="shared" si="30"/>
        <v>-2135588266.921689</v>
      </c>
      <c r="H497" s="46">
        <v>1007757000</v>
      </c>
      <c r="I497" s="50">
        <v>1010525322.34815</v>
      </c>
      <c r="L497" s="44">
        <f t="shared" si="31"/>
        <v>-2135588266.921689</v>
      </c>
    </row>
    <row r="498" spans="1:12" ht="12.65" customHeight="1">
      <c r="A498" s="33">
        <v>43719</v>
      </c>
      <c r="B498" s="46">
        <v>8761496679.2086792</v>
      </c>
      <c r="C498" s="56">
        <v>9901122105.0801296</v>
      </c>
      <c r="F498" s="45">
        <f t="shared" si="30"/>
        <v>1139625425.8714504</v>
      </c>
      <c r="H498" s="46">
        <v>1007757000</v>
      </c>
      <c r="I498" s="50">
        <v>1013933555.47411</v>
      </c>
      <c r="L498" s="44">
        <f t="shared" si="31"/>
        <v>1139625425.8714504</v>
      </c>
    </row>
    <row r="499" spans="1:12" ht="12.65" customHeight="1">
      <c r="A499" s="33">
        <v>43720</v>
      </c>
      <c r="B499" s="46">
        <v>8761496679.2086792</v>
      </c>
      <c r="C499" s="56">
        <v>9667252093.3626595</v>
      </c>
      <c r="F499" s="45">
        <f t="shared" si="30"/>
        <v>905755414.15398026</v>
      </c>
      <c r="H499" s="46">
        <v>1007757000</v>
      </c>
      <c r="I499" s="50">
        <v>1017528498.13253</v>
      </c>
      <c r="L499" s="44">
        <f t="shared" si="31"/>
        <v>905755414.15398026</v>
      </c>
    </row>
    <row r="500" spans="1:12" ht="12.65" customHeight="1">
      <c r="A500" s="33">
        <v>43721</v>
      </c>
      <c r="B500" s="46">
        <v>8761496679.2086792</v>
      </c>
      <c r="C500" s="56">
        <v>6102869539.2194004</v>
      </c>
      <c r="F500" s="45">
        <f t="shared" si="30"/>
        <v>-2658627139.9892788</v>
      </c>
      <c r="H500" s="46">
        <v>1007757000</v>
      </c>
      <c r="I500" s="50">
        <v>1070466125.34939</v>
      </c>
      <c r="L500" s="44">
        <f t="shared" si="31"/>
        <v>-2658627139.9892788</v>
      </c>
    </row>
    <row r="501" spans="1:12" ht="12.65" customHeight="1">
      <c r="A501" s="33">
        <v>43724</v>
      </c>
      <c r="B501" s="46">
        <v>8749560071.5666695</v>
      </c>
      <c r="C501" s="56">
        <v>7146606989.6787004</v>
      </c>
      <c r="F501" s="45">
        <f t="shared" si="30"/>
        <v>-1602953081.887969</v>
      </c>
      <c r="H501" s="46">
        <v>1061398000</v>
      </c>
      <c r="I501" s="50">
        <v>1071083020.07506</v>
      </c>
      <c r="L501" s="44">
        <f t="shared" si="31"/>
        <v>-1602953081.887969</v>
      </c>
    </row>
    <row r="502" spans="1:12" ht="12.65" customHeight="1">
      <c r="A502" s="33">
        <v>43725</v>
      </c>
      <c r="B502" s="46">
        <v>8749560071.5666695</v>
      </c>
      <c r="C502" s="56">
        <v>8789023395.3738708</v>
      </c>
      <c r="F502" s="45">
        <f t="shared" si="30"/>
        <v>39463323.807201385</v>
      </c>
      <c r="H502" s="46">
        <v>1061398000</v>
      </c>
      <c r="I502" s="50">
        <v>1117609905.3583701</v>
      </c>
      <c r="L502" s="44">
        <f t="shared" si="31"/>
        <v>39463323.807201385</v>
      </c>
    </row>
    <row r="503" spans="1:12" ht="12.65" customHeight="1">
      <c r="A503" s="33">
        <v>43726</v>
      </c>
      <c r="B503" s="46">
        <v>8749560071.5666695</v>
      </c>
      <c r="C503" s="56">
        <v>10472306655.002001</v>
      </c>
      <c r="F503" s="45">
        <f t="shared" si="30"/>
        <v>1722746583.4353313</v>
      </c>
      <c r="H503" s="46">
        <v>1061398000</v>
      </c>
      <c r="I503" s="50">
        <v>1064264229.3264</v>
      </c>
      <c r="L503" s="44">
        <f t="shared" si="31"/>
        <v>1722746583.4353313</v>
      </c>
    </row>
    <row r="504" spans="1:12" ht="12.65" customHeight="1">
      <c r="A504" s="33">
        <v>43727</v>
      </c>
      <c r="B504" s="46">
        <v>8749560071.5666695</v>
      </c>
      <c r="C504" s="56">
        <v>10633806476.2006</v>
      </c>
      <c r="F504" s="45">
        <f t="shared" si="30"/>
        <v>1884246404.6339302</v>
      </c>
      <c r="H504" s="46">
        <v>1061398000</v>
      </c>
      <c r="I504" s="50">
        <v>1064022242.55217</v>
      </c>
      <c r="L504" s="44">
        <f t="shared" si="31"/>
        <v>1884246404.6339302</v>
      </c>
    </row>
    <row r="505" spans="1:12" ht="12.65" customHeight="1">
      <c r="A505" s="33">
        <v>43728</v>
      </c>
      <c r="B505" s="46">
        <v>8749560071.5666695</v>
      </c>
      <c r="C505" s="56">
        <v>10447703490.0725</v>
      </c>
      <c r="F505" s="45">
        <f t="shared" si="30"/>
        <v>1698143418.5058308</v>
      </c>
      <c r="H505" s="46">
        <v>1061398000</v>
      </c>
      <c r="I505" s="50">
        <v>1085025226.4159901</v>
      </c>
      <c r="L505" s="44">
        <f t="shared" si="31"/>
        <v>1698143418.5058308</v>
      </c>
    </row>
    <row r="506" spans="1:12" ht="12.65" customHeight="1">
      <c r="A506" s="33">
        <v>43731</v>
      </c>
      <c r="B506" s="46">
        <v>8749560071.5666695</v>
      </c>
      <c r="C506" s="56">
        <v>10978727578.6717</v>
      </c>
      <c r="F506" s="45">
        <f t="shared" si="30"/>
        <v>2229167507.1050301</v>
      </c>
      <c r="H506" s="46">
        <v>1061398000</v>
      </c>
      <c r="I506" s="50">
        <v>1086433139.70818</v>
      </c>
      <c r="L506" s="44">
        <f t="shared" si="31"/>
        <v>2229167507.1050301</v>
      </c>
    </row>
    <row r="507" spans="1:12" ht="12.65" customHeight="1">
      <c r="A507" s="33">
        <v>43732</v>
      </c>
      <c r="B507" s="46">
        <v>8749560071.5666695</v>
      </c>
      <c r="C507" s="56">
        <v>9852324343.5321503</v>
      </c>
      <c r="F507" s="45">
        <f t="shared" si="30"/>
        <v>1102764271.9654808</v>
      </c>
      <c r="H507" s="46">
        <v>1061398000</v>
      </c>
      <c r="I507" s="50">
        <v>1063731394.77425</v>
      </c>
      <c r="L507" s="44">
        <f t="shared" si="31"/>
        <v>1102764271.9654808</v>
      </c>
    </row>
    <row r="508" spans="1:12" ht="12.65" customHeight="1">
      <c r="A508" s="33">
        <v>43733</v>
      </c>
      <c r="B508" s="46">
        <v>8749560071.5666695</v>
      </c>
      <c r="C508" s="56">
        <v>10779071966.428499</v>
      </c>
      <c r="F508" s="45">
        <f t="shared" si="30"/>
        <v>2029511894.8618298</v>
      </c>
      <c r="H508" s="46">
        <v>1061398000</v>
      </c>
      <c r="I508" s="50">
        <v>1065761560.94929</v>
      </c>
      <c r="L508" s="44">
        <f t="shared" si="31"/>
        <v>2029511894.8618298</v>
      </c>
    </row>
    <row r="509" spans="1:12" ht="12.65" customHeight="1">
      <c r="A509" s="33">
        <v>43734</v>
      </c>
      <c r="B509" s="46">
        <v>8749560071.5666695</v>
      </c>
      <c r="C509" s="56">
        <v>8294112397.4691601</v>
      </c>
      <c r="F509" s="45">
        <f t="shared" si="30"/>
        <v>-455447674.09750938</v>
      </c>
      <c r="H509" s="46">
        <v>1061398000</v>
      </c>
      <c r="I509" s="50">
        <v>1063884988.5865901</v>
      </c>
      <c r="L509" s="44">
        <f t="shared" si="31"/>
        <v>-455447674.09750938</v>
      </c>
    </row>
    <row r="510" spans="1:12" ht="12.65" customHeight="1">
      <c r="A510" s="33">
        <v>43735</v>
      </c>
      <c r="B510" s="46">
        <v>8749560071.5666695</v>
      </c>
      <c r="C510" s="56">
        <v>5001891536.6801395</v>
      </c>
      <c r="F510" s="45">
        <f t="shared" si="30"/>
        <v>-3747668534.8865299</v>
      </c>
      <c r="H510" s="46">
        <v>1061398000</v>
      </c>
      <c r="I510" s="50">
        <v>1064946916.0387501</v>
      </c>
      <c r="L510" s="44">
        <f t="shared" si="31"/>
        <v>-3747668534.8865299</v>
      </c>
    </row>
    <row r="511" spans="1:12" ht="12.65" customHeight="1">
      <c r="A511" s="33">
        <v>43738</v>
      </c>
      <c r="B511" s="46">
        <v>8749560071.5666695</v>
      </c>
      <c r="C511" s="56">
        <v>4701482789.5501299</v>
      </c>
      <c r="F511" s="45">
        <f t="shared" si="30"/>
        <v>-4048077282.0165396</v>
      </c>
      <c r="H511" s="46">
        <v>1061398000</v>
      </c>
      <c r="I511" s="50">
        <v>1064719027.2872</v>
      </c>
      <c r="L511" s="44">
        <f t="shared" si="31"/>
        <v>-4048077282.0165396</v>
      </c>
    </row>
    <row r="512" spans="1:12" ht="12.65" customHeight="1">
      <c r="A512" s="33">
        <v>43739</v>
      </c>
      <c r="B512" s="46">
        <v>8634208439.8764095</v>
      </c>
      <c r="C512" s="56">
        <v>8223141822.5500898</v>
      </c>
      <c r="F512" s="45">
        <f t="shared" si="30"/>
        <v>-411066617.32631969</v>
      </c>
      <c r="H512" s="46">
        <v>1098455000</v>
      </c>
      <c r="I512" s="50">
        <v>1100809270.471</v>
      </c>
      <c r="L512" s="44">
        <f t="shared" si="31"/>
        <v>-411066617.32631969</v>
      </c>
    </row>
    <row r="513" spans="1:13" ht="12.65" customHeight="1">
      <c r="A513" s="33">
        <v>43740</v>
      </c>
      <c r="B513" s="46">
        <v>8634208439.8764095</v>
      </c>
      <c r="C513" s="56">
        <v>11914364676.745899</v>
      </c>
      <c r="F513" s="45">
        <f t="shared" si="30"/>
        <v>3280156236.8694897</v>
      </c>
      <c r="H513" s="46">
        <v>1098455000</v>
      </c>
      <c r="I513" s="50">
        <v>1100630596.95667</v>
      </c>
      <c r="L513" s="44">
        <f t="shared" si="31"/>
        <v>3280156236.8694897</v>
      </c>
    </row>
    <row r="514" spans="1:13" ht="12.65" customHeight="1">
      <c r="A514" s="33">
        <v>43741</v>
      </c>
      <c r="B514" s="46">
        <v>8634208439.8764095</v>
      </c>
      <c r="C514" s="56">
        <v>12575066897.4529</v>
      </c>
      <c r="F514" s="45">
        <f t="shared" ref="F514:F577" si="32">C514-B514</f>
        <v>3940858457.5764904</v>
      </c>
      <c r="H514" s="46">
        <v>1098455000</v>
      </c>
      <c r="I514" s="50">
        <v>1105206935.88258</v>
      </c>
      <c r="L514" s="44">
        <f t="shared" ref="L514:L575" si="33">F514+J514</f>
        <v>3940858457.5764904</v>
      </c>
    </row>
    <row r="515" spans="1:13" ht="12.65" customHeight="1">
      <c r="A515" s="33">
        <v>43742</v>
      </c>
      <c r="B515" s="46">
        <v>8634208439.8764095</v>
      </c>
      <c r="C515" s="56">
        <v>7301336177.4393597</v>
      </c>
      <c r="F515" s="45">
        <f t="shared" si="32"/>
        <v>-1332872262.4370499</v>
      </c>
      <c r="H515" s="46">
        <v>1098455000</v>
      </c>
      <c r="I515" s="50">
        <v>1100960063.0646901</v>
      </c>
      <c r="L515" s="44">
        <f t="shared" si="33"/>
        <v>-1332872262.4370499</v>
      </c>
    </row>
    <row r="516" spans="1:13" ht="12.65" customHeight="1">
      <c r="A516" s="33">
        <v>43745</v>
      </c>
      <c r="B516" s="46">
        <v>8634208439.8764095</v>
      </c>
      <c r="C516" s="56">
        <v>13780759522.7931</v>
      </c>
      <c r="F516" s="45">
        <f t="shared" si="32"/>
        <v>5146551082.9166908</v>
      </c>
      <c r="H516" s="46">
        <v>1098455000</v>
      </c>
      <c r="I516" s="50">
        <v>1103872498.7146201</v>
      </c>
      <c r="L516" s="44">
        <f t="shared" si="33"/>
        <v>5146551082.9166908</v>
      </c>
    </row>
    <row r="517" spans="1:13" ht="12.65" customHeight="1">
      <c r="A517" s="33">
        <v>43746</v>
      </c>
      <c r="B517" s="46">
        <v>8634208439.8764095</v>
      </c>
      <c r="C517" s="56">
        <v>13549185031.739799</v>
      </c>
      <c r="F517" s="45">
        <f t="shared" si="32"/>
        <v>4914976591.86339</v>
      </c>
      <c r="H517" s="46">
        <v>1098455000</v>
      </c>
      <c r="I517" s="50">
        <v>1101052602.9233699</v>
      </c>
      <c r="L517" s="44">
        <f t="shared" si="33"/>
        <v>4914976591.86339</v>
      </c>
    </row>
    <row r="518" spans="1:13" ht="12.65" customHeight="1">
      <c r="A518" s="33">
        <v>43747</v>
      </c>
      <c r="B518" s="46">
        <v>8634208439.8764095</v>
      </c>
      <c r="C518" s="56">
        <v>7888697425.3102303</v>
      </c>
      <c r="F518" s="45">
        <f t="shared" si="32"/>
        <v>-745511014.56617928</v>
      </c>
      <c r="H518" s="46">
        <v>1098455000</v>
      </c>
      <c r="I518" s="50">
        <v>1124011277.10179</v>
      </c>
      <c r="L518" s="44">
        <f t="shared" si="33"/>
        <v>-745511014.56617928</v>
      </c>
    </row>
    <row r="519" spans="1:13" ht="12.65" customHeight="1">
      <c r="A519" s="33">
        <v>43748</v>
      </c>
      <c r="B519" s="46">
        <v>8634208439.8764095</v>
      </c>
      <c r="C519" s="56">
        <v>5558977552.8190498</v>
      </c>
      <c r="F519" s="45">
        <f t="shared" si="32"/>
        <v>-3075230887.0573597</v>
      </c>
      <c r="H519" s="46">
        <v>1098455000</v>
      </c>
      <c r="I519" s="50">
        <v>1123862368.6958799</v>
      </c>
      <c r="L519" s="44">
        <f t="shared" si="33"/>
        <v>-3075230887.0573597</v>
      </c>
    </row>
    <row r="520" spans="1:13" ht="12.65" customHeight="1">
      <c r="A520" s="33">
        <v>43749</v>
      </c>
      <c r="B520" s="46">
        <v>8634208439.8764095</v>
      </c>
      <c r="C520" s="56">
        <v>5063651056.3352499</v>
      </c>
      <c r="F520" s="45">
        <f t="shared" si="32"/>
        <v>-3570557383.5411596</v>
      </c>
      <c r="H520" s="46">
        <v>1098455000</v>
      </c>
      <c r="I520" s="50">
        <v>1121521577.02038</v>
      </c>
      <c r="L520" s="44">
        <f t="shared" si="33"/>
        <v>-3570557383.5411596</v>
      </c>
    </row>
    <row r="521" spans="1:13" ht="12.65" customHeight="1">
      <c r="A521" s="33">
        <v>43752</v>
      </c>
      <c r="B521" s="46">
        <v>8634208439.8764095</v>
      </c>
      <c r="C521" s="56">
        <v>5050357070.9905596</v>
      </c>
      <c r="F521" s="45">
        <f t="shared" si="32"/>
        <v>-3583851368.88585</v>
      </c>
      <c r="H521" s="46">
        <v>1098455000</v>
      </c>
      <c r="I521" s="50">
        <v>1123759043.04513</v>
      </c>
      <c r="L521" s="44">
        <f t="shared" si="33"/>
        <v>-3583851368.88585</v>
      </c>
    </row>
    <row r="522" spans="1:13" ht="12.65" customHeight="1">
      <c r="A522" s="33">
        <v>43753</v>
      </c>
      <c r="B522" s="46">
        <v>8634208439.8764095</v>
      </c>
      <c r="C522" s="56">
        <v>5076405294.8233099</v>
      </c>
      <c r="F522" s="45">
        <f t="shared" si="32"/>
        <v>-3557803145.0530996</v>
      </c>
      <c r="H522" s="46">
        <v>1098455000</v>
      </c>
      <c r="I522" s="50">
        <v>1123793474.8689599</v>
      </c>
      <c r="L522" s="44">
        <f t="shared" si="33"/>
        <v>-3557803145.0530996</v>
      </c>
    </row>
    <row r="523" spans="1:13" ht="12.65" customHeight="1">
      <c r="A523" s="33">
        <v>43754</v>
      </c>
      <c r="B523" s="46">
        <v>8413358277.0083103</v>
      </c>
      <c r="C523" s="56">
        <v>8988642878.53829</v>
      </c>
      <c r="F523" s="45">
        <f t="shared" si="32"/>
        <v>575284601.52997971</v>
      </c>
      <c r="H523" s="46">
        <v>1133926000</v>
      </c>
      <c r="I523" s="50">
        <v>1153739557.9893501</v>
      </c>
      <c r="L523" s="44">
        <f t="shared" si="33"/>
        <v>575284601.52997971</v>
      </c>
      <c r="M523" s="45" t="s">
        <v>71</v>
      </c>
    </row>
    <row r="524" spans="1:13" ht="12.65" customHeight="1">
      <c r="A524" s="33">
        <v>43755</v>
      </c>
      <c r="B524" s="46">
        <v>8413358277.0083103</v>
      </c>
      <c r="C524" s="56">
        <v>9242299786.7038708</v>
      </c>
      <c r="F524" s="45">
        <f t="shared" si="32"/>
        <v>828941509.69556046</v>
      </c>
      <c r="H524" s="46">
        <v>1133926000</v>
      </c>
      <c r="I524" s="50">
        <v>1158734420.7902701</v>
      </c>
      <c r="L524" s="44">
        <f t="shared" si="33"/>
        <v>828941509.69556046</v>
      </c>
    </row>
    <row r="525" spans="1:13" ht="12.65" customHeight="1">
      <c r="A525" s="33">
        <v>43756</v>
      </c>
      <c r="B525" s="46">
        <v>8413358277.0083103</v>
      </c>
      <c r="C525" s="56">
        <v>10334712023.5742</v>
      </c>
      <c r="F525" s="45">
        <f t="shared" si="32"/>
        <v>1921353746.5658894</v>
      </c>
      <c r="H525" s="46">
        <v>1133926000</v>
      </c>
      <c r="I525" s="50">
        <v>1159228329.3991799</v>
      </c>
      <c r="L525" s="44">
        <f t="shared" si="33"/>
        <v>1921353746.5658894</v>
      </c>
    </row>
    <row r="526" spans="1:13" ht="12.65" customHeight="1">
      <c r="A526" s="33">
        <v>43759</v>
      </c>
      <c r="B526" s="46">
        <v>8413358277.0083103</v>
      </c>
      <c r="C526" s="56">
        <v>9818078512.5662403</v>
      </c>
      <c r="F526" s="45">
        <f t="shared" si="32"/>
        <v>1404720235.55793</v>
      </c>
      <c r="H526" s="46">
        <v>1133926000</v>
      </c>
      <c r="I526" s="50">
        <v>1146118716.0513999</v>
      </c>
      <c r="L526" s="44">
        <f t="shared" si="33"/>
        <v>1404720235.55793</v>
      </c>
    </row>
    <row r="527" spans="1:13" ht="12.65" customHeight="1">
      <c r="A527" s="33">
        <v>43760</v>
      </c>
      <c r="B527" s="46">
        <v>8413358277.0083103</v>
      </c>
      <c r="C527" s="56">
        <v>7760365108.7006302</v>
      </c>
      <c r="F527" s="45">
        <f t="shared" si="32"/>
        <v>-652993168.30768013</v>
      </c>
      <c r="H527" s="46">
        <v>1133926000</v>
      </c>
      <c r="I527" s="50">
        <v>1156306401.43363</v>
      </c>
      <c r="L527" s="44">
        <f t="shared" si="33"/>
        <v>-652993168.30768013</v>
      </c>
    </row>
    <row r="528" spans="1:13" ht="12.65" customHeight="1">
      <c r="A528" s="33">
        <v>43761</v>
      </c>
      <c r="B528" s="46">
        <v>8413358277.0083103</v>
      </c>
      <c r="C528" s="56">
        <v>12813385774.096399</v>
      </c>
      <c r="F528" s="45">
        <f t="shared" si="32"/>
        <v>4400027497.088089</v>
      </c>
      <c r="H528" s="46">
        <v>1133926000</v>
      </c>
      <c r="I528" s="50">
        <v>1146027060.18486</v>
      </c>
      <c r="L528" s="44">
        <f t="shared" si="33"/>
        <v>4400027497.088089</v>
      </c>
    </row>
    <row r="529" spans="1:13" ht="12.65" customHeight="1">
      <c r="A529" s="33">
        <v>43762</v>
      </c>
      <c r="B529" s="46">
        <v>8413358277.0083103</v>
      </c>
      <c r="C529" s="56">
        <v>10298684348.1682</v>
      </c>
      <c r="F529" s="45">
        <f t="shared" si="32"/>
        <v>1885326071.1598892</v>
      </c>
      <c r="H529" s="46">
        <v>1133926000</v>
      </c>
      <c r="I529" s="50">
        <v>1152715852.2658601</v>
      </c>
      <c r="L529" s="44">
        <f t="shared" si="33"/>
        <v>1885326071.1598892</v>
      </c>
    </row>
    <row r="530" spans="1:13" ht="12.65" customHeight="1">
      <c r="A530" s="33">
        <v>43763</v>
      </c>
      <c r="B530" s="46">
        <v>8413358277.0083103</v>
      </c>
      <c r="C530" s="56">
        <v>10123369862.723301</v>
      </c>
      <c r="F530" s="45">
        <f t="shared" si="32"/>
        <v>1710011585.7149906</v>
      </c>
      <c r="H530" s="46">
        <v>1133926000</v>
      </c>
      <c r="I530" s="50">
        <v>1151759509.4939899</v>
      </c>
      <c r="L530" s="44">
        <f t="shared" si="33"/>
        <v>1710011585.7149906</v>
      </c>
    </row>
    <row r="531" spans="1:13" ht="12.65" customHeight="1">
      <c r="A531" s="33">
        <v>43766</v>
      </c>
      <c r="B531" s="46">
        <v>8413358277.0083103</v>
      </c>
      <c r="C531" s="56">
        <v>7051989459.8158598</v>
      </c>
      <c r="F531" s="45">
        <f t="shared" si="32"/>
        <v>-1361368817.1924505</v>
      </c>
      <c r="H531" s="46">
        <v>1133926000</v>
      </c>
      <c r="I531" s="50">
        <v>1156918025.40605</v>
      </c>
      <c r="L531" s="44">
        <f t="shared" si="33"/>
        <v>-1361368817.1924505</v>
      </c>
    </row>
    <row r="532" spans="1:13" ht="12.65" customHeight="1">
      <c r="A532" s="33">
        <v>43767</v>
      </c>
      <c r="B532" s="46">
        <v>8413358277.0083103</v>
      </c>
      <c r="C532" s="56">
        <v>5501147624.9236603</v>
      </c>
      <c r="F532" s="45">
        <f t="shared" si="32"/>
        <v>-2912210652.08465</v>
      </c>
      <c r="H532" s="46">
        <v>1133926000</v>
      </c>
      <c r="I532" s="50">
        <v>1155954686.5617099</v>
      </c>
      <c r="L532" s="44">
        <f t="shared" si="33"/>
        <v>-2912210652.08465</v>
      </c>
    </row>
    <row r="533" spans="1:13" ht="12.65" customHeight="1">
      <c r="A533" s="33">
        <v>43768</v>
      </c>
      <c r="B533" s="46">
        <v>8413358277.0083103</v>
      </c>
      <c r="C533" s="56">
        <v>4891655696.2169399</v>
      </c>
      <c r="F533" s="45">
        <f t="shared" si="32"/>
        <v>-3521702580.7913704</v>
      </c>
      <c r="H533" s="46">
        <v>1133926000</v>
      </c>
      <c r="I533" s="50">
        <v>1153681322.4333601</v>
      </c>
      <c r="L533" s="44">
        <f t="shared" si="33"/>
        <v>-3521702580.7913704</v>
      </c>
    </row>
    <row r="534" spans="1:13" ht="12.65" customHeight="1">
      <c r="A534" s="33">
        <v>43769</v>
      </c>
      <c r="B534" s="46">
        <v>8413358277.0083103</v>
      </c>
      <c r="C534" s="56">
        <v>4831668251.4295197</v>
      </c>
      <c r="F534" s="45">
        <f t="shared" si="32"/>
        <v>-3581690025.5787907</v>
      </c>
      <c r="H534" s="46">
        <v>1133926000</v>
      </c>
      <c r="I534" s="50">
        <v>1147254151.20298</v>
      </c>
      <c r="L534" s="44">
        <f t="shared" si="33"/>
        <v>-3581690025.5787907</v>
      </c>
      <c r="M534" s="45">
        <f>I534-H534</f>
        <v>13328151.202980042</v>
      </c>
    </row>
    <row r="535" spans="1:13" ht="12.65" customHeight="1">
      <c r="A535" s="33">
        <v>43770</v>
      </c>
      <c r="B535" s="46">
        <v>8285270596.1138906</v>
      </c>
      <c r="C535" s="56">
        <v>10443712986.0147</v>
      </c>
      <c r="F535" s="45">
        <f t="shared" si="32"/>
        <v>2158442389.9008093</v>
      </c>
      <c r="H535" s="46">
        <v>1162411000</v>
      </c>
      <c r="I535" s="50">
        <v>1174706928.21808</v>
      </c>
      <c r="L535" s="44">
        <f t="shared" si="33"/>
        <v>2158442389.9008093</v>
      </c>
    </row>
    <row r="536" spans="1:13" ht="12.65" customHeight="1">
      <c r="A536" s="33">
        <v>43773</v>
      </c>
      <c r="B536" s="46">
        <v>8285270596.1138906</v>
      </c>
      <c r="C536" s="56">
        <v>11305828671.438601</v>
      </c>
      <c r="F536" s="45">
        <f t="shared" si="32"/>
        <v>3020558075.3247099</v>
      </c>
      <c r="H536" s="46">
        <v>1162411000</v>
      </c>
      <c r="I536" s="50">
        <v>1188136369.99054</v>
      </c>
      <c r="L536" s="44">
        <f t="shared" si="33"/>
        <v>3020558075.3247099</v>
      </c>
    </row>
    <row r="537" spans="1:13" ht="12.65" customHeight="1">
      <c r="A537" s="33">
        <v>43774</v>
      </c>
      <c r="B537" s="46">
        <v>8285270596.1138906</v>
      </c>
      <c r="C537" s="56">
        <v>10230244328.7848</v>
      </c>
      <c r="F537" s="45">
        <f t="shared" si="32"/>
        <v>1944973732.6709089</v>
      </c>
      <c r="H537" s="46">
        <v>1162411000</v>
      </c>
      <c r="I537" s="50">
        <v>1192394605.5474999</v>
      </c>
      <c r="L537" s="44">
        <f t="shared" si="33"/>
        <v>1944973732.6709089</v>
      </c>
    </row>
    <row r="538" spans="1:13" ht="12.65" customHeight="1">
      <c r="A538" s="33">
        <v>43775</v>
      </c>
      <c r="B538" s="46">
        <v>8285270596.1138906</v>
      </c>
      <c r="C538" s="56">
        <v>9064690271.19487</v>
      </c>
      <c r="F538" s="45">
        <f t="shared" si="32"/>
        <v>779419675.08097935</v>
      </c>
      <c r="H538" s="46">
        <v>1162411000</v>
      </c>
      <c r="I538" s="50">
        <v>1191342037.4031401</v>
      </c>
      <c r="L538" s="44">
        <f t="shared" si="33"/>
        <v>779419675.08097935</v>
      </c>
    </row>
    <row r="539" spans="1:13" ht="12.65" customHeight="1">
      <c r="A539" s="33">
        <v>43776</v>
      </c>
      <c r="B539" s="46">
        <v>8285270596.1138906</v>
      </c>
      <c r="C539" s="56">
        <v>8551425326.8340397</v>
      </c>
      <c r="F539" s="45">
        <f t="shared" si="32"/>
        <v>266154730.72014904</v>
      </c>
      <c r="H539" s="46">
        <v>1162411000</v>
      </c>
      <c r="I539" s="50">
        <v>1188319640.9070599</v>
      </c>
      <c r="L539" s="44">
        <f t="shared" si="33"/>
        <v>266154730.72014904</v>
      </c>
    </row>
    <row r="540" spans="1:13" ht="12.65" customHeight="1">
      <c r="A540" s="33">
        <v>43777</v>
      </c>
      <c r="B540" s="46">
        <v>8285270596.1138906</v>
      </c>
      <c r="C540" s="56">
        <v>7197392624.85888</v>
      </c>
      <c r="F540" s="45">
        <f t="shared" si="32"/>
        <v>-1087877971.2550106</v>
      </c>
      <c r="H540" s="46">
        <v>1162411000</v>
      </c>
      <c r="I540" s="50">
        <v>1164313702.4435401</v>
      </c>
      <c r="L540" s="44">
        <f t="shared" si="33"/>
        <v>-1087877971.2550106</v>
      </c>
    </row>
    <row r="541" spans="1:13" ht="12.65" customHeight="1">
      <c r="A541" s="33">
        <v>43780</v>
      </c>
      <c r="B541" s="46">
        <v>8285270596.1138906</v>
      </c>
      <c r="C541" s="56">
        <v>7667948037.7409401</v>
      </c>
      <c r="F541" s="45">
        <f t="shared" si="32"/>
        <v>-617322558.37295055</v>
      </c>
      <c r="H541" s="46">
        <v>1162411000</v>
      </c>
      <c r="I541" s="50">
        <v>1170789943.6170399</v>
      </c>
      <c r="L541" s="44">
        <f t="shared" si="33"/>
        <v>-617322558.37295055</v>
      </c>
    </row>
    <row r="542" spans="1:13" ht="12.65" customHeight="1">
      <c r="A542" s="33">
        <v>43781</v>
      </c>
      <c r="B542" s="46">
        <v>8285270596.1138906</v>
      </c>
      <c r="C542" s="56">
        <v>7308738904.3563805</v>
      </c>
      <c r="F542" s="45">
        <f t="shared" si="32"/>
        <v>-976531691.75751019</v>
      </c>
      <c r="H542" s="46">
        <v>1162411000</v>
      </c>
      <c r="I542" s="50">
        <v>1175841574.3097401</v>
      </c>
      <c r="L542" s="44">
        <f t="shared" si="33"/>
        <v>-976531691.75751019</v>
      </c>
    </row>
    <row r="543" spans="1:13" ht="12.65" customHeight="1">
      <c r="A543" s="33">
        <v>43782</v>
      </c>
      <c r="B543" s="46">
        <v>8285270596.1138906</v>
      </c>
      <c r="C543" s="56">
        <v>7407175583.3493605</v>
      </c>
      <c r="F543" s="45">
        <f t="shared" si="32"/>
        <v>-878095012.76453018</v>
      </c>
      <c r="H543" s="46">
        <v>1162411000</v>
      </c>
      <c r="I543" s="50">
        <v>1169697180.0752101</v>
      </c>
      <c r="L543" s="44">
        <f t="shared" si="33"/>
        <v>-878095012.76453018</v>
      </c>
    </row>
    <row r="544" spans="1:13" ht="12.65" customHeight="1">
      <c r="A544" s="33">
        <v>43783</v>
      </c>
      <c r="B544" s="46">
        <v>8285270596.1138906</v>
      </c>
      <c r="C544" s="56">
        <v>6508848895.5548897</v>
      </c>
      <c r="F544" s="45">
        <f t="shared" si="32"/>
        <v>-1776421700.559001</v>
      </c>
      <c r="H544" s="46">
        <v>1162411000</v>
      </c>
      <c r="I544" s="50">
        <v>1165615174.2527001</v>
      </c>
      <c r="L544" s="44">
        <f t="shared" si="33"/>
        <v>-1776421700.559001</v>
      </c>
    </row>
    <row r="545" spans="1:13" ht="12.65" customHeight="1">
      <c r="A545" s="33">
        <v>43784</v>
      </c>
      <c r="B545" s="46">
        <v>8285270596.1138906</v>
      </c>
      <c r="C545" s="56">
        <v>6088012631.6568298</v>
      </c>
      <c r="F545" s="45">
        <f t="shared" si="32"/>
        <v>-2197257964.4570608</v>
      </c>
      <c r="H545" s="46">
        <v>1162411000</v>
      </c>
      <c r="I545" s="50">
        <v>1167115211.9434299</v>
      </c>
      <c r="L545" s="44">
        <f t="shared" si="33"/>
        <v>-2197257964.4570608</v>
      </c>
    </row>
    <row r="546" spans="1:13" ht="12.65" customHeight="1">
      <c r="A546" s="33">
        <v>43787</v>
      </c>
      <c r="B546" s="46">
        <v>8318811401.2565403</v>
      </c>
      <c r="C546" s="56">
        <v>7880486859.6732101</v>
      </c>
      <c r="F546" s="45">
        <f t="shared" si="32"/>
        <v>-438324541.58333015</v>
      </c>
      <c r="H546" s="46">
        <v>1224518000</v>
      </c>
      <c r="I546" s="50">
        <v>1232398615.03181</v>
      </c>
      <c r="L546" s="44">
        <f t="shared" si="33"/>
        <v>-438324541.58333015</v>
      </c>
    </row>
    <row r="547" spans="1:13" ht="12.65" customHeight="1">
      <c r="A547" s="33">
        <v>43788</v>
      </c>
      <c r="B547" s="46">
        <v>8318811401.2565403</v>
      </c>
      <c r="C547" s="56">
        <v>9208466020.2119999</v>
      </c>
      <c r="F547" s="45">
        <f t="shared" si="32"/>
        <v>889654618.95545959</v>
      </c>
      <c r="H547" s="46">
        <v>1224518000</v>
      </c>
      <c r="I547" s="50">
        <v>1228402829.3387201</v>
      </c>
      <c r="L547" s="44">
        <f t="shared" si="33"/>
        <v>889654618.95545959</v>
      </c>
    </row>
    <row r="548" spans="1:13" ht="12.65" customHeight="1">
      <c r="A548" s="33">
        <v>43789</v>
      </c>
      <c r="B548" s="46">
        <v>8318811401.2565403</v>
      </c>
      <c r="C548" s="56">
        <v>8761459268.6647301</v>
      </c>
      <c r="F548" s="45">
        <f t="shared" si="32"/>
        <v>442647867.40818977</v>
      </c>
      <c r="H548" s="46">
        <v>1224518000</v>
      </c>
      <c r="I548" s="50">
        <v>1262914468.05862</v>
      </c>
      <c r="L548" s="44">
        <f t="shared" si="33"/>
        <v>442647867.40818977</v>
      </c>
    </row>
    <row r="549" spans="1:13" ht="12.65" customHeight="1">
      <c r="A549" s="33">
        <v>43790</v>
      </c>
      <c r="B549" s="46">
        <v>8318811401.2565403</v>
      </c>
      <c r="C549" s="56">
        <v>9391262746.5200996</v>
      </c>
      <c r="F549" s="45">
        <f t="shared" si="32"/>
        <v>1072451345.2635593</v>
      </c>
      <c r="H549" s="46">
        <v>1224518000</v>
      </c>
      <c r="I549" s="50">
        <v>1232341862.6574099</v>
      </c>
      <c r="L549" s="44">
        <f t="shared" si="33"/>
        <v>1072451345.2635593</v>
      </c>
    </row>
    <row r="550" spans="1:13" ht="12.65" customHeight="1">
      <c r="A550" s="33">
        <v>43791</v>
      </c>
      <c r="B550" s="46">
        <v>8318811401.2565403</v>
      </c>
      <c r="C550" s="56">
        <v>8920261413.5314198</v>
      </c>
      <c r="F550" s="45">
        <f t="shared" si="32"/>
        <v>601450012.27487946</v>
      </c>
      <c r="H550" s="46">
        <v>1224518000</v>
      </c>
      <c r="I550" s="50">
        <v>1235395917.7635901</v>
      </c>
      <c r="L550" s="44">
        <f t="shared" si="33"/>
        <v>601450012.27487946</v>
      </c>
    </row>
    <row r="551" spans="1:13" ht="12.65" customHeight="1">
      <c r="A551" s="33">
        <v>43794</v>
      </c>
      <c r="B551" s="46">
        <v>8318811401.2565403</v>
      </c>
      <c r="C551" s="56">
        <v>10182720340.336</v>
      </c>
      <c r="F551" s="45">
        <f t="shared" si="32"/>
        <v>1863908939.0794601</v>
      </c>
      <c r="H551" s="46">
        <v>1224518000</v>
      </c>
      <c r="I551" s="50">
        <v>1243788702.8373401</v>
      </c>
      <c r="L551" s="44">
        <f t="shared" si="33"/>
        <v>1863908939.0794601</v>
      </c>
    </row>
    <row r="552" spans="1:13" ht="12.65" customHeight="1">
      <c r="A552" s="33">
        <v>43795</v>
      </c>
      <c r="B552" s="46">
        <v>8318811401.2565403</v>
      </c>
      <c r="C552" s="56">
        <v>10638468874.944</v>
      </c>
      <c r="F552" s="45">
        <f t="shared" si="32"/>
        <v>2319657473.6874599</v>
      </c>
      <c r="H552" s="46">
        <v>1224518000</v>
      </c>
      <c r="I552" s="50">
        <v>1231347703.55637</v>
      </c>
      <c r="L552" s="44">
        <f t="shared" si="33"/>
        <v>2319657473.6874599</v>
      </c>
    </row>
    <row r="553" spans="1:13" ht="12.65" customHeight="1">
      <c r="A553" s="33">
        <v>43796</v>
      </c>
      <c r="B553" s="46">
        <v>8318811401.2565403</v>
      </c>
      <c r="C553" s="56">
        <v>8431328588.0187597</v>
      </c>
      <c r="F553" s="45">
        <f t="shared" si="32"/>
        <v>112517186.76221943</v>
      </c>
      <c r="H553" s="46">
        <v>1224518000</v>
      </c>
      <c r="I553" s="50">
        <v>1251022206.1486599</v>
      </c>
      <c r="L553" s="44">
        <f t="shared" si="33"/>
        <v>112517186.76221943</v>
      </c>
    </row>
    <row r="554" spans="1:13" ht="12.65" customHeight="1">
      <c r="A554" s="33">
        <v>43797</v>
      </c>
      <c r="B554" s="46">
        <v>8318811401.2565403</v>
      </c>
      <c r="C554" s="56">
        <v>5723128205.4873199</v>
      </c>
      <c r="F554" s="45">
        <f t="shared" si="32"/>
        <v>-2595683195.7692204</v>
      </c>
      <c r="H554" s="46">
        <v>1224518000</v>
      </c>
      <c r="I554" s="50">
        <v>1250601997.6879101</v>
      </c>
      <c r="L554" s="44">
        <f t="shared" si="33"/>
        <v>-2595683195.7692204</v>
      </c>
    </row>
    <row r="555" spans="1:13" ht="12.65" customHeight="1">
      <c r="A555" s="33">
        <v>43798</v>
      </c>
      <c r="B555" s="46">
        <v>8318811401.2565403</v>
      </c>
      <c r="C555" s="56">
        <v>4986616048.4006796</v>
      </c>
      <c r="F555" s="45">
        <f t="shared" si="32"/>
        <v>-3332195352.8558607</v>
      </c>
      <c r="H555" s="46">
        <v>1224518000</v>
      </c>
      <c r="I555" s="50">
        <v>1247181840.0779099</v>
      </c>
      <c r="L555" s="44">
        <f t="shared" si="33"/>
        <v>-3332195352.8558607</v>
      </c>
    </row>
    <row r="556" spans="1:13" ht="12.65" customHeight="1">
      <c r="A556" s="33">
        <v>43799</v>
      </c>
      <c r="B556" s="46">
        <v>8318811401.2565403</v>
      </c>
      <c r="C556" s="56">
        <v>4986616048.4006796</v>
      </c>
      <c r="F556" s="45">
        <f t="shared" si="32"/>
        <v>-3332195352.8558607</v>
      </c>
      <c r="H556" s="46">
        <v>1224518000</v>
      </c>
      <c r="I556" s="50">
        <v>1247181840.0779099</v>
      </c>
      <c r="L556" s="44">
        <f t="shared" si="33"/>
        <v>-3332195352.8558607</v>
      </c>
      <c r="M556" s="45">
        <f>I556-H556</f>
        <v>22663840.077909946</v>
      </c>
    </row>
    <row r="557" spans="1:13" ht="12.65" customHeight="1">
      <c r="A557" s="33">
        <v>43801</v>
      </c>
      <c r="B557" s="46">
        <v>8329964396.08109</v>
      </c>
      <c r="C557" s="56">
        <v>10969510792.244101</v>
      </c>
      <c r="F557" s="45">
        <f t="shared" si="32"/>
        <v>2639546396.1630106</v>
      </c>
      <c r="H557" s="46">
        <v>1333949000</v>
      </c>
      <c r="I557" s="50">
        <v>1357037445.95942</v>
      </c>
      <c r="L557" s="44">
        <f t="shared" si="33"/>
        <v>2639546396.1630106</v>
      </c>
    </row>
    <row r="558" spans="1:13" ht="12.65" customHeight="1">
      <c r="A558" s="33">
        <v>43802</v>
      </c>
      <c r="B558" s="46">
        <v>8329964396.08109</v>
      </c>
      <c r="C558" s="56">
        <v>9770849283.6166592</v>
      </c>
      <c r="F558" s="45">
        <f t="shared" si="32"/>
        <v>1440884887.5355692</v>
      </c>
      <c r="H558" s="46">
        <v>1333949000</v>
      </c>
      <c r="I558" s="50">
        <v>1342651595.72505</v>
      </c>
      <c r="L558" s="44">
        <f t="shared" si="33"/>
        <v>1440884887.5355692</v>
      </c>
    </row>
    <row r="559" spans="1:13" ht="12.65" customHeight="1">
      <c r="A559" s="33">
        <v>43803</v>
      </c>
      <c r="B559" s="46">
        <v>8329964396.08109</v>
      </c>
      <c r="C559" s="56">
        <v>10433430880.754499</v>
      </c>
      <c r="F559" s="45">
        <f t="shared" si="32"/>
        <v>2103466484.6734095</v>
      </c>
      <c r="H559" s="46">
        <v>1333949000</v>
      </c>
      <c r="I559" s="50">
        <v>1339534918.54071</v>
      </c>
      <c r="L559" s="44">
        <f t="shared" si="33"/>
        <v>2103466484.6734095</v>
      </c>
    </row>
    <row r="560" spans="1:13" ht="12.65" customHeight="1">
      <c r="A560" s="33">
        <v>43804</v>
      </c>
      <c r="B560" s="46">
        <v>8329964396.08109</v>
      </c>
      <c r="C560" s="56">
        <v>11142994415.223801</v>
      </c>
      <c r="F560" s="45">
        <f t="shared" si="32"/>
        <v>2813030019.1427107</v>
      </c>
      <c r="H560" s="46">
        <v>1333949000</v>
      </c>
      <c r="I560" s="50">
        <v>1367326001.7877901</v>
      </c>
      <c r="L560" s="44">
        <f t="shared" si="33"/>
        <v>2813030019.1427107</v>
      </c>
    </row>
    <row r="561" spans="1:13" ht="12.65" customHeight="1">
      <c r="A561" s="33">
        <v>43805</v>
      </c>
      <c r="B561" s="46">
        <v>8329964396.08109</v>
      </c>
      <c r="C561" s="56">
        <v>7907543126.1356096</v>
      </c>
      <c r="F561" s="45">
        <f t="shared" si="32"/>
        <v>-422421269.94548035</v>
      </c>
      <c r="H561" s="46">
        <v>1333949000</v>
      </c>
      <c r="I561" s="50">
        <v>1341223645.1522901</v>
      </c>
      <c r="L561" s="44">
        <f t="shared" si="33"/>
        <v>-422421269.94548035</v>
      </c>
    </row>
    <row r="562" spans="1:13" ht="12.65" customHeight="1">
      <c r="A562" s="33">
        <v>43808</v>
      </c>
      <c r="B562" s="46">
        <v>8329964396.08109</v>
      </c>
      <c r="C562" s="56">
        <v>9196922968.6279793</v>
      </c>
      <c r="F562" s="45">
        <f t="shared" si="32"/>
        <v>866958572.54688931</v>
      </c>
      <c r="H562" s="46">
        <v>1333949000</v>
      </c>
      <c r="I562" s="50">
        <v>1337443393.1708</v>
      </c>
      <c r="L562" s="44">
        <f t="shared" si="33"/>
        <v>866958572.54688931</v>
      </c>
    </row>
    <row r="563" spans="1:13" ht="12.65" customHeight="1">
      <c r="A563" s="33">
        <v>43809</v>
      </c>
      <c r="B563" s="46">
        <v>8329964396.08109</v>
      </c>
      <c r="C563" s="56">
        <v>6629476601.4483299</v>
      </c>
      <c r="F563" s="45">
        <f t="shared" si="32"/>
        <v>-1700487794.63276</v>
      </c>
      <c r="H563" s="46">
        <v>1333949000</v>
      </c>
      <c r="I563" s="50">
        <v>1339607943.7962699</v>
      </c>
      <c r="L563" s="44">
        <f t="shared" si="33"/>
        <v>-1700487794.63276</v>
      </c>
    </row>
    <row r="564" spans="1:13" ht="12.65" customHeight="1">
      <c r="A564" s="33">
        <v>43810</v>
      </c>
      <c r="B564" s="46">
        <v>8329964396.08109</v>
      </c>
      <c r="C564" s="56">
        <v>7624351380.9857397</v>
      </c>
      <c r="F564" s="45">
        <f t="shared" si="32"/>
        <v>-705613015.09535027</v>
      </c>
      <c r="H564" s="46">
        <v>1333949000</v>
      </c>
      <c r="I564" s="50">
        <v>1341529423.4141099</v>
      </c>
      <c r="L564" s="44">
        <f t="shared" si="33"/>
        <v>-705613015.09535027</v>
      </c>
    </row>
    <row r="565" spans="1:13" ht="12.65" customHeight="1">
      <c r="A565" s="33">
        <v>43811</v>
      </c>
      <c r="B565" s="46">
        <v>8329964396.08109</v>
      </c>
      <c r="C565" s="56">
        <v>5590659004.9265003</v>
      </c>
      <c r="F565" s="45">
        <f t="shared" si="32"/>
        <v>-2739305391.1545897</v>
      </c>
      <c r="H565" s="46">
        <v>1333949000</v>
      </c>
      <c r="I565" s="50">
        <v>1340939218.4123399</v>
      </c>
      <c r="L565" s="44">
        <f t="shared" si="33"/>
        <v>-2739305391.1545897</v>
      </c>
    </row>
    <row r="566" spans="1:13" ht="12.65" customHeight="1">
      <c r="A566" s="33">
        <v>43812</v>
      </c>
      <c r="B566" s="46">
        <v>8329964396.08109</v>
      </c>
      <c r="C566" s="56">
        <v>4937412981.6662397</v>
      </c>
      <c r="F566" s="45">
        <f t="shared" si="32"/>
        <v>-3392551414.4148502</v>
      </c>
      <c r="H566" s="46">
        <v>1333949000</v>
      </c>
      <c r="I566" s="50">
        <v>1351470907.35339</v>
      </c>
      <c r="L566" s="44">
        <f t="shared" si="33"/>
        <v>-3392551414.4148502</v>
      </c>
    </row>
    <row r="567" spans="1:13" ht="12.65" customHeight="1">
      <c r="A567" s="33">
        <v>43815</v>
      </c>
      <c r="B567" s="46">
        <v>8340439160.6571999</v>
      </c>
      <c r="C567" s="56">
        <v>8625038168.7726097</v>
      </c>
      <c r="F567" s="45">
        <f t="shared" si="32"/>
        <v>284599008.11540985</v>
      </c>
      <c r="H567" s="46">
        <v>1442374000</v>
      </c>
      <c r="I567" s="50">
        <v>1446297002.5220699</v>
      </c>
      <c r="L567" s="44">
        <f t="shared" si="33"/>
        <v>284599008.11540985</v>
      </c>
    </row>
    <row r="568" spans="1:13" ht="12.65" customHeight="1">
      <c r="A568" s="33">
        <v>43816</v>
      </c>
      <c r="B568" s="46">
        <v>8340439160.6571999</v>
      </c>
      <c r="C568" s="56">
        <v>8291934808.15557</v>
      </c>
      <c r="F568" s="45">
        <f t="shared" si="32"/>
        <v>-48504352.501629829</v>
      </c>
      <c r="H568" s="46">
        <v>1442374000</v>
      </c>
      <c r="I568" s="50">
        <v>1448503734.0578201</v>
      </c>
      <c r="L568" s="44">
        <f t="shared" si="33"/>
        <v>-48504352.501629829</v>
      </c>
    </row>
    <row r="569" spans="1:13" ht="12.65" customHeight="1">
      <c r="A569" s="33">
        <v>43817</v>
      </c>
      <c r="B569" s="46">
        <v>8340439160.6571999</v>
      </c>
      <c r="C569" s="56">
        <v>7029970786.1996899</v>
      </c>
      <c r="F569" s="45">
        <f t="shared" si="32"/>
        <v>-1310468374.45751</v>
      </c>
      <c r="H569" s="46">
        <v>1442374000</v>
      </c>
      <c r="I569" s="50">
        <v>1447350072.2957399</v>
      </c>
      <c r="L569" s="44">
        <f t="shared" si="33"/>
        <v>-1310468374.45751</v>
      </c>
    </row>
    <row r="570" spans="1:13" ht="12.65" customHeight="1">
      <c r="A570" s="33">
        <v>43818</v>
      </c>
      <c r="B570" s="46">
        <v>8340439160.6571999</v>
      </c>
      <c r="C570" s="56">
        <v>8477510539.0987101</v>
      </c>
      <c r="F570" s="45">
        <f t="shared" si="32"/>
        <v>137071378.4415102</v>
      </c>
      <c r="H570" s="46">
        <v>1442374000</v>
      </c>
      <c r="I570" s="50">
        <v>1481682315.5184</v>
      </c>
      <c r="L570" s="44">
        <f t="shared" si="33"/>
        <v>137071378.4415102</v>
      </c>
    </row>
    <row r="571" spans="1:13" ht="12.65" customHeight="1">
      <c r="A571" s="33">
        <v>43819</v>
      </c>
      <c r="B571" s="46">
        <v>8340439160.6571999</v>
      </c>
      <c r="C571" s="56">
        <v>6803686409.8647604</v>
      </c>
      <c r="F571" s="45">
        <f t="shared" si="32"/>
        <v>-1536752750.7924395</v>
      </c>
      <c r="H571" s="46">
        <v>1442374000</v>
      </c>
      <c r="I571" s="50">
        <v>1447431158.43433</v>
      </c>
      <c r="L571" s="44">
        <f t="shared" si="33"/>
        <v>-1536752750.7924395</v>
      </c>
    </row>
    <row r="572" spans="1:13" ht="12.65" customHeight="1">
      <c r="A572" s="33">
        <v>43822</v>
      </c>
      <c r="B572" s="46">
        <v>8340439160.6571999</v>
      </c>
      <c r="C572" s="56">
        <v>10615061179.135201</v>
      </c>
      <c r="F572" s="45">
        <f t="shared" si="32"/>
        <v>2274622018.4780006</v>
      </c>
      <c r="H572" s="46">
        <v>1442374000</v>
      </c>
      <c r="I572" s="50">
        <v>1454690608.14536</v>
      </c>
      <c r="L572" s="44">
        <f t="shared" si="33"/>
        <v>2274622018.4780006</v>
      </c>
    </row>
    <row r="573" spans="1:13" ht="12.65" customHeight="1">
      <c r="A573" s="33">
        <v>43825</v>
      </c>
      <c r="B573" s="46">
        <v>8340439160.6571999</v>
      </c>
      <c r="C573" s="56">
        <v>9743125253.9866409</v>
      </c>
      <c r="F573" s="45">
        <f t="shared" si="32"/>
        <v>1402686093.3294411</v>
      </c>
      <c r="H573" s="46">
        <v>1442374000</v>
      </c>
      <c r="I573" s="50">
        <v>1477483066.4684801</v>
      </c>
      <c r="L573" s="44">
        <f t="shared" si="33"/>
        <v>1402686093.3294411</v>
      </c>
    </row>
    <row r="574" spans="1:13" ht="12.65" customHeight="1">
      <c r="A574" s="33">
        <v>43826</v>
      </c>
      <c r="B574" s="46">
        <v>8340439160.6571999</v>
      </c>
      <c r="C574" s="56">
        <v>11473161962.434299</v>
      </c>
      <c r="F574" s="45">
        <f t="shared" si="32"/>
        <v>3132722801.7770996</v>
      </c>
      <c r="H574" s="46">
        <v>1442374000</v>
      </c>
      <c r="I574" s="50">
        <v>1492443672.19768</v>
      </c>
      <c r="L574" s="44">
        <f t="shared" si="33"/>
        <v>3132722801.7770996</v>
      </c>
    </row>
    <row r="575" spans="1:13" ht="12.65" customHeight="1">
      <c r="A575" s="33">
        <v>43829</v>
      </c>
      <c r="B575" s="46">
        <v>8340439160.6571999</v>
      </c>
      <c r="C575" s="56">
        <v>6936060121.3967199</v>
      </c>
      <c r="F575" s="45">
        <f t="shared" si="32"/>
        <v>-1404379039.2604799</v>
      </c>
      <c r="H575" s="46">
        <v>1442374000</v>
      </c>
      <c r="I575" s="50">
        <v>1471697304.00738</v>
      </c>
      <c r="L575" s="44">
        <f t="shared" si="33"/>
        <v>-1404379039.2604799</v>
      </c>
    </row>
    <row r="576" spans="1:13" ht="12.65" customHeight="1">
      <c r="A576" s="33">
        <v>43830</v>
      </c>
      <c r="B576" s="46">
        <v>8340439160.6571999</v>
      </c>
      <c r="C576" s="56">
        <v>6834876686.9082603</v>
      </c>
      <c r="F576" s="45">
        <f t="shared" si="32"/>
        <v>-1505562473.7489395</v>
      </c>
      <c r="H576" s="46">
        <v>1442374000</v>
      </c>
      <c r="I576" s="50">
        <v>1486737903.31338</v>
      </c>
      <c r="L576" s="44">
        <f t="shared" ref="L576:L639" si="34">F576+M576</f>
        <v>-1461198570.4355595</v>
      </c>
      <c r="M576" s="45">
        <f t="shared" ref="M576:M639" si="35">I576-H576</f>
        <v>44363903.313380003</v>
      </c>
    </row>
    <row r="577" spans="1:13" ht="12.65" customHeight="1">
      <c r="A577" s="33">
        <v>43832</v>
      </c>
      <c r="B577" s="46">
        <v>7701510897.2375994</v>
      </c>
      <c r="C577" s="56">
        <v>14865538382.282301</v>
      </c>
      <c r="F577" s="45">
        <f t="shared" si="32"/>
        <v>7164027485.0447016</v>
      </c>
      <c r="H577" s="46">
        <v>1326429000</v>
      </c>
      <c r="I577" s="50">
        <v>1355201555.31441</v>
      </c>
      <c r="L577" s="44">
        <f t="shared" si="34"/>
        <v>7192800040.3591118</v>
      </c>
      <c r="M577" s="45">
        <f t="shared" si="35"/>
        <v>28772555.314409971</v>
      </c>
    </row>
    <row r="578" spans="1:13" ht="12.65" customHeight="1">
      <c r="A578" s="33">
        <v>43833</v>
      </c>
      <c r="B578" s="46">
        <v>7701510897.2375994</v>
      </c>
      <c r="C578" s="56">
        <v>13646003144.186899</v>
      </c>
      <c r="F578" s="45">
        <f t="shared" ref="F578:F641" si="36">C578-B578</f>
        <v>5944492246.9492998</v>
      </c>
      <c r="H578" s="46">
        <v>1326429000</v>
      </c>
      <c r="I578" s="50">
        <v>1335164347.15677</v>
      </c>
      <c r="L578" s="44">
        <f t="shared" si="34"/>
        <v>5953227594.1060696</v>
      </c>
      <c r="M578" s="45">
        <f t="shared" si="35"/>
        <v>8735347.1567699909</v>
      </c>
    </row>
    <row r="579" spans="1:13" ht="12.65" customHeight="1">
      <c r="A579" s="33">
        <v>43836</v>
      </c>
      <c r="B579" s="46">
        <v>7701510897.2375994</v>
      </c>
      <c r="C579" s="56">
        <v>8714459798.9787903</v>
      </c>
      <c r="F579" s="45">
        <f t="shared" si="36"/>
        <v>1012948901.7411909</v>
      </c>
      <c r="H579" s="46">
        <v>1326429000</v>
      </c>
      <c r="I579" s="50">
        <v>1331341721.5625701</v>
      </c>
      <c r="L579" s="44">
        <f t="shared" si="34"/>
        <v>1017861623.303761</v>
      </c>
      <c r="M579" s="45">
        <f t="shared" si="35"/>
        <v>4912721.5625700951</v>
      </c>
    </row>
    <row r="580" spans="1:13" ht="12.65" customHeight="1">
      <c r="A580" s="33">
        <v>43837</v>
      </c>
      <c r="B580" s="46">
        <v>7701510897.2375994</v>
      </c>
      <c r="C580" s="56">
        <v>6348441577.6475</v>
      </c>
      <c r="F580" s="45">
        <f t="shared" si="36"/>
        <v>-1353069319.5900993</v>
      </c>
      <c r="H580" s="46">
        <v>1326429000</v>
      </c>
      <c r="I580" s="50">
        <v>1332255981.7586601</v>
      </c>
      <c r="L580" s="44">
        <f t="shared" si="34"/>
        <v>-1347242337.8314393</v>
      </c>
      <c r="M580" s="45">
        <f t="shared" si="35"/>
        <v>5826981.758660078</v>
      </c>
    </row>
    <row r="581" spans="1:13" ht="12.65" customHeight="1">
      <c r="A581" s="33">
        <v>43838</v>
      </c>
      <c r="B581" s="46">
        <v>7701510897.2375994</v>
      </c>
      <c r="C581" s="56">
        <v>6324775011.5486403</v>
      </c>
      <c r="F581" s="45">
        <f t="shared" si="36"/>
        <v>-1376735885.6889591</v>
      </c>
      <c r="H581" s="46">
        <v>1326429000</v>
      </c>
      <c r="I581" s="50">
        <v>1329542445.6821301</v>
      </c>
      <c r="L581" s="44">
        <f t="shared" si="34"/>
        <v>-1373622440.006829</v>
      </c>
      <c r="M581" s="45">
        <f t="shared" si="35"/>
        <v>3113445.6821300983</v>
      </c>
    </row>
    <row r="582" spans="1:13" ht="12.65" customHeight="1">
      <c r="A582" s="33">
        <v>43839</v>
      </c>
      <c r="B582" s="46">
        <v>7701510897.2375994</v>
      </c>
      <c r="C582" s="56">
        <v>5831242963.8243999</v>
      </c>
      <c r="F582" s="45">
        <f t="shared" si="36"/>
        <v>-1870267933.4131994</v>
      </c>
      <c r="H582" s="46">
        <v>1326429000</v>
      </c>
      <c r="I582" s="50">
        <v>1332109335.09444</v>
      </c>
      <c r="L582" s="44">
        <f t="shared" si="34"/>
        <v>-1864587598.3187594</v>
      </c>
      <c r="M582" s="45">
        <f t="shared" si="35"/>
        <v>5680335.0944399834</v>
      </c>
    </row>
    <row r="583" spans="1:13" ht="12.65" customHeight="1">
      <c r="A583" s="33">
        <v>43840</v>
      </c>
      <c r="B583" s="46">
        <v>7701510897.2375994</v>
      </c>
      <c r="C583" s="56">
        <v>5151101796.1752005</v>
      </c>
      <c r="F583" s="45">
        <f t="shared" si="36"/>
        <v>-2550409101.0623989</v>
      </c>
      <c r="H583" s="46">
        <v>1326429000</v>
      </c>
      <c r="I583" s="50">
        <v>1332223669.27737</v>
      </c>
      <c r="L583" s="44">
        <f t="shared" si="34"/>
        <v>-2544614431.7850289</v>
      </c>
      <c r="M583" s="45">
        <f t="shared" si="35"/>
        <v>5794669.277369976</v>
      </c>
    </row>
    <row r="584" spans="1:13" ht="12.65" customHeight="1">
      <c r="A584" s="33">
        <v>43843</v>
      </c>
      <c r="B584" s="46">
        <v>7701510897.2375994</v>
      </c>
      <c r="C584" s="56">
        <v>6804214767.7655802</v>
      </c>
      <c r="F584" s="45">
        <f t="shared" si="36"/>
        <v>-897296129.4720192</v>
      </c>
      <c r="H584" s="46">
        <v>1326429000</v>
      </c>
      <c r="I584" s="50">
        <v>1347939949.6577201</v>
      </c>
      <c r="L584" s="44">
        <f t="shared" si="34"/>
        <v>-875785179.81429911</v>
      </c>
      <c r="M584" s="45">
        <f t="shared" si="35"/>
        <v>21510949.657720089</v>
      </c>
    </row>
    <row r="585" spans="1:13" ht="12.65" customHeight="1">
      <c r="A585" s="33">
        <v>43844</v>
      </c>
      <c r="B585" s="46">
        <v>7701510897.2375994</v>
      </c>
      <c r="C585" s="56">
        <v>5607346814.2432299</v>
      </c>
      <c r="F585" s="45">
        <f t="shared" si="36"/>
        <v>-2094164082.9943695</v>
      </c>
      <c r="H585" s="46">
        <v>1326429000</v>
      </c>
      <c r="I585" s="50">
        <v>1338113559.2639301</v>
      </c>
      <c r="L585" s="44">
        <f t="shared" si="34"/>
        <v>-2082479523.7304394</v>
      </c>
      <c r="M585" s="45">
        <f t="shared" si="35"/>
        <v>11684559.263930082</v>
      </c>
    </row>
    <row r="586" spans="1:13" ht="12.65" customHeight="1">
      <c r="A586" s="33">
        <v>43845</v>
      </c>
      <c r="B586" s="46">
        <v>7701510897.2375994</v>
      </c>
      <c r="C586" s="56">
        <v>4355436526.8445997</v>
      </c>
      <c r="F586" s="45">
        <f t="shared" si="36"/>
        <v>-3346074370.3929996</v>
      </c>
      <c r="H586" s="46">
        <v>1326429000</v>
      </c>
      <c r="I586" s="50">
        <v>1330080716.57727</v>
      </c>
      <c r="L586" s="44">
        <f t="shared" si="34"/>
        <v>-3342422653.8157296</v>
      </c>
      <c r="M586" s="45">
        <f t="shared" si="35"/>
        <v>3651716.577270031</v>
      </c>
    </row>
    <row r="587" spans="1:13" ht="12.65" customHeight="1">
      <c r="A587" s="33">
        <v>43846</v>
      </c>
      <c r="B587" s="46">
        <v>7575349832.7742901</v>
      </c>
      <c r="C587" s="56">
        <v>6765233835.5894604</v>
      </c>
      <c r="F587" s="45">
        <f t="shared" si="36"/>
        <v>-810115997.18482971</v>
      </c>
      <c r="H587" s="46">
        <v>1303725000</v>
      </c>
      <c r="I587" s="50">
        <v>1317713427.0599301</v>
      </c>
      <c r="L587" s="44">
        <f t="shared" si="34"/>
        <v>-796127570.12489963</v>
      </c>
      <c r="M587" s="45">
        <f t="shared" si="35"/>
        <v>13988427.059930086</v>
      </c>
    </row>
    <row r="588" spans="1:13" ht="12.65" customHeight="1">
      <c r="A588" s="33">
        <v>43847</v>
      </c>
      <c r="B588" s="46">
        <v>7575349832.7742901</v>
      </c>
      <c r="C588" s="56">
        <v>7116149325.4333897</v>
      </c>
      <c r="F588" s="45">
        <f t="shared" si="36"/>
        <v>-459200507.34090042</v>
      </c>
      <c r="H588" s="46">
        <v>1303725000</v>
      </c>
      <c r="I588" s="50">
        <v>1309724166.36939</v>
      </c>
      <c r="L588" s="44">
        <f t="shared" si="34"/>
        <v>-453201340.97151041</v>
      </c>
      <c r="M588" s="45">
        <f t="shared" si="35"/>
        <v>5999166.3693900108</v>
      </c>
    </row>
    <row r="589" spans="1:13" ht="12.65" customHeight="1">
      <c r="A589" s="33">
        <v>43850</v>
      </c>
      <c r="B589" s="46">
        <v>7575349832.7742901</v>
      </c>
      <c r="C589" s="56">
        <v>8653805744.3654404</v>
      </c>
      <c r="F589" s="45">
        <f t="shared" si="36"/>
        <v>1078455911.5911503</v>
      </c>
      <c r="H589" s="46">
        <v>1303725000</v>
      </c>
      <c r="I589" s="50">
        <v>1330989221.19361</v>
      </c>
      <c r="L589" s="44">
        <f t="shared" si="34"/>
        <v>1105720132.7847602</v>
      </c>
      <c r="M589" s="45">
        <f t="shared" si="35"/>
        <v>27264221.193609953</v>
      </c>
    </row>
    <row r="590" spans="1:13" ht="12.65" customHeight="1">
      <c r="A590" s="33">
        <v>43851</v>
      </c>
      <c r="B590" s="46">
        <v>7575349832.7742901</v>
      </c>
      <c r="C590" s="56">
        <v>11791400042.2145</v>
      </c>
      <c r="F590" s="45">
        <f t="shared" si="36"/>
        <v>4216050209.4402103</v>
      </c>
      <c r="H590" s="46">
        <v>1303725000</v>
      </c>
      <c r="I590" s="50">
        <v>1344971690.0559599</v>
      </c>
      <c r="L590" s="44">
        <f t="shared" si="34"/>
        <v>4257296899.49617</v>
      </c>
      <c r="M590" s="45">
        <f t="shared" si="35"/>
        <v>41246690.05595994</v>
      </c>
    </row>
    <row r="591" spans="1:13" ht="12.65" customHeight="1">
      <c r="A591" s="33">
        <v>43852</v>
      </c>
      <c r="B591" s="46">
        <v>7575349832.7742901</v>
      </c>
      <c r="C591" s="56">
        <v>8586060564.2004499</v>
      </c>
      <c r="F591" s="45">
        <f t="shared" si="36"/>
        <v>1010710731.4261599</v>
      </c>
      <c r="H591" s="46">
        <v>1303725000</v>
      </c>
      <c r="I591" s="50">
        <v>1314032093.07739</v>
      </c>
      <c r="L591" s="44">
        <f t="shared" si="34"/>
        <v>1021017824.5035498</v>
      </c>
      <c r="M591" s="45">
        <f t="shared" si="35"/>
        <v>10307093.077389956</v>
      </c>
    </row>
    <row r="592" spans="1:13" ht="12.65" customHeight="1">
      <c r="A592" s="33">
        <v>43853</v>
      </c>
      <c r="B592" s="46">
        <v>7575349832.7742901</v>
      </c>
      <c r="C592" s="56">
        <v>7144223748.0964098</v>
      </c>
      <c r="F592" s="45">
        <f t="shared" si="36"/>
        <v>-431126084.67788029</v>
      </c>
      <c r="H592" s="46">
        <v>1303725000</v>
      </c>
      <c r="I592" s="50">
        <v>1311608424.80322</v>
      </c>
      <c r="L592" s="44">
        <f t="shared" si="34"/>
        <v>-423242659.87466025</v>
      </c>
      <c r="M592" s="45">
        <f t="shared" si="35"/>
        <v>7883424.8032200336</v>
      </c>
    </row>
    <row r="593" spans="1:13" ht="12.65" customHeight="1">
      <c r="A593" s="33">
        <v>43854</v>
      </c>
      <c r="B593" s="46">
        <v>7575349832.7742901</v>
      </c>
      <c r="C593" s="56">
        <v>7240592747.0198498</v>
      </c>
      <c r="F593" s="45">
        <f t="shared" si="36"/>
        <v>-334757085.75444031</v>
      </c>
      <c r="H593" s="46">
        <v>1303725000</v>
      </c>
      <c r="I593" s="50">
        <v>1311639069.04214</v>
      </c>
      <c r="L593" s="44">
        <f t="shared" si="34"/>
        <v>-326843016.7123003</v>
      </c>
      <c r="M593" s="45">
        <f t="shared" si="35"/>
        <v>7914069.042140007</v>
      </c>
    </row>
    <row r="594" spans="1:13" ht="12.65" customHeight="1">
      <c r="A594" s="33">
        <v>43857</v>
      </c>
      <c r="B594" s="46">
        <v>7575349832.7742901</v>
      </c>
      <c r="C594" s="56">
        <v>7019661407.9912796</v>
      </c>
      <c r="F594" s="45">
        <f t="shared" si="36"/>
        <v>-555688424.78301048</v>
      </c>
      <c r="H594" s="46">
        <v>1303725000</v>
      </c>
      <c r="I594" s="50">
        <v>1313562473.1604099</v>
      </c>
      <c r="L594" s="44">
        <f t="shared" si="34"/>
        <v>-545850951.62260056</v>
      </c>
      <c r="M594" s="45">
        <f t="shared" si="35"/>
        <v>9837473.1604099274</v>
      </c>
    </row>
    <row r="595" spans="1:13" ht="12.65" customHeight="1">
      <c r="A595" s="33">
        <v>43858</v>
      </c>
      <c r="B595" s="46">
        <v>7575349832.7742901</v>
      </c>
      <c r="C595" s="56">
        <v>4755980761.0876904</v>
      </c>
      <c r="F595" s="45">
        <f t="shared" si="36"/>
        <v>-2819369071.6865997</v>
      </c>
      <c r="H595" s="46">
        <v>1303725000</v>
      </c>
      <c r="I595" s="50">
        <v>1305903056.3297801</v>
      </c>
      <c r="L595" s="44">
        <f t="shared" si="34"/>
        <v>-2817191015.3568196</v>
      </c>
      <c r="M595" s="45">
        <f t="shared" si="35"/>
        <v>2178056.3297801018</v>
      </c>
    </row>
    <row r="596" spans="1:13" ht="12.65" customHeight="1">
      <c r="A596" s="33">
        <v>43859</v>
      </c>
      <c r="B596" s="46">
        <v>7575349832.7742901</v>
      </c>
      <c r="C596" s="56">
        <v>8953119303.9944191</v>
      </c>
      <c r="F596" s="45">
        <f t="shared" si="36"/>
        <v>1377769471.220129</v>
      </c>
      <c r="H596" s="46">
        <v>1303725000</v>
      </c>
      <c r="I596" s="50">
        <v>1339825068.3206301</v>
      </c>
      <c r="L596" s="44">
        <f t="shared" si="34"/>
        <v>1413869539.5407591</v>
      </c>
      <c r="M596" s="45">
        <f t="shared" si="35"/>
        <v>36100068.320630074</v>
      </c>
    </row>
    <row r="597" spans="1:13" ht="12.65" customHeight="1">
      <c r="A597" s="33">
        <v>43860</v>
      </c>
      <c r="B597" s="46">
        <v>7575349832.7742901</v>
      </c>
      <c r="C597" s="56">
        <v>7827387098.1024399</v>
      </c>
      <c r="F597" s="45">
        <f t="shared" si="36"/>
        <v>252037265.3281498</v>
      </c>
      <c r="H597" s="46">
        <v>1303725000</v>
      </c>
      <c r="I597" s="50">
        <v>1311112729.1426799</v>
      </c>
      <c r="L597" s="44">
        <f t="shared" si="34"/>
        <v>259424994.47082973</v>
      </c>
      <c r="M597" s="45">
        <f t="shared" si="35"/>
        <v>7387729.1426799297</v>
      </c>
    </row>
    <row r="598" spans="1:13" ht="12.65" customHeight="1">
      <c r="A598" s="33">
        <v>43861</v>
      </c>
      <c r="B598" s="46">
        <v>7575349832.7742901</v>
      </c>
      <c r="C598" s="56">
        <v>6009240125.6251001</v>
      </c>
      <c r="F598" s="45">
        <f t="shared" si="36"/>
        <v>-1566109707.1491899</v>
      </c>
      <c r="H598" s="46">
        <v>1303725000</v>
      </c>
      <c r="I598" s="50">
        <v>1328219821.7005501</v>
      </c>
      <c r="L598" s="44">
        <f t="shared" si="34"/>
        <v>-1541614885.4486399</v>
      </c>
      <c r="M598" s="45">
        <f t="shared" si="35"/>
        <v>24494821.700550079</v>
      </c>
    </row>
    <row r="599" spans="1:13" ht="12.65" customHeight="1">
      <c r="A599" s="33">
        <v>43864</v>
      </c>
      <c r="B599" s="46">
        <v>7499543196.1691504</v>
      </c>
      <c r="C599" s="56">
        <v>7202077379.1718798</v>
      </c>
      <c r="F599" s="45">
        <f t="shared" si="36"/>
        <v>-297465816.99727058</v>
      </c>
      <c r="H599" s="46">
        <v>1340123000</v>
      </c>
      <c r="I599" s="50">
        <v>1350757147.23734</v>
      </c>
      <c r="L599" s="44">
        <f t="shared" si="34"/>
        <v>-286831669.75993061</v>
      </c>
      <c r="M599" s="45">
        <f t="shared" si="35"/>
        <v>10634147.237339973</v>
      </c>
    </row>
    <row r="600" spans="1:13" ht="12.65" customHeight="1">
      <c r="A600" s="33">
        <v>43865</v>
      </c>
      <c r="B600" s="46">
        <v>7499543196.1691504</v>
      </c>
      <c r="C600" s="56">
        <v>7697355134.1550903</v>
      </c>
      <c r="F600" s="45">
        <f t="shared" si="36"/>
        <v>197811937.98593998</v>
      </c>
      <c r="H600" s="46">
        <v>1340123000</v>
      </c>
      <c r="I600" s="50">
        <v>1348330450.8141699</v>
      </c>
      <c r="L600" s="44">
        <f t="shared" si="34"/>
        <v>206019388.80010986</v>
      </c>
      <c r="M600" s="45">
        <f t="shared" si="35"/>
        <v>8207450.8141698837</v>
      </c>
    </row>
    <row r="601" spans="1:13" ht="12.65" customHeight="1">
      <c r="A601" s="33">
        <v>43866</v>
      </c>
      <c r="B601" s="46">
        <v>7499543196.1691504</v>
      </c>
      <c r="C601" s="56">
        <v>8914263625.9564495</v>
      </c>
      <c r="F601" s="45">
        <f t="shared" si="36"/>
        <v>1414720429.7872992</v>
      </c>
      <c r="H601" s="46">
        <v>1340123000</v>
      </c>
      <c r="I601" s="50">
        <v>1348389787.9070201</v>
      </c>
      <c r="L601" s="44">
        <f t="shared" si="34"/>
        <v>1422987217.6943192</v>
      </c>
      <c r="M601" s="45">
        <f t="shared" si="35"/>
        <v>8266787.907020092</v>
      </c>
    </row>
    <row r="602" spans="1:13" ht="12.65" customHeight="1">
      <c r="A602" s="33">
        <v>43867</v>
      </c>
      <c r="B602" s="46">
        <v>7499543196.1691504</v>
      </c>
      <c r="C602" s="56">
        <v>9637355785.1631393</v>
      </c>
      <c r="F602" s="45">
        <f t="shared" si="36"/>
        <v>2137812588.993989</v>
      </c>
      <c r="H602" s="46">
        <v>1340123000</v>
      </c>
      <c r="I602" s="50">
        <v>1343793342.1036</v>
      </c>
      <c r="L602" s="44">
        <f t="shared" si="34"/>
        <v>2141482931.097589</v>
      </c>
      <c r="M602" s="45">
        <f t="shared" si="35"/>
        <v>3670342.1036000252</v>
      </c>
    </row>
    <row r="603" spans="1:13" ht="12.65" customHeight="1">
      <c r="A603" s="33">
        <v>43868</v>
      </c>
      <c r="B603" s="46">
        <v>7499543196.1691504</v>
      </c>
      <c r="C603" s="56">
        <v>8234383633.4044704</v>
      </c>
      <c r="F603" s="45">
        <f t="shared" si="36"/>
        <v>734840437.23532009</v>
      </c>
      <c r="H603" s="46">
        <v>1340123000</v>
      </c>
      <c r="I603" s="50">
        <v>1355081090.3545301</v>
      </c>
      <c r="L603" s="44">
        <f t="shared" si="34"/>
        <v>749798527.58985019</v>
      </c>
      <c r="M603" s="45">
        <f t="shared" si="35"/>
        <v>14958090.354530096</v>
      </c>
    </row>
    <row r="604" spans="1:13" ht="12.65" customHeight="1">
      <c r="A604" s="33">
        <v>43871</v>
      </c>
      <c r="B604" s="46">
        <v>7499543196.1691504</v>
      </c>
      <c r="C604" s="56">
        <v>7428489865.53016</v>
      </c>
      <c r="F604" s="45">
        <f t="shared" si="36"/>
        <v>-71053330.638990402</v>
      </c>
      <c r="H604" s="46">
        <v>1340123000</v>
      </c>
      <c r="I604" s="50">
        <v>1346336763.27917</v>
      </c>
      <c r="L604" s="44">
        <f t="shared" si="34"/>
        <v>-64839567.359820366</v>
      </c>
      <c r="M604" s="45">
        <f t="shared" si="35"/>
        <v>6213763.2791700363</v>
      </c>
    </row>
    <row r="605" spans="1:13" ht="12.65" customHeight="1">
      <c r="A605" s="33">
        <v>43872</v>
      </c>
      <c r="B605" s="46">
        <v>7499543196.1691504</v>
      </c>
      <c r="C605" s="56">
        <v>7722996748.4843397</v>
      </c>
      <c r="F605" s="45">
        <f t="shared" si="36"/>
        <v>223453552.31518936</v>
      </c>
      <c r="H605" s="46">
        <v>1340123000</v>
      </c>
      <c r="I605" s="50">
        <v>1345100313.9204299</v>
      </c>
      <c r="L605" s="44">
        <f t="shared" si="34"/>
        <v>228430866.23561931</v>
      </c>
      <c r="M605" s="45">
        <f t="shared" si="35"/>
        <v>4977313.920429945</v>
      </c>
    </row>
    <row r="606" spans="1:13" ht="12.65" customHeight="1">
      <c r="A606" s="33">
        <v>43873</v>
      </c>
      <c r="B606" s="46">
        <v>7499543196.1691504</v>
      </c>
      <c r="C606" s="56">
        <v>6348446812.6785097</v>
      </c>
      <c r="F606" s="45">
        <f t="shared" si="36"/>
        <v>-1151096383.4906406</v>
      </c>
      <c r="H606" s="46">
        <v>1340123000</v>
      </c>
      <c r="I606" s="50">
        <v>1348277006.8494501</v>
      </c>
      <c r="L606" s="44">
        <f t="shared" si="34"/>
        <v>-1142942376.6411905</v>
      </c>
      <c r="M606" s="45">
        <f t="shared" si="35"/>
        <v>8154006.8494501114</v>
      </c>
    </row>
    <row r="607" spans="1:13" ht="12.65" customHeight="1">
      <c r="A607" s="33">
        <v>43874</v>
      </c>
      <c r="B607" s="46">
        <v>7499543196.1691504</v>
      </c>
      <c r="C607" s="56">
        <v>6320700369.4772797</v>
      </c>
      <c r="F607" s="45">
        <f t="shared" si="36"/>
        <v>-1178842826.6918707</v>
      </c>
      <c r="H607" s="46">
        <v>1340123000</v>
      </c>
      <c r="I607" s="50">
        <v>1347689945.4681799</v>
      </c>
      <c r="L607" s="44">
        <f t="shared" si="34"/>
        <v>-1171275881.2236907</v>
      </c>
      <c r="M607" s="45">
        <f t="shared" si="35"/>
        <v>7566945.4681799412</v>
      </c>
    </row>
    <row r="608" spans="1:13" ht="12.65" customHeight="1">
      <c r="A608" s="33">
        <v>43875</v>
      </c>
      <c r="B608" s="46">
        <v>7499543196.1691504</v>
      </c>
      <c r="C608" s="56">
        <v>6032746533.8711395</v>
      </c>
      <c r="F608" s="45">
        <f t="shared" si="36"/>
        <v>-1466796662.2980108</v>
      </c>
      <c r="H608" s="46">
        <v>1340123000</v>
      </c>
      <c r="I608" s="50">
        <v>1353260257.44101</v>
      </c>
      <c r="L608" s="44">
        <f t="shared" si="34"/>
        <v>-1453659404.8570008</v>
      </c>
      <c r="M608" s="45">
        <f t="shared" si="35"/>
        <v>13137257.441009998</v>
      </c>
    </row>
    <row r="609" spans="1:13" ht="12.65" customHeight="1">
      <c r="A609" s="33">
        <v>43878</v>
      </c>
      <c r="B609" s="46">
        <v>7614554341.4774799</v>
      </c>
      <c r="C609" s="56">
        <v>5934016552.9081802</v>
      </c>
      <c r="F609" s="45">
        <f t="shared" si="36"/>
        <v>-1680537788.5692997</v>
      </c>
      <c r="H609" s="46">
        <v>1362356000</v>
      </c>
      <c r="I609" s="50">
        <v>895806628.50153995</v>
      </c>
      <c r="L609" s="44">
        <f t="shared" si="34"/>
        <v>-2147087160.0677598</v>
      </c>
      <c r="M609" s="45">
        <f t="shared" si="35"/>
        <v>-466549371.49846005</v>
      </c>
    </row>
    <row r="610" spans="1:13" ht="12.65" customHeight="1">
      <c r="A610" s="33">
        <v>43879</v>
      </c>
      <c r="B610" s="46">
        <v>7614554341.4774799</v>
      </c>
      <c r="C610" s="56">
        <v>7776744358.3681698</v>
      </c>
      <c r="F610" s="45">
        <f t="shared" si="36"/>
        <v>162190016.89068985</v>
      </c>
      <c r="H610" s="46">
        <v>1362356000</v>
      </c>
      <c r="I610" s="50">
        <v>911188055.71580005</v>
      </c>
      <c r="L610" s="44">
        <f t="shared" si="34"/>
        <v>-288977927.3935101</v>
      </c>
      <c r="M610" s="45">
        <f t="shared" si="35"/>
        <v>-451167944.28419995</v>
      </c>
    </row>
    <row r="611" spans="1:13" ht="12.65" customHeight="1">
      <c r="A611" s="33">
        <v>43880</v>
      </c>
      <c r="B611" s="46">
        <v>7614554341.4774799</v>
      </c>
      <c r="C611" s="56">
        <v>10311590340.724701</v>
      </c>
      <c r="F611" s="45">
        <f t="shared" si="36"/>
        <v>2697035999.247221</v>
      </c>
      <c r="H611" s="46">
        <v>1362356000</v>
      </c>
      <c r="I611" s="50">
        <v>1426437737.4095399</v>
      </c>
      <c r="L611" s="44">
        <f t="shared" si="34"/>
        <v>2761117736.6567612</v>
      </c>
      <c r="M611" s="45">
        <f t="shared" si="35"/>
        <v>64081737.409539938</v>
      </c>
    </row>
    <row r="612" spans="1:13" ht="12.65" customHeight="1">
      <c r="A612" s="33">
        <v>43881</v>
      </c>
      <c r="B612" s="46">
        <v>7614554341.4774799</v>
      </c>
      <c r="C612" s="56">
        <v>10215427535.139299</v>
      </c>
      <c r="F612" s="45">
        <f t="shared" si="36"/>
        <v>2600873193.6618195</v>
      </c>
      <c r="H612" s="46">
        <v>1362356000</v>
      </c>
      <c r="I612" s="50">
        <v>1614775724.1745501</v>
      </c>
      <c r="L612" s="44">
        <f t="shared" si="34"/>
        <v>2853292917.8363695</v>
      </c>
      <c r="M612" s="45">
        <f t="shared" si="35"/>
        <v>252419724.17455006</v>
      </c>
    </row>
    <row r="613" spans="1:13" ht="12.65" customHeight="1">
      <c r="A613" s="33">
        <v>43882</v>
      </c>
      <c r="B613" s="46">
        <v>7614554341.4774799</v>
      </c>
      <c r="C613" s="56">
        <v>10144030880.7684</v>
      </c>
      <c r="F613" s="45">
        <f t="shared" si="36"/>
        <v>2529476539.2909203</v>
      </c>
      <c r="H613" s="46">
        <v>1362356000</v>
      </c>
      <c r="I613" s="50">
        <v>1664398846.29687</v>
      </c>
      <c r="L613" s="44">
        <f t="shared" si="34"/>
        <v>2831519385.5877905</v>
      </c>
      <c r="M613" s="45">
        <f t="shared" si="35"/>
        <v>302042846.29686999</v>
      </c>
    </row>
    <row r="614" spans="1:13" ht="12.65" customHeight="1">
      <c r="A614" s="33">
        <v>43885</v>
      </c>
      <c r="B614" s="46">
        <v>7614554341.4774799</v>
      </c>
      <c r="C614" s="56">
        <v>9739092443.0639992</v>
      </c>
      <c r="F614" s="45">
        <f t="shared" si="36"/>
        <v>2124538101.5865192</v>
      </c>
      <c r="H614" s="46">
        <v>1362356000</v>
      </c>
      <c r="I614" s="50">
        <v>1503199643.37567</v>
      </c>
      <c r="L614" s="44">
        <f t="shared" si="34"/>
        <v>2265381744.9621892</v>
      </c>
      <c r="M614" s="45">
        <f t="shared" si="35"/>
        <v>140843643.37566996</v>
      </c>
    </row>
    <row r="615" spans="1:13" ht="12.65" customHeight="1">
      <c r="A615" s="33">
        <v>43886</v>
      </c>
      <c r="B615" s="46">
        <v>7614554341.4774799</v>
      </c>
      <c r="C615" s="56">
        <v>7946967007.9802799</v>
      </c>
      <c r="F615" s="45">
        <f t="shared" si="36"/>
        <v>332412666.50279999</v>
      </c>
      <c r="H615" s="46">
        <v>1362356000</v>
      </c>
      <c r="I615" s="50">
        <v>1682980272.9988999</v>
      </c>
      <c r="L615" s="44">
        <f t="shared" si="34"/>
        <v>653036939.50169992</v>
      </c>
      <c r="M615" s="45">
        <f t="shared" si="35"/>
        <v>320624272.99889994</v>
      </c>
    </row>
    <row r="616" spans="1:13" ht="12.65" customHeight="1">
      <c r="A616" s="33">
        <v>43887</v>
      </c>
      <c r="B616" s="46">
        <v>7614554341.4774799</v>
      </c>
      <c r="C616" s="56">
        <v>6220951848.2604198</v>
      </c>
      <c r="F616" s="45">
        <f t="shared" si="36"/>
        <v>-1393602493.2170601</v>
      </c>
      <c r="H616" s="46">
        <v>1362356000</v>
      </c>
      <c r="I616" s="50">
        <v>1372273444.16346</v>
      </c>
      <c r="L616" s="44">
        <f t="shared" si="34"/>
        <v>-1383685049.0536001</v>
      </c>
      <c r="M616" s="45">
        <f t="shared" si="35"/>
        <v>9917444.1634600163</v>
      </c>
    </row>
    <row r="617" spans="1:13" ht="12.65" customHeight="1">
      <c r="A617" s="33">
        <v>43888</v>
      </c>
      <c r="B617" s="46">
        <v>7614554341.4774799</v>
      </c>
      <c r="C617" s="56">
        <v>4425826407.1071596</v>
      </c>
      <c r="F617" s="45">
        <f t="shared" si="36"/>
        <v>-3188727934.3703203</v>
      </c>
      <c r="H617" s="46">
        <v>1362356000</v>
      </c>
      <c r="I617" s="50">
        <v>1365804043.3563099</v>
      </c>
      <c r="L617" s="44">
        <f t="shared" si="34"/>
        <v>-3185279891.0140104</v>
      </c>
      <c r="M617" s="45">
        <f t="shared" si="35"/>
        <v>3448043.3563098907</v>
      </c>
    </row>
    <row r="618" spans="1:13" ht="12.65" customHeight="1">
      <c r="A618" s="33">
        <v>43889</v>
      </c>
      <c r="B618" s="46">
        <v>7614554341.4774799</v>
      </c>
      <c r="C618" s="56">
        <v>4761009903.1626501</v>
      </c>
      <c r="F618" s="45">
        <f t="shared" si="36"/>
        <v>-2853544438.3148298</v>
      </c>
      <c r="H618" s="46">
        <v>1362356000</v>
      </c>
      <c r="I618" s="50">
        <v>1366233009.2075901</v>
      </c>
      <c r="L618" s="44">
        <f t="shared" si="34"/>
        <v>-2849667429.1072397</v>
      </c>
      <c r="M618" s="45">
        <f t="shared" si="35"/>
        <v>3877009.2075901031</v>
      </c>
    </row>
    <row r="619" spans="1:13" ht="12.65" customHeight="1">
      <c r="A619" s="33">
        <v>43890</v>
      </c>
      <c r="B619" s="46">
        <v>7614554341.4774799</v>
      </c>
      <c r="C619" s="56">
        <v>4761009903.1626501</v>
      </c>
      <c r="F619" s="45">
        <f t="shared" si="36"/>
        <v>-2853544438.3148298</v>
      </c>
      <c r="H619" s="46">
        <v>1362356000</v>
      </c>
      <c r="I619" s="50">
        <v>1366233009.2075901</v>
      </c>
      <c r="L619" s="44">
        <f t="shared" si="34"/>
        <v>-2849667429.1072397</v>
      </c>
      <c r="M619" s="45">
        <f t="shared" si="35"/>
        <v>3877009.2075901031</v>
      </c>
    </row>
    <row r="620" spans="1:13" ht="12.65" customHeight="1">
      <c r="A620" s="33">
        <v>43892</v>
      </c>
      <c r="B620" s="46">
        <v>7707068970.8095503</v>
      </c>
      <c r="C620" s="56">
        <v>9257600251.0018501</v>
      </c>
      <c r="F620" s="45">
        <f t="shared" si="36"/>
        <v>1550531280.1922998</v>
      </c>
      <c r="H620" s="46">
        <v>1298359000</v>
      </c>
      <c r="I620" s="50">
        <v>1017152746.36002</v>
      </c>
      <c r="L620" s="44">
        <f t="shared" si="34"/>
        <v>1269325026.55232</v>
      </c>
      <c r="M620" s="45">
        <f t="shared" si="35"/>
        <v>-281206253.63997996</v>
      </c>
    </row>
    <row r="621" spans="1:13" ht="12.65" customHeight="1">
      <c r="A621" s="33">
        <v>43893</v>
      </c>
      <c r="B621" s="46">
        <v>7707068970.8095503</v>
      </c>
      <c r="C621" s="56">
        <v>7880874358.8856897</v>
      </c>
      <c r="F621" s="45">
        <f t="shared" si="36"/>
        <v>173805388.07613945</v>
      </c>
      <c r="H621" s="46">
        <v>1298359000</v>
      </c>
      <c r="I621" s="50">
        <v>902313764.59320998</v>
      </c>
      <c r="L621" s="44">
        <f t="shared" si="34"/>
        <v>-222239847.33065057</v>
      </c>
      <c r="M621" s="45">
        <f t="shared" si="35"/>
        <v>-396045235.40679002</v>
      </c>
    </row>
    <row r="622" spans="1:13" ht="12.65" customHeight="1">
      <c r="A622" s="33">
        <v>43894</v>
      </c>
      <c r="B622" s="46">
        <v>7707068970.8095503</v>
      </c>
      <c r="C622" s="56">
        <v>8864480274.9123898</v>
      </c>
      <c r="F622" s="45">
        <f t="shared" si="36"/>
        <v>1157411304.1028395</v>
      </c>
      <c r="H622" s="46">
        <v>1298359000</v>
      </c>
      <c r="I622" s="50">
        <v>1497051432.7531099</v>
      </c>
      <c r="L622" s="44">
        <f t="shared" si="34"/>
        <v>1356103736.8559494</v>
      </c>
      <c r="M622" s="45">
        <f t="shared" si="35"/>
        <v>198692432.75310993</v>
      </c>
    </row>
    <row r="623" spans="1:13" ht="12.65" customHeight="1">
      <c r="A623" s="33">
        <v>43895</v>
      </c>
      <c r="B623" s="46">
        <v>7707068970.8095503</v>
      </c>
      <c r="C623" s="56">
        <v>8017691313.9636202</v>
      </c>
      <c r="F623" s="45">
        <f t="shared" si="36"/>
        <v>310622343.1540699</v>
      </c>
      <c r="H623" s="46">
        <v>1298359000</v>
      </c>
      <c r="I623" s="50">
        <v>1488418330.0411301</v>
      </c>
      <c r="L623" s="44">
        <f t="shared" si="34"/>
        <v>500681673.19519997</v>
      </c>
      <c r="M623" s="45">
        <f t="shared" si="35"/>
        <v>190059330.04113007</v>
      </c>
    </row>
    <row r="624" spans="1:13" ht="12.65" customHeight="1">
      <c r="A624" s="33">
        <v>43896</v>
      </c>
      <c r="B624" s="46">
        <v>7707068970.8095503</v>
      </c>
      <c r="C624" s="56">
        <v>8077751585.3713503</v>
      </c>
      <c r="F624" s="45">
        <f t="shared" si="36"/>
        <v>370682614.5618</v>
      </c>
      <c r="H624" s="46">
        <v>1298359000</v>
      </c>
      <c r="I624" s="50">
        <v>1591688063.8207901</v>
      </c>
      <c r="L624" s="44">
        <f t="shared" si="34"/>
        <v>664011678.38259006</v>
      </c>
      <c r="M624" s="45">
        <f t="shared" si="35"/>
        <v>293329063.82079005</v>
      </c>
    </row>
    <row r="625" spans="1:14" ht="12.65" customHeight="1">
      <c r="A625" s="33">
        <v>43899</v>
      </c>
      <c r="B625" s="46">
        <v>7707068970.8095503</v>
      </c>
      <c r="C625" s="56">
        <v>9597890424.9016094</v>
      </c>
      <c r="F625" s="45">
        <f t="shared" si="36"/>
        <v>1890821454.0920591</v>
      </c>
      <c r="H625" s="46">
        <v>1298359000</v>
      </c>
      <c r="I625" s="50">
        <v>1131171704.4782801</v>
      </c>
      <c r="L625" s="44">
        <f t="shared" si="34"/>
        <v>1723634158.5703392</v>
      </c>
      <c r="M625" s="45">
        <f t="shared" si="35"/>
        <v>-167187295.52171993</v>
      </c>
    </row>
    <row r="626" spans="1:14" ht="12.65" customHeight="1">
      <c r="A626" s="33">
        <v>43900</v>
      </c>
      <c r="B626" s="46">
        <v>7707068970.8095503</v>
      </c>
      <c r="C626" s="56">
        <v>7352706587.2496796</v>
      </c>
      <c r="F626" s="45">
        <f t="shared" si="36"/>
        <v>-354362383.55987072</v>
      </c>
      <c r="H626" s="46">
        <v>1298359000</v>
      </c>
      <c r="I626" s="50">
        <v>1264943798.71576</v>
      </c>
      <c r="L626" s="44">
        <f t="shared" si="34"/>
        <v>-387777584.84411073</v>
      </c>
      <c r="M626" s="45">
        <f t="shared" si="35"/>
        <v>-33415201.284240007</v>
      </c>
    </row>
    <row r="627" spans="1:14" ht="12.65" customHeight="1">
      <c r="A627" s="33">
        <v>43901</v>
      </c>
      <c r="B627" s="46">
        <v>7707068970.8095503</v>
      </c>
      <c r="C627" s="56">
        <v>7438352998.0675602</v>
      </c>
      <c r="F627" s="45">
        <f t="shared" si="36"/>
        <v>-268715972.74199009</v>
      </c>
      <c r="H627" s="46">
        <v>1298359000</v>
      </c>
      <c r="I627" s="50">
        <v>2075840352.1076</v>
      </c>
      <c r="L627" s="44">
        <f t="shared" si="34"/>
        <v>508765379.36560988</v>
      </c>
      <c r="M627" s="45">
        <f t="shared" si="35"/>
        <v>777481352.10759997</v>
      </c>
    </row>
    <row r="628" spans="1:14" ht="12.65" customHeight="1">
      <c r="A628" s="33">
        <v>43902</v>
      </c>
      <c r="B628" s="46">
        <v>7707068970.8095503</v>
      </c>
      <c r="C628" s="56">
        <v>6172677529.5761805</v>
      </c>
      <c r="F628" s="45">
        <f t="shared" si="36"/>
        <v>-1534391441.2333698</v>
      </c>
      <c r="H628" s="46">
        <v>1298359000</v>
      </c>
      <c r="I628" s="50">
        <v>1147890501.94717</v>
      </c>
      <c r="L628" s="44">
        <f t="shared" si="34"/>
        <v>-1684859939.2861998</v>
      </c>
      <c r="M628" s="45">
        <f t="shared" si="35"/>
        <v>-150468498.05282998</v>
      </c>
    </row>
    <row r="629" spans="1:14" ht="12.65" customHeight="1">
      <c r="A629" s="33">
        <v>43903</v>
      </c>
      <c r="B629" s="46">
        <v>7707068970.8095503</v>
      </c>
      <c r="C629" s="56">
        <v>5045017348.1242704</v>
      </c>
      <c r="F629" s="45">
        <f t="shared" si="36"/>
        <v>-2662051622.6852798</v>
      </c>
      <c r="H629" s="46">
        <v>1298359000</v>
      </c>
      <c r="I629" s="50">
        <v>1019696504.63537</v>
      </c>
      <c r="L629" s="44">
        <f t="shared" si="34"/>
        <v>-2940714118.0499096</v>
      </c>
      <c r="M629" s="45">
        <f t="shared" si="35"/>
        <v>-278662495.36462998</v>
      </c>
    </row>
    <row r="630" spans="1:14" ht="12.65" customHeight="1">
      <c r="A630" s="33">
        <v>43906</v>
      </c>
      <c r="B630" s="46">
        <v>7754474383.1618795</v>
      </c>
      <c r="C630" s="56">
        <v>9482844696.8479404</v>
      </c>
      <c r="F630" s="45">
        <f t="shared" si="36"/>
        <v>1728370313.6860609</v>
      </c>
      <c r="H630" s="46">
        <v>1266533000</v>
      </c>
      <c r="I630" s="50">
        <v>1748497425.1756999</v>
      </c>
      <c r="L630" s="44">
        <f t="shared" si="34"/>
        <v>2210334738.8617611</v>
      </c>
      <c r="M630" s="45">
        <f t="shared" si="35"/>
        <v>481964425.17569995</v>
      </c>
    </row>
    <row r="631" spans="1:14" ht="12.65" customHeight="1">
      <c r="A631" s="33">
        <v>43907</v>
      </c>
      <c r="B631" s="46">
        <v>7754474383.1618795</v>
      </c>
      <c r="C631" s="56">
        <v>10144993671.699699</v>
      </c>
      <c r="F631" s="45">
        <f t="shared" si="36"/>
        <v>2390519288.5378199</v>
      </c>
      <c r="H631" s="46">
        <v>1266533000</v>
      </c>
      <c r="I631" s="50">
        <v>1234935095.7746</v>
      </c>
      <c r="L631" s="44">
        <f t="shared" si="34"/>
        <v>2358921384.3124199</v>
      </c>
      <c r="M631" s="45">
        <f t="shared" si="35"/>
        <v>-31597904.225399971</v>
      </c>
    </row>
    <row r="632" spans="1:14" ht="12.65" customHeight="1">
      <c r="A632" s="33">
        <v>43908</v>
      </c>
      <c r="B632" s="46">
        <v>7754474383.1618795</v>
      </c>
      <c r="C632" s="56">
        <v>7804757662.5763302</v>
      </c>
      <c r="F632" s="45">
        <f t="shared" si="36"/>
        <v>50283279.414450645</v>
      </c>
      <c r="H632" s="46">
        <v>1266533000</v>
      </c>
      <c r="I632" s="50">
        <v>1368175861.0230801</v>
      </c>
      <c r="L632" s="44">
        <f t="shared" si="34"/>
        <v>151926140.43753076</v>
      </c>
      <c r="M632" s="45">
        <f t="shared" si="35"/>
        <v>101642861.02308011</v>
      </c>
    </row>
    <row r="633" spans="1:14" ht="12.65" customHeight="1">
      <c r="A633" s="33">
        <v>43909</v>
      </c>
      <c r="B633" s="46">
        <v>7754474383.1618795</v>
      </c>
      <c r="C633" s="56">
        <v>9629935140.6414509</v>
      </c>
      <c r="F633" s="45">
        <f t="shared" si="36"/>
        <v>1875460757.4795713</v>
      </c>
      <c r="H633" s="46">
        <v>1266533000</v>
      </c>
      <c r="I633" s="50">
        <v>1315652113.55374</v>
      </c>
      <c r="L633" s="44">
        <f t="shared" si="34"/>
        <v>1924579871.0333114</v>
      </c>
      <c r="M633" s="45">
        <f t="shared" si="35"/>
        <v>49119113.553740025</v>
      </c>
    </row>
    <row r="634" spans="1:14" ht="12.65" customHeight="1">
      <c r="A634" s="33">
        <v>43910</v>
      </c>
      <c r="B634" s="46">
        <v>7754474383.1618795</v>
      </c>
      <c r="C634" s="56">
        <v>6651484064.8789997</v>
      </c>
      <c r="F634" s="45">
        <f t="shared" si="36"/>
        <v>-1102990318.2828798</v>
      </c>
      <c r="H634" s="46">
        <v>1266533000</v>
      </c>
      <c r="I634" s="50">
        <v>1101720474.257</v>
      </c>
      <c r="L634" s="44">
        <f t="shared" si="34"/>
        <v>-1267802844.0258799</v>
      </c>
      <c r="M634" s="45">
        <f t="shared" si="35"/>
        <v>-164812525.74300003</v>
      </c>
    </row>
    <row r="635" spans="1:14" ht="12.65" customHeight="1">
      <c r="A635" s="33">
        <v>43913</v>
      </c>
      <c r="B635" s="46">
        <v>7754474383.1618795</v>
      </c>
      <c r="C635" s="56">
        <v>10120106144.7915</v>
      </c>
      <c r="F635" s="45">
        <f t="shared" si="36"/>
        <v>2365631761.6296206</v>
      </c>
      <c r="H635" s="46">
        <v>1266533000</v>
      </c>
      <c r="I635" s="50">
        <v>2235506720.7066598</v>
      </c>
      <c r="L635" s="44">
        <f t="shared" si="34"/>
        <v>3334605482.3362803</v>
      </c>
      <c r="M635" s="45">
        <f t="shared" si="35"/>
        <v>968973720.70665979</v>
      </c>
    </row>
    <row r="636" spans="1:14" ht="12.65" customHeight="1">
      <c r="A636" s="33">
        <v>43914</v>
      </c>
      <c r="B636" s="46">
        <v>7754474383.1618795</v>
      </c>
      <c r="C636" s="56">
        <v>6851344298.9980602</v>
      </c>
      <c r="F636" s="45">
        <f t="shared" si="36"/>
        <v>-903130084.16381931</v>
      </c>
      <c r="H636" s="46">
        <v>1266533000</v>
      </c>
      <c r="I636" s="50">
        <v>2282800628.4938698</v>
      </c>
      <c r="L636" s="44">
        <f t="shared" si="34"/>
        <v>113137544.33005047</v>
      </c>
      <c r="M636" s="45">
        <f t="shared" si="35"/>
        <v>1016267628.4938698</v>
      </c>
    </row>
    <row r="637" spans="1:14" ht="12.65" customHeight="1">
      <c r="A637" s="33">
        <v>43915</v>
      </c>
      <c r="B637" s="46">
        <v>7754474383.1618795</v>
      </c>
      <c r="C637" s="56">
        <v>6851344298.9980602</v>
      </c>
      <c r="F637" s="45">
        <f t="shared" si="36"/>
        <v>-903130084.16381931</v>
      </c>
      <c r="H637" s="46">
        <v>1266533000</v>
      </c>
      <c r="I637" s="50">
        <v>2282800628.4938698</v>
      </c>
      <c r="L637" s="44">
        <f t="shared" si="34"/>
        <v>113137544.33005047</v>
      </c>
      <c r="M637" s="45">
        <f t="shared" si="35"/>
        <v>1016267628.4938698</v>
      </c>
      <c r="N637" s="1537"/>
    </row>
    <row r="638" spans="1:14" ht="12.65" customHeight="1">
      <c r="A638" s="33">
        <v>43916</v>
      </c>
      <c r="B638" s="46">
        <v>7754474383.1618795</v>
      </c>
      <c r="C638" s="56">
        <v>8694077423.1054993</v>
      </c>
      <c r="F638" s="45">
        <f t="shared" si="36"/>
        <v>939603039.94361973</v>
      </c>
      <c r="H638" s="46">
        <v>1266533000</v>
      </c>
      <c r="I638" s="50">
        <v>707114260.19196999</v>
      </c>
      <c r="L638" s="44">
        <f t="shared" si="34"/>
        <v>380184300.13558972</v>
      </c>
      <c r="M638" s="45">
        <f t="shared" si="35"/>
        <v>-559418739.80803001</v>
      </c>
    </row>
    <row r="639" spans="1:14" ht="12.65" customHeight="1">
      <c r="A639" s="33">
        <v>43917</v>
      </c>
      <c r="B639" s="46">
        <v>7754474383.1618795</v>
      </c>
      <c r="C639" s="56">
        <v>6516177138.1131697</v>
      </c>
      <c r="F639" s="45">
        <f t="shared" si="36"/>
        <v>-1238297245.0487099</v>
      </c>
      <c r="H639" s="46">
        <v>1266533000</v>
      </c>
      <c r="I639" s="50">
        <v>702464798.16722</v>
      </c>
      <c r="L639" s="44">
        <f t="shared" si="34"/>
        <v>-1802365446.8814898</v>
      </c>
      <c r="M639" s="45">
        <f t="shared" si="35"/>
        <v>-564068201.83278</v>
      </c>
    </row>
    <row r="640" spans="1:14" ht="12.65" customHeight="1">
      <c r="A640" s="33">
        <v>43920</v>
      </c>
      <c r="B640" s="46">
        <v>7754474383.1618795</v>
      </c>
      <c r="C640" s="56">
        <v>5949982406.6075802</v>
      </c>
      <c r="F640" s="45">
        <f t="shared" si="36"/>
        <v>-1804491976.5542994</v>
      </c>
      <c r="H640" s="46">
        <v>1266533000</v>
      </c>
      <c r="I640" s="50">
        <v>733006092.82138002</v>
      </c>
      <c r="L640" s="44">
        <f t="shared" ref="L640:L703" si="37">F640+M640</f>
        <v>-2338018883.7329192</v>
      </c>
      <c r="M640" s="45">
        <f t="shared" ref="M640:M703" si="38">I640-H640</f>
        <v>-533526907.17861998</v>
      </c>
    </row>
    <row r="641" spans="1:14" ht="12.65" customHeight="1">
      <c r="A641" s="33">
        <v>43921</v>
      </c>
      <c r="B641" s="46">
        <v>7754474383.1618795</v>
      </c>
      <c r="C641" s="56">
        <v>3988951403.3294101</v>
      </c>
      <c r="F641" s="45">
        <f t="shared" si="36"/>
        <v>-3765522979.8324695</v>
      </c>
      <c r="H641" s="46">
        <v>1266533000</v>
      </c>
      <c r="I641" s="50">
        <v>626538095.39163005</v>
      </c>
      <c r="L641" s="44">
        <f t="shared" si="37"/>
        <v>-4405517884.4408398</v>
      </c>
      <c r="M641" s="45">
        <f t="shared" si="38"/>
        <v>-639994904.60836995</v>
      </c>
    </row>
    <row r="642" spans="1:14" ht="12.65" customHeight="1">
      <c r="A642" s="33">
        <v>43922</v>
      </c>
      <c r="B642" s="46">
        <v>7866796847.3594704</v>
      </c>
      <c r="C642" s="56">
        <v>8753364030.5963802</v>
      </c>
      <c r="F642" s="45">
        <f t="shared" ref="F642:F705" si="39">C642-B642</f>
        <v>886567183.23690987</v>
      </c>
      <c r="H642" s="46">
        <v>1209573000</v>
      </c>
      <c r="I642" s="50">
        <v>1334367723.19012</v>
      </c>
      <c r="L642" s="44">
        <f t="shared" si="37"/>
        <v>1011361906.4270298</v>
      </c>
      <c r="M642" s="45">
        <f t="shared" si="38"/>
        <v>124794723.19011998</v>
      </c>
    </row>
    <row r="643" spans="1:14" ht="12.65" customHeight="1">
      <c r="A643" s="33">
        <v>43923</v>
      </c>
      <c r="B643" s="46">
        <v>7866796847.3594704</v>
      </c>
      <c r="C643" s="56">
        <v>7391336362.6035404</v>
      </c>
      <c r="F643" s="45">
        <f t="shared" si="39"/>
        <v>-475460484.75592995</v>
      </c>
      <c r="H643" s="46">
        <v>1209573000</v>
      </c>
      <c r="I643" s="50">
        <v>1026387489.04432</v>
      </c>
      <c r="L643" s="44">
        <f t="shared" si="37"/>
        <v>-658645995.71160996</v>
      </c>
      <c r="M643" s="45">
        <f t="shared" si="38"/>
        <v>-183185510.95568001</v>
      </c>
      <c r="N643" s="1537"/>
    </row>
    <row r="644" spans="1:14" ht="12.65" customHeight="1">
      <c r="A644" s="33">
        <v>43924</v>
      </c>
      <c r="B644" s="46">
        <v>7866796847.3594704</v>
      </c>
      <c r="C644" s="56">
        <v>7256637593.0490198</v>
      </c>
      <c r="F644" s="45">
        <f t="shared" si="39"/>
        <v>-610159254.31045055</v>
      </c>
      <c r="H644" s="46">
        <v>1209573000</v>
      </c>
      <c r="I644" s="50">
        <v>1116144787.9858201</v>
      </c>
      <c r="L644" s="44">
        <f t="shared" si="37"/>
        <v>-703587466.3246305</v>
      </c>
      <c r="M644" s="45">
        <f t="shared" si="38"/>
        <v>-93428212.014179945</v>
      </c>
    </row>
    <row r="645" spans="1:14" ht="12.65" customHeight="1">
      <c r="A645" s="33">
        <v>43927</v>
      </c>
      <c r="B645" s="46">
        <v>7866796847.3594704</v>
      </c>
      <c r="C645" s="56">
        <v>12569019361.047199</v>
      </c>
      <c r="F645" s="45">
        <f t="shared" si="39"/>
        <v>4702222513.6877289</v>
      </c>
      <c r="H645" s="46">
        <v>1209573000</v>
      </c>
      <c r="I645" s="50">
        <v>2408080049.4676399</v>
      </c>
      <c r="L645" s="44">
        <f t="shared" si="37"/>
        <v>5900729563.1553688</v>
      </c>
      <c r="M645" s="45">
        <f t="shared" si="38"/>
        <v>1198507049.4676399</v>
      </c>
    </row>
    <row r="646" spans="1:14" ht="12.65" customHeight="1">
      <c r="A646" s="33">
        <v>43928</v>
      </c>
      <c r="B646" s="46">
        <v>7866796847.3594704</v>
      </c>
      <c r="C646" s="56">
        <v>10877163057.2742</v>
      </c>
      <c r="F646" s="45">
        <f t="shared" si="39"/>
        <v>3010366209.9147301</v>
      </c>
      <c r="H646" s="46">
        <v>1209573000</v>
      </c>
      <c r="I646" s="50">
        <v>3197179645.9141502</v>
      </c>
      <c r="L646" s="44">
        <f t="shared" si="37"/>
        <v>4997972855.8288803</v>
      </c>
      <c r="M646" s="45">
        <f t="shared" si="38"/>
        <v>1987606645.9141502</v>
      </c>
    </row>
    <row r="647" spans="1:14" ht="12.65" customHeight="1">
      <c r="A647" s="33">
        <v>43929</v>
      </c>
      <c r="B647" s="46">
        <v>7866796847.3594704</v>
      </c>
      <c r="C647" s="56">
        <v>9038697019.9806595</v>
      </c>
      <c r="F647" s="45">
        <f t="shared" si="39"/>
        <v>1171900172.6211891</v>
      </c>
      <c r="H647" s="46">
        <v>1209573000</v>
      </c>
      <c r="I647" s="50">
        <v>659748250.58422005</v>
      </c>
      <c r="L647" s="44">
        <f t="shared" si="37"/>
        <v>622075423.20540917</v>
      </c>
      <c r="M647" s="45">
        <f t="shared" si="38"/>
        <v>-549824749.41577995</v>
      </c>
    </row>
    <row r="648" spans="1:14" ht="12.65" customHeight="1">
      <c r="A648" s="33">
        <v>43930</v>
      </c>
      <c r="B648" s="46">
        <v>7866796847.3594704</v>
      </c>
      <c r="C648" s="56">
        <v>9232161551.1498203</v>
      </c>
      <c r="F648" s="45">
        <f t="shared" si="39"/>
        <v>1365364703.79035</v>
      </c>
      <c r="H648" s="46">
        <v>1209573000</v>
      </c>
      <c r="I648" s="50">
        <v>657076094.47465003</v>
      </c>
      <c r="L648" s="44">
        <f t="shared" si="37"/>
        <v>812867798.26499999</v>
      </c>
      <c r="M648" s="45">
        <f t="shared" si="38"/>
        <v>-552496905.52534997</v>
      </c>
    </row>
    <row r="649" spans="1:14" ht="12.65" customHeight="1">
      <c r="A649" s="33">
        <v>43934</v>
      </c>
      <c r="B649" s="46">
        <v>7866796847.3594704</v>
      </c>
      <c r="C649" s="56">
        <v>5258307999.3214903</v>
      </c>
      <c r="F649" s="45">
        <f t="shared" si="39"/>
        <v>-2608488848.0379801</v>
      </c>
      <c r="H649" s="46">
        <v>1209573000</v>
      </c>
      <c r="I649" s="50">
        <v>656793691.34814</v>
      </c>
      <c r="L649" s="44">
        <f t="shared" si="37"/>
        <v>-3161268156.6898403</v>
      </c>
      <c r="M649" s="45">
        <f t="shared" si="38"/>
        <v>-552779308.65186</v>
      </c>
    </row>
    <row r="650" spans="1:14" ht="12.65" customHeight="1">
      <c r="A650" s="33">
        <v>43935</v>
      </c>
      <c r="B650" s="46">
        <v>7866796847.3594704</v>
      </c>
      <c r="C650" s="56">
        <v>4589334584.4694405</v>
      </c>
      <c r="F650" s="45">
        <f t="shared" si="39"/>
        <v>-3277462262.8900299</v>
      </c>
      <c r="H650" s="46">
        <v>1209573000</v>
      </c>
      <c r="I650" s="50">
        <v>603031915.50343001</v>
      </c>
      <c r="L650" s="44">
        <f t="shared" si="37"/>
        <v>-3884003347.3866</v>
      </c>
      <c r="M650" s="45">
        <f t="shared" si="38"/>
        <v>-606541084.49656999</v>
      </c>
    </row>
    <row r="651" spans="1:14" ht="12.65" customHeight="1">
      <c r="A651" s="33">
        <v>43936</v>
      </c>
      <c r="B651" s="46">
        <v>7866796847.3594704</v>
      </c>
      <c r="C651" s="56">
        <v>4490683732.2873697</v>
      </c>
      <c r="F651" s="45">
        <f t="shared" si="39"/>
        <v>-3376113115.0721006</v>
      </c>
      <c r="H651" s="46">
        <v>1209573000</v>
      </c>
      <c r="I651" s="50">
        <v>600767164.65465999</v>
      </c>
      <c r="L651" s="44">
        <f t="shared" si="37"/>
        <v>-3984918950.4174404</v>
      </c>
      <c r="M651" s="45">
        <f t="shared" si="38"/>
        <v>-608805835.34534001</v>
      </c>
    </row>
    <row r="652" spans="1:14" ht="12.65" customHeight="1">
      <c r="A652" s="33">
        <v>43937</v>
      </c>
      <c r="B652" s="46">
        <v>7258550749.9904099</v>
      </c>
      <c r="C652" s="56">
        <v>6852532734.42313</v>
      </c>
      <c r="F652" s="45">
        <f t="shared" si="39"/>
        <v>-406018015.56727982</v>
      </c>
      <c r="H652" s="46">
        <v>1053320000</v>
      </c>
      <c r="I652" s="50">
        <v>1935027881.7816601</v>
      </c>
      <c r="L652" s="44">
        <f t="shared" si="37"/>
        <v>475689866.21438026</v>
      </c>
      <c r="M652" s="45">
        <f t="shared" si="38"/>
        <v>881707881.78166008</v>
      </c>
    </row>
    <row r="653" spans="1:14" ht="12.65" customHeight="1">
      <c r="A653" s="33">
        <v>43938</v>
      </c>
      <c r="B653" s="46">
        <v>7258550750.9904099</v>
      </c>
      <c r="C653" s="56">
        <v>9632212431.7969494</v>
      </c>
      <c r="F653" s="45">
        <f t="shared" si="39"/>
        <v>2373661680.8065395</v>
      </c>
      <c r="H653" s="46">
        <v>1053320000</v>
      </c>
      <c r="I653" s="50">
        <v>1736184366.69454</v>
      </c>
      <c r="L653" s="44">
        <f t="shared" si="37"/>
        <v>3056526047.5010796</v>
      </c>
      <c r="M653" s="45">
        <f t="shared" si="38"/>
        <v>682864366.69454002</v>
      </c>
    </row>
    <row r="654" spans="1:14" ht="12.65" customHeight="1">
      <c r="A654" s="33">
        <v>43941</v>
      </c>
      <c r="B654" s="46">
        <v>7258550751.9904099</v>
      </c>
      <c r="C654" s="56">
        <v>9331377372.1958008</v>
      </c>
      <c r="F654" s="45">
        <f t="shared" si="39"/>
        <v>2072826620.2053909</v>
      </c>
      <c r="H654" s="46">
        <v>1053320000</v>
      </c>
      <c r="I654" s="50">
        <v>1950252942.60724</v>
      </c>
      <c r="L654" s="44">
        <f t="shared" si="37"/>
        <v>2969759562.8126307</v>
      </c>
      <c r="M654" s="45">
        <f t="shared" si="38"/>
        <v>896932942.60723996</v>
      </c>
    </row>
    <row r="655" spans="1:14" ht="12.65" customHeight="1">
      <c r="A655" s="33">
        <v>43942</v>
      </c>
      <c r="B655" s="46">
        <v>7258550752.9904099</v>
      </c>
      <c r="C655" s="56">
        <v>7840577936.1078901</v>
      </c>
      <c r="F655" s="45">
        <f t="shared" si="39"/>
        <v>582027183.11748028</v>
      </c>
      <c r="H655" s="46">
        <v>1053320000</v>
      </c>
      <c r="I655" s="50">
        <v>1704574141.90413</v>
      </c>
      <c r="L655" s="44">
        <f t="shared" si="37"/>
        <v>1233281325.0216103</v>
      </c>
      <c r="M655" s="45">
        <f t="shared" si="38"/>
        <v>651254141.90412998</v>
      </c>
    </row>
    <row r="656" spans="1:14" ht="12.65" customHeight="1">
      <c r="A656" s="33">
        <v>43943</v>
      </c>
      <c r="B656" s="46">
        <v>7258550753.9904099</v>
      </c>
      <c r="C656" s="56">
        <v>8235121608.7948103</v>
      </c>
      <c r="F656" s="45">
        <f t="shared" si="39"/>
        <v>976570854.80440044</v>
      </c>
      <c r="H656" s="46">
        <v>1053320000</v>
      </c>
      <c r="I656" s="50">
        <v>631433871.57723999</v>
      </c>
      <c r="L656" s="44">
        <f t="shared" si="37"/>
        <v>554684726.38164043</v>
      </c>
      <c r="M656" s="45">
        <f t="shared" si="38"/>
        <v>-421886128.42276001</v>
      </c>
    </row>
    <row r="657" spans="1:13" ht="12.65" customHeight="1">
      <c r="A657" s="33">
        <v>43944</v>
      </c>
      <c r="B657" s="46">
        <v>7258550754.9904099</v>
      </c>
      <c r="C657" s="56">
        <v>8182114446.5603199</v>
      </c>
      <c r="F657" s="45">
        <f t="shared" si="39"/>
        <v>923563691.56991005</v>
      </c>
      <c r="H657" s="46">
        <v>1053320000</v>
      </c>
      <c r="I657" s="50">
        <v>633725463.75706995</v>
      </c>
      <c r="L657" s="44">
        <f t="shared" si="37"/>
        <v>503969155.32697999</v>
      </c>
      <c r="M657" s="45">
        <f t="shared" si="38"/>
        <v>-419594536.24293005</v>
      </c>
    </row>
    <row r="658" spans="1:13" ht="12.65" customHeight="1">
      <c r="A658" s="33">
        <v>43945</v>
      </c>
      <c r="B658" s="46">
        <v>7258550755.9904099</v>
      </c>
      <c r="C658" s="56">
        <v>8493487506.5846901</v>
      </c>
      <c r="F658" s="45">
        <f t="shared" si="39"/>
        <v>1234936750.5942802</v>
      </c>
      <c r="H658" s="46">
        <v>1053320000</v>
      </c>
      <c r="I658" s="50">
        <v>640160892.76066005</v>
      </c>
      <c r="L658" s="44">
        <f t="shared" si="37"/>
        <v>821777643.3549403</v>
      </c>
      <c r="M658" s="45">
        <f t="shared" si="38"/>
        <v>-413159107.23933995</v>
      </c>
    </row>
    <row r="659" spans="1:13" ht="12.65" customHeight="1">
      <c r="A659" s="33">
        <v>43948</v>
      </c>
      <c r="B659" s="46">
        <v>7258550756.9904099</v>
      </c>
      <c r="C659" s="56">
        <v>7103798542.5163698</v>
      </c>
      <c r="F659" s="45">
        <f t="shared" si="39"/>
        <v>-154752214.47404003</v>
      </c>
      <c r="H659" s="46">
        <v>1053320000</v>
      </c>
      <c r="I659" s="50">
        <v>607554284.00623</v>
      </c>
      <c r="L659" s="44">
        <f t="shared" si="37"/>
        <v>-600517930.46781003</v>
      </c>
      <c r="M659" s="45">
        <f t="shared" si="38"/>
        <v>-445765715.99377</v>
      </c>
    </row>
    <row r="660" spans="1:13" ht="12.65" customHeight="1">
      <c r="A660" s="33">
        <v>43949</v>
      </c>
      <c r="B660" s="46">
        <v>7258550757.9904099</v>
      </c>
      <c r="C660" s="56">
        <v>5701134296.7792597</v>
      </c>
      <c r="F660" s="45">
        <f t="shared" si="39"/>
        <v>-1557416461.2111502</v>
      </c>
      <c r="H660" s="46">
        <v>1053320000</v>
      </c>
      <c r="I660" s="50">
        <v>661256235.94690001</v>
      </c>
      <c r="L660" s="44">
        <f t="shared" si="37"/>
        <v>-1949480225.2642503</v>
      </c>
      <c r="M660" s="45">
        <f t="shared" si="38"/>
        <v>-392063764.05309999</v>
      </c>
    </row>
    <row r="661" spans="1:13" ht="12.65" customHeight="1">
      <c r="A661" s="33">
        <v>43950</v>
      </c>
      <c r="B661" s="46">
        <v>7258550758.9904099</v>
      </c>
      <c r="C661" s="56">
        <v>5579614015.2989397</v>
      </c>
      <c r="F661" s="45">
        <f t="shared" si="39"/>
        <v>-1678936743.6914701</v>
      </c>
      <c r="H661" s="46">
        <v>1053320000</v>
      </c>
      <c r="I661" s="50">
        <v>681499411.11537004</v>
      </c>
      <c r="L661" s="44">
        <f t="shared" si="37"/>
        <v>-2050757332.5761001</v>
      </c>
      <c r="M661" s="45">
        <f t="shared" si="38"/>
        <v>-371820588.88462996</v>
      </c>
    </row>
    <row r="662" spans="1:13" ht="12.65" customHeight="1">
      <c r="A662" s="33">
        <v>43951</v>
      </c>
      <c r="B662" s="46">
        <v>7258550759.9904099</v>
      </c>
      <c r="C662" s="56">
        <v>3719075365.48387</v>
      </c>
      <c r="F662" s="45">
        <f t="shared" si="39"/>
        <v>-3539475394.5065398</v>
      </c>
      <c r="H662" s="46">
        <v>1053320000</v>
      </c>
      <c r="I662" s="50">
        <v>631158628.70730996</v>
      </c>
      <c r="L662" s="44">
        <f t="shared" si="37"/>
        <v>-3961636765.7992296</v>
      </c>
      <c r="M662" s="45">
        <f t="shared" si="38"/>
        <v>-422161371.29269004</v>
      </c>
    </row>
    <row r="663" spans="1:13" ht="12.65" customHeight="1">
      <c r="A663" s="33">
        <v>43955</v>
      </c>
      <c r="B663" s="46">
        <v>4350599330.6977596</v>
      </c>
      <c r="C663" s="56">
        <v>6763830412.77911</v>
      </c>
      <c r="F663" s="45">
        <f t="shared" si="39"/>
        <v>2413231082.0813503</v>
      </c>
      <c r="H663" s="46">
        <v>875366000</v>
      </c>
      <c r="I663" s="50">
        <v>2426449283.0589499</v>
      </c>
      <c r="L663" s="44">
        <f t="shared" si="37"/>
        <v>3964314365.1403003</v>
      </c>
      <c r="M663" s="45">
        <f t="shared" si="38"/>
        <v>1551083283.0589499</v>
      </c>
    </row>
    <row r="664" spans="1:13" ht="12.65" customHeight="1">
      <c r="A664" s="33">
        <v>43956</v>
      </c>
      <c r="B664" s="46">
        <v>4350599330.6977596</v>
      </c>
      <c r="C664" s="56">
        <v>6888092270.26194</v>
      </c>
      <c r="F664" s="45">
        <f t="shared" si="39"/>
        <v>2537492939.5641804</v>
      </c>
      <c r="H664" s="46">
        <v>875366000</v>
      </c>
      <c r="I664" s="50">
        <v>2598797100.1943498</v>
      </c>
      <c r="L664" s="44">
        <f t="shared" si="37"/>
        <v>4260924039.7585301</v>
      </c>
      <c r="M664" s="45">
        <f t="shared" si="38"/>
        <v>1723431100.1943498</v>
      </c>
    </row>
    <row r="665" spans="1:13" ht="12.65" customHeight="1">
      <c r="A665" s="33">
        <v>43957</v>
      </c>
      <c r="B665" s="46">
        <v>4350599330.6977596</v>
      </c>
      <c r="C665" s="56">
        <v>3799228414.1351299</v>
      </c>
      <c r="F665" s="45">
        <f t="shared" si="39"/>
        <v>-551370916.5626297</v>
      </c>
      <c r="H665" s="46">
        <v>875366000</v>
      </c>
      <c r="I665" s="50">
        <v>456119478.68763</v>
      </c>
      <c r="L665" s="44">
        <f t="shared" si="37"/>
        <v>-970617437.87499976</v>
      </c>
      <c r="M665" s="45">
        <f t="shared" si="38"/>
        <v>-419246521.31237</v>
      </c>
    </row>
    <row r="666" spans="1:13" ht="12.65" customHeight="1">
      <c r="A666" s="33">
        <v>43959</v>
      </c>
      <c r="B666" s="46">
        <v>4350599330.6977596</v>
      </c>
      <c r="C666" s="56">
        <v>5561865454.47612</v>
      </c>
      <c r="F666" s="45">
        <f t="shared" si="39"/>
        <v>1211266123.7783604</v>
      </c>
      <c r="H666" s="46">
        <v>875366000</v>
      </c>
      <c r="I666" s="50">
        <v>453368062.58542001</v>
      </c>
      <c r="L666" s="44">
        <f t="shared" si="37"/>
        <v>789268186.36378038</v>
      </c>
      <c r="M666" s="45">
        <f t="shared" si="38"/>
        <v>-421997937.41457999</v>
      </c>
    </row>
    <row r="667" spans="1:13" ht="12.65" customHeight="1">
      <c r="A667" s="33">
        <v>43962</v>
      </c>
      <c r="B667" s="46">
        <v>4350599330.6977596</v>
      </c>
      <c r="C667" s="56">
        <v>5606007858.2741804</v>
      </c>
      <c r="F667" s="45">
        <f t="shared" si="39"/>
        <v>1255408527.5764208</v>
      </c>
      <c r="H667" s="46">
        <v>875366000</v>
      </c>
      <c r="I667" s="50">
        <v>459776440.39340001</v>
      </c>
      <c r="L667" s="44">
        <f t="shared" si="37"/>
        <v>839818967.96982074</v>
      </c>
      <c r="M667" s="45">
        <f t="shared" si="38"/>
        <v>-415589559.60659999</v>
      </c>
    </row>
    <row r="668" spans="1:13" ht="12.65" customHeight="1">
      <c r="A668" s="33">
        <v>43963</v>
      </c>
      <c r="B668" s="46">
        <v>4350599330.6977596</v>
      </c>
      <c r="C668" s="56">
        <v>2823808412.4290099</v>
      </c>
      <c r="F668" s="45">
        <f t="shared" si="39"/>
        <v>-1526790918.2687497</v>
      </c>
      <c r="H668" s="46">
        <v>875366000</v>
      </c>
      <c r="I668" s="50">
        <v>419676294.477</v>
      </c>
      <c r="L668" s="44">
        <f t="shared" si="37"/>
        <v>-1982480623.7917497</v>
      </c>
      <c r="M668" s="45">
        <f t="shared" si="38"/>
        <v>-455689705.523</v>
      </c>
    </row>
    <row r="669" spans="1:13" ht="12.65" customHeight="1">
      <c r="A669" s="33">
        <v>43964</v>
      </c>
      <c r="B669" s="46">
        <v>4350599330.6977596</v>
      </c>
      <c r="C669" s="56">
        <v>2824967040.2884598</v>
      </c>
      <c r="F669" s="45">
        <f t="shared" si="39"/>
        <v>-1525632290.4092999</v>
      </c>
      <c r="H669" s="46">
        <v>875366000</v>
      </c>
      <c r="I669" s="50">
        <v>402378877.74791998</v>
      </c>
      <c r="L669" s="44">
        <f t="shared" si="37"/>
        <v>-1998619412.6613798</v>
      </c>
      <c r="M669" s="45">
        <f t="shared" si="38"/>
        <v>-472987122.25208002</v>
      </c>
    </row>
    <row r="670" spans="1:13" ht="12.65" customHeight="1">
      <c r="A670" s="33">
        <v>43965</v>
      </c>
      <c r="B670" s="46">
        <v>4350599330.6977596</v>
      </c>
      <c r="C670" s="56">
        <v>2839403580.8991799</v>
      </c>
      <c r="F670" s="45">
        <f t="shared" si="39"/>
        <v>-1511195749.7985797</v>
      </c>
      <c r="H670" s="46">
        <v>875366000</v>
      </c>
      <c r="I670" s="50">
        <v>400707278.63559002</v>
      </c>
      <c r="L670" s="44">
        <f t="shared" si="37"/>
        <v>-1985854471.1629896</v>
      </c>
      <c r="M670" s="45">
        <f t="shared" si="38"/>
        <v>-474658721.36440998</v>
      </c>
    </row>
    <row r="671" spans="1:13" ht="12.65" customHeight="1">
      <c r="A671" s="33">
        <v>43966</v>
      </c>
      <c r="B671" s="46">
        <v>4350599330.6977596</v>
      </c>
      <c r="C671" s="56">
        <v>2793590291.5425</v>
      </c>
      <c r="F671" s="45">
        <f t="shared" si="39"/>
        <v>-1557009039.1552596</v>
      </c>
      <c r="H671" s="46">
        <v>875366000</v>
      </c>
      <c r="I671" s="50">
        <v>404592119.52849001</v>
      </c>
      <c r="L671" s="44">
        <f t="shared" si="37"/>
        <v>-2027782919.6267695</v>
      </c>
      <c r="M671" s="45">
        <f t="shared" si="38"/>
        <v>-470773880.47150999</v>
      </c>
    </row>
    <row r="672" spans="1:13" ht="12.65" customHeight="1">
      <c r="A672" s="33">
        <v>43969</v>
      </c>
      <c r="B672" s="46">
        <v>4394129039.1138697</v>
      </c>
      <c r="C672" s="56">
        <v>6908926162.3541498</v>
      </c>
      <c r="F672" s="45">
        <f t="shared" si="39"/>
        <v>2514797123.2402802</v>
      </c>
      <c r="H672" s="46">
        <v>906058000</v>
      </c>
      <c r="I672" s="50">
        <v>1998943009.64327</v>
      </c>
      <c r="L672" s="44">
        <f t="shared" si="37"/>
        <v>3607682132.8835502</v>
      </c>
      <c r="M672" s="45">
        <f t="shared" si="38"/>
        <v>1092885009.64327</v>
      </c>
    </row>
    <row r="673" spans="1:13" ht="12.65" customHeight="1">
      <c r="A673" s="33">
        <v>43970</v>
      </c>
      <c r="B673" s="46">
        <v>4394129039.1138697</v>
      </c>
      <c r="C673" s="56">
        <v>6705958145.3239803</v>
      </c>
      <c r="F673" s="45">
        <f t="shared" si="39"/>
        <v>2311829106.2101107</v>
      </c>
      <c r="H673" s="46">
        <v>906058000</v>
      </c>
      <c r="I673" s="50">
        <v>1220636241.4695001</v>
      </c>
      <c r="L673" s="44">
        <f t="shared" si="37"/>
        <v>2626407347.6796107</v>
      </c>
      <c r="M673" s="45">
        <f t="shared" si="38"/>
        <v>314578241.46950006</v>
      </c>
    </row>
    <row r="674" spans="1:13" ht="12.65" customHeight="1">
      <c r="A674" s="33">
        <v>43971</v>
      </c>
      <c r="B674" s="46">
        <v>4394129039.1138697</v>
      </c>
      <c r="C674" s="56">
        <v>3630524648.11134</v>
      </c>
      <c r="F674" s="45">
        <f t="shared" si="39"/>
        <v>-763604391.00252962</v>
      </c>
      <c r="H674" s="46">
        <v>906058000</v>
      </c>
      <c r="I674" s="50">
        <v>695251527.15260994</v>
      </c>
      <c r="L674" s="44">
        <f t="shared" si="37"/>
        <v>-974410863.84991968</v>
      </c>
      <c r="M674" s="45">
        <f t="shared" si="38"/>
        <v>-210806472.84739006</v>
      </c>
    </row>
    <row r="675" spans="1:13" ht="12.65" customHeight="1">
      <c r="A675" s="33">
        <v>43977</v>
      </c>
      <c r="B675" s="46">
        <v>4394129039.1138697</v>
      </c>
      <c r="C675" s="56">
        <v>6298221057.4384699</v>
      </c>
      <c r="F675" s="45">
        <f t="shared" si="39"/>
        <v>1904092018.3246002</v>
      </c>
      <c r="H675" s="46">
        <v>906058000</v>
      </c>
      <c r="I675" s="50">
        <v>663435799.83562005</v>
      </c>
      <c r="L675" s="44">
        <f t="shared" si="37"/>
        <v>1661469818.1602201</v>
      </c>
      <c r="M675" s="45">
        <f t="shared" si="38"/>
        <v>-242622200.16437995</v>
      </c>
    </row>
    <row r="676" spans="1:13" ht="12.65" customHeight="1">
      <c r="A676" s="33">
        <v>43978</v>
      </c>
      <c r="B676" s="46">
        <v>4394129039.1138697</v>
      </c>
      <c r="C676" s="56">
        <v>2658995076.63906</v>
      </c>
      <c r="F676" s="45">
        <f t="shared" si="39"/>
        <v>-1735133962.4748096</v>
      </c>
      <c r="H676" s="46">
        <v>906058000</v>
      </c>
      <c r="I676" s="50">
        <v>651727889.97240996</v>
      </c>
      <c r="L676" s="44">
        <f t="shared" si="37"/>
        <v>-1989464072.5023997</v>
      </c>
      <c r="M676" s="45">
        <f t="shared" si="38"/>
        <v>-254330110.02759004</v>
      </c>
    </row>
    <row r="677" spans="1:13" ht="12.65" customHeight="1">
      <c r="A677" s="33">
        <v>43979</v>
      </c>
      <c r="B677" s="46">
        <v>4394129039.1138697</v>
      </c>
      <c r="C677" s="56">
        <v>2714805846.0197701</v>
      </c>
      <c r="F677" s="45">
        <f t="shared" si="39"/>
        <v>-1679323193.0940995</v>
      </c>
      <c r="H677" s="46">
        <v>906058000</v>
      </c>
      <c r="I677" s="50">
        <v>620668642.39303994</v>
      </c>
      <c r="L677" s="44">
        <f t="shared" si="37"/>
        <v>-1964712550.7010596</v>
      </c>
      <c r="M677" s="45">
        <f t="shared" si="38"/>
        <v>-285389357.60696006</v>
      </c>
    </row>
    <row r="678" spans="1:13" ht="12.65" customHeight="1">
      <c r="A678" s="33">
        <v>43980</v>
      </c>
      <c r="B678" s="46">
        <v>4394129039.1138697</v>
      </c>
      <c r="C678" s="56">
        <v>2495970918.2248702</v>
      </c>
      <c r="F678" s="45">
        <f t="shared" si="39"/>
        <v>-1898158120.8889995</v>
      </c>
      <c r="H678" s="46">
        <v>906058000</v>
      </c>
      <c r="I678" s="50">
        <v>602214310.76751995</v>
      </c>
      <c r="L678" s="44">
        <f t="shared" si="37"/>
        <v>-2202001810.1214795</v>
      </c>
      <c r="M678" s="45">
        <f t="shared" si="38"/>
        <v>-303843689.23248005</v>
      </c>
    </row>
    <row r="679" spans="1:13" ht="12.65" customHeight="1">
      <c r="A679" s="33">
        <v>43982</v>
      </c>
      <c r="B679" s="46">
        <v>4394129039.1138697</v>
      </c>
      <c r="C679" s="56">
        <v>2495970918.2248702</v>
      </c>
      <c r="F679" s="45">
        <f t="shared" si="39"/>
        <v>-1898158120.8889995</v>
      </c>
      <c r="H679" s="46">
        <v>906058000</v>
      </c>
      <c r="I679" s="50">
        <v>602214310.76751995</v>
      </c>
      <c r="L679" s="44">
        <f t="shared" si="37"/>
        <v>-2202001810.1214795</v>
      </c>
      <c r="M679" s="45">
        <f t="shared" si="38"/>
        <v>-303843689.23248005</v>
      </c>
    </row>
    <row r="680" spans="1:13" ht="12.65" customHeight="1">
      <c r="A680" s="33">
        <v>43984</v>
      </c>
      <c r="B680" s="46">
        <v>4357623400.2450199</v>
      </c>
      <c r="C680" s="56">
        <v>6821529679.0634604</v>
      </c>
      <c r="F680" s="45">
        <f t="shared" si="39"/>
        <v>2463906278.8184404</v>
      </c>
      <c r="H680" s="46">
        <v>919038000</v>
      </c>
      <c r="I680" s="50">
        <v>765028939.15884995</v>
      </c>
      <c r="L680" s="44">
        <f t="shared" si="37"/>
        <v>2309897217.9772902</v>
      </c>
      <c r="M680" s="45">
        <f t="shared" si="38"/>
        <v>-154009060.84115005</v>
      </c>
    </row>
    <row r="681" spans="1:13" ht="12.65" customHeight="1">
      <c r="A681" s="33">
        <v>43985</v>
      </c>
      <c r="B681" s="46">
        <v>4357623400.2450199</v>
      </c>
      <c r="C681" s="56">
        <v>7447909358.5213404</v>
      </c>
      <c r="F681" s="45">
        <f t="shared" si="39"/>
        <v>3090285958.2763205</v>
      </c>
      <c r="H681" s="46">
        <v>919038000</v>
      </c>
      <c r="I681" s="50">
        <v>963794272.97573996</v>
      </c>
      <c r="L681" s="44">
        <f t="shared" si="37"/>
        <v>3135042231.2520604</v>
      </c>
      <c r="M681" s="45">
        <f t="shared" si="38"/>
        <v>44756272.975739956</v>
      </c>
    </row>
    <row r="682" spans="1:13" ht="12.65" customHeight="1">
      <c r="A682" s="33">
        <v>43986</v>
      </c>
      <c r="B682" s="46">
        <v>4357623400.2450199</v>
      </c>
      <c r="C682" s="56">
        <v>5924095977.7469196</v>
      </c>
      <c r="F682" s="45">
        <f t="shared" si="39"/>
        <v>1566472577.5018997</v>
      </c>
      <c r="H682" s="46">
        <v>919038000</v>
      </c>
      <c r="I682" s="50">
        <v>1045482814.49419</v>
      </c>
      <c r="L682" s="44">
        <f t="shared" si="37"/>
        <v>1692917391.9960897</v>
      </c>
      <c r="M682" s="45">
        <f t="shared" si="38"/>
        <v>126444814.49418998</v>
      </c>
    </row>
    <row r="683" spans="1:13" ht="12.65" customHeight="1">
      <c r="A683" s="33">
        <v>43987</v>
      </c>
      <c r="B683" s="46">
        <v>4357623400.2450199</v>
      </c>
      <c r="C683" s="56">
        <v>5064586073.9127798</v>
      </c>
      <c r="F683" s="45">
        <f t="shared" si="39"/>
        <v>706962673.6677599</v>
      </c>
      <c r="H683" s="46">
        <v>919038000</v>
      </c>
      <c r="I683" s="50">
        <v>1221730005.1106999</v>
      </c>
      <c r="L683" s="44">
        <f t="shared" si="37"/>
        <v>1009654678.7784598</v>
      </c>
      <c r="M683" s="45">
        <f t="shared" si="38"/>
        <v>302692005.11069989</v>
      </c>
    </row>
    <row r="684" spans="1:13" ht="12.65" customHeight="1">
      <c r="A684" s="33">
        <v>43990</v>
      </c>
      <c r="B684" s="46">
        <v>4357623400.2450199</v>
      </c>
      <c r="C684" s="56">
        <v>5005164023.7538204</v>
      </c>
      <c r="F684" s="45">
        <f t="shared" si="39"/>
        <v>647540623.50880051</v>
      </c>
      <c r="H684" s="46">
        <v>919038000</v>
      </c>
      <c r="I684" s="50">
        <v>794625815.93692005</v>
      </c>
      <c r="L684" s="44">
        <f t="shared" si="37"/>
        <v>523128439.44572055</v>
      </c>
      <c r="M684" s="45">
        <f t="shared" si="38"/>
        <v>-124412184.06307995</v>
      </c>
    </row>
    <row r="685" spans="1:13" ht="12.65" customHeight="1">
      <c r="A685" s="33">
        <v>43991</v>
      </c>
      <c r="B685" s="46">
        <v>4357623400.2450199</v>
      </c>
      <c r="C685" s="56">
        <v>2779410328.71839</v>
      </c>
      <c r="F685" s="45">
        <f t="shared" si="39"/>
        <v>-1578213071.5266299</v>
      </c>
      <c r="H685" s="46">
        <v>919038000</v>
      </c>
      <c r="I685" s="50">
        <v>787833902.07881999</v>
      </c>
      <c r="L685" s="44">
        <f t="shared" si="37"/>
        <v>-1709417169.4478099</v>
      </c>
      <c r="M685" s="45">
        <f t="shared" si="38"/>
        <v>-131204097.92118001</v>
      </c>
    </row>
    <row r="686" spans="1:13" ht="12.65" customHeight="1">
      <c r="A686" s="33">
        <v>43992</v>
      </c>
      <c r="B686" s="46">
        <v>4357623400.2450199</v>
      </c>
      <c r="C686" s="56">
        <v>3920725832.1058102</v>
      </c>
      <c r="F686" s="45">
        <f t="shared" si="39"/>
        <v>-436897568.13920975</v>
      </c>
      <c r="H686" s="46">
        <v>919038000</v>
      </c>
      <c r="I686" s="50">
        <v>607806113.64832997</v>
      </c>
      <c r="L686" s="44">
        <f t="shared" si="37"/>
        <v>-748129454.49087977</v>
      </c>
      <c r="M686" s="45">
        <f t="shared" si="38"/>
        <v>-311231886.35167003</v>
      </c>
    </row>
    <row r="687" spans="1:13" ht="12.65" customHeight="1">
      <c r="A687" s="33">
        <v>43993</v>
      </c>
      <c r="B687" s="46">
        <v>4357623400.2450199</v>
      </c>
      <c r="C687" s="56">
        <v>2731945265.47225</v>
      </c>
      <c r="F687" s="45">
        <f t="shared" si="39"/>
        <v>-1625678134.7727699</v>
      </c>
      <c r="H687" s="46">
        <v>919038000</v>
      </c>
      <c r="I687" s="50">
        <v>1233287688.97015</v>
      </c>
      <c r="L687" s="44">
        <f t="shared" si="37"/>
        <v>-1311428445.8026199</v>
      </c>
      <c r="M687" s="45">
        <f t="shared" si="38"/>
        <v>314249688.97014999</v>
      </c>
    </row>
    <row r="688" spans="1:13" ht="12.65" customHeight="1">
      <c r="A688" s="33">
        <v>43994</v>
      </c>
      <c r="B688" s="46">
        <v>4357623400.2450199</v>
      </c>
      <c r="C688" s="56">
        <v>2302676864.21736</v>
      </c>
      <c r="F688" s="45">
        <f t="shared" si="39"/>
        <v>-2054946536.0276599</v>
      </c>
      <c r="H688" s="46">
        <v>919038000</v>
      </c>
      <c r="I688" s="50">
        <v>932987298.95308006</v>
      </c>
      <c r="L688" s="44">
        <f t="shared" si="37"/>
        <v>-2040997237.0745797</v>
      </c>
      <c r="M688" s="45">
        <f t="shared" si="38"/>
        <v>13949298.953080058</v>
      </c>
    </row>
    <row r="689" spans="1:13" ht="12.65" customHeight="1">
      <c r="A689" s="33">
        <v>43997</v>
      </c>
      <c r="B689" s="46">
        <f>4357784.86690771*1000</f>
        <v>4357784866.9077101</v>
      </c>
      <c r="C689" s="56">
        <v>2322115008.0413699</v>
      </c>
      <c r="F689" s="45">
        <f t="shared" si="39"/>
        <v>-2035669858.8663402</v>
      </c>
      <c r="H689" s="46">
        <v>905382000</v>
      </c>
      <c r="I689" s="50">
        <v>1004011748.5417399</v>
      </c>
      <c r="L689" s="44">
        <f t="shared" si="37"/>
        <v>-1937040110.3246002</v>
      </c>
      <c r="M689" s="45">
        <f t="shared" si="38"/>
        <v>98629748.541739941</v>
      </c>
    </row>
    <row r="690" spans="1:13" ht="12.65" customHeight="1">
      <c r="A690" s="33">
        <v>43998</v>
      </c>
      <c r="B690" s="46">
        <v>4357784866.9077101</v>
      </c>
      <c r="C690" s="56">
        <v>4082319603.1700902</v>
      </c>
      <c r="F690" s="45">
        <f t="shared" si="39"/>
        <v>-275465263.73761988</v>
      </c>
      <c r="H690" s="46">
        <v>905382000</v>
      </c>
      <c r="I690" s="50">
        <v>910493011.80520999</v>
      </c>
      <c r="L690" s="44">
        <f t="shared" si="37"/>
        <v>-270354251.93240988</v>
      </c>
      <c r="M690" s="45">
        <f t="shared" si="38"/>
        <v>5111011.8052099943</v>
      </c>
    </row>
    <row r="691" spans="1:13" ht="12.65" customHeight="1">
      <c r="A691" s="33">
        <v>43999</v>
      </c>
      <c r="B691" s="46">
        <v>4357784866.9077101</v>
      </c>
      <c r="C691" s="56">
        <v>6034615446.99893</v>
      </c>
      <c r="F691" s="45">
        <f t="shared" si="39"/>
        <v>1676830580.0912199</v>
      </c>
      <c r="H691" s="46">
        <v>905382000</v>
      </c>
      <c r="I691" s="50">
        <v>918972712.00279999</v>
      </c>
      <c r="L691" s="44">
        <f t="shared" si="37"/>
        <v>1690421292.0940199</v>
      </c>
      <c r="M691" s="45">
        <f t="shared" si="38"/>
        <v>13590712.002799988</v>
      </c>
    </row>
    <row r="692" spans="1:13" ht="12.65" customHeight="1">
      <c r="A692" s="33">
        <v>44000</v>
      </c>
      <c r="B692" s="46">
        <v>4357784866.9077101</v>
      </c>
      <c r="C692" s="56">
        <v>5643519897.0186396</v>
      </c>
      <c r="F692" s="45">
        <f t="shared" si="39"/>
        <v>1285735030.1109295</v>
      </c>
      <c r="H692" s="46">
        <v>905382000</v>
      </c>
      <c r="I692" s="50">
        <v>911858622.84233999</v>
      </c>
      <c r="L692" s="44">
        <f t="shared" si="37"/>
        <v>1292211652.9532695</v>
      </c>
      <c r="M692" s="45">
        <f t="shared" si="38"/>
        <v>6476622.8423399925</v>
      </c>
    </row>
    <row r="693" spans="1:13" ht="12.65" customHeight="1">
      <c r="A693" s="33">
        <v>44001</v>
      </c>
      <c r="B693" s="46">
        <v>4357784866.9077101</v>
      </c>
      <c r="C693" s="56">
        <v>4580612446.9091797</v>
      </c>
      <c r="F693" s="45">
        <f t="shared" si="39"/>
        <v>222827580.00146961</v>
      </c>
      <c r="H693" s="46">
        <v>905382000</v>
      </c>
      <c r="I693" s="50">
        <v>854169480.48365998</v>
      </c>
      <c r="L693" s="44">
        <f t="shared" si="37"/>
        <v>171615060.48512959</v>
      </c>
      <c r="M693" s="45">
        <f t="shared" si="38"/>
        <v>-51212519.516340017</v>
      </c>
    </row>
    <row r="694" spans="1:13" ht="12.65" customHeight="1">
      <c r="A694" s="33">
        <v>44004</v>
      </c>
      <c r="B694" s="46">
        <v>4357784866.9077101</v>
      </c>
      <c r="C694" s="56">
        <v>4672614132.3379698</v>
      </c>
      <c r="F694" s="45">
        <f t="shared" si="39"/>
        <v>314829265.4302597</v>
      </c>
      <c r="H694" s="46">
        <v>905382000</v>
      </c>
      <c r="I694" s="50">
        <v>1225542911.1700399</v>
      </c>
      <c r="L694" s="44">
        <f t="shared" si="37"/>
        <v>634990176.6002996</v>
      </c>
      <c r="M694" s="45">
        <f t="shared" si="38"/>
        <v>320160911.17003989</v>
      </c>
    </row>
    <row r="695" spans="1:13" ht="12.65" customHeight="1">
      <c r="A695" s="33">
        <v>44005</v>
      </c>
      <c r="B695" s="46">
        <v>4357784866.9077101</v>
      </c>
      <c r="C695" s="56">
        <v>5139515655.70123</v>
      </c>
      <c r="F695" s="45">
        <f t="shared" si="39"/>
        <v>781730788.79351997</v>
      </c>
      <c r="H695" s="46">
        <v>905382000</v>
      </c>
      <c r="I695" s="50">
        <v>936534045.58719003</v>
      </c>
      <c r="L695" s="44">
        <f t="shared" si="37"/>
        <v>812882834.38071001</v>
      </c>
      <c r="M695" s="45">
        <f t="shared" si="38"/>
        <v>31152045.587190032</v>
      </c>
    </row>
    <row r="696" spans="1:13" ht="12.65" customHeight="1">
      <c r="A696" s="33">
        <v>44006</v>
      </c>
      <c r="B696" s="46">
        <v>4357784866.9077101</v>
      </c>
      <c r="C696" s="56">
        <v>4722172389.7372398</v>
      </c>
      <c r="F696" s="45">
        <f t="shared" si="39"/>
        <v>364387522.82952976</v>
      </c>
      <c r="H696" s="46">
        <v>905382000</v>
      </c>
      <c r="I696" s="50">
        <v>935356150.43376005</v>
      </c>
      <c r="L696" s="44">
        <f t="shared" si="37"/>
        <v>394361673.26328981</v>
      </c>
      <c r="M696" s="45">
        <f t="shared" si="38"/>
        <v>29974150.433760047</v>
      </c>
    </row>
    <row r="697" spans="1:13" ht="12.65" customHeight="1">
      <c r="A697" s="33">
        <v>44007</v>
      </c>
      <c r="B697" s="46">
        <v>4357784866.9077101</v>
      </c>
      <c r="C697" s="56">
        <v>2890041081.8871198</v>
      </c>
      <c r="F697" s="45">
        <f t="shared" si="39"/>
        <v>-1467743785.0205903</v>
      </c>
      <c r="H697" s="46">
        <v>905382000</v>
      </c>
      <c r="I697" s="50">
        <v>795632375.61916006</v>
      </c>
      <c r="L697" s="44">
        <f t="shared" si="37"/>
        <v>-1577493409.4014301</v>
      </c>
      <c r="M697" s="45">
        <f t="shared" si="38"/>
        <v>-109749624.38083994</v>
      </c>
    </row>
    <row r="698" spans="1:13" ht="12.65" customHeight="1">
      <c r="A698" s="33">
        <v>44008</v>
      </c>
      <c r="B698" s="46">
        <v>4357784866.9077101</v>
      </c>
      <c r="C698" s="56">
        <v>5393736963.5383701</v>
      </c>
      <c r="F698" s="45">
        <f t="shared" si="39"/>
        <v>1035952096.6306601</v>
      </c>
      <c r="H698" s="46">
        <v>905382000</v>
      </c>
      <c r="I698" s="50">
        <v>995604628.30675995</v>
      </c>
      <c r="L698" s="44">
        <f t="shared" si="37"/>
        <v>1126174724.9374199</v>
      </c>
      <c r="M698" s="45">
        <f t="shared" si="38"/>
        <v>90222628.306759953</v>
      </c>
    </row>
    <row r="699" spans="1:13" ht="12.65" customHeight="1">
      <c r="A699" s="33">
        <v>44011</v>
      </c>
      <c r="B699" s="46">
        <v>4357784866.9077101</v>
      </c>
      <c r="C699" s="56">
        <v>2855344434.73949</v>
      </c>
      <c r="F699" s="45">
        <f t="shared" si="39"/>
        <v>-1502440432.16822</v>
      </c>
      <c r="H699" s="46">
        <v>905382000</v>
      </c>
      <c r="I699" s="50">
        <v>947116937.13523996</v>
      </c>
      <c r="L699" s="44">
        <f t="shared" si="37"/>
        <v>-1460705495.03298</v>
      </c>
      <c r="M699" s="45">
        <f t="shared" si="38"/>
        <v>41734937.135239959</v>
      </c>
    </row>
    <row r="700" spans="1:13" ht="12.65" customHeight="1">
      <c r="A700" s="33">
        <v>44012</v>
      </c>
      <c r="B700" s="46">
        <v>4357784866.9077101</v>
      </c>
      <c r="C700" s="56">
        <v>2275978295.81216</v>
      </c>
      <c r="F700" s="45">
        <f t="shared" si="39"/>
        <v>-2081806571.0955501</v>
      </c>
      <c r="H700" s="46">
        <v>905382000</v>
      </c>
      <c r="I700" s="50">
        <v>1308763863.9208</v>
      </c>
      <c r="L700" s="44">
        <f t="shared" si="37"/>
        <v>-1678424707.1747501</v>
      </c>
      <c r="M700" s="45">
        <f t="shared" si="38"/>
        <v>403381863.92079997</v>
      </c>
    </row>
    <row r="701" spans="1:13" ht="12.65" customHeight="1">
      <c r="A701" s="33">
        <v>44013</v>
      </c>
      <c r="B701" s="46">
        <v>4429350779.5671701</v>
      </c>
      <c r="C701" s="56">
        <v>6495767410.4213305</v>
      </c>
      <c r="F701" s="45">
        <f t="shared" si="39"/>
        <v>2066416630.8541603</v>
      </c>
      <c r="H701" s="46">
        <v>854068000</v>
      </c>
      <c r="I701" s="50">
        <v>1463087169.1263399</v>
      </c>
      <c r="L701" s="44">
        <f t="shared" si="37"/>
        <v>2675435799.9805002</v>
      </c>
      <c r="M701" s="45">
        <f t="shared" si="38"/>
        <v>609019169.12633991</v>
      </c>
    </row>
    <row r="702" spans="1:13" ht="12.65" customHeight="1">
      <c r="A702" s="33">
        <v>44014</v>
      </c>
      <c r="B702" s="46">
        <v>4429350779.5671701</v>
      </c>
      <c r="C702" s="56">
        <v>2856452023.8585901</v>
      </c>
      <c r="F702" s="45">
        <f t="shared" si="39"/>
        <v>-1572898755.70858</v>
      </c>
      <c r="H702" s="46">
        <v>854068000</v>
      </c>
      <c r="I702" s="50">
        <v>846830564.33788002</v>
      </c>
      <c r="L702" s="44">
        <f t="shared" si="37"/>
        <v>-1580136191.3706999</v>
      </c>
      <c r="M702" s="45">
        <f t="shared" si="38"/>
        <v>-7237435.6621199846</v>
      </c>
    </row>
    <row r="703" spans="1:13" ht="12.65" customHeight="1">
      <c r="A703" s="33">
        <v>44015</v>
      </c>
      <c r="B703" s="46">
        <v>4429350779.5671701</v>
      </c>
      <c r="C703" s="56">
        <v>3464298997.7350502</v>
      </c>
      <c r="F703" s="45">
        <f t="shared" si="39"/>
        <v>-965051781.83211994</v>
      </c>
      <c r="H703" s="46">
        <v>854068000</v>
      </c>
      <c r="I703" s="50">
        <v>849548724.20747006</v>
      </c>
      <c r="L703" s="44">
        <f t="shared" si="37"/>
        <v>-969571057.62464988</v>
      </c>
      <c r="M703" s="45">
        <f t="shared" si="38"/>
        <v>-4519275.7925299406</v>
      </c>
    </row>
    <row r="704" spans="1:13" ht="12.65" customHeight="1">
      <c r="A704" s="33">
        <v>44018</v>
      </c>
      <c r="B704" s="46">
        <v>4429350779.5671701</v>
      </c>
      <c r="C704" s="56">
        <v>6257994567.15417</v>
      </c>
      <c r="F704" s="45">
        <f t="shared" si="39"/>
        <v>1828643787.5869999</v>
      </c>
      <c r="H704" s="46">
        <v>854068000</v>
      </c>
      <c r="I704" s="50">
        <v>1381013678.65606</v>
      </c>
      <c r="L704" s="44">
        <f t="shared" ref="L704:L767" si="40">F704+M704</f>
        <v>2355589466.2430601</v>
      </c>
      <c r="M704" s="45">
        <f t="shared" ref="M704:M767" si="41">I704-H704</f>
        <v>526945678.65605998</v>
      </c>
    </row>
    <row r="705" spans="1:13" ht="12.65" customHeight="1">
      <c r="A705" s="33">
        <v>44019</v>
      </c>
      <c r="B705" s="46">
        <v>4429350779.5671701</v>
      </c>
      <c r="C705" s="56">
        <v>7732139479.7130604</v>
      </c>
      <c r="F705" s="45">
        <f t="shared" si="39"/>
        <v>3302788700.1458902</v>
      </c>
      <c r="H705" s="46">
        <v>854068000</v>
      </c>
      <c r="I705" s="50">
        <v>1409203200.4762199</v>
      </c>
      <c r="L705" s="44">
        <f t="shared" si="40"/>
        <v>3857923900.6221104</v>
      </c>
      <c r="M705" s="45">
        <f t="shared" si="41"/>
        <v>555135200.47621989</v>
      </c>
    </row>
    <row r="706" spans="1:13" ht="12.65" customHeight="1">
      <c r="A706" s="33">
        <v>44020</v>
      </c>
      <c r="B706" s="46">
        <v>4429350779.5671701</v>
      </c>
      <c r="C706" s="56">
        <v>5959504774.7871904</v>
      </c>
      <c r="F706" s="45">
        <f t="shared" ref="F706:F769" si="42">C706-B706</f>
        <v>1530153995.2200203</v>
      </c>
      <c r="H706" s="46">
        <v>854068000</v>
      </c>
      <c r="I706" s="50">
        <v>609677193.12353003</v>
      </c>
      <c r="L706" s="44">
        <f t="shared" si="40"/>
        <v>1285763188.3435502</v>
      </c>
      <c r="M706" s="45">
        <f t="shared" si="41"/>
        <v>-244390806.87646997</v>
      </c>
    </row>
    <row r="707" spans="1:13" ht="12.65" customHeight="1">
      <c r="A707" s="33">
        <v>44021</v>
      </c>
      <c r="B707" s="46">
        <v>4429350779.5671701</v>
      </c>
      <c r="C707" s="56">
        <v>5457156155.8952503</v>
      </c>
      <c r="F707" s="45">
        <f t="shared" si="42"/>
        <v>1027805376.3280802</v>
      </c>
      <c r="H707" s="46">
        <v>854068000</v>
      </c>
      <c r="I707" s="50">
        <v>648073205.59914994</v>
      </c>
      <c r="L707" s="44">
        <f t="shared" si="40"/>
        <v>821810581.92723012</v>
      </c>
      <c r="M707" s="45">
        <f t="shared" si="41"/>
        <v>-205994794.40085006</v>
      </c>
    </row>
    <row r="708" spans="1:13" ht="12.65" customHeight="1">
      <c r="A708" s="33">
        <v>44022</v>
      </c>
      <c r="B708" s="46">
        <v>4429350779.5671701</v>
      </c>
      <c r="C708" s="56">
        <v>2827044179.30722</v>
      </c>
      <c r="F708" s="45">
        <f t="shared" si="42"/>
        <v>-1602306600.2599502</v>
      </c>
      <c r="H708" s="46">
        <v>854068000</v>
      </c>
      <c r="I708" s="50">
        <v>607956305.51977003</v>
      </c>
      <c r="L708" s="44">
        <f t="shared" si="40"/>
        <v>-1848418294.74018</v>
      </c>
      <c r="M708" s="45">
        <f t="shared" si="41"/>
        <v>-246111694.48022997</v>
      </c>
    </row>
    <row r="709" spans="1:13" ht="12.65" customHeight="1">
      <c r="A709" s="33">
        <v>44025</v>
      </c>
      <c r="B709" s="46">
        <v>4429350779.5671701</v>
      </c>
      <c r="C709" s="56">
        <v>2710129003.3552699</v>
      </c>
      <c r="F709" s="45">
        <f t="shared" si="42"/>
        <v>-1719221776.2119002</v>
      </c>
      <c r="H709" s="46">
        <v>854068000</v>
      </c>
      <c r="I709" s="50">
        <v>613950338.70562005</v>
      </c>
      <c r="L709" s="44">
        <f t="shared" si="40"/>
        <v>-1959339437.5062802</v>
      </c>
      <c r="M709" s="45">
        <f t="shared" si="41"/>
        <v>-240117661.29437995</v>
      </c>
    </row>
    <row r="710" spans="1:13" ht="12.65" customHeight="1">
      <c r="A710" s="33">
        <v>44026</v>
      </c>
      <c r="B710" s="46">
        <v>4429350779.5671701</v>
      </c>
      <c r="C710" s="56">
        <v>2875366771.6788001</v>
      </c>
      <c r="F710" s="45">
        <f t="shared" si="42"/>
        <v>-1553984007.88837</v>
      </c>
      <c r="H710" s="46">
        <v>854068000</v>
      </c>
      <c r="I710" s="50">
        <v>592831356.73435998</v>
      </c>
      <c r="L710" s="44">
        <f t="shared" si="40"/>
        <v>-1815220651.1540101</v>
      </c>
      <c r="M710" s="45">
        <f t="shared" si="41"/>
        <v>-261236643.26564002</v>
      </c>
    </row>
    <row r="711" spans="1:13" ht="12.65" customHeight="1">
      <c r="A711" s="33">
        <v>44027</v>
      </c>
      <c r="B711" s="46">
        <v>4429350779.5671701</v>
      </c>
      <c r="C711" s="56">
        <v>2774217182.97332</v>
      </c>
      <c r="F711" s="45">
        <f t="shared" si="42"/>
        <v>-1655133596.5938501</v>
      </c>
      <c r="H711" s="46">
        <v>854068000</v>
      </c>
      <c r="I711" s="50">
        <v>537983589.17003</v>
      </c>
      <c r="L711" s="44">
        <f t="shared" si="40"/>
        <v>-1971218007.42382</v>
      </c>
      <c r="M711" s="45">
        <f t="shared" si="41"/>
        <v>-316084410.82997</v>
      </c>
    </row>
    <row r="712" spans="1:13" ht="12.65" customHeight="1">
      <c r="A712" s="33">
        <v>44028</v>
      </c>
      <c r="B712" s="46">
        <v>4477262429.8576403</v>
      </c>
      <c r="C712" s="56">
        <v>3738571976.4432702</v>
      </c>
      <c r="F712" s="45">
        <f t="shared" si="42"/>
        <v>-738690453.41437006</v>
      </c>
      <c r="H712" s="46">
        <v>854914000</v>
      </c>
      <c r="I712" s="50">
        <v>811805086.83852005</v>
      </c>
      <c r="L712" s="44">
        <f t="shared" si="40"/>
        <v>-781799366.57585001</v>
      </c>
      <c r="M712" s="45">
        <f t="shared" si="41"/>
        <v>-43108913.16147995</v>
      </c>
    </row>
    <row r="713" spans="1:13" ht="12.65" customHeight="1">
      <c r="A713" s="33">
        <v>44029</v>
      </c>
      <c r="B713" s="46">
        <v>4477262429.8576403</v>
      </c>
      <c r="C713" s="56">
        <v>3008875219.3731499</v>
      </c>
      <c r="F713" s="45">
        <f t="shared" si="42"/>
        <v>-1468387210.4844904</v>
      </c>
      <c r="H713" s="46">
        <v>854914000</v>
      </c>
      <c r="I713" s="50">
        <v>727082153.56289005</v>
      </c>
      <c r="L713" s="44">
        <f t="shared" si="40"/>
        <v>-1596219056.9216003</v>
      </c>
      <c r="M713" s="45">
        <f t="shared" si="41"/>
        <v>-127831846.43710995</v>
      </c>
    </row>
    <row r="714" spans="1:13" ht="12.65" customHeight="1">
      <c r="A714" s="33">
        <v>44032</v>
      </c>
      <c r="B714" s="46">
        <v>4477262429.8576403</v>
      </c>
      <c r="C714" s="56">
        <v>5253172920.4829197</v>
      </c>
      <c r="F714" s="45">
        <f t="shared" si="42"/>
        <v>775910490.62527943</v>
      </c>
      <c r="H714" s="46">
        <v>854914000</v>
      </c>
      <c r="I714" s="50">
        <v>2391424253.6006699</v>
      </c>
      <c r="L714" s="44">
        <f t="shared" si="40"/>
        <v>2312420744.2259493</v>
      </c>
      <c r="M714" s="45">
        <f t="shared" si="41"/>
        <v>1536510253.6006699</v>
      </c>
    </row>
    <row r="715" spans="1:13" ht="12.65" customHeight="1">
      <c r="A715" s="33">
        <v>44033</v>
      </c>
      <c r="B715" s="46">
        <v>4477262429.8576403</v>
      </c>
      <c r="C715" s="56">
        <v>7466928954.4448795</v>
      </c>
      <c r="F715" s="45">
        <f t="shared" si="42"/>
        <v>2989666524.5872393</v>
      </c>
      <c r="H715" s="46">
        <v>854914000</v>
      </c>
      <c r="I715" s="50">
        <v>902019118.56972003</v>
      </c>
      <c r="L715" s="44">
        <f t="shared" si="40"/>
        <v>3036771643.1569595</v>
      </c>
      <c r="M715" s="45">
        <f t="shared" si="41"/>
        <v>47105118.56972003</v>
      </c>
    </row>
    <row r="716" spans="1:13" ht="12.65" customHeight="1">
      <c r="A716" s="33">
        <v>44034</v>
      </c>
      <c r="B716" s="46">
        <v>4477262429.8576403</v>
      </c>
      <c r="C716" s="56">
        <v>7501125199.3554296</v>
      </c>
      <c r="F716" s="45">
        <f t="shared" si="42"/>
        <v>3023862769.4977894</v>
      </c>
      <c r="H716" s="46">
        <v>854914000</v>
      </c>
      <c r="I716" s="50">
        <v>766207666.86053002</v>
      </c>
      <c r="L716" s="44">
        <f t="shared" si="40"/>
        <v>2935156436.3583193</v>
      </c>
      <c r="M716" s="45">
        <f t="shared" si="41"/>
        <v>-88706333.139469981</v>
      </c>
    </row>
    <row r="717" spans="1:13" ht="12.65" customHeight="1">
      <c r="A717" s="33">
        <v>44035</v>
      </c>
      <c r="B717" s="46">
        <v>4477262429.8576403</v>
      </c>
      <c r="C717" s="56">
        <v>3925455702.1394801</v>
      </c>
      <c r="F717" s="45">
        <f t="shared" si="42"/>
        <v>-551806727.71816015</v>
      </c>
      <c r="H717" s="46">
        <v>854914000</v>
      </c>
      <c r="I717" s="50">
        <v>703139173.90851998</v>
      </c>
      <c r="L717" s="44">
        <f t="shared" si="40"/>
        <v>-703581553.80964017</v>
      </c>
      <c r="M717" s="45">
        <f t="shared" si="41"/>
        <v>-151774826.09148002</v>
      </c>
    </row>
    <row r="718" spans="1:13" ht="12.65" customHeight="1">
      <c r="A718" s="33">
        <v>44036</v>
      </c>
      <c r="B718" s="46">
        <v>4477262429.8576403</v>
      </c>
      <c r="C718" s="56">
        <v>2934704154.6875</v>
      </c>
      <c r="F718" s="45">
        <f t="shared" si="42"/>
        <v>-1542558275.1701403</v>
      </c>
      <c r="H718" s="46">
        <v>854914000</v>
      </c>
      <c r="I718" s="50">
        <v>729453473.79210997</v>
      </c>
      <c r="L718" s="44">
        <f t="shared" si="40"/>
        <v>-1668018801.3780303</v>
      </c>
      <c r="M718" s="45">
        <f t="shared" si="41"/>
        <v>-125460526.20789003</v>
      </c>
    </row>
    <row r="719" spans="1:13" ht="12.65" customHeight="1">
      <c r="A719" s="33">
        <v>44039</v>
      </c>
      <c r="B719" s="46">
        <v>4477262429.8576403</v>
      </c>
      <c r="C719" s="56">
        <v>8563589210.7702703</v>
      </c>
      <c r="F719" s="45">
        <f t="shared" si="42"/>
        <v>4086326780.9126301</v>
      </c>
      <c r="H719" s="46">
        <v>854914000</v>
      </c>
      <c r="I719" s="50">
        <v>705683202.43959999</v>
      </c>
      <c r="L719" s="44">
        <f t="shared" si="40"/>
        <v>3937095983.3522301</v>
      </c>
      <c r="M719" s="45">
        <f t="shared" si="41"/>
        <v>-149230797.56040001</v>
      </c>
    </row>
    <row r="720" spans="1:13" ht="12.65" customHeight="1">
      <c r="A720" s="33">
        <v>44040</v>
      </c>
      <c r="B720" s="46">
        <v>4477262429.8576403</v>
      </c>
      <c r="C720" s="56">
        <v>2701284747.32055</v>
      </c>
      <c r="F720" s="45">
        <f t="shared" si="42"/>
        <v>-1775977682.5370903</v>
      </c>
      <c r="H720" s="46">
        <v>854914000</v>
      </c>
      <c r="I720" s="50">
        <v>652714061.93185997</v>
      </c>
      <c r="L720" s="44">
        <f t="shared" si="40"/>
        <v>-1978177620.6052303</v>
      </c>
      <c r="M720" s="45">
        <f t="shared" si="41"/>
        <v>-202199938.06814003</v>
      </c>
    </row>
    <row r="721" spans="1:13" ht="12.65" customHeight="1">
      <c r="A721" s="33">
        <v>44041</v>
      </c>
      <c r="B721" s="46">
        <v>4477262429.8576403</v>
      </c>
      <c r="C721" s="56">
        <v>2426593127.4886498</v>
      </c>
      <c r="F721" s="45">
        <f t="shared" si="42"/>
        <v>-2050669302.3689904</v>
      </c>
      <c r="H721" s="46">
        <v>854914000</v>
      </c>
      <c r="I721" s="50">
        <v>600031111.71747005</v>
      </c>
      <c r="L721" s="44">
        <f t="shared" si="40"/>
        <v>-2305552190.6515203</v>
      </c>
      <c r="M721" s="45">
        <f t="shared" si="41"/>
        <v>-254882888.28252995</v>
      </c>
    </row>
    <row r="722" spans="1:13" ht="12.65" customHeight="1">
      <c r="A722" s="33">
        <v>44042</v>
      </c>
      <c r="B722" s="46">
        <v>4477262429.8576403</v>
      </c>
      <c r="C722" s="56">
        <v>2201516079.0051599</v>
      </c>
      <c r="F722" s="45">
        <f t="shared" si="42"/>
        <v>-2275746350.8524804</v>
      </c>
      <c r="H722" s="46">
        <v>854914000</v>
      </c>
      <c r="I722" s="50">
        <v>571654508.23134005</v>
      </c>
      <c r="L722" s="44">
        <f t="shared" si="40"/>
        <v>-2559005842.6211405</v>
      </c>
      <c r="M722" s="45">
        <f t="shared" si="41"/>
        <v>-283259491.76865995</v>
      </c>
    </row>
    <row r="723" spans="1:13" ht="12.65" customHeight="1">
      <c r="A723" s="33">
        <v>44043</v>
      </c>
      <c r="B723" s="46">
        <v>4477262429.8576403</v>
      </c>
      <c r="C723" s="56">
        <v>2201516079.0051599</v>
      </c>
      <c r="F723" s="45">
        <f t="shared" si="42"/>
        <v>-2275746350.8524804</v>
      </c>
      <c r="H723" s="46">
        <v>854914000</v>
      </c>
      <c r="I723" s="50">
        <v>571654508.23134005</v>
      </c>
      <c r="L723" s="44">
        <f t="shared" si="40"/>
        <v>-2559005842.6211405</v>
      </c>
      <c r="M723" s="45">
        <f t="shared" si="41"/>
        <v>-283259491.76865995</v>
      </c>
    </row>
    <row r="724" spans="1:13" ht="12.65" customHeight="1">
      <c r="A724" s="33">
        <v>44046</v>
      </c>
      <c r="B724" s="46">
        <v>4438282715.6844501</v>
      </c>
      <c r="C724" s="56">
        <v>7019650894.1967096</v>
      </c>
      <c r="F724" s="45">
        <f t="shared" si="42"/>
        <v>2581368178.5122595</v>
      </c>
      <c r="H724" s="46">
        <v>919988000</v>
      </c>
      <c r="I724" s="50">
        <v>655818935.73239994</v>
      </c>
      <c r="L724" s="44">
        <f t="shared" si="40"/>
        <v>2317199114.2446594</v>
      </c>
      <c r="M724" s="45">
        <f t="shared" si="41"/>
        <v>-264169064.26760006</v>
      </c>
    </row>
    <row r="725" spans="1:13" ht="12.65" customHeight="1">
      <c r="A725" s="33">
        <v>44047</v>
      </c>
      <c r="B725" s="46">
        <v>4438282715.6844501</v>
      </c>
      <c r="C725" s="56">
        <v>4163806193.6263099</v>
      </c>
      <c r="F725" s="45">
        <f t="shared" si="42"/>
        <v>-274476522.05814028</v>
      </c>
      <c r="H725" s="46">
        <v>919988000</v>
      </c>
      <c r="I725" s="50">
        <v>571654508.23134005</v>
      </c>
      <c r="L725" s="44">
        <f t="shared" si="40"/>
        <v>-622810013.82680023</v>
      </c>
      <c r="M725" s="45">
        <f t="shared" si="41"/>
        <v>-348333491.76865995</v>
      </c>
    </row>
    <row r="726" spans="1:13" ht="12.65" customHeight="1">
      <c r="A726" s="33">
        <v>44048</v>
      </c>
      <c r="B726" s="46">
        <v>4438282715.6844501</v>
      </c>
      <c r="C726" s="56">
        <v>4103234694.4889202</v>
      </c>
      <c r="F726" s="45">
        <f t="shared" si="42"/>
        <v>-335048021.19552994</v>
      </c>
      <c r="H726" s="46">
        <v>919988000</v>
      </c>
      <c r="I726" s="56">
        <v>863199803.00574005</v>
      </c>
      <c r="L726" s="44">
        <f t="shared" si="40"/>
        <v>-391836218.18978989</v>
      </c>
      <c r="M726" s="45">
        <f t="shared" si="41"/>
        <v>-56788196.994259953</v>
      </c>
    </row>
    <row r="727" spans="1:13" ht="12.65" customHeight="1">
      <c r="A727" s="33">
        <v>44049</v>
      </c>
      <c r="B727" s="46">
        <v>4438282715.6844501</v>
      </c>
      <c r="C727" s="56">
        <v>7601214754.9470596</v>
      </c>
      <c r="F727" s="45">
        <f t="shared" si="42"/>
        <v>3162932039.2626095</v>
      </c>
      <c r="H727" s="46">
        <v>919988000</v>
      </c>
      <c r="I727" s="50">
        <v>927634441.65761006</v>
      </c>
      <c r="L727" s="44">
        <f t="shared" si="40"/>
        <v>3170578480.9202194</v>
      </c>
      <c r="M727" s="45">
        <f t="shared" si="41"/>
        <v>7646441.6576100588</v>
      </c>
    </row>
    <row r="728" spans="1:13" ht="12.65" customHeight="1">
      <c r="A728" s="33">
        <v>44050</v>
      </c>
      <c r="B728" s="46">
        <v>4438282715.6844501</v>
      </c>
      <c r="C728" s="56">
        <v>3061972924.57829</v>
      </c>
      <c r="F728" s="45">
        <f t="shared" si="42"/>
        <v>-1376309791.1061602</v>
      </c>
      <c r="H728" s="46">
        <v>919988000</v>
      </c>
      <c r="I728" s="50">
        <v>919726815.67263997</v>
      </c>
      <c r="L728" s="44">
        <f t="shared" si="40"/>
        <v>-1376570975.4335203</v>
      </c>
      <c r="M728" s="45">
        <f t="shared" si="41"/>
        <v>-261184.32736003399</v>
      </c>
    </row>
    <row r="729" spans="1:13" ht="12.65" customHeight="1">
      <c r="A729" s="33">
        <v>44053</v>
      </c>
      <c r="B729" s="46">
        <v>4438282715.6844501</v>
      </c>
      <c r="C729" s="56">
        <v>7975854833.7481098</v>
      </c>
      <c r="F729" s="45">
        <f t="shared" si="42"/>
        <v>3537572118.0636597</v>
      </c>
      <c r="H729" s="46">
        <v>919988000</v>
      </c>
      <c r="I729" s="50">
        <v>2542033160.3259902</v>
      </c>
      <c r="L729" s="44">
        <f t="shared" si="40"/>
        <v>5159617278.3896503</v>
      </c>
      <c r="M729" s="45">
        <f t="shared" si="41"/>
        <v>1622045160.3259902</v>
      </c>
    </row>
    <row r="730" spans="1:13" ht="12.65" customHeight="1">
      <c r="A730" s="33">
        <v>44054</v>
      </c>
      <c r="B730" s="46">
        <v>4438282715.6844501</v>
      </c>
      <c r="C730" s="56">
        <v>3185293704.5008502</v>
      </c>
      <c r="F730" s="45">
        <f t="shared" si="42"/>
        <v>-1252989011.1835999</v>
      </c>
      <c r="H730" s="46">
        <v>919988000</v>
      </c>
      <c r="I730" s="50">
        <v>655098232.59503996</v>
      </c>
      <c r="L730" s="44">
        <f t="shared" si="40"/>
        <v>-1517878778.5885601</v>
      </c>
      <c r="M730" s="45">
        <f t="shared" si="41"/>
        <v>-264889767.40496004</v>
      </c>
    </row>
    <row r="731" spans="1:13" ht="12.65" customHeight="1">
      <c r="A731" s="33">
        <v>44055</v>
      </c>
      <c r="B731" s="46">
        <v>4438282715.6844501</v>
      </c>
      <c r="C731" s="56">
        <v>2865550318.0343599</v>
      </c>
      <c r="F731" s="45">
        <f t="shared" si="42"/>
        <v>-1572732397.6500902</v>
      </c>
      <c r="H731" s="46">
        <v>919988000</v>
      </c>
      <c r="I731" s="50">
        <v>683846731.08138001</v>
      </c>
      <c r="L731" s="44">
        <f t="shared" si="40"/>
        <v>-1808873666.5687103</v>
      </c>
      <c r="M731" s="45">
        <f t="shared" si="41"/>
        <v>-236141268.91861999</v>
      </c>
    </row>
    <row r="732" spans="1:13" ht="12.65" customHeight="1">
      <c r="A732" s="33">
        <v>44056</v>
      </c>
      <c r="B732" s="46">
        <v>4438282715.6844501</v>
      </c>
      <c r="C732" s="56">
        <v>2644330124.5791798</v>
      </c>
      <c r="F732" s="45">
        <f t="shared" si="42"/>
        <v>-1793952591.1052704</v>
      </c>
      <c r="H732" s="46">
        <v>919988000</v>
      </c>
      <c r="I732" s="50">
        <v>687485498.38768005</v>
      </c>
      <c r="L732" s="44">
        <f t="shared" si="40"/>
        <v>-2026455092.7175903</v>
      </c>
      <c r="M732" s="45">
        <f t="shared" si="41"/>
        <v>-232502501.61231995</v>
      </c>
    </row>
    <row r="733" spans="1:13" ht="12.65" customHeight="1">
      <c r="A733" s="33">
        <v>44057</v>
      </c>
      <c r="B733" s="46">
        <v>4438282715.6844501</v>
      </c>
      <c r="C733" s="56">
        <v>2347640375.7336302</v>
      </c>
      <c r="F733" s="45">
        <f t="shared" si="42"/>
        <v>-2090642339.95082</v>
      </c>
      <c r="H733" s="46">
        <v>919988000</v>
      </c>
      <c r="I733" s="50">
        <v>567706441.26109004</v>
      </c>
      <c r="L733" s="44">
        <f t="shared" si="40"/>
        <v>-2442923898.6897297</v>
      </c>
      <c r="M733" s="45">
        <f t="shared" si="41"/>
        <v>-352281558.73890996</v>
      </c>
    </row>
    <row r="734" spans="1:13" ht="12.65" customHeight="1">
      <c r="A734" s="33">
        <v>44060</v>
      </c>
      <c r="B734" s="46">
        <v>4477262429.8579998</v>
      </c>
      <c r="C734" s="56">
        <v>2347640375.7336302</v>
      </c>
      <c r="F734" s="45">
        <f t="shared" si="42"/>
        <v>-2129622054.1243696</v>
      </c>
      <c r="H734" s="46">
        <v>897920000</v>
      </c>
      <c r="I734" s="50">
        <v>567706441.26109004</v>
      </c>
      <c r="L734" s="44">
        <f t="shared" si="40"/>
        <v>-2459835612.8632793</v>
      </c>
      <c r="M734" s="45">
        <f t="shared" si="41"/>
        <v>-330213558.73890996</v>
      </c>
    </row>
    <row r="735" spans="1:13" ht="12.65" customHeight="1">
      <c r="A735" s="33">
        <v>44061</v>
      </c>
      <c r="B735" s="46">
        <v>4477262429.8579998</v>
      </c>
      <c r="C735" s="56">
        <v>7057928903.1593599</v>
      </c>
      <c r="F735" s="45">
        <f t="shared" si="42"/>
        <v>2580666473.3013601</v>
      </c>
      <c r="H735" s="46">
        <v>897920000</v>
      </c>
      <c r="I735" s="50">
        <v>1238880907.56844</v>
      </c>
      <c r="L735" s="44">
        <f t="shared" si="40"/>
        <v>2921627380.8698001</v>
      </c>
      <c r="M735" s="45">
        <f t="shared" si="41"/>
        <v>340960907.56843996</v>
      </c>
    </row>
    <row r="736" spans="1:13" ht="12.65" customHeight="1">
      <c r="A736" s="33">
        <v>44062</v>
      </c>
      <c r="B736" s="46">
        <v>4477262429.8579998</v>
      </c>
      <c r="C736" s="56">
        <v>6367085159.4646997</v>
      </c>
      <c r="F736" s="45">
        <f t="shared" si="42"/>
        <v>1889822729.6066999</v>
      </c>
      <c r="H736" s="46">
        <v>897920000</v>
      </c>
      <c r="I736" s="50">
        <v>1250910828.7554901</v>
      </c>
      <c r="L736" s="44">
        <f t="shared" si="40"/>
        <v>2242813558.3621902</v>
      </c>
      <c r="M736" s="45">
        <f t="shared" si="41"/>
        <v>352990828.75549006</v>
      </c>
    </row>
    <row r="737" spans="1:13" ht="12.65" customHeight="1">
      <c r="A737" s="33">
        <v>44063</v>
      </c>
      <c r="B737" s="46">
        <v>4477262429.8579998</v>
      </c>
      <c r="C737" s="56">
        <v>6367085159.4646997</v>
      </c>
      <c r="F737" s="45">
        <f t="shared" si="42"/>
        <v>1889822729.6066999</v>
      </c>
      <c r="H737" s="46">
        <v>897920000</v>
      </c>
      <c r="I737" s="50">
        <v>1250910828.7554901</v>
      </c>
      <c r="L737" s="44">
        <f t="shared" si="40"/>
        <v>2242813558.3621902</v>
      </c>
      <c r="M737" s="45">
        <f t="shared" si="41"/>
        <v>352990828.75549006</v>
      </c>
    </row>
    <row r="738" spans="1:13" ht="12.65" customHeight="1">
      <c r="A738" s="33">
        <v>44064</v>
      </c>
      <c r="B738" s="46">
        <v>4477262429.8579998</v>
      </c>
      <c r="C738" s="56">
        <v>6367085159.4646997</v>
      </c>
      <c r="F738" s="45">
        <f t="shared" si="42"/>
        <v>1889822729.6066999</v>
      </c>
      <c r="H738" s="46">
        <v>897920000</v>
      </c>
      <c r="I738" s="50">
        <v>1250910828.7554901</v>
      </c>
      <c r="L738" s="44">
        <f t="shared" si="40"/>
        <v>2242813558.3621902</v>
      </c>
      <c r="M738" s="45">
        <f t="shared" si="41"/>
        <v>352990828.75549006</v>
      </c>
    </row>
    <row r="739" spans="1:13" ht="12.65" customHeight="1">
      <c r="A739" s="33">
        <v>44067</v>
      </c>
      <c r="B739" s="46">
        <v>4477262429.8579998</v>
      </c>
      <c r="C739" s="56">
        <v>6506810891.4085903</v>
      </c>
      <c r="F739" s="45">
        <f t="shared" si="42"/>
        <v>2029548461.5505905</v>
      </c>
      <c r="H739" s="46">
        <v>897920000</v>
      </c>
      <c r="I739" s="50">
        <v>1245014187.1096101</v>
      </c>
      <c r="L739" s="44">
        <f t="shared" si="40"/>
        <v>2376642648.6602006</v>
      </c>
      <c r="M739" s="45">
        <f t="shared" si="41"/>
        <v>347094187.10961008</v>
      </c>
    </row>
    <row r="740" spans="1:13" ht="12.65" customHeight="1">
      <c r="A740" s="33">
        <v>44068</v>
      </c>
      <c r="B740" s="46">
        <v>4477262429.8579998</v>
      </c>
      <c r="C740" s="56">
        <v>4512743791.9879704</v>
      </c>
      <c r="F740" s="45">
        <f t="shared" si="42"/>
        <v>35481362.129970551</v>
      </c>
      <c r="H740" s="46">
        <v>897920000</v>
      </c>
      <c r="I740" s="50">
        <v>1183681209.5394499</v>
      </c>
      <c r="L740" s="44">
        <f t="shared" si="40"/>
        <v>321242571.66942048</v>
      </c>
      <c r="M740" s="45">
        <f t="shared" si="41"/>
        <v>285761209.53944993</v>
      </c>
    </row>
    <row r="741" spans="1:13" ht="12.65" customHeight="1">
      <c r="A741" s="33">
        <v>44069</v>
      </c>
      <c r="B741" s="46">
        <v>4477262429.8579998</v>
      </c>
      <c r="C741" s="56">
        <v>3349403603.8377299</v>
      </c>
      <c r="F741" s="45">
        <f t="shared" si="42"/>
        <v>-1127858826.0202699</v>
      </c>
      <c r="H741" s="46">
        <v>897920000</v>
      </c>
      <c r="I741" s="50">
        <v>622145782.51032996</v>
      </c>
      <c r="L741" s="44">
        <f t="shared" si="40"/>
        <v>-1403633043.5099399</v>
      </c>
      <c r="M741" s="45">
        <f t="shared" si="41"/>
        <v>-275774217.48967004</v>
      </c>
    </row>
    <row r="742" spans="1:13" ht="12.65" customHeight="1">
      <c r="A742" s="33">
        <v>44070</v>
      </c>
      <c r="B742" s="46">
        <v>4477262429.8579998</v>
      </c>
      <c r="C742" s="56">
        <v>3224848806.8549099</v>
      </c>
      <c r="F742" s="45">
        <f t="shared" si="42"/>
        <v>-1252413623.0030899</v>
      </c>
      <c r="H742" s="46">
        <v>897920000</v>
      </c>
      <c r="I742" s="50">
        <v>639530635.56470001</v>
      </c>
      <c r="L742" s="44">
        <f t="shared" si="40"/>
        <v>-1510802987.4383898</v>
      </c>
      <c r="M742" s="45">
        <f t="shared" si="41"/>
        <v>-258389364.43529999</v>
      </c>
    </row>
    <row r="743" spans="1:13" ht="12.65" customHeight="1">
      <c r="A743" s="33">
        <v>44071</v>
      </c>
      <c r="B743" s="46">
        <v>4477262429.8579998</v>
      </c>
      <c r="C743" s="56">
        <v>2731874382.9145598</v>
      </c>
      <c r="F743" s="45">
        <f t="shared" si="42"/>
        <v>-1745388046.94344</v>
      </c>
      <c r="H743" s="46">
        <v>897920000</v>
      </c>
      <c r="I743" s="50">
        <v>657797534.24597001</v>
      </c>
      <c r="L743" s="44">
        <f t="shared" si="40"/>
        <v>-1985510512.6974699</v>
      </c>
      <c r="M743" s="45">
        <f t="shared" si="41"/>
        <v>-240122465.75402999</v>
      </c>
    </row>
    <row r="744" spans="1:13" ht="12.65" customHeight="1">
      <c r="A744" s="33">
        <v>44074</v>
      </c>
      <c r="B744" s="46">
        <v>4477262429.8579998</v>
      </c>
      <c r="C744" s="56">
        <v>2359166418.8195801</v>
      </c>
      <c r="F744" s="45">
        <f t="shared" si="42"/>
        <v>-2118096011.0384197</v>
      </c>
      <c r="H744" s="46">
        <v>897920000</v>
      </c>
      <c r="I744" s="50">
        <v>457459499.34267002</v>
      </c>
      <c r="L744" s="44">
        <f t="shared" si="40"/>
        <v>-2558556511.6957498</v>
      </c>
      <c r="M744" s="45">
        <f t="shared" si="41"/>
        <v>-440460500.65732998</v>
      </c>
    </row>
    <row r="745" spans="1:13" ht="12.65" customHeight="1">
      <c r="A745" s="33">
        <v>44075</v>
      </c>
      <c r="B745" s="46">
        <v>4478837385.9160004</v>
      </c>
      <c r="C745" s="56">
        <v>7572069998.8811598</v>
      </c>
      <c r="F745" s="45">
        <f t="shared" si="42"/>
        <v>3093232612.9651594</v>
      </c>
      <c r="H745" s="46">
        <v>866755000</v>
      </c>
      <c r="I745" s="50">
        <v>1183647553.31811</v>
      </c>
      <c r="L745" s="44">
        <f t="shared" si="40"/>
        <v>3410125166.2832694</v>
      </c>
      <c r="M745" s="45">
        <f t="shared" si="41"/>
        <v>316892553.31810999</v>
      </c>
    </row>
    <row r="746" spans="1:13" ht="12.65" customHeight="1">
      <c r="A746" s="33">
        <v>44076</v>
      </c>
      <c r="B746" s="46">
        <v>4478837385.9160004</v>
      </c>
      <c r="C746" s="56">
        <v>6136087940.41675</v>
      </c>
      <c r="F746" s="45">
        <f t="shared" si="42"/>
        <v>1657250554.5007496</v>
      </c>
      <c r="H746" s="46">
        <v>866755000</v>
      </c>
      <c r="I746" s="50">
        <v>1217793302.06498</v>
      </c>
      <c r="L746" s="44">
        <f t="shared" si="40"/>
        <v>2008288856.5657296</v>
      </c>
      <c r="M746" s="45">
        <f t="shared" si="41"/>
        <v>351038302.06498003</v>
      </c>
    </row>
    <row r="747" spans="1:13" ht="12.65" customHeight="1">
      <c r="A747" s="33">
        <v>44077</v>
      </c>
      <c r="B747" s="46">
        <v>4478837385.9160004</v>
      </c>
      <c r="C747" s="56">
        <v>6138799047.6149197</v>
      </c>
      <c r="F747" s="45">
        <f t="shared" si="42"/>
        <v>1659961661.6989193</v>
      </c>
      <c r="H747" s="46">
        <v>866755000</v>
      </c>
      <c r="I747" s="50">
        <v>1199835087.22139</v>
      </c>
      <c r="L747" s="44">
        <f t="shared" si="40"/>
        <v>1993041748.9203093</v>
      </c>
      <c r="M747" s="45">
        <f t="shared" si="41"/>
        <v>333080087.22139001</v>
      </c>
    </row>
    <row r="748" spans="1:13" ht="12.65" customHeight="1">
      <c r="A748" s="33">
        <v>44078</v>
      </c>
      <c r="B748" s="46">
        <v>4478837385.9160004</v>
      </c>
      <c r="C748" s="56">
        <v>5287116358.5615702</v>
      </c>
      <c r="F748" s="45">
        <f t="shared" si="42"/>
        <v>808278972.6455698</v>
      </c>
      <c r="H748" s="46">
        <v>866755000</v>
      </c>
      <c r="I748" s="50">
        <v>1232847740.9446299</v>
      </c>
      <c r="L748" s="44">
        <f t="shared" si="40"/>
        <v>1174371713.5901997</v>
      </c>
      <c r="M748" s="45">
        <f t="shared" si="41"/>
        <v>366092740.94462991</v>
      </c>
    </row>
    <row r="749" spans="1:13" ht="12.65" customHeight="1">
      <c r="A749" s="33">
        <v>44081</v>
      </c>
      <c r="B749" s="46">
        <v>4478837385.9160004</v>
      </c>
      <c r="C749" s="56">
        <v>4410955749.2049999</v>
      </c>
      <c r="F749" s="45">
        <f t="shared" si="42"/>
        <v>-67881636.711000443</v>
      </c>
      <c r="H749" s="46">
        <v>866755000</v>
      </c>
      <c r="I749" s="50">
        <v>1267214365.92904</v>
      </c>
      <c r="L749" s="44">
        <f t="shared" si="40"/>
        <v>332577729.21803951</v>
      </c>
      <c r="M749" s="45">
        <f t="shared" si="41"/>
        <v>400459365.92903996</v>
      </c>
    </row>
    <row r="750" spans="1:13" ht="12.65" customHeight="1">
      <c r="A750" s="33">
        <v>44082</v>
      </c>
      <c r="B750" s="46">
        <v>4478837385.9160004</v>
      </c>
      <c r="C750" s="56">
        <v>3520547976.26332</v>
      </c>
      <c r="F750" s="45">
        <f t="shared" si="42"/>
        <v>-958289409.6526804</v>
      </c>
      <c r="H750" s="46">
        <v>866755000</v>
      </c>
      <c r="I750" s="50">
        <v>661808107.25454998</v>
      </c>
      <c r="L750" s="44">
        <f t="shared" si="40"/>
        <v>-1163236302.3981304</v>
      </c>
      <c r="M750" s="45">
        <f t="shared" si="41"/>
        <v>-204946892.74545002</v>
      </c>
    </row>
    <row r="751" spans="1:13" ht="12.65" customHeight="1">
      <c r="A751" s="33">
        <v>44083</v>
      </c>
      <c r="B751" s="46">
        <v>4478837385.9160004</v>
      </c>
      <c r="C751" s="56">
        <v>3653515582.1170702</v>
      </c>
      <c r="F751" s="45">
        <f t="shared" si="42"/>
        <v>-825321803.79893017</v>
      </c>
      <c r="H751" s="46">
        <v>866755000</v>
      </c>
      <c r="I751" s="50">
        <v>643225639.45301998</v>
      </c>
      <c r="L751" s="44">
        <f t="shared" si="40"/>
        <v>-1048851164.3459102</v>
      </c>
      <c r="M751" s="45">
        <f t="shared" si="41"/>
        <v>-223529360.54698002</v>
      </c>
    </row>
    <row r="752" spans="1:13" ht="12.65" customHeight="1">
      <c r="A752" s="33">
        <v>44084</v>
      </c>
      <c r="B752" s="46">
        <v>4478837385.9160004</v>
      </c>
      <c r="C752" s="56">
        <v>3633302673.8429499</v>
      </c>
      <c r="F752" s="45">
        <f t="shared" si="42"/>
        <v>-845534712.0730505</v>
      </c>
      <c r="H752" s="46">
        <v>866755000</v>
      </c>
      <c r="I752" s="50">
        <v>663602070.41717994</v>
      </c>
      <c r="L752" s="44">
        <f t="shared" si="40"/>
        <v>-1048687641.6558706</v>
      </c>
      <c r="M752" s="45">
        <f t="shared" si="41"/>
        <v>-203152929.58282006</v>
      </c>
    </row>
    <row r="753" spans="1:13" ht="12.65" customHeight="1">
      <c r="A753" s="33">
        <v>44085</v>
      </c>
      <c r="B753" s="46">
        <v>4478837385.9160004</v>
      </c>
      <c r="C753" s="56">
        <v>3727848034.33639</v>
      </c>
      <c r="F753" s="45">
        <f t="shared" si="42"/>
        <v>-750989351.57961035</v>
      </c>
      <c r="H753" s="46">
        <v>866755000</v>
      </c>
      <c r="I753" s="50">
        <v>665804830.62772</v>
      </c>
      <c r="L753" s="44">
        <f t="shared" si="40"/>
        <v>-951939520.95189035</v>
      </c>
      <c r="M753" s="45">
        <f t="shared" si="41"/>
        <v>-200950169.37228</v>
      </c>
    </row>
    <row r="754" spans="1:13" ht="12.65" customHeight="1">
      <c r="A754" s="33">
        <v>44088</v>
      </c>
      <c r="B754" s="46">
        <v>4478837385.9160004</v>
      </c>
      <c r="C754" s="56">
        <v>3163071943.9429002</v>
      </c>
      <c r="F754" s="45">
        <f t="shared" si="42"/>
        <v>-1315765441.9731002</v>
      </c>
      <c r="H754" s="46">
        <v>866755000</v>
      </c>
      <c r="I754" s="50">
        <v>504146707.80269003</v>
      </c>
      <c r="L754" s="44">
        <f t="shared" si="40"/>
        <v>-1678373734.1704102</v>
      </c>
      <c r="M754" s="45">
        <f t="shared" si="41"/>
        <v>-362608292.19730997</v>
      </c>
    </row>
    <row r="755" spans="1:13" ht="12.65" customHeight="1">
      <c r="A755" s="33">
        <v>44089</v>
      </c>
      <c r="B755" s="46">
        <v>4478837385.9160004</v>
      </c>
      <c r="C755" s="56">
        <v>2834485771.0088902</v>
      </c>
      <c r="F755" s="45">
        <f t="shared" si="42"/>
        <v>-1644351614.9071102</v>
      </c>
      <c r="H755" s="46">
        <v>866755000</v>
      </c>
      <c r="I755" s="50">
        <v>465598656.53726</v>
      </c>
      <c r="L755" s="44">
        <f t="shared" si="40"/>
        <v>-2045507958.3698502</v>
      </c>
      <c r="M755" s="45">
        <f t="shared" si="41"/>
        <v>-401156343.46274</v>
      </c>
    </row>
    <row r="756" spans="1:13" ht="12.65" customHeight="1">
      <c r="A756" s="33">
        <v>44090</v>
      </c>
      <c r="B756" s="46">
        <v>4518256966.5279999</v>
      </c>
      <c r="C756" s="56">
        <v>7486300971.3221397</v>
      </c>
      <c r="F756" s="45">
        <f t="shared" si="42"/>
        <v>2968044004.7941399</v>
      </c>
      <c r="H756" s="46">
        <v>901570000</v>
      </c>
      <c r="I756" s="50">
        <v>1748293869.9205899</v>
      </c>
      <c r="L756" s="44">
        <f t="shared" si="40"/>
        <v>3814767874.7147298</v>
      </c>
      <c r="M756" s="45">
        <f t="shared" si="41"/>
        <v>846723869.92058992</v>
      </c>
    </row>
    <row r="757" spans="1:13" ht="12.65" customHeight="1">
      <c r="A757" s="33">
        <v>44091</v>
      </c>
      <c r="B757" s="46">
        <v>4518256966.5279999</v>
      </c>
      <c r="C757" s="56">
        <v>7600391964.7432604</v>
      </c>
      <c r="F757" s="45">
        <f t="shared" si="42"/>
        <v>3082134998.2152605</v>
      </c>
      <c r="H757" s="46">
        <v>901570000</v>
      </c>
      <c r="I757" s="50">
        <v>1512517193.28019</v>
      </c>
      <c r="L757" s="44">
        <f t="shared" si="40"/>
        <v>3693082191.4954505</v>
      </c>
      <c r="M757" s="45">
        <f t="shared" si="41"/>
        <v>610947193.28018999</v>
      </c>
    </row>
    <row r="758" spans="1:13" ht="12.65" customHeight="1">
      <c r="A758" s="33">
        <v>44092</v>
      </c>
      <c r="B758" s="46">
        <v>4518256966.5279999</v>
      </c>
      <c r="C758" s="56">
        <v>6058676047.8232203</v>
      </c>
      <c r="F758" s="45">
        <f t="shared" si="42"/>
        <v>1540419081.2952204</v>
      </c>
      <c r="H758" s="46">
        <v>901570000</v>
      </c>
      <c r="I758" s="50">
        <v>1158303015.00688</v>
      </c>
      <c r="L758" s="44">
        <f t="shared" si="40"/>
        <v>1797152096.3021004</v>
      </c>
      <c r="M758" s="45">
        <f t="shared" si="41"/>
        <v>256733015.00688004</v>
      </c>
    </row>
    <row r="759" spans="1:13" ht="12.65" customHeight="1">
      <c r="A759" s="33">
        <v>44095</v>
      </c>
      <c r="B759" s="46">
        <v>4518256966.5279999</v>
      </c>
      <c r="C759" s="56">
        <v>5301097749.9597702</v>
      </c>
      <c r="F759" s="45">
        <f t="shared" si="42"/>
        <v>782840783.43177032</v>
      </c>
      <c r="H759" s="46">
        <v>901570000</v>
      </c>
      <c r="I759" s="50">
        <v>1034523026.25608</v>
      </c>
      <c r="L759" s="44">
        <f t="shared" si="40"/>
        <v>915793809.68785036</v>
      </c>
      <c r="M759" s="45">
        <f t="shared" si="41"/>
        <v>132953026.25608003</v>
      </c>
    </row>
    <row r="760" spans="1:13" ht="12.65" customHeight="1">
      <c r="A760" s="33">
        <v>44096</v>
      </c>
      <c r="B760" s="46">
        <v>4518256966.5279999</v>
      </c>
      <c r="C760" s="56">
        <v>4656517391.3815002</v>
      </c>
      <c r="F760" s="45">
        <f t="shared" si="42"/>
        <v>138260424.85350037</v>
      </c>
      <c r="H760" s="46">
        <v>901570000</v>
      </c>
      <c r="I760" s="50">
        <v>1071759252.85262</v>
      </c>
      <c r="L760" s="44">
        <f t="shared" si="40"/>
        <v>308449677.70612037</v>
      </c>
      <c r="M760" s="45">
        <f t="shared" si="41"/>
        <v>170189252.85262001</v>
      </c>
    </row>
    <row r="761" spans="1:13" ht="12.65" customHeight="1">
      <c r="A761" s="33">
        <v>44097</v>
      </c>
      <c r="B761" s="46">
        <v>4518256966.5279999</v>
      </c>
      <c r="C761" s="56">
        <v>4101460350.2332401</v>
      </c>
      <c r="F761" s="45">
        <f t="shared" si="42"/>
        <v>-416796616.29475975</v>
      </c>
      <c r="H761" s="46">
        <v>901570000</v>
      </c>
      <c r="I761" s="50">
        <v>717980112.59959996</v>
      </c>
      <c r="L761" s="44">
        <f t="shared" si="40"/>
        <v>-600386503.69515979</v>
      </c>
      <c r="M761" s="45">
        <f t="shared" si="41"/>
        <v>-183589887.40040004</v>
      </c>
    </row>
    <row r="762" spans="1:13" ht="12.65" customHeight="1">
      <c r="A762" s="33">
        <v>44098</v>
      </c>
      <c r="B762" s="46">
        <v>4518256966.5279999</v>
      </c>
      <c r="C762" s="56">
        <v>2992834472.4693799</v>
      </c>
      <c r="F762" s="45">
        <f t="shared" si="42"/>
        <v>-1525422494.05862</v>
      </c>
      <c r="H762" s="46">
        <v>901570000</v>
      </c>
      <c r="I762" s="50">
        <v>623213283.91856003</v>
      </c>
      <c r="L762" s="44">
        <f t="shared" si="40"/>
        <v>-1803779210.1400599</v>
      </c>
      <c r="M762" s="45">
        <f t="shared" si="41"/>
        <v>-278356716.08143997</v>
      </c>
    </row>
    <row r="763" spans="1:13" ht="12.65" customHeight="1">
      <c r="A763" s="33">
        <v>44099</v>
      </c>
      <c r="B763" s="46">
        <v>4518256966.5279999</v>
      </c>
      <c r="C763" s="56">
        <v>3113542476.94244</v>
      </c>
      <c r="F763" s="45">
        <f t="shared" si="42"/>
        <v>-1404714489.5855598</v>
      </c>
      <c r="H763" s="46">
        <v>901570000</v>
      </c>
      <c r="I763" s="50">
        <v>637750443.90450001</v>
      </c>
      <c r="L763" s="44">
        <f t="shared" si="40"/>
        <v>-1668534045.6810598</v>
      </c>
      <c r="M763" s="45">
        <f t="shared" si="41"/>
        <v>-263819556.09549999</v>
      </c>
    </row>
    <row r="764" spans="1:13" ht="12.65" customHeight="1">
      <c r="A764" s="33">
        <v>44102</v>
      </c>
      <c r="B764" s="46">
        <v>4518256966.5279999</v>
      </c>
      <c r="C764" s="56">
        <v>3041441028.0876098</v>
      </c>
      <c r="F764" s="45">
        <f t="shared" si="42"/>
        <v>-1476815938.4403901</v>
      </c>
      <c r="H764" s="46">
        <v>901570000</v>
      </c>
      <c r="I764" s="50">
        <v>552222920.87981999</v>
      </c>
      <c r="L764" s="44">
        <f t="shared" si="40"/>
        <v>-1826163017.5605702</v>
      </c>
      <c r="M764" s="45">
        <f t="shared" si="41"/>
        <v>-349347079.12018001</v>
      </c>
    </row>
    <row r="765" spans="1:13" ht="12.65" customHeight="1">
      <c r="A765" s="33">
        <v>44103</v>
      </c>
      <c r="B765" s="46">
        <v>4518256966.5279999</v>
      </c>
      <c r="C765" s="56">
        <v>3841434081.9296799</v>
      </c>
      <c r="F765" s="45">
        <f t="shared" si="42"/>
        <v>-676822884.59832001</v>
      </c>
      <c r="H765" s="46">
        <v>901570000</v>
      </c>
      <c r="I765" s="50">
        <v>612576298.64549994</v>
      </c>
      <c r="L765" s="44">
        <f t="shared" si="40"/>
        <v>-965816585.95282006</v>
      </c>
      <c r="M765" s="45">
        <f t="shared" si="41"/>
        <v>-288993701.35450006</v>
      </c>
    </row>
    <row r="766" spans="1:13" ht="12.65" customHeight="1">
      <c r="A766" s="33">
        <v>44104</v>
      </c>
      <c r="B766" s="46">
        <v>4518256966.5279999</v>
      </c>
      <c r="C766" s="56">
        <v>2038741573.5532501</v>
      </c>
      <c r="F766" s="45">
        <f t="shared" si="42"/>
        <v>-2479515392.9747496</v>
      </c>
      <c r="H766" s="46">
        <v>901570000</v>
      </c>
      <c r="I766" s="50">
        <v>404170916.05532002</v>
      </c>
      <c r="L766" s="44">
        <f t="shared" si="40"/>
        <v>-2976914476.9194298</v>
      </c>
      <c r="M766" s="45">
        <f t="shared" si="41"/>
        <v>-497399083.94467998</v>
      </c>
    </row>
    <row r="767" spans="1:13" ht="12.65" customHeight="1">
      <c r="A767" s="33">
        <v>44105</v>
      </c>
      <c r="B767" s="46">
        <v>4467262156.2209997</v>
      </c>
      <c r="C767" s="56">
        <v>6819557322.0474596</v>
      </c>
      <c r="F767" s="45">
        <f t="shared" si="42"/>
        <v>2352295165.8264599</v>
      </c>
      <c r="H767" s="46">
        <v>943776000</v>
      </c>
      <c r="I767" s="50">
        <v>1249846681.6882401</v>
      </c>
      <c r="L767" s="44">
        <f t="shared" si="40"/>
        <v>2658365847.5146999</v>
      </c>
      <c r="M767" s="45">
        <f t="shared" si="41"/>
        <v>306070681.68824005</v>
      </c>
    </row>
    <row r="768" spans="1:13" ht="12.65" customHeight="1">
      <c r="A768" s="33">
        <v>44106</v>
      </c>
      <c r="B768" s="46">
        <v>4467262156.2209997</v>
      </c>
      <c r="C768" s="56">
        <v>3380567507.4633002</v>
      </c>
      <c r="F768" s="45">
        <f t="shared" si="42"/>
        <v>-1086694648.7576995</v>
      </c>
      <c r="H768" s="46">
        <v>943776000</v>
      </c>
      <c r="I768" s="50">
        <v>1281141360.74383</v>
      </c>
      <c r="L768" s="44">
        <f t="shared" ref="L768:L831" si="43">F768+M768</f>
        <v>-749329288.01386952</v>
      </c>
      <c r="M768" s="45">
        <f t="shared" ref="M768:M831" si="44">I768-H768</f>
        <v>337365360.74382997</v>
      </c>
    </row>
    <row r="769" spans="1:13" ht="12.65" customHeight="1">
      <c r="A769" s="33">
        <v>44109</v>
      </c>
      <c r="B769" s="46">
        <v>4467262156.2209997</v>
      </c>
      <c r="C769" s="56">
        <v>8385602789.5892401</v>
      </c>
      <c r="F769" s="45">
        <f t="shared" si="42"/>
        <v>3918340633.3682404</v>
      </c>
      <c r="H769" s="46">
        <v>943776000</v>
      </c>
      <c r="I769" s="50">
        <v>1280066163.9899499</v>
      </c>
      <c r="L769" s="44">
        <f t="shared" si="43"/>
        <v>4254630797.3581905</v>
      </c>
      <c r="M769" s="45">
        <f t="shared" si="44"/>
        <v>336290163.98994994</v>
      </c>
    </row>
    <row r="770" spans="1:13" ht="12.65" customHeight="1">
      <c r="A770" s="33">
        <v>44110</v>
      </c>
      <c r="B770" s="46">
        <v>4467262156.2209997</v>
      </c>
      <c r="C770" s="56">
        <v>9040416818.9239197</v>
      </c>
      <c r="F770" s="45">
        <f t="shared" ref="F770:F833" si="45">C770-B770</f>
        <v>4573154662.70292</v>
      </c>
      <c r="H770" s="46">
        <v>943776000</v>
      </c>
      <c r="I770" s="50">
        <v>1282470624.8659899</v>
      </c>
      <c r="L770" s="44">
        <f t="shared" si="43"/>
        <v>4911849287.5689096</v>
      </c>
      <c r="M770" s="45">
        <f t="shared" si="44"/>
        <v>338694624.86598992</v>
      </c>
    </row>
    <row r="771" spans="1:13" ht="12.65" customHeight="1">
      <c r="A771" s="33">
        <v>44111</v>
      </c>
      <c r="B771" s="46">
        <v>4467262156.2209997</v>
      </c>
      <c r="C771" s="56">
        <v>6412161218.198</v>
      </c>
      <c r="F771" s="45">
        <f t="shared" si="45"/>
        <v>1944899061.9770002</v>
      </c>
      <c r="H771" s="46">
        <v>943776000</v>
      </c>
      <c r="I771" s="50">
        <v>1329294977.83956</v>
      </c>
      <c r="L771" s="44">
        <f t="shared" si="43"/>
        <v>2330418039.8165603</v>
      </c>
      <c r="M771" s="45">
        <f t="shared" si="44"/>
        <v>385518977.83956003</v>
      </c>
    </row>
    <row r="772" spans="1:13" ht="12.65" customHeight="1">
      <c r="A772" s="33">
        <v>44112</v>
      </c>
      <c r="B772" s="46">
        <v>4467262156.2209997</v>
      </c>
      <c r="C772" s="56">
        <v>6900062405.2304697</v>
      </c>
      <c r="F772" s="45">
        <f t="shared" si="45"/>
        <v>2432800249.00947</v>
      </c>
      <c r="H772" s="46">
        <v>943776000</v>
      </c>
      <c r="I772" s="50">
        <v>698905078.30361998</v>
      </c>
      <c r="L772" s="44">
        <f t="shared" si="43"/>
        <v>2187929327.3130898</v>
      </c>
      <c r="M772" s="45">
        <f t="shared" si="44"/>
        <v>-244870921.69638002</v>
      </c>
    </row>
    <row r="773" spans="1:13" ht="12.65" customHeight="1">
      <c r="A773" s="33">
        <v>44113</v>
      </c>
      <c r="B773" s="46">
        <v>4467262156.2209997</v>
      </c>
      <c r="C773" s="56">
        <v>2092227540.4935999</v>
      </c>
      <c r="F773" s="45">
        <f t="shared" si="45"/>
        <v>-2375034615.7273998</v>
      </c>
      <c r="H773" s="46">
        <v>943776000</v>
      </c>
      <c r="I773" s="50">
        <v>688799601.57224</v>
      </c>
      <c r="L773" s="44">
        <f t="shared" si="43"/>
        <v>-2630011014.15516</v>
      </c>
      <c r="M773" s="45">
        <f t="shared" si="44"/>
        <v>-254976398.42776</v>
      </c>
    </row>
    <row r="774" spans="1:13" ht="12.65" customHeight="1">
      <c r="A774" s="33">
        <v>44116</v>
      </c>
      <c r="B774" s="46">
        <v>4467262156.2209997</v>
      </c>
      <c r="C774" s="56">
        <v>1900298073.5037301</v>
      </c>
      <c r="F774" s="45">
        <f t="shared" si="45"/>
        <v>-2566964082.7172699</v>
      </c>
      <c r="H774" s="46">
        <v>943776000</v>
      </c>
      <c r="I774" s="50">
        <v>653480963.36826003</v>
      </c>
      <c r="L774" s="44">
        <f t="shared" si="43"/>
        <v>-2857259119.34901</v>
      </c>
      <c r="M774" s="45">
        <f t="shared" si="44"/>
        <v>-290295036.63173997</v>
      </c>
    </row>
    <row r="775" spans="1:13" ht="12.65" customHeight="1">
      <c r="A775" s="33">
        <v>44117</v>
      </c>
      <c r="B775" s="46">
        <v>4467262156.2209997</v>
      </c>
      <c r="C775" s="56">
        <v>1949827553.7471001</v>
      </c>
      <c r="F775" s="45">
        <f t="shared" si="45"/>
        <v>-2517434602.4738998</v>
      </c>
      <c r="H775" s="46">
        <v>943776000</v>
      </c>
      <c r="I775" s="50">
        <v>657689547.47406006</v>
      </c>
      <c r="L775" s="44">
        <f t="shared" si="43"/>
        <v>-2803521054.9998398</v>
      </c>
      <c r="M775" s="45">
        <f t="shared" si="44"/>
        <v>-286086452.52593994</v>
      </c>
    </row>
    <row r="776" spans="1:13" ht="12.65" customHeight="1">
      <c r="A776" s="33">
        <v>44118</v>
      </c>
      <c r="B776" s="46">
        <v>4467262156.2209997</v>
      </c>
      <c r="C776" s="56">
        <v>1574886570.7972</v>
      </c>
      <c r="F776" s="45">
        <f t="shared" si="45"/>
        <v>-2892375585.4237995</v>
      </c>
      <c r="H776" s="46">
        <v>943776000</v>
      </c>
      <c r="I776" s="50">
        <v>650486969.48739004</v>
      </c>
      <c r="L776" s="44">
        <f t="shared" si="43"/>
        <v>-3185664615.9364095</v>
      </c>
      <c r="M776" s="45">
        <f t="shared" si="44"/>
        <v>-293289030.51260996</v>
      </c>
    </row>
    <row r="777" spans="1:13" ht="12.65" customHeight="1">
      <c r="A777" s="33">
        <v>44119</v>
      </c>
      <c r="B777" s="46">
        <v>4467262156.2209997</v>
      </c>
      <c r="C777" s="56">
        <v>1326279879.26545</v>
      </c>
      <c r="F777" s="45">
        <f t="shared" si="45"/>
        <v>-3140982276.9555497</v>
      </c>
      <c r="H777" s="46">
        <v>943776000</v>
      </c>
      <c r="I777" s="50">
        <v>752610429.83650005</v>
      </c>
      <c r="L777" s="44">
        <f t="shared" si="43"/>
        <v>-3332147847.1190495</v>
      </c>
      <c r="M777" s="45">
        <f t="shared" si="44"/>
        <v>-191165570.16349995</v>
      </c>
    </row>
    <row r="778" spans="1:13" ht="12.65" customHeight="1">
      <c r="A778" s="33">
        <v>44120</v>
      </c>
      <c r="B778" s="46">
        <v>4494022000</v>
      </c>
      <c r="C778" s="56">
        <v>6208597863.3306503</v>
      </c>
      <c r="F778" s="45">
        <f t="shared" si="45"/>
        <v>1714575863.3306503</v>
      </c>
      <c r="H778" s="46">
        <v>992765000</v>
      </c>
      <c r="I778" s="50">
        <v>1358294327.67331</v>
      </c>
      <c r="L778" s="44">
        <f t="shared" si="43"/>
        <v>2080105191.0039604</v>
      </c>
      <c r="M778" s="45">
        <f t="shared" si="44"/>
        <v>365529327.67331004</v>
      </c>
    </row>
    <row r="779" spans="1:13" ht="12.65" customHeight="1">
      <c r="A779" s="33">
        <v>44123</v>
      </c>
      <c r="B779" s="46">
        <v>4494022000</v>
      </c>
      <c r="C779" s="56">
        <v>4982775898.8943396</v>
      </c>
      <c r="F779" s="45">
        <f t="shared" si="45"/>
        <v>488753898.89433956</v>
      </c>
      <c r="H779" s="46">
        <v>992765000</v>
      </c>
      <c r="I779" s="50">
        <v>1311390750.5025799</v>
      </c>
      <c r="L779" s="44">
        <f t="shared" si="43"/>
        <v>807379649.39691949</v>
      </c>
      <c r="M779" s="45">
        <f t="shared" si="44"/>
        <v>318625750.50257993</v>
      </c>
    </row>
    <row r="780" spans="1:13" ht="12.65" customHeight="1">
      <c r="A780" s="33">
        <v>44124</v>
      </c>
      <c r="B780" s="46">
        <v>4494022000</v>
      </c>
      <c r="C780" s="56">
        <v>6083752971.0778399</v>
      </c>
      <c r="F780" s="45">
        <f t="shared" si="45"/>
        <v>1589730971.0778399</v>
      </c>
      <c r="H780" s="46">
        <v>992765000</v>
      </c>
      <c r="I780" s="50">
        <v>1350807201.8081601</v>
      </c>
      <c r="L780" s="44">
        <f t="shared" si="43"/>
        <v>1947773172.8859999</v>
      </c>
      <c r="M780" s="45">
        <f t="shared" si="44"/>
        <v>358042201.80816007</v>
      </c>
    </row>
    <row r="781" spans="1:13" ht="12.65" customHeight="1">
      <c r="A781" s="33">
        <v>44125</v>
      </c>
      <c r="B781" s="46">
        <v>4494022000</v>
      </c>
      <c r="C781" s="56">
        <v>4188314460.1703401</v>
      </c>
      <c r="F781" s="45">
        <f t="shared" si="45"/>
        <v>-305707539.82965994</v>
      </c>
      <c r="H781" s="46">
        <v>992765000</v>
      </c>
      <c r="I781" s="50">
        <v>1283080333.1958499</v>
      </c>
      <c r="L781" s="44">
        <f t="shared" si="43"/>
        <v>-15392206.633810043</v>
      </c>
      <c r="M781" s="45">
        <f t="shared" si="44"/>
        <v>290315333.1958499</v>
      </c>
    </row>
    <row r="782" spans="1:13" ht="12.65" customHeight="1">
      <c r="A782" s="33">
        <v>44126</v>
      </c>
      <c r="B782" s="46">
        <v>4494022000</v>
      </c>
      <c r="C782" s="56">
        <v>4306652068.1484203</v>
      </c>
      <c r="F782" s="45">
        <f t="shared" si="45"/>
        <v>-187369931.85157967</v>
      </c>
      <c r="H782" s="46">
        <v>992765000</v>
      </c>
      <c r="I782" s="50">
        <v>1260310148.5701599</v>
      </c>
      <c r="L782" s="44">
        <f t="shared" si="43"/>
        <v>80175216.718580246</v>
      </c>
      <c r="M782" s="45">
        <f t="shared" si="44"/>
        <v>267545148.57015991</v>
      </c>
    </row>
    <row r="783" spans="1:13" ht="12.65" customHeight="1">
      <c r="A783" s="33">
        <v>44127</v>
      </c>
      <c r="B783" s="46">
        <v>4494022000</v>
      </c>
      <c r="C783" s="56">
        <v>4534196755.9076004</v>
      </c>
      <c r="F783" s="45">
        <f t="shared" si="45"/>
        <v>40174755.907600403</v>
      </c>
      <c r="H783" s="46">
        <v>992765000</v>
      </c>
      <c r="I783" s="50">
        <v>534987621.39419001</v>
      </c>
      <c r="L783" s="44">
        <f t="shared" si="43"/>
        <v>-417602622.69820958</v>
      </c>
      <c r="M783" s="45">
        <f t="shared" si="44"/>
        <v>-457777378.60580999</v>
      </c>
    </row>
    <row r="784" spans="1:13" ht="12.65" customHeight="1">
      <c r="A784" s="33">
        <v>44130</v>
      </c>
      <c r="B784" s="46">
        <v>4494022000</v>
      </c>
      <c r="C784" s="56">
        <v>4107907159.6709299</v>
      </c>
      <c r="F784" s="45">
        <f t="shared" si="45"/>
        <v>-386114840.32907009</v>
      </c>
      <c r="H784" s="46">
        <v>992765000</v>
      </c>
      <c r="I784" s="50">
        <v>514251294.72867</v>
      </c>
      <c r="L784" s="44">
        <f t="shared" si="43"/>
        <v>-864628545.60040009</v>
      </c>
      <c r="M784" s="45">
        <f t="shared" si="44"/>
        <v>-478513705.27133</v>
      </c>
    </row>
    <row r="785" spans="1:13" ht="12.65" customHeight="1">
      <c r="A785" s="33">
        <v>44131</v>
      </c>
      <c r="B785" s="46">
        <v>4494022000</v>
      </c>
      <c r="C785" s="56">
        <v>2206734884.12639</v>
      </c>
      <c r="F785" s="45">
        <f t="shared" si="45"/>
        <v>-2287287115.87361</v>
      </c>
      <c r="H785" s="46">
        <v>992765000</v>
      </c>
      <c r="I785" s="50">
        <v>532030034.15801001</v>
      </c>
      <c r="L785" s="44">
        <f t="shared" si="43"/>
        <v>-2748022081.7156</v>
      </c>
      <c r="M785" s="45">
        <f t="shared" si="44"/>
        <v>-460734965.84198999</v>
      </c>
    </row>
    <row r="786" spans="1:13" ht="12.65" customHeight="1">
      <c r="A786" s="33">
        <v>44132</v>
      </c>
      <c r="B786" s="46">
        <v>4494022000</v>
      </c>
      <c r="C786" s="56">
        <v>2206734884.12639</v>
      </c>
      <c r="F786" s="45">
        <f t="shared" si="45"/>
        <v>-2287287115.87361</v>
      </c>
      <c r="H786" s="46">
        <v>992765000</v>
      </c>
      <c r="I786" s="50">
        <v>532030034.15801001</v>
      </c>
      <c r="L786" s="44">
        <f t="shared" si="43"/>
        <v>-2748022081.7156</v>
      </c>
      <c r="M786" s="45">
        <f t="shared" si="44"/>
        <v>-460734965.84198999</v>
      </c>
    </row>
    <row r="787" spans="1:13" ht="12.65" customHeight="1">
      <c r="A787" s="33">
        <v>44133</v>
      </c>
      <c r="B787" s="46">
        <v>4494022000</v>
      </c>
      <c r="C787" s="56">
        <v>2206734884.12639</v>
      </c>
      <c r="F787" s="45">
        <f t="shared" si="45"/>
        <v>-2287287115.87361</v>
      </c>
      <c r="H787" s="46">
        <v>992765000</v>
      </c>
      <c r="I787" s="50">
        <v>532030034.15801001</v>
      </c>
      <c r="L787" s="44">
        <f t="shared" si="43"/>
        <v>-2748022081.7156</v>
      </c>
      <c r="M787" s="45">
        <f t="shared" si="44"/>
        <v>-460734965.84198999</v>
      </c>
    </row>
    <row r="788" spans="1:13" ht="12.65" customHeight="1">
      <c r="A788" s="33">
        <v>44134</v>
      </c>
      <c r="B788" s="46">
        <v>4494022000</v>
      </c>
      <c r="C788" s="56">
        <v>2206734884.12639</v>
      </c>
      <c r="F788" s="45">
        <f t="shared" si="45"/>
        <v>-2287287115.87361</v>
      </c>
      <c r="H788" s="46">
        <v>992765000</v>
      </c>
      <c r="I788" s="50">
        <v>532030034.15801001</v>
      </c>
      <c r="L788" s="44">
        <f t="shared" si="43"/>
        <v>-2748022081.7156</v>
      </c>
      <c r="M788" s="45">
        <f t="shared" si="44"/>
        <v>-460734965.84198999</v>
      </c>
    </row>
    <row r="789" spans="1:13" ht="12.65" customHeight="1">
      <c r="A789" s="33">
        <v>44135</v>
      </c>
      <c r="B789" s="46">
        <v>4494022000</v>
      </c>
      <c r="C789" s="56">
        <v>2206734884.12639</v>
      </c>
      <c r="F789" s="45">
        <f t="shared" si="45"/>
        <v>-2287287115.87361</v>
      </c>
      <c r="H789" s="46">
        <v>992765000</v>
      </c>
      <c r="I789" s="50">
        <v>532030034.15801001</v>
      </c>
      <c r="L789" s="44">
        <f t="shared" si="43"/>
        <v>-2748022081.7156</v>
      </c>
      <c r="M789" s="45">
        <f t="shared" si="44"/>
        <v>-460734965.84198999</v>
      </c>
    </row>
    <row r="790" spans="1:13" ht="12.65" customHeight="1">
      <c r="A790" s="33">
        <v>44137</v>
      </c>
      <c r="B790" s="46">
        <v>4563934000</v>
      </c>
      <c r="C790" s="56">
        <v>5320258979.2795601</v>
      </c>
      <c r="F790" s="45">
        <f t="shared" si="45"/>
        <v>756324979.27956009</v>
      </c>
      <c r="H790" s="46">
        <v>981807000</v>
      </c>
      <c r="I790" s="50">
        <v>1059708779.82007</v>
      </c>
      <c r="L790" s="44">
        <f t="shared" si="43"/>
        <v>834226759.09963012</v>
      </c>
      <c r="M790" s="45">
        <f t="shared" si="44"/>
        <v>77901779.820070028</v>
      </c>
    </row>
    <row r="791" spans="1:13" ht="12.65" customHeight="1">
      <c r="A791" s="33">
        <v>44138</v>
      </c>
      <c r="B791" s="46">
        <v>4563934000</v>
      </c>
      <c r="C791" s="56">
        <v>6618169108.5752001</v>
      </c>
      <c r="F791" s="45">
        <f t="shared" si="45"/>
        <v>2054235108.5752001</v>
      </c>
      <c r="H791" s="46">
        <v>981807000</v>
      </c>
      <c r="I791" s="50">
        <v>1835508529.9430201</v>
      </c>
      <c r="L791" s="44">
        <f t="shared" si="43"/>
        <v>2907936638.5182199</v>
      </c>
      <c r="M791" s="45">
        <f t="shared" si="44"/>
        <v>853701529.94302011</v>
      </c>
    </row>
    <row r="792" spans="1:13" ht="12.65" customHeight="1">
      <c r="A792" s="33">
        <v>44139</v>
      </c>
      <c r="B792" s="46">
        <v>4563934000</v>
      </c>
      <c r="C792" s="56">
        <v>4929645270.2203197</v>
      </c>
      <c r="F792" s="45">
        <f t="shared" si="45"/>
        <v>365711270.22031975</v>
      </c>
      <c r="H792" s="46">
        <v>981807000</v>
      </c>
      <c r="I792" s="50">
        <v>1165538781.3489499</v>
      </c>
      <c r="L792" s="44">
        <f t="shared" si="43"/>
        <v>549443051.56926966</v>
      </c>
      <c r="M792" s="45">
        <f t="shared" si="44"/>
        <v>183731781.34894991</v>
      </c>
    </row>
    <row r="793" spans="1:13" ht="12.65" customHeight="1">
      <c r="A793" s="33">
        <v>44140</v>
      </c>
      <c r="B793" s="46">
        <v>4563934000</v>
      </c>
      <c r="C793" s="56">
        <v>5148348064.8017902</v>
      </c>
      <c r="F793" s="45">
        <f t="shared" si="45"/>
        <v>584414064.80179024</v>
      </c>
      <c r="H793" s="46">
        <v>981807000</v>
      </c>
      <c r="I793" s="50">
        <v>1139786996.2915399</v>
      </c>
      <c r="L793" s="44">
        <f t="shared" si="43"/>
        <v>742394061.09333014</v>
      </c>
      <c r="M793" s="45">
        <f t="shared" si="44"/>
        <v>157979996.29153991</v>
      </c>
    </row>
    <row r="794" spans="1:13" ht="12.65" customHeight="1">
      <c r="A794" s="33">
        <v>44141</v>
      </c>
      <c r="B794" s="46">
        <v>4563934000</v>
      </c>
      <c r="C794" s="56">
        <v>5468256298.2902098</v>
      </c>
      <c r="F794" s="45">
        <f t="shared" si="45"/>
        <v>904322298.29020977</v>
      </c>
      <c r="H794" s="46">
        <v>981807000</v>
      </c>
      <c r="I794" s="50">
        <v>1106664838.4309101</v>
      </c>
      <c r="L794" s="44">
        <f t="shared" si="43"/>
        <v>1029180136.7211199</v>
      </c>
      <c r="M794" s="45">
        <f t="shared" si="44"/>
        <v>124857838.43091011</v>
      </c>
    </row>
    <row r="795" spans="1:13" ht="12.65" customHeight="1">
      <c r="A795" s="33">
        <v>44144</v>
      </c>
      <c r="B795" s="46">
        <v>4563934000</v>
      </c>
      <c r="C795" s="56">
        <v>6726264012.9760704</v>
      </c>
      <c r="F795" s="45">
        <f t="shared" si="45"/>
        <v>2162330012.9760704</v>
      </c>
      <c r="H795" s="46">
        <v>981807000</v>
      </c>
      <c r="I795" s="50">
        <v>1789609022.1157601</v>
      </c>
      <c r="L795" s="44">
        <f t="shared" si="43"/>
        <v>2970132035.0918303</v>
      </c>
      <c r="M795" s="45">
        <f t="shared" si="44"/>
        <v>807802022.11576009</v>
      </c>
    </row>
    <row r="796" spans="1:13" ht="12.65" customHeight="1">
      <c r="A796" s="33">
        <v>44145</v>
      </c>
      <c r="B796" s="46">
        <v>4563934000</v>
      </c>
      <c r="C796" s="56">
        <v>3369777579.3085299</v>
      </c>
      <c r="F796" s="45">
        <f t="shared" si="45"/>
        <v>-1194156420.6914701</v>
      </c>
      <c r="H796" s="46">
        <v>981807000</v>
      </c>
      <c r="I796" s="50">
        <v>1180805093.55352</v>
      </c>
      <c r="L796" s="44">
        <f t="shared" si="43"/>
        <v>-995158327.13795018</v>
      </c>
      <c r="M796" s="45">
        <f t="shared" si="44"/>
        <v>198998093.55351996</v>
      </c>
    </row>
    <row r="797" spans="1:13" ht="12.65" customHeight="1">
      <c r="A797" s="33">
        <v>44146</v>
      </c>
      <c r="B797" s="46">
        <v>4563934000</v>
      </c>
      <c r="C797" s="56">
        <v>3140937928.2495599</v>
      </c>
      <c r="F797" s="45">
        <f t="shared" si="45"/>
        <v>-1422996071.7504401</v>
      </c>
      <c r="H797" s="46">
        <v>981807000</v>
      </c>
      <c r="I797" s="50">
        <v>345551628.73537999</v>
      </c>
      <c r="L797" s="44">
        <f t="shared" si="43"/>
        <v>-2059251443.0150602</v>
      </c>
      <c r="M797" s="45">
        <f t="shared" si="44"/>
        <v>-636255371.26462007</v>
      </c>
    </row>
    <row r="798" spans="1:13" ht="12.65" customHeight="1">
      <c r="A798" s="33">
        <v>44147</v>
      </c>
      <c r="B798" s="46">
        <v>4563934000</v>
      </c>
      <c r="C798" s="56">
        <v>2724699190.22791</v>
      </c>
      <c r="F798" s="45">
        <f t="shared" si="45"/>
        <v>-1839234809.77209</v>
      </c>
      <c r="H798" s="46">
        <v>981807000</v>
      </c>
      <c r="I798" s="50">
        <v>380844938.44994003</v>
      </c>
      <c r="L798" s="44">
        <f t="shared" si="43"/>
        <v>-2440196871.3221502</v>
      </c>
      <c r="M798" s="45">
        <f t="shared" si="44"/>
        <v>-600962061.55006003</v>
      </c>
    </row>
    <row r="799" spans="1:13" ht="12.65" customHeight="1">
      <c r="A799" s="33">
        <v>44148</v>
      </c>
      <c r="B799" s="46">
        <v>4563934000</v>
      </c>
      <c r="C799" s="56">
        <v>2730248471.95474</v>
      </c>
      <c r="F799" s="45">
        <f t="shared" si="45"/>
        <v>-1833685528.04526</v>
      </c>
      <c r="H799" s="46">
        <v>981807000</v>
      </c>
      <c r="I799" s="50">
        <v>209503481.80822</v>
      </c>
      <c r="L799" s="44">
        <f t="shared" si="43"/>
        <v>-2605989046.23704</v>
      </c>
      <c r="M799" s="45">
        <f t="shared" si="44"/>
        <v>-772303518.19177997</v>
      </c>
    </row>
    <row r="800" spans="1:13" ht="12.65" customHeight="1">
      <c r="A800" s="33">
        <v>44151</v>
      </c>
      <c r="B800" s="46">
        <v>4667749000</v>
      </c>
      <c r="C800" s="56">
        <v>5437126864.9263601</v>
      </c>
      <c r="F800" s="45">
        <f t="shared" si="45"/>
        <v>769377864.92636013</v>
      </c>
      <c r="H800" s="46">
        <v>1041780000</v>
      </c>
      <c r="I800" s="50">
        <v>1188132490.0817399</v>
      </c>
      <c r="L800" s="44">
        <f t="shared" si="43"/>
        <v>915730355.00810003</v>
      </c>
      <c r="M800" s="45">
        <f t="shared" si="44"/>
        <v>146352490.0817399</v>
      </c>
    </row>
    <row r="801" spans="1:13" ht="12.65" customHeight="1">
      <c r="A801" s="33">
        <v>44152</v>
      </c>
      <c r="B801" s="46">
        <v>4667749000</v>
      </c>
      <c r="C801" s="56">
        <v>6531666888.3840303</v>
      </c>
      <c r="F801" s="45">
        <f t="shared" si="45"/>
        <v>1863917888.3840303</v>
      </c>
      <c r="H801" s="46">
        <v>1041780000</v>
      </c>
      <c r="I801" s="50">
        <v>1217829955.20313</v>
      </c>
      <c r="L801" s="44">
        <f t="shared" si="43"/>
        <v>2039967843.5871603</v>
      </c>
      <c r="M801" s="45">
        <f t="shared" si="44"/>
        <v>176049955.20313001</v>
      </c>
    </row>
    <row r="802" spans="1:13" ht="12.65" customHeight="1">
      <c r="A802" s="33">
        <v>44153</v>
      </c>
      <c r="B802" s="46">
        <v>4667749000</v>
      </c>
      <c r="C802" s="56">
        <v>5136175210.0569296</v>
      </c>
      <c r="F802" s="45">
        <f t="shared" si="45"/>
        <v>468426210.05692959</v>
      </c>
      <c r="H802" s="46">
        <v>1041780000</v>
      </c>
      <c r="I802" s="50">
        <v>1201570698.4721999</v>
      </c>
      <c r="L802" s="44">
        <f t="shared" si="43"/>
        <v>628216908.52912951</v>
      </c>
      <c r="M802" s="45">
        <f t="shared" si="44"/>
        <v>159790698.47219992</v>
      </c>
    </row>
    <row r="803" spans="1:13" ht="12.65" customHeight="1">
      <c r="A803" s="33">
        <v>44154</v>
      </c>
      <c r="B803" s="46">
        <v>4667749000</v>
      </c>
      <c r="C803" s="56">
        <v>6140551989.2119303</v>
      </c>
      <c r="F803" s="45">
        <f t="shared" si="45"/>
        <v>1472802989.2119303</v>
      </c>
      <c r="H803" s="46">
        <v>1041780000</v>
      </c>
      <c r="I803" s="50">
        <v>935962860.80027997</v>
      </c>
      <c r="L803" s="44">
        <f t="shared" si="43"/>
        <v>1366985850.0122104</v>
      </c>
      <c r="M803" s="45">
        <f t="shared" si="44"/>
        <v>-105817139.19972003</v>
      </c>
    </row>
    <row r="804" spans="1:13" ht="12.65" customHeight="1">
      <c r="A804" s="33">
        <v>44155</v>
      </c>
      <c r="B804" s="46">
        <v>4667749000</v>
      </c>
      <c r="C804" s="56">
        <v>5063647065.9187202</v>
      </c>
      <c r="F804" s="45">
        <f t="shared" si="45"/>
        <v>395898065.91872025</v>
      </c>
      <c r="H804" s="46">
        <v>1041780000</v>
      </c>
      <c r="I804" s="50">
        <v>685987157.65301001</v>
      </c>
      <c r="L804" s="44">
        <f t="shared" si="43"/>
        <v>40105223.571730256</v>
      </c>
      <c r="M804" s="45">
        <f t="shared" si="44"/>
        <v>-355792842.34698999</v>
      </c>
    </row>
    <row r="805" spans="1:13" ht="12.65" customHeight="1">
      <c r="A805" s="33">
        <v>44158</v>
      </c>
      <c r="B805" s="46">
        <v>4667749000</v>
      </c>
      <c r="C805" s="56">
        <v>4689018511.7735796</v>
      </c>
      <c r="F805" s="45">
        <f t="shared" si="45"/>
        <v>21269511.773579597</v>
      </c>
      <c r="H805" s="46">
        <v>1041780000</v>
      </c>
      <c r="I805" s="50">
        <v>1060961954.73649</v>
      </c>
      <c r="L805" s="44">
        <f t="shared" si="43"/>
        <v>40451466.510069609</v>
      </c>
      <c r="M805" s="45">
        <f t="shared" si="44"/>
        <v>19181954.736490011</v>
      </c>
    </row>
    <row r="806" spans="1:13" ht="12.65" customHeight="1">
      <c r="A806" s="33">
        <v>44159</v>
      </c>
      <c r="B806" s="46">
        <v>4667749000</v>
      </c>
      <c r="C806" s="56">
        <v>5100284979.1901598</v>
      </c>
      <c r="F806" s="45">
        <f t="shared" si="45"/>
        <v>432535979.1901598</v>
      </c>
      <c r="H806" s="46">
        <v>1041780000</v>
      </c>
      <c r="I806" s="50">
        <v>1031856280.95759</v>
      </c>
      <c r="L806" s="44">
        <f t="shared" si="43"/>
        <v>422612260.14774978</v>
      </c>
      <c r="M806" s="45">
        <f t="shared" si="44"/>
        <v>-9923719.0424100161</v>
      </c>
    </row>
    <row r="807" spans="1:13" ht="12.65" customHeight="1">
      <c r="A807" s="33">
        <v>44160</v>
      </c>
      <c r="B807" s="46">
        <v>4667749000</v>
      </c>
      <c r="C807" s="56">
        <v>4118836918.7627902</v>
      </c>
      <c r="F807" s="45">
        <f t="shared" si="45"/>
        <v>-548912081.2372098</v>
      </c>
      <c r="H807" s="46">
        <v>1041780000</v>
      </c>
      <c r="I807" s="50">
        <v>1061373505.2927999</v>
      </c>
      <c r="L807" s="44">
        <f t="shared" si="43"/>
        <v>-529318575.94440985</v>
      </c>
      <c r="M807" s="45">
        <f t="shared" si="44"/>
        <v>19593505.29279995</v>
      </c>
    </row>
    <row r="808" spans="1:13" ht="12.65" customHeight="1">
      <c r="A808" s="33">
        <v>44161</v>
      </c>
      <c r="B808" s="46">
        <v>4667749000</v>
      </c>
      <c r="C808" s="56">
        <v>3378606729.3287702</v>
      </c>
      <c r="F808" s="45">
        <f t="shared" si="45"/>
        <v>-1289142270.6712298</v>
      </c>
      <c r="H808" s="46">
        <v>1041780000</v>
      </c>
      <c r="I808" s="50">
        <v>1032167663.4337699</v>
      </c>
      <c r="L808" s="44">
        <f t="shared" si="43"/>
        <v>-1298754607.2374599</v>
      </c>
      <c r="M808" s="45">
        <f t="shared" si="44"/>
        <v>-9612336.5662300587</v>
      </c>
    </row>
    <row r="809" spans="1:13" ht="12.65" customHeight="1">
      <c r="A809" s="33">
        <v>44162</v>
      </c>
      <c r="B809" s="46">
        <v>4667749000</v>
      </c>
      <c r="C809" s="56">
        <v>3151109153.91295</v>
      </c>
      <c r="F809" s="45">
        <f t="shared" si="45"/>
        <v>-1516639846.08705</v>
      </c>
      <c r="H809" s="46">
        <v>1041780000</v>
      </c>
      <c r="I809" s="50">
        <v>1023773240.9729</v>
      </c>
      <c r="L809" s="44">
        <f t="shared" si="43"/>
        <v>-1534646605.11415</v>
      </c>
      <c r="M809" s="45">
        <f t="shared" si="44"/>
        <v>-18006759.027099967</v>
      </c>
    </row>
    <row r="810" spans="1:13" ht="12.65" customHeight="1">
      <c r="A810" s="33">
        <v>44165</v>
      </c>
      <c r="B810" s="46">
        <v>4667749000</v>
      </c>
      <c r="C810" s="56">
        <v>3125562162.7130499</v>
      </c>
      <c r="F810" s="45">
        <f t="shared" si="45"/>
        <v>-1542186837.2869501</v>
      </c>
      <c r="H810" s="46">
        <v>1041780000</v>
      </c>
      <c r="I810" s="50">
        <v>1162034379.0065</v>
      </c>
      <c r="L810" s="44">
        <f t="shared" si="43"/>
        <v>-1421932458.2804501</v>
      </c>
      <c r="M810" s="45">
        <f t="shared" si="44"/>
        <v>120254379.00650001</v>
      </c>
    </row>
    <row r="811" spans="1:13" ht="12.65" customHeight="1">
      <c r="A811" s="33">
        <v>44166</v>
      </c>
      <c r="B811" s="46">
        <v>4727917000</v>
      </c>
      <c r="C811" s="56">
        <v>5872285750.22647</v>
      </c>
      <c r="F811" s="45">
        <f t="shared" si="45"/>
        <v>1144368750.22647</v>
      </c>
      <c r="H811" s="46">
        <v>1036260000</v>
      </c>
      <c r="I811" s="50">
        <v>1065974173.39132</v>
      </c>
      <c r="L811" s="44">
        <f t="shared" si="43"/>
        <v>1174082923.61779</v>
      </c>
      <c r="M811" s="45">
        <f t="shared" si="44"/>
        <v>29714173.39131999</v>
      </c>
    </row>
    <row r="812" spans="1:13" ht="12.65" customHeight="1">
      <c r="A812" s="33">
        <v>44167</v>
      </c>
      <c r="B812" s="46">
        <v>4727917000</v>
      </c>
      <c r="C812" s="56">
        <v>5541314027.8762798</v>
      </c>
      <c r="F812" s="45">
        <f t="shared" si="45"/>
        <v>813397027.87627983</v>
      </c>
      <c r="H812" s="46">
        <v>1036260000</v>
      </c>
      <c r="I812" s="50">
        <v>1169661263.3248999</v>
      </c>
      <c r="L812" s="44">
        <f t="shared" si="43"/>
        <v>946798291.20117974</v>
      </c>
      <c r="M812" s="45">
        <f t="shared" si="44"/>
        <v>133401263.32489991</v>
      </c>
    </row>
    <row r="813" spans="1:13" ht="12.65" customHeight="1">
      <c r="A813" s="33">
        <v>44168</v>
      </c>
      <c r="B813" s="46">
        <v>4727917000</v>
      </c>
      <c r="C813" s="56">
        <v>6202430392.7694702</v>
      </c>
      <c r="F813" s="45">
        <f t="shared" si="45"/>
        <v>1474513392.7694702</v>
      </c>
      <c r="H813" s="46">
        <v>1036260000</v>
      </c>
      <c r="I813" s="50">
        <v>940336391.95026004</v>
      </c>
      <c r="L813" s="44">
        <f t="shared" si="43"/>
        <v>1378589784.7197304</v>
      </c>
      <c r="M813" s="45">
        <f t="shared" si="44"/>
        <v>-95923608.049739957</v>
      </c>
    </row>
    <row r="814" spans="1:13" ht="12.65" customHeight="1">
      <c r="A814" s="33">
        <v>44169</v>
      </c>
      <c r="B814" s="46">
        <v>4727917000</v>
      </c>
      <c r="C814" s="56">
        <v>5974666246.7242298</v>
      </c>
      <c r="F814" s="45">
        <f t="shared" si="45"/>
        <v>1246749246.7242298</v>
      </c>
      <c r="H814" s="46">
        <v>1036260000</v>
      </c>
      <c r="I814" s="50">
        <v>988416522.73977995</v>
      </c>
      <c r="L814" s="44">
        <f t="shared" si="43"/>
        <v>1198905769.4640098</v>
      </c>
      <c r="M814" s="45">
        <f t="shared" si="44"/>
        <v>-47843477.260220051</v>
      </c>
    </row>
    <row r="815" spans="1:13" ht="12.65" customHeight="1">
      <c r="A815" s="33">
        <v>44172</v>
      </c>
      <c r="B815" s="46">
        <v>4727917000</v>
      </c>
      <c r="C815" s="56">
        <v>5671527540.0587597</v>
      </c>
      <c r="F815" s="45">
        <f t="shared" si="45"/>
        <v>943610540.05875969</v>
      </c>
      <c r="H815" s="46">
        <v>1036260000</v>
      </c>
      <c r="I815" s="50">
        <v>1053673535.8851399</v>
      </c>
      <c r="L815" s="44">
        <f t="shared" si="43"/>
        <v>961024075.94389963</v>
      </c>
      <c r="M815" s="45">
        <f t="shared" si="44"/>
        <v>17413535.885139942</v>
      </c>
    </row>
    <row r="816" spans="1:13" ht="12.65" customHeight="1">
      <c r="A816" s="33">
        <v>44173</v>
      </c>
      <c r="B816" s="46">
        <v>4727917000</v>
      </c>
      <c r="C816" s="56">
        <v>4740845143.8447599</v>
      </c>
      <c r="F816" s="45">
        <f t="shared" si="45"/>
        <v>12928143.844759941</v>
      </c>
      <c r="H816" s="46">
        <v>1036260000</v>
      </c>
      <c r="I816" s="50">
        <v>1032445909.74972</v>
      </c>
      <c r="L816" s="44">
        <f t="shared" si="43"/>
        <v>9114053.5944799185</v>
      </c>
      <c r="M816" s="45">
        <f t="shared" si="44"/>
        <v>-3814090.2502800226</v>
      </c>
    </row>
    <row r="817" spans="1:13" ht="12.65" customHeight="1">
      <c r="A817" s="33">
        <v>44175</v>
      </c>
      <c r="B817" s="46">
        <v>4727917000</v>
      </c>
      <c r="C817" s="56">
        <v>5424799101.6320496</v>
      </c>
      <c r="F817" s="45">
        <f t="shared" si="45"/>
        <v>696882101.63204956</v>
      </c>
      <c r="H817" s="46">
        <v>1036260000</v>
      </c>
      <c r="I817" s="50">
        <v>1030714272.17442</v>
      </c>
      <c r="L817" s="44">
        <f t="shared" si="43"/>
        <v>691336373.80646956</v>
      </c>
      <c r="M817" s="45">
        <f t="shared" si="44"/>
        <v>-5545727.8255800009</v>
      </c>
    </row>
    <row r="818" spans="1:13" ht="12.65" customHeight="1">
      <c r="A818" s="33">
        <v>44176</v>
      </c>
      <c r="B818" s="46">
        <v>4727917000</v>
      </c>
      <c r="C818" s="56">
        <v>2997616647.43361</v>
      </c>
      <c r="F818" s="45">
        <f t="shared" si="45"/>
        <v>-1730300352.56639</v>
      </c>
      <c r="H818" s="46">
        <v>1036260000</v>
      </c>
      <c r="I818" s="50">
        <v>1026132483.35572</v>
      </c>
      <c r="L818" s="44">
        <f t="shared" si="43"/>
        <v>-1740427869.21067</v>
      </c>
      <c r="M818" s="45">
        <f t="shared" si="44"/>
        <v>-10127516.644279957</v>
      </c>
    </row>
    <row r="819" spans="1:13" ht="12.65" customHeight="1">
      <c r="A819" s="33">
        <v>44179</v>
      </c>
      <c r="B819" s="46">
        <v>4727917000</v>
      </c>
      <c r="C819" s="56">
        <v>2933314533.2496099</v>
      </c>
      <c r="F819" s="45">
        <f t="shared" si="45"/>
        <v>-1794602466.7503901</v>
      </c>
      <c r="H819" s="46">
        <v>1036260000</v>
      </c>
      <c r="I819" s="50">
        <v>521539242.91983002</v>
      </c>
      <c r="L819" s="44">
        <f t="shared" si="43"/>
        <v>-2309323223.8305602</v>
      </c>
      <c r="M819" s="45">
        <f t="shared" si="44"/>
        <v>-514720757.08016998</v>
      </c>
    </row>
    <row r="820" spans="1:13" ht="12.65" customHeight="1">
      <c r="A820" s="33">
        <v>44180</v>
      </c>
      <c r="B820" s="46">
        <v>4727917000</v>
      </c>
      <c r="C820" s="56">
        <v>3166746099.9132299</v>
      </c>
      <c r="F820" s="45">
        <f t="shared" si="45"/>
        <v>-1561170900.0867701</v>
      </c>
      <c r="H820" s="46">
        <v>1036260000</v>
      </c>
      <c r="I820" s="50">
        <v>1656485642.6982901</v>
      </c>
      <c r="L820" s="44">
        <f t="shared" si="43"/>
        <v>-940945257.38847995</v>
      </c>
      <c r="M820" s="45">
        <f t="shared" si="44"/>
        <v>620225642.69829011</v>
      </c>
    </row>
    <row r="821" spans="1:13" ht="12.65" customHeight="1">
      <c r="A821" s="33">
        <v>44181</v>
      </c>
      <c r="B821" s="46">
        <v>4774402000</v>
      </c>
      <c r="C821" s="56">
        <v>6366979924.39293</v>
      </c>
      <c r="F821" s="45">
        <f t="shared" si="45"/>
        <v>1592577924.39293</v>
      </c>
      <c r="H821" s="46">
        <v>1078306000</v>
      </c>
      <c r="I821" s="50">
        <v>1262343328.23842</v>
      </c>
      <c r="L821" s="44">
        <f t="shared" si="43"/>
        <v>1776615252.63135</v>
      </c>
      <c r="M821" s="45">
        <f t="shared" si="44"/>
        <v>184037328.23842001</v>
      </c>
    </row>
    <row r="822" spans="1:13" ht="12.65" customHeight="1">
      <c r="A822" s="33">
        <v>44182</v>
      </c>
      <c r="B822" s="46">
        <v>4774402000</v>
      </c>
      <c r="C822" s="56">
        <v>7473428365.1011696</v>
      </c>
      <c r="F822" s="45">
        <f t="shared" si="45"/>
        <v>2699026365.1011696</v>
      </c>
      <c r="H822" s="46">
        <v>1078306000</v>
      </c>
      <c r="I822" s="50">
        <v>1234061310.6387899</v>
      </c>
      <c r="L822" s="44">
        <f t="shared" si="43"/>
        <v>2854781675.7399597</v>
      </c>
      <c r="M822" s="45">
        <f t="shared" si="44"/>
        <v>155755310.63878989</v>
      </c>
    </row>
    <row r="823" spans="1:13" ht="12.65" customHeight="1">
      <c r="A823" s="33">
        <v>44183</v>
      </c>
      <c r="B823" s="46">
        <v>4774402000</v>
      </c>
      <c r="C823" s="56">
        <v>7455754727.3427401</v>
      </c>
      <c r="F823" s="45">
        <f t="shared" si="45"/>
        <v>2681352727.3427401</v>
      </c>
      <c r="H823" s="46">
        <v>1078306000</v>
      </c>
      <c r="I823" s="50">
        <v>1236395628.4723401</v>
      </c>
      <c r="L823" s="44">
        <f t="shared" si="43"/>
        <v>2839442355.8150802</v>
      </c>
      <c r="M823" s="45">
        <f t="shared" si="44"/>
        <v>158089628.47234011</v>
      </c>
    </row>
    <row r="824" spans="1:13" ht="12.65" customHeight="1">
      <c r="A824" s="33">
        <v>44186</v>
      </c>
      <c r="B824" s="46">
        <v>4774402000</v>
      </c>
      <c r="C824" s="56">
        <v>6499957260.78302</v>
      </c>
      <c r="F824" s="45">
        <f t="shared" si="45"/>
        <v>1725555260.78302</v>
      </c>
      <c r="H824" s="46">
        <v>1078306000</v>
      </c>
      <c r="I824" s="50">
        <v>1100093236.85779</v>
      </c>
      <c r="L824" s="44">
        <f t="shared" si="43"/>
        <v>1747342497.64081</v>
      </c>
      <c r="M824" s="45">
        <f t="shared" si="44"/>
        <v>21787236.857789993</v>
      </c>
    </row>
    <row r="825" spans="1:13" ht="12.65" customHeight="1">
      <c r="A825" s="33">
        <v>44187</v>
      </c>
      <c r="B825" s="46">
        <v>4774402000</v>
      </c>
      <c r="C825" s="56">
        <v>5021400942.1848297</v>
      </c>
      <c r="F825" s="45">
        <f t="shared" si="45"/>
        <v>246998942.18482971</v>
      </c>
      <c r="H825" s="46">
        <v>1078306000</v>
      </c>
      <c r="I825" s="50">
        <v>1542741783.64974</v>
      </c>
      <c r="L825" s="44">
        <f t="shared" si="43"/>
        <v>711434725.83456969</v>
      </c>
      <c r="M825" s="45">
        <f t="shared" si="44"/>
        <v>464435783.64973998</v>
      </c>
    </row>
    <row r="826" spans="1:13" ht="12.65" customHeight="1">
      <c r="A826" s="33">
        <v>44188</v>
      </c>
      <c r="B826" s="46">
        <v>4774402000</v>
      </c>
      <c r="C826" s="56">
        <v>3369856616.0801201</v>
      </c>
      <c r="F826" s="45">
        <f t="shared" si="45"/>
        <v>-1404545383.9198799</v>
      </c>
      <c r="H826" s="46">
        <v>1078306000</v>
      </c>
      <c r="I826" s="50">
        <v>1092358230.9990599</v>
      </c>
      <c r="L826" s="44">
        <f t="shared" si="43"/>
        <v>-1390493152.92082</v>
      </c>
      <c r="M826" s="45">
        <f t="shared" si="44"/>
        <v>14052230.999059916</v>
      </c>
    </row>
    <row r="827" spans="1:13" ht="12.65" customHeight="1">
      <c r="A827" s="33">
        <v>44193</v>
      </c>
      <c r="B827" s="46">
        <v>4774402000</v>
      </c>
      <c r="C827" s="56">
        <v>2568203601.0574298</v>
      </c>
      <c r="F827" s="45">
        <f t="shared" si="45"/>
        <v>-2206198398.9425702</v>
      </c>
      <c r="H827" s="46">
        <v>1078306000</v>
      </c>
      <c r="I827" s="50">
        <v>1029235402.7475899</v>
      </c>
      <c r="L827" s="44">
        <f t="shared" si="43"/>
        <v>-2255268996.1949801</v>
      </c>
      <c r="M827" s="45">
        <f t="shared" si="44"/>
        <v>-49070597.252410054</v>
      </c>
    </row>
    <row r="828" spans="1:13" ht="12.65" customHeight="1">
      <c r="A828" s="33">
        <v>44194</v>
      </c>
      <c r="B828" s="46">
        <v>4774402000</v>
      </c>
      <c r="C828" s="56">
        <v>2809141842.9678402</v>
      </c>
      <c r="F828" s="45">
        <f t="shared" si="45"/>
        <v>-1965260157.0321598</v>
      </c>
      <c r="H828" s="46">
        <v>1078306000</v>
      </c>
      <c r="I828" s="50">
        <v>869294122.30588996</v>
      </c>
      <c r="L828" s="44">
        <f t="shared" si="43"/>
        <v>-2174272034.7262697</v>
      </c>
      <c r="M828" s="45">
        <f t="shared" si="44"/>
        <v>-209011877.69411004</v>
      </c>
    </row>
    <row r="829" spans="1:13" ht="12.65" customHeight="1">
      <c r="A829" s="33">
        <v>44195</v>
      </c>
      <c r="B829" s="46">
        <v>4774402000</v>
      </c>
      <c r="C829" s="56">
        <v>3755355864.21594</v>
      </c>
      <c r="F829" s="45">
        <f t="shared" si="45"/>
        <v>-1019046135.78406</v>
      </c>
      <c r="H829" s="46">
        <v>1078306000</v>
      </c>
      <c r="I829" s="50">
        <v>1287074437.9312</v>
      </c>
      <c r="L829" s="44">
        <f t="shared" si="43"/>
        <v>-810277697.85285997</v>
      </c>
      <c r="M829" s="45">
        <f t="shared" si="44"/>
        <v>208768437.93120003</v>
      </c>
    </row>
    <row r="830" spans="1:13" ht="12.65" customHeight="1">
      <c r="A830" s="33">
        <v>44196</v>
      </c>
      <c r="B830" s="46">
        <v>4774402000</v>
      </c>
      <c r="C830" s="56">
        <v>3755355864.21594</v>
      </c>
      <c r="F830" s="45">
        <f t="shared" si="45"/>
        <v>-1019046135.78406</v>
      </c>
      <c r="H830" s="46">
        <v>1078306000</v>
      </c>
      <c r="I830" s="50">
        <v>1287074437.9312</v>
      </c>
      <c r="L830" s="44">
        <f t="shared" si="43"/>
        <v>-810277697.85285997</v>
      </c>
      <c r="M830" s="45">
        <f t="shared" si="44"/>
        <v>208768437.93120003</v>
      </c>
    </row>
    <row r="831" spans="1:13" ht="12.65" customHeight="1">
      <c r="A831" s="33">
        <v>44200</v>
      </c>
      <c r="B831" s="46">
        <v>4832719000</v>
      </c>
      <c r="C831" s="56">
        <v>7202296024.2512503</v>
      </c>
      <c r="F831" s="45">
        <f t="shared" si="45"/>
        <v>2369577024.2512503</v>
      </c>
      <c r="H831" s="46">
        <v>1067294000</v>
      </c>
      <c r="I831" s="50">
        <v>991737894.95306003</v>
      </c>
      <c r="L831" s="44">
        <f t="shared" si="43"/>
        <v>2294020919.2043104</v>
      </c>
      <c r="M831" s="45">
        <f t="shared" si="44"/>
        <v>-75556105.046939969</v>
      </c>
    </row>
    <row r="832" spans="1:13" ht="12.65" customHeight="1">
      <c r="A832" s="33">
        <v>44201</v>
      </c>
      <c r="B832" s="46">
        <v>4832719000</v>
      </c>
      <c r="C832" s="56">
        <v>7061271104.5711298</v>
      </c>
      <c r="F832" s="45">
        <f t="shared" si="45"/>
        <v>2228552104.5711298</v>
      </c>
      <c r="H832" s="46">
        <v>1067294000</v>
      </c>
      <c r="I832" s="50">
        <v>1420612876.2702</v>
      </c>
      <c r="L832" s="44">
        <f t="shared" ref="L832:L895" si="46">F832+M832</f>
        <v>2581870980.8413296</v>
      </c>
      <c r="M832" s="45">
        <f t="shared" ref="M832:M895" si="47">I832-H832</f>
        <v>353318876.27020001</v>
      </c>
    </row>
    <row r="833" spans="1:13" ht="12.65" customHeight="1">
      <c r="A833" s="33">
        <v>44202</v>
      </c>
      <c r="B833" s="46">
        <v>4832719000</v>
      </c>
      <c r="C833" s="56">
        <v>7015469898.2765398</v>
      </c>
      <c r="F833" s="45">
        <f t="shared" si="45"/>
        <v>2182750898.2765398</v>
      </c>
      <c r="H833" s="46">
        <v>1067294000</v>
      </c>
      <c r="I833" s="50">
        <v>1630463413.67311</v>
      </c>
      <c r="L833" s="44">
        <f t="shared" si="46"/>
        <v>2745920311.9496498</v>
      </c>
      <c r="M833" s="45">
        <f t="shared" si="47"/>
        <v>563169413.67311001</v>
      </c>
    </row>
    <row r="834" spans="1:13" ht="12.65" customHeight="1">
      <c r="A834" s="33">
        <v>44203</v>
      </c>
      <c r="B834" s="46">
        <v>4832719000</v>
      </c>
      <c r="C834" s="56">
        <v>6140182211.40658</v>
      </c>
      <c r="F834" s="45">
        <f t="shared" ref="F834:F897" si="48">C834-B834</f>
        <v>1307463211.40658</v>
      </c>
      <c r="H834" s="46">
        <v>1067294000</v>
      </c>
      <c r="I834" s="50">
        <v>1574448645.1511199</v>
      </c>
      <c r="L834" s="44">
        <f t="shared" si="46"/>
        <v>1814617856.5576999</v>
      </c>
      <c r="M834" s="45">
        <f t="shared" si="47"/>
        <v>507154645.15111995</v>
      </c>
    </row>
    <row r="835" spans="1:13" ht="12.65" customHeight="1">
      <c r="A835" s="33">
        <v>44204</v>
      </c>
      <c r="B835" s="46">
        <v>4832719000</v>
      </c>
      <c r="C835" s="56">
        <v>6288771699.5479803</v>
      </c>
      <c r="F835" s="45">
        <f t="shared" si="48"/>
        <v>1456052699.5479803</v>
      </c>
      <c r="H835" s="46">
        <v>1067294000</v>
      </c>
      <c r="I835" s="50">
        <v>1393712646.6135299</v>
      </c>
      <c r="L835" s="44">
        <f t="shared" si="46"/>
        <v>1782471346.1615102</v>
      </c>
      <c r="M835" s="45">
        <f t="shared" si="47"/>
        <v>326418646.61352992</v>
      </c>
    </row>
    <row r="836" spans="1:13" ht="12.65" customHeight="1">
      <c r="A836" s="33">
        <v>44207</v>
      </c>
      <c r="B836" s="46">
        <v>4832719000</v>
      </c>
      <c r="C836" s="56">
        <v>5013535367.02913</v>
      </c>
      <c r="F836" s="45">
        <f t="shared" si="48"/>
        <v>180816367.02912998</v>
      </c>
      <c r="H836" s="46">
        <v>1067294000</v>
      </c>
      <c r="I836" s="50">
        <v>979078195.09893</v>
      </c>
      <c r="L836" s="44">
        <f t="shared" si="46"/>
        <v>92600562.128059983</v>
      </c>
      <c r="M836" s="45">
        <f t="shared" si="47"/>
        <v>-88215804.901069999</v>
      </c>
    </row>
    <row r="837" spans="1:13" ht="12.65" customHeight="1">
      <c r="A837" s="33">
        <v>44208</v>
      </c>
      <c r="B837" s="46">
        <v>4832719000</v>
      </c>
      <c r="C837" s="56">
        <v>3009694668.4267902</v>
      </c>
      <c r="F837" s="45">
        <f t="shared" si="48"/>
        <v>-1823024331.5732098</v>
      </c>
      <c r="H837" s="46">
        <v>1067294000</v>
      </c>
      <c r="I837" s="50">
        <v>735395204.49598002</v>
      </c>
      <c r="L837" s="44">
        <f t="shared" si="46"/>
        <v>-2154923127.0772295</v>
      </c>
      <c r="M837" s="45">
        <f t="shared" si="47"/>
        <v>-331898795.50401998</v>
      </c>
    </row>
    <row r="838" spans="1:13" ht="12.65" customHeight="1">
      <c r="A838" s="33">
        <v>44209</v>
      </c>
      <c r="B838" s="46">
        <v>4832719000</v>
      </c>
      <c r="C838" s="56">
        <v>1759580213.8642499</v>
      </c>
      <c r="F838" s="45">
        <f t="shared" si="48"/>
        <v>-3073138786.1357498</v>
      </c>
      <c r="H838" s="46">
        <v>1067294000</v>
      </c>
      <c r="I838" s="50">
        <v>747618723.33378005</v>
      </c>
      <c r="L838" s="44">
        <f t="shared" si="46"/>
        <v>-3392814062.8019695</v>
      </c>
      <c r="M838" s="45">
        <f t="shared" si="47"/>
        <v>-319675276.66621995</v>
      </c>
    </row>
    <row r="839" spans="1:13" ht="12.65" customHeight="1">
      <c r="A839" s="33">
        <v>44210</v>
      </c>
      <c r="B839" s="46">
        <v>4832719000</v>
      </c>
      <c r="C839" s="56">
        <v>2985442160.4196901</v>
      </c>
      <c r="F839" s="45">
        <f t="shared" si="48"/>
        <v>-1847276839.5803099</v>
      </c>
      <c r="H839" s="46">
        <v>1067294000</v>
      </c>
      <c r="I839" s="50">
        <v>658720783.68176997</v>
      </c>
      <c r="L839" s="44">
        <f t="shared" si="46"/>
        <v>-2255850055.89854</v>
      </c>
      <c r="M839" s="45">
        <f t="shared" si="47"/>
        <v>-408573216.31823003</v>
      </c>
    </row>
    <row r="840" spans="1:13" ht="12.65" customHeight="1">
      <c r="A840" s="33">
        <v>44211</v>
      </c>
      <c r="B840" s="46">
        <v>4832719000</v>
      </c>
      <c r="C840" s="56">
        <v>2542113821.6164999</v>
      </c>
      <c r="F840" s="45">
        <f t="shared" si="48"/>
        <v>-2290605178.3835001</v>
      </c>
      <c r="H840" s="46">
        <v>1067294000</v>
      </c>
      <c r="I840" s="50">
        <v>673252285.42949998</v>
      </c>
      <c r="L840" s="44">
        <f t="shared" si="46"/>
        <v>-2684646892.954</v>
      </c>
      <c r="M840" s="45">
        <f t="shared" si="47"/>
        <v>-394041714.57050002</v>
      </c>
    </row>
    <row r="841" spans="1:13" ht="12.65" customHeight="1">
      <c r="A841" s="33">
        <v>44214</v>
      </c>
      <c r="B841" s="46">
        <v>4758573000</v>
      </c>
      <c r="C841" s="56">
        <v>5679573723.92941</v>
      </c>
      <c r="F841" s="45">
        <f t="shared" si="48"/>
        <v>921000723.92940998</v>
      </c>
      <c r="H841" s="46">
        <v>934434000</v>
      </c>
      <c r="I841" s="50">
        <v>1371425219.45031</v>
      </c>
      <c r="L841" s="44">
        <f t="shared" si="46"/>
        <v>1357991943.37972</v>
      </c>
      <c r="M841" s="45">
        <f t="shared" si="47"/>
        <v>436991219.45030999</v>
      </c>
    </row>
    <row r="842" spans="1:13" ht="12.65" customHeight="1">
      <c r="A842" s="33">
        <v>44215</v>
      </c>
      <c r="B842" s="46">
        <v>4758573000</v>
      </c>
      <c r="C842" s="56">
        <v>5782921574.5707903</v>
      </c>
      <c r="F842" s="45">
        <f t="shared" si="48"/>
        <v>1024348574.5707903</v>
      </c>
      <c r="H842" s="46">
        <v>934434000</v>
      </c>
      <c r="I842" s="50">
        <v>1266975585.6431601</v>
      </c>
      <c r="L842" s="44">
        <f t="shared" si="46"/>
        <v>1356890160.2139504</v>
      </c>
      <c r="M842" s="45">
        <f t="shared" si="47"/>
        <v>332541585.6431601</v>
      </c>
    </row>
    <row r="843" spans="1:13" ht="12.65" customHeight="1">
      <c r="A843" s="33">
        <v>44216</v>
      </c>
      <c r="B843" s="46">
        <v>4758573000</v>
      </c>
      <c r="C843" s="56">
        <v>4755018780.3308096</v>
      </c>
      <c r="F843" s="45">
        <f t="shared" si="48"/>
        <v>-3554219.6691904068</v>
      </c>
      <c r="H843" s="46">
        <v>934434000</v>
      </c>
      <c r="I843" s="50">
        <v>1264290953.3585</v>
      </c>
      <c r="L843" s="44">
        <f t="shared" si="46"/>
        <v>326302733.6893096</v>
      </c>
      <c r="M843" s="45">
        <f t="shared" si="47"/>
        <v>329856953.3585</v>
      </c>
    </row>
    <row r="844" spans="1:13" ht="12.65" customHeight="1">
      <c r="A844" s="33">
        <v>44217</v>
      </c>
      <c r="B844" s="46">
        <v>4758573000</v>
      </c>
      <c r="C844" s="56">
        <v>4903983373.2960701</v>
      </c>
      <c r="F844" s="45">
        <f t="shared" si="48"/>
        <v>145410373.2960701</v>
      </c>
      <c r="H844" s="46">
        <v>934434000</v>
      </c>
      <c r="I844" s="50">
        <v>860370713.98440003</v>
      </c>
      <c r="L844" s="44">
        <f t="shared" si="46"/>
        <v>71347087.280470133</v>
      </c>
      <c r="M844" s="45">
        <f t="shared" si="47"/>
        <v>-74063286.015599966</v>
      </c>
    </row>
    <row r="845" spans="1:13" ht="12.65" customHeight="1">
      <c r="A845" s="33">
        <v>44218</v>
      </c>
      <c r="B845" s="46">
        <v>4758573000</v>
      </c>
      <c r="C845" s="56">
        <v>5953644708.5546598</v>
      </c>
      <c r="F845" s="45">
        <f t="shared" si="48"/>
        <v>1195071708.5546598</v>
      </c>
      <c r="H845" s="46">
        <v>934434000</v>
      </c>
      <c r="I845" s="50">
        <v>865890820.14672005</v>
      </c>
      <c r="L845" s="44">
        <f t="shared" si="46"/>
        <v>1126528528.7013798</v>
      </c>
      <c r="M845" s="45">
        <f t="shared" si="47"/>
        <v>-68543179.853279948</v>
      </c>
    </row>
    <row r="846" spans="1:13" ht="12.65" customHeight="1">
      <c r="A846" s="33">
        <v>44221</v>
      </c>
      <c r="B846" s="46">
        <v>4758573000</v>
      </c>
      <c r="C846" s="56">
        <v>6123680380.2204704</v>
      </c>
      <c r="F846" s="45">
        <f t="shared" si="48"/>
        <v>1365107380.2204704</v>
      </c>
      <c r="H846" s="46">
        <v>934434000</v>
      </c>
      <c r="I846" s="50">
        <v>823806360.65281999</v>
      </c>
      <c r="L846" s="44">
        <f t="shared" si="46"/>
        <v>1254479740.8732905</v>
      </c>
      <c r="M846" s="45">
        <f t="shared" si="47"/>
        <v>-110627639.34718001</v>
      </c>
    </row>
    <row r="847" spans="1:13" ht="12.65" customHeight="1">
      <c r="A847" s="33">
        <v>44222</v>
      </c>
      <c r="B847" s="46">
        <v>4758573000</v>
      </c>
      <c r="C847" s="56">
        <v>6271156271.7982397</v>
      </c>
      <c r="F847" s="45">
        <f t="shared" si="48"/>
        <v>1512583271.7982397</v>
      </c>
      <c r="H847" s="46">
        <v>934434000</v>
      </c>
      <c r="I847" s="50">
        <v>969069637.29999006</v>
      </c>
      <c r="L847" s="44">
        <f t="shared" si="46"/>
        <v>1547218909.0982299</v>
      </c>
      <c r="M847" s="45">
        <f t="shared" si="47"/>
        <v>34635637.299990058</v>
      </c>
    </row>
    <row r="848" spans="1:13" ht="12.65" customHeight="1">
      <c r="A848" s="33">
        <v>44223</v>
      </c>
      <c r="B848" s="46">
        <v>4758573000</v>
      </c>
      <c r="C848" s="56">
        <v>3677257181.89186</v>
      </c>
      <c r="F848" s="45">
        <f t="shared" si="48"/>
        <v>-1081315818.10814</v>
      </c>
      <c r="H848" s="46">
        <v>934434000</v>
      </c>
      <c r="I848" s="50">
        <v>792500377.17755997</v>
      </c>
      <c r="L848" s="44">
        <f t="shared" si="46"/>
        <v>-1223249440.9305801</v>
      </c>
      <c r="M848" s="45">
        <f t="shared" si="47"/>
        <v>-141933622.82244003</v>
      </c>
    </row>
    <row r="849" spans="1:13" ht="12.65" customHeight="1">
      <c r="A849" s="33">
        <v>44224</v>
      </c>
      <c r="B849" s="46">
        <v>4758573000</v>
      </c>
      <c r="C849" s="56">
        <v>2709293275.4052801</v>
      </c>
      <c r="F849" s="45">
        <f t="shared" si="48"/>
        <v>-2049279724.5947199</v>
      </c>
      <c r="H849" s="46">
        <v>934434000</v>
      </c>
      <c r="I849" s="50">
        <v>656928570.07691002</v>
      </c>
      <c r="L849" s="44">
        <f t="shared" si="46"/>
        <v>-2326785154.5178099</v>
      </c>
      <c r="M849" s="45">
        <f t="shared" si="47"/>
        <v>-277505429.92308998</v>
      </c>
    </row>
    <row r="850" spans="1:13" ht="12.65" customHeight="1">
      <c r="A850" s="33">
        <v>44225</v>
      </c>
      <c r="B850" s="46">
        <v>4758573000</v>
      </c>
      <c r="C850" s="56">
        <v>2289638111.9597902</v>
      </c>
      <c r="F850" s="45">
        <f t="shared" si="48"/>
        <v>-2468934888.0402098</v>
      </c>
      <c r="H850" s="46">
        <v>934434000</v>
      </c>
      <c r="I850" s="50">
        <v>604315319.12115002</v>
      </c>
      <c r="L850" s="44">
        <f t="shared" si="46"/>
        <v>-2799053568.9190598</v>
      </c>
      <c r="M850" s="45">
        <f t="shared" si="47"/>
        <v>-330118680.87884998</v>
      </c>
    </row>
    <row r="851" spans="1:13" ht="12.65" customHeight="1">
      <c r="A851" s="33">
        <v>44227</v>
      </c>
      <c r="B851" s="46">
        <v>4758573000</v>
      </c>
      <c r="C851" s="56">
        <v>2289638111.9597902</v>
      </c>
      <c r="F851" s="45">
        <f t="shared" si="48"/>
        <v>-2468934888.0402098</v>
      </c>
      <c r="H851" s="46">
        <v>934434000</v>
      </c>
      <c r="I851" s="50">
        <v>604315319.12115002</v>
      </c>
      <c r="L851" s="44">
        <f t="shared" si="46"/>
        <v>-2799053568.9190598</v>
      </c>
      <c r="M851" s="45">
        <f t="shared" si="47"/>
        <v>-330118680.87884998</v>
      </c>
    </row>
    <row r="852" spans="1:13" ht="12.65" customHeight="1">
      <c r="A852" s="33">
        <v>44228</v>
      </c>
      <c r="B852" s="46">
        <v>4616709000</v>
      </c>
      <c r="C852" s="56">
        <v>2904786195.71064</v>
      </c>
      <c r="F852" s="45">
        <f t="shared" si="48"/>
        <v>-1711922804.28936</v>
      </c>
      <c r="H852" s="46">
        <v>841248000</v>
      </c>
      <c r="I852" s="50">
        <v>794801769.28395998</v>
      </c>
      <c r="L852" s="44">
        <f t="shared" si="46"/>
        <v>-1758369035.0054002</v>
      </c>
      <c r="M852" s="45">
        <f t="shared" si="47"/>
        <v>-46446230.716040015</v>
      </c>
    </row>
    <row r="853" spans="1:13" ht="12.65" customHeight="1">
      <c r="A853" s="33">
        <v>44229</v>
      </c>
      <c r="B853" s="46">
        <v>4616709000</v>
      </c>
      <c r="C853" s="56">
        <v>3433615699.4443202</v>
      </c>
      <c r="F853" s="45">
        <f t="shared" si="48"/>
        <v>-1183093300.5556798</v>
      </c>
      <c r="H853" s="46">
        <v>841248000</v>
      </c>
      <c r="I853" s="50">
        <v>796458944.71659005</v>
      </c>
      <c r="L853" s="44">
        <f t="shared" si="46"/>
        <v>-1227882355.8390899</v>
      </c>
      <c r="M853" s="45">
        <f t="shared" si="47"/>
        <v>-44789055.283409953</v>
      </c>
    </row>
    <row r="854" spans="1:13" ht="12.65" customHeight="1">
      <c r="A854" s="33">
        <v>44230</v>
      </c>
      <c r="B854" s="46">
        <v>4616709000</v>
      </c>
      <c r="C854" s="56">
        <v>3566887210.7758098</v>
      </c>
      <c r="F854" s="45">
        <f t="shared" si="48"/>
        <v>-1049821789.2241902</v>
      </c>
      <c r="H854" s="46">
        <v>841248000</v>
      </c>
      <c r="I854" s="50">
        <v>824765349.85230994</v>
      </c>
      <c r="L854" s="44">
        <f t="shared" si="46"/>
        <v>-1066304439.3718803</v>
      </c>
      <c r="M854" s="45">
        <f t="shared" si="47"/>
        <v>-16482650.147690058</v>
      </c>
    </row>
    <row r="855" spans="1:13" ht="12.65" customHeight="1">
      <c r="A855" s="33">
        <v>44231</v>
      </c>
      <c r="B855" s="46">
        <v>4616709000</v>
      </c>
      <c r="C855" s="56">
        <v>7039858860.0826998</v>
      </c>
      <c r="F855" s="45">
        <f t="shared" si="48"/>
        <v>2423149860.0826998</v>
      </c>
      <c r="H855" s="46">
        <v>841248000</v>
      </c>
      <c r="I855" s="50">
        <v>786494132.08859003</v>
      </c>
      <c r="L855" s="44">
        <f t="shared" si="46"/>
        <v>2368395992.1712899</v>
      </c>
      <c r="M855" s="45">
        <f t="shared" si="47"/>
        <v>-54753867.911409974</v>
      </c>
    </row>
    <row r="856" spans="1:13" ht="12.65" customHeight="1">
      <c r="A856" s="33">
        <v>44232</v>
      </c>
      <c r="B856" s="46">
        <v>4616709000</v>
      </c>
      <c r="C856" s="56">
        <v>7032453083.1453304</v>
      </c>
      <c r="F856" s="45">
        <f t="shared" si="48"/>
        <v>2415744083.1453304</v>
      </c>
      <c r="H856" s="46">
        <v>841248000</v>
      </c>
      <c r="I856" s="50">
        <v>1075807238.5030601</v>
      </c>
      <c r="L856" s="44">
        <f t="shared" si="46"/>
        <v>2650303321.6483908</v>
      </c>
      <c r="M856" s="45">
        <f t="shared" si="47"/>
        <v>234559238.5030601</v>
      </c>
    </row>
    <row r="857" spans="1:13" ht="12.65" customHeight="1">
      <c r="A857" s="33">
        <v>44235</v>
      </c>
      <c r="B857" s="46">
        <v>4616709000</v>
      </c>
      <c r="C857" s="56">
        <v>6650633980.9730902</v>
      </c>
      <c r="F857" s="45">
        <f t="shared" si="48"/>
        <v>2033924980.9730902</v>
      </c>
      <c r="H857" s="46">
        <v>841248000</v>
      </c>
      <c r="I857" s="50">
        <v>942601959.99732006</v>
      </c>
      <c r="L857" s="44">
        <f t="shared" si="46"/>
        <v>2135278940.9704103</v>
      </c>
      <c r="M857" s="45">
        <f t="shared" si="47"/>
        <v>101353959.99732006</v>
      </c>
    </row>
    <row r="858" spans="1:13" ht="12.65" customHeight="1">
      <c r="A858" s="33">
        <v>44236</v>
      </c>
      <c r="B858" s="46">
        <v>4616709000</v>
      </c>
      <c r="C858" s="56">
        <v>4030766471.2184901</v>
      </c>
      <c r="F858" s="45">
        <f t="shared" si="48"/>
        <v>-585942528.78150988</v>
      </c>
      <c r="H858" s="46">
        <v>841248000</v>
      </c>
      <c r="I858" s="50">
        <v>709661078.73232996</v>
      </c>
      <c r="L858" s="44">
        <f t="shared" si="46"/>
        <v>-717529450.04917991</v>
      </c>
      <c r="M858" s="45">
        <f t="shared" si="47"/>
        <v>-131586921.26767004</v>
      </c>
    </row>
    <row r="859" spans="1:13" ht="12.65" customHeight="1">
      <c r="A859" s="33">
        <v>44237</v>
      </c>
      <c r="B859" s="46">
        <v>4616709000</v>
      </c>
      <c r="C859" s="56">
        <v>3876841921.8790998</v>
      </c>
      <c r="F859" s="45">
        <f t="shared" si="48"/>
        <v>-739867078.12090015</v>
      </c>
      <c r="H859" s="46">
        <v>841248000</v>
      </c>
      <c r="I859" s="50">
        <v>731411292.96136999</v>
      </c>
      <c r="L859" s="44">
        <f t="shared" si="46"/>
        <v>-849703785.15953016</v>
      </c>
      <c r="M859" s="45">
        <f t="shared" si="47"/>
        <v>-109836707.03863001</v>
      </c>
    </row>
    <row r="860" spans="1:13" ht="12.65" customHeight="1">
      <c r="A860" s="33">
        <v>44238</v>
      </c>
      <c r="B860" s="46">
        <v>4616709000</v>
      </c>
      <c r="C860" s="56">
        <v>3351542945.4131699</v>
      </c>
      <c r="F860" s="45">
        <f t="shared" si="48"/>
        <v>-1265166054.5868301</v>
      </c>
      <c r="H860" s="46">
        <v>841248000</v>
      </c>
      <c r="I860" s="50">
        <v>753392005.91375995</v>
      </c>
      <c r="L860" s="44">
        <f t="shared" si="46"/>
        <v>-1353022048.6730702</v>
      </c>
      <c r="M860" s="45">
        <f t="shared" si="47"/>
        <v>-87855994.086240053</v>
      </c>
    </row>
    <row r="861" spans="1:13" ht="12.65" customHeight="1">
      <c r="A861" s="33">
        <v>44242</v>
      </c>
      <c r="B861" s="46">
        <v>4616709000</v>
      </c>
      <c r="C861" s="56">
        <v>4912234493.58389</v>
      </c>
      <c r="F861" s="45">
        <f t="shared" si="48"/>
        <v>295525493.58388996</v>
      </c>
      <c r="H861" s="46">
        <v>841248000</v>
      </c>
      <c r="I861" s="50">
        <v>1151662461.67308</v>
      </c>
      <c r="L861" s="44">
        <f t="shared" si="46"/>
        <v>605939955.25696993</v>
      </c>
      <c r="M861" s="45">
        <f t="shared" si="47"/>
        <v>310414461.67307997</v>
      </c>
    </row>
    <row r="862" spans="1:13" ht="12.65" customHeight="1">
      <c r="A862" s="33">
        <v>44243</v>
      </c>
      <c r="B862" s="46">
        <v>4662431000</v>
      </c>
      <c r="C862" s="56">
        <v>7675123152.6145201</v>
      </c>
      <c r="F862" s="45">
        <f t="shared" si="48"/>
        <v>3012692152.6145201</v>
      </c>
      <c r="H862" s="46">
        <v>816184000</v>
      </c>
      <c r="I862" s="50">
        <v>971808200.41917002</v>
      </c>
      <c r="L862" s="44">
        <f t="shared" si="46"/>
        <v>3168316353.03369</v>
      </c>
      <c r="M862" s="45">
        <f t="shared" si="47"/>
        <v>155624200.41917002</v>
      </c>
    </row>
    <row r="863" spans="1:13" ht="12.65" customHeight="1">
      <c r="A863" s="33">
        <v>44244</v>
      </c>
      <c r="B863" s="46">
        <v>4662431000</v>
      </c>
      <c r="C863" s="56">
        <v>6939008213.10182</v>
      </c>
      <c r="F863" s="45">
        <f t="shared" si="48"/>
        <v>2276577213.10182</v>
      </c>
      <c r="H863" s="46">
        <v>816184000</v>
      </c>
      <c r="I863" s="50">
        <v>1002235773.3171901</v>
      </c>
      <c r="L863" s="44">
        <f t="shared" si="46"/>
        <v>2462628986.4190102</v>
      </c>
      <c r="M863" s="45">
        <f t="shared" si="47"/>
        <v>186051773.31719005</v>
      </c>
    </row>
    <row r="864" spans="1:13" ht="12.65" customHeight="1">
      <c r="A864" s="33">
        <v>44245</v>
      </c>
      <c r="B864" s="46">
        <v>4662431000</v>
      </c>
      <c r="C864" s="56">
        <v>5603737836.625</v>
      </c>
      <c r="F864" s="45">
        <f t="shared" si="48"/>
        <v>941306836.625</v>
      </c>
      <c r="H864" s="46">
        <v>816184000</v>
      </c>
      <c r="I864" s="50">
        <v>1029781087.56113</v>
      </c>
      <c r="L864" s="44">
        <f t="shared" si="46"/>
        <v>1154903924.18613</v>
      </c>
      <c r="M864" s="45">
        <f t="shared" si="47"/>
        <v>213597087.56113005</v>
      </c>
    </row>
    <row r="865" spans="1:13" ht="12.65" customHeight="1">
      <c r="A865" s="33">
        <v>44246</v>
      </c>
      <c r="B865" s="46">
        <v>4662431000</v>
      </c>
      <c r="C865" s="56">
        <v>5752729125.09161</v>
      </c>
      <c r="F865" s="45">
        <f t="shared" si="48"/>
        <v>1090298125.09161</v>
      </c>
      <c r="H865" s="46">
        <v>816184000</v>
      </c>
      <c r="I865" s="50">
        <v>888051188.50625002</v>
      </c>
      <c r="L865" s="44">
        <f t="shared" si="46"/>
        <v>1162165313.5978599</v>
      </c>
      <c r="M865" s="45">
        <f t="shared" si="47"/>
        <v>71867188.506250024</v>
      </c>
    </row>
    <row r="866" spans="1:13" ht="12.65" customHeight="1">
      <c r="A866" s="33">
        <v>44249</v>
      </c>
      <c r="B866" s="46">
        <v>4662431000</v>
      </c>
      <c r="C866" s="56">
        <v>6716593363.7740698</v>
      </c>
      <c r="F866" s="45">
        <f t="shared" si="48"/>
        <v>2054162363.7740698</v>
      </c>
      <c r="H866" s="46">
        <v>816184000</v>
      </c>
      <c r="I866" s="50">
        <v>881186122.84312999</v>
      </c>
      <c r="L866" s="44">
        <f t="shared" si="46"/>
        <v>2119164486.6171999</v>
      </c>
      <c r="M866" s="45">
        <f t="shared" si="47"/>
        <v>65002122.843129992</v>
      </c>
    </row>
    <row r="867" spans="1:13" ht="12.65" customHeight="1">
      <c r="A867" s="33">
        <v>44250</v>
      </c>
      <c r="B867" s="46">
        <v>4662431000</v>
      </c>
      <c r="C867" s="56">
        <v>2533898375.2579498</v>
      </c>
      <c r="F867" s="45">
        <f t="shared" si="48"/>
        <v>-2128532624.7420502</v>
      </c>
      <c r="H867" s="46">
        <v>816184000</v>
      </c>
      <c r="I867" s="50">
        <v>728799323.81461</v>
      </c>
      <c r="L867" s="44">
        <f t="shared" si="46"/>
        <v>-2215917300.9274402</v>
      </c>
      <c r="M867" s="45">
        <f t="shared" si="47"/>
        <v>-87384676.185389996</v>
      </c>
    </row>
    <row r="868" spans="1:13" ht="12.65" customHeight="1">
      <c r="A868" s="33">
        <v>44251</v>
      </c>
      <c r="B868" s="46">
        <v>4662431000</v>
      </c>
      <c r="C868" s="56">
        <v>2423541126.1625099</v>
      </c>
      <c r="F868" s="45">
        <f t="shared" si="48"/>
        <v>-2238889873.8374901</v>
      </c>
      <c r="H868" s="46">
        <v>816184000</v>
      </c>
      <c r="I868" s="50">
        <v>660498114.80323994</v>
      </c>
      <c r="L868" s="44">
        <f t="shared" si="46"/>
        <v>-2394575759.0342503</v>
      </c>
      <c r="M868" s="45">
        <f t="shared" si="47"/>
        <v>-155685885.19676006</v>
      </c>
    </row>
    <row r="869" spans="1:13" ht="12.65" customHeight="1">
      <c r="A869" s="33">
        <v>44252</v>
      </c>
      <c r="B869" s="46">
        <v>4662431000</v>
      </c>
      <c r="C869" s="56">
        <v>2295041891.9061399</v>
      </c>
      <c r="F869" s="45">
        <f t="shared" si="48"/>
        <v>-2367389108.0938601</v>
      </c>
      <c r="H869" s="46">
        <v>816184000</v>
      </c>
      <c r="I869" s="50">
        <v>664237264.95454001</v>
      </c>
      <c r="L869" s="44">
        <f t="shared" si="46"/>
        <v>-2519335843.1393204</v>
      </c>
      <c r="M869" s="45">
        <f t="shared" si="47"/>
        <v>-151946735.04545999</v>
      </c>
    </row>
    <row r="870" spans="1:13" ht="12.65" customHeight="1">
      <c r="A870" s="33">
        <v>44253</v>
      </c>
      <c r="B870" s="46">
        <v>4662431000</v>
      </c>
      <c r="C870" s="56">
        <v>2425487791.90939</v>
      </c>
      <c r="F870" s="45">
        <f t="shared" si="48"/>
        <v>-2236943208.09061</v>
      </c>
      <c r="H870" s="46">
        <v>816184000</v>
      </c>
      <c r="I870" s="50">
        <v>654645276.32446003</v>
      </c>
      <c r="L870" s="44">
        <f t="shared" si="46"/>
        <v>-2398481931.76615</v>
      </c>
      <c r="M870" s="45">
        <f t="shared" si="47"/>
        <v>-161538723.67553997</v>
      </c>
    </row>
    <row r="871" spans="1:13" ht="12.65" customHeight="1">
      <c r="A871" s="33">
        <v>44255</v>
      </c>
      <c r="B871" s="46">
        <v>4662431000</v>
      </c>
      <c r="C871" s="56">
        <v>2425487791.90939</v>
      </c>
      <c r="F871" s="45">
        <f t="shared" si="48"/>
        <v>-2236943208.09061</v>
      </c>
      <c r="H871" s="46">
        <v>816184000</v>
      </c>
      <c r="I871" s="50">
        <v>654645276.32446003</v>
      </c>
      <c r="L871" s="44">
        <f t="shared" si="46"/>
        <v>-2398481931.76615</v>
      </c>
      <c r="M871" s="45">
        <f t="shared" si="47"/>
        <v>-161538723.67553997</v>
      </c>
    </row>
    <row r="872" spans="1:13" ht="12.65" customHeight="1">
      <c r="A872" s="33">
        <v>44256</v>
      </c>
      <c r="B872" s="46">
        <v>4631541000</v>
      </c>
      <c r="C872" s="56">
        <v>10435797034.9168</v>
      </c>
      <c r="F872" s="45">
        <f t="shared" si="48"/>
        <v>5804256034.9167995</v>
      </c>
      <c r="H872" s="46">
        <v>760319000</v>
      </c>
      <c r="I872" s="50">
        <v>893239394.64520001</v>
      </c>
      <c r="L872" s="44">
        <f t="shared" si="46"/>
        <v>5937176429.5619993</v>
      </c>
      <c r="M872" s="45">
        <f t="shared" si="47"/>
        <v>132920394.64520001</v>
      </c>
    </row>
    <row r="873" spans="1:13" ht="12.65" customHeight="1">
      <c r="A873" s="33">
        <v>44257</v>
      </c>
      <c r="B873" s="46">
        <v>4631541000</v>
      </c>
      <c r="C873" s="56">
        <v>7826916851.8753099</v>
      </c>
      <c r="F873" s="45">
        <f t="shared" si="48"/>
        <v>3195375851.8753099</v>
      </c>
      <c r="H873" s="46">
        <v>760319000</v>
      </c>
      <c r="I873" s="50">
        <v>825490725.80237997</v>
      </c>
      <c r="L873" s="44">
        <f t="shared" si="46"/>
        <v>3260547577.67769</v>
      </c>
      <c r="M873" s="45">
        <f t="shared" si="47"/>
        <v>65171725.802379966</v>
      </c>
    </row>
    <row r="874" spans="1:13" ht="12.65" customHeight="1">
      <c r="A874" s="33">
        <v>44258</v>
      </c>
      <c r="B874" s="46">
        <v>4631541000</v>
      </c>
      <c r="C874" s="56">
        <v>6507166500.0458002</v>
      </c>
      <c r="F874" s="45">
        <f t="shared" si="48"/>
        <v>1875625500.0458002</v>
      </c>
      <c r="H874" s="46">
        <v>760319000</v>
      </c>
      <c r="I874" s="50">
        <v>1143832056.98543</v>
      </c>
      <c r="L874" s="44">
        <f t="shared" si="46"/>
        <v>2259138557.03123</v>
      </c>
      <c r="M874" s="45">
        <f t="shared" si="47"/>
        <v>383513056.98543</v>
      </c>
    </row>
    <row r="875" spans="1:13" ht="12.65" customHeight="1">
      <c r="A875" s="33">
        <v>44259</v>
      </c>
      <c r="B875" s="46">
        <v>4631541000</v>
      </c>
      <c r="C875" s="56">
        <v>6334974204.2502804</v>
      </c>
      <c r="F875" s="45">
        <f t="shared" si="48"/>
        <v>1703433204.2502804</v>
      </c>
      <c r="H875" s="46">
        <v>760319000</v>
      </c>
      <c r="I875" s="50">
        <v>823741171.35090995</v>
      </c>
      <c r="L875" s="44">
        <f t="shared" si="46"/>
        <v>1766855375.6011903</v>
      </c>
      <c r="M875" s="45">
        <f t="shared" si="47"/>
        <v>63422171.350909948</v>
      </c>
    </row>
    <row r="876" spans="1:13" ht="12.65" customHeight="1">
      <c r="A876" s="33">
        <v>44260</v>
      </c>
      <c r="B876" s="46">
        <v>4631541000</v>
      </c>
      <c r="C876" s="56">
        <v>3500971336.63204</v>
      </c>
      <c r="F876" s="45">
        <f t="shared" si="48"/>
        <v>-1130569663.36796</v>
      </c>
      <c r="H876" s="46">
        <v>760319000</v>
      </c>
      <c r="I876" s="50">
        <v>826239717.76092005</v>
      </c>
      <c r="L876" s="44">
        <f t="shared" si="46"/>
        <v>-1064648945.6070399</v>
      </c>
      <c r="M876" s="45">
        <f t="shared" si="47"/>
        <v>65920717.760920048</v>
      </c>
    </row>
    <row r="877" spans="1:13" ht="12.65" customHeight="1">
      <c r="A877" s="33">
        <v>44263</v>
      </c>
      <c r="B877" s="46">
        <v>4631541000</v>
      </c>
      <c r="C877" s="56">
        <v>2421195782.6515098</v>
      </c>
      <c r="F877" s="45">
        <f t="shared" si="48"/>
        <v>-2210345217.3484902</v>
      </c>
      <c r="H877" s="46">
        <v>760319000</v>
      </c>
      <c r="I877" s="50">
        <v>676187322.63243997</v>
      </c>
      <c r="L877" s="44">
        <f t="shared" si="46"/>
        <v>-2294476894.7160501</v>
      </c>
      <c r="M877" s="45">
        <f t="shared" si="47"/>
        <v>-84131677.367560029</v>
      </c>
    </row>
    <row r="878" spans="1:13" ht="12.65" customHeight="1">
      <c r="A878" s="33">
        <v>44264</v>
      </c>
      <c r="B878" s="46">
        <v>4631541000</v>
      </c>
      <c r="C878" s="56">
        <v>2532118197.5261898</v>
      </c>
      <c r="F878" s="45">
        <f t="shared" si="48"/>
        <v>-2099422802.4738102</v>
      </c>
      <c r="H878" s="46">
        <v>760319000</v>
      </c>
      <c r="I878" s="50">
        <v>658982892.19856</v>
      </c>
      <c r="L878" s="44">
        <f t="shared" si="46"/>
        <v>-2200758910.2752504</v>
      </c>
      <c r="M878" s="45">
        <f t="shared" si="47"/>
        <v>-101336107.80144</v>
      </c>
    </row>
    <row r="879" spans="1:13" ht="12.65" customHeight="1">
      <c r="A879" s="33">
        <v>44265</v>
      </c>
      <c r="B879" s="46">
        <v>4631541000</v>
      </c>
      <c r="C879" s="56">
        <v>2305784295.8575101</v>
      </c>
      <c r="F879" s="45">
        <f t="shared" si="48"/>
        <v>-2325756704.1424899</v>
      </c>
      <c r="H879" s="46">
        <v>760319000</v>
      </c>
      <c r="I879" s="50">
        <v>659544668.34010994</v>
      </c>
      <c r="L879" s="44">
        <f t="shared" si="46"/>
        <v>-2426531035.8023801</v>
      </c>
      <c r="M879" s="45">
        <f t="shared" si="47"/>
        <v>-100774331.65989006</v>
      </c>
    </row>
    <row r="880" spans="1:13" ht="12.65" customHeight="1">
      <c r="A880" s="33">
        <v>44267</v>
      </c>
      <c r="B880" s="46">
        <v>4631541000</v>
      </c>
      <c r="C880" s="56">
        <v>2544903762.2727199</v>
      </c>
      <c r="F880" s="45">
        <f t="shared" si="48"/>
        <v>-2086637237.7272801</v>
      </c>
      <c r="H880" s="46">
        <v>760319000</v>
      </c>
      <c r="I880" s="50">
        <v>630034176.84987998</v>
      </c>
      <c r="L880" s="44">
        <f t="shared" si="46"/>
        <v>-2216922060.8774004</v>
      </c>
      <c r="M880" s="45">
        <f t="shared" si="47"/>
        <v>-130284823.15012002</v>
      </c>
    </row>
    <row r="881" spans="1:13" ht="12.65" customHeight="1">
      <c r="A881" s="33">
        <v>44270</v>
      </c>
      <c r="B881" s="46">
        <v>4631541000</v>
      </c>
      <c r="C881" s="56">
        <v>2502193804.7009001</v>
      </c>
      <c r="F881" s="45">
        <f t="shared" si="48"/>
        <v>-2129347195.2990999</v>
      </c>
      <c r="H881" s="46">
        <v>760319000</v>
      </c>
      <c r="I881" s="50">
        <v>629369568.83386004</v>
      </c>
      <c r="L881" s="44">
        <f t="shared" si="46"/>
        <v>-2260296626.46524</v>
      </c>
      <c r="M881" s="45">
        <f t="shared" si="47"/>
        <v>-130949431.16613996</v>
      </c>
    </row>
    <row r="882" spans="1:13" ht="12.65" customHeight="1">
      <c r="A882" s="33">
        <v>44271</v>
      </c>
      <c r="B882" s="46">
        <v>4532550000</v>
      </c>
      <c r="C882" s="56">
        <v>4968289207.7949495</v>
      </c>
      <c r="F882" s="45">
        <f t="shared" si="48"/>
        <v>435739207.79494953</v>
      </c>
      <c r="H882" s="46">
        <v>734079000</v>
      </c>
      <c r="I882" s="50">
        <v>894198937.28375995</v>
      </c>
      <c r="L882" s="44">
        <f t="shared" si="46"/>
        <v>595859145.07870948</v>
      </c>
      <c r="M882" s="45">
        <f t="shared" si="47"/>
        <v>160119937.28375995</v>
      </c>
    </row>
    <row r="883" spans="1:13" ht="12.65" customHeight="1">
      <c r="A883" s="33">
        <v>44272</v>
      </c>
      <c r="B883" s="46">
        <v>4532550000</v>
      </c>
      <c r="C883" s="56">
        <v>5954409943.0097103</v>
      </c>
      <c r="F883" s="45">
        <f t="shared" si="48"/>
        <v>1421859943.0097103</v>
      </c>
      <c r="H883" s="46">
        <v>734079000</v>
      </c>
      <c r="I883" s="50">
        <v>1004526686.01186</v>
      </c>
      <c r="L883" s="44">
        <f t="shared" si="46"/>
        <v>1692307629.0215702</v>
      </c>
      <c r="M883" s="45">
        <f t="shared" si="47"/>
        <v>270447686.01186001</v>
      </c>
    </row>
    <row r="884" spans="1:13" ht="12.65" customHeight="1">
      <c r="A884" s="33">
        <v>44273</v>
      </c>
      <c r="B884" s="46">
        <v>4532550000</v>
      </c>
      <c r="C884" s="56">
        <v>3428948918.8130498</v>
      </c>
      <c r="F884" s="45">
        <f t="shared" si="48"/>
        <v>-1103601081.1869502</v>
      </c>
      <c r="H884" s="46">
        <v>734079000</v>
      </c>
      <c r="I884" s="50">
        <v>804460060.01488996</v>
      </c>
      <c r="L884" s="44">
        <f t="shared" si="46"/>
        <v>-1033220021.1720603</v>
      </c>
      <c r="M884" s="45">
        <f t="shared" si="47"/>
        <v>70381060.014889956</v>
      </c>
    </row>
    <row r="885" spans="1:13" ht="12.65" customHeight="1">
      <c r="A885" s="33">
        <v>44274</v>
      </c>
      <c r="B885" s="46">
        <v>4532550000</v>
      </c>
      <c r="C885" s="56">
        <v>5576976281.3669901</v>
      </c>
      <c r="F885" s="45">
        <f t="shared" si="48"/>
        <v>1044426281.3669901</v>
      </c>
      <c r="H885" s="46">
        <v>734079000</v>
      </c>
      <c r="I885" s="50">
        <v>1025825215.75392</v>
      </c>
      <c r="L885" s="44">
        <f t="shared" si="46"/>
        <v>1336172497.1209102</v>
      </c>
      <c r="M885" s="45">
        <f t="shared" si="47"/>
        <v>291746215.75391996</v>
      </c>
    </row>
    <row r="886" spans="1:13" ht="12.65" customHeight="1">
      <c r="A886" s="33">
        <v>44277</v>
      </c>
      <c r="B886" s="46">
        <v>4532550000</v>
      </c>
      <c r="C886" s="56">
        <v>8782816748.2544003</v>
      </c>
      <c r="F886" s="45">
        <f t="shared" si="48"/>
        <v>4250266748.2544003</v>
      </c>
      <c r="H886" s="46">
        <v>734079000</v>
      </c>
      <c r="I886" s="50">
        <v>617228532.73106003</v>
      </c>
      <c r="L886" s="44">
        <f t="shared" si="46"/>
        <v>4133416280.9854603</v>
      </c>
      <c r="M886" s="45">
        <f t="shared" si="47"/>
        <v>-116850467.26893997</v>
      </c>
    </row>
    <row r="887" spans="1:13" ht="12.65" customHeight="1">
      <c r="A887" s="33">
        <v>44278</v>
      </c>
      <c r="B887" s="46">
        <v>4532550000</v>
      </c>
      <c r="C887" s="56">
        <v>8546237057.6538897</v>
      </c>
      <c r="F887" s="45">
        <f t="shared" si="48"/>
        <v>4013687057.6538897</v>
      </c>
      <c r="H887" s="46">
        <v>734079000</v>
      </c>
      <c r="I887" s="56">
        <v>620456234.12540996</v>
      </c>
      <c r="L887" s="44">
        <f t="shared" si="46"/>
        <v>3900064291.7792997</v>
      </c>
      <c r="M887" s="45">
        <f t="shared" si="47"/>
        <v>-113622765.87459004</v>
      </c>
    </row>
    <row r="888" spans="1:13" ht="12.65" customHeight="1">
      <c r="A888" s="33">
        <v>44279</v>
      </c>
      <c r="B888" s="46">
        <v>4532550000</v>
      </c>
      <c r="C888" s="56">
        <v>6964319375.37782</v>
      </c>
      <c r="F888" s="45">
        <f t="shared" si="48"/>
        <v>2431769375.37782</v>
      </c>
      <c r="H888" s="46">
        <v>734079000</v>
      </c>
      <c r="I888" s="50">
        <v>828216363.76637006</v>
      </c>
      <c r="L888" s="44">
        <f t="shared" si="46"/>
        <v>2525906739.1441898</v>
      </c>
      <c r="M888" s="45">
        <f t="shared" si="47"/>
        <v>94137363.766370058</v>
      </c>
    </row>
    <row r="889" spans="1:13" ht="12.65" customHeight="1">
      <c r="A889" s="33">
        <v>44280</v>
      </c>
      <c r="B889" s="46">
        <v>4532550000</v>
      </c>
      <c r="C889" s="56">
        <v>2193188370.6013098</v>
      </c>
      <c r="F889" s="45">
        <f t="shared" si="48"/>
        <v>-2339361629.3986902</v>
      </c>
      <c r="H889" s="46">
        <v>734079000</v>
      </c>
      <c r="I889" s="50">
        <v>711484128.57630002</v>
      </c>
      <c r="L889" s="44">
        <f t="shared" si="46"/>
        <v>-2361956500.8223901</v>
      </c>
      <c r="M889" s="45">
        <f t="shared" si="47"/>
        <v>-22594871.423699975</v>
      </c>
    </row>
    <row r="890" spans="1:13" ht="12.65" customHeight="1">
      <c r="A890" s="33">
        <v>44281</v>
      </c>
      <c r="B890" s="46">
        <v>4532550000</v>
      </c>
      <c r="C890" s="56">
        <v>2059688900.28707</v>
      </c>
      <c r="F890" s="45">
        <f t="shared" si="48"/>
        <v>-2472861099.7129297</v>
      </c>
      <c r="H890" s="46">
        <v>734079000</v>
      </c>
      <c r="I890" s="50">
        <v>586722583.89949</v>
      </c>
      <c r="L890" s="44">
        <f t="shared" si="46"/>
        <v>-2620217515.8134398</v>
      </c>
      <c r="M890" s="45">
        <f t="shared" si="47"/>
        <v>-147356416.10051</v>
      </c>
    </row>
    <row r="891" spans="1:13" ht="12.65" customHeight="1">
      <c r="A891" s="33">
        <v>44284</v>
      </c>
      <c r="B891" s="46">
        <v>4532550000</v>
      </c>
      <c r="C891" s="56">
        <v>2272991014.4405098</v>
      </c>
      <c r="F891" s="45">
        <f t="shared" si="48"/>
        <v>-2259558985.5594902</v>
      </c>
      <c r="H891" s="46">
        <v>734079000</v>
      </c>
      <c r="I891" s="50">
        <v>612606206.19431996</v>
      </c>
      <c r="L891" s="44">
        <f t="shared" si="46"/>
        <v>-2381031779.3651705</v>
      </c>
      <c r="M891" s="45">
        <f t="shared" si="47"/>
        <v>-121472793.80568004</v>
      </c>
    </row>
    <row r="892" spans="1:13" ht="12.65" customHeight="1">
      <c r="A892" s="33">
        <v>44285</v>
      </c>
      <c r="B892" s="46">
        <v>4532550000</v>
      </c>
      <c r="C892" s="56">
        <v>2310641632.7902999</v>
      </c>
      <c r="F892" s="45">
        <f t="shared" si="48"/>
        <v>-2221908367.2097001</v>
      </c>
      <c r="H892" s="46">
        <v>734079000</v>
      </c>
      <c r="I892" s="50">
        <v>623425508.53329003</v>
      </c>
      <c r="L892" s="44">
        <f t="shared" si="46"/>
        <v>-2332561858.6764102</v>
      </c>
      <c r="M892" s="45">
        <f t="shared" si="47"/>
        <v>-110653491.46670997</v>
      </c>
    </row>
    <row r="893" spans="1:13" ht="12.65" customHeight="1">
      <c r="A893" s="33">
        <v>44286</v>
      </c>
      <c r="B893" s="46">
        <v>4532550000</v>
      </c>
      <c r="C893" s="56">
        <v>1986388624.0945499</v>
      </c>
      <c r="F893" s="45">
        <f t="shared" si="48"/>
        <v>-2546161375.9054499</v>
      </c>
      <c r="H893" s="46">
        <v>734079000</v>
      </c>
      <c r="I893" s="50">
        <v>635767376.56547999</v>
      </c>
      <c r="L893" s="44">
        <f t="shared" si="46"/>
        <v>-2644472999.3399696</v>
      </c>
      <c r="M893" s="45">
        <f t="shared" si="47"/>
        <v>-98311623.434520006</v>
      </c>
    </row>
    <row r="894" spans="1:13" ht="12.65" customHeight="1">
      <c r="A894" s="33">
        <v>44287</v>
      </c>
      <c r="B894" s="46">
        <v>4569783000</v>
      </c>
      <c r="C894" s="56">
        <v>6861730726.2946396</v>
      </c>
      <c r="F894" s="45">
        <f t="shared" si="48"/>
        <v>2291947726.2946396</v>
      </c>
      <c r="H894" s="46">
        <v>800091000</v>
      </c>
      <c r="I894" s="50">
        <v>950612630.83492994</v>
      </c>
      <c r="L894" s="44">
        <f t="shared" si="46"/>
        <v>2442469357.1295695</v>
      </c>
      <c r="M894" s="45">
        <f t="shared" si="47"/>
        <v>150521630.83492994</v>
      </c>
    </row>
    <row r="895" spans="1:13" ht="12.65" customHeight="1">
      <c r="A895" s="33">
        <v>44291</v>
      </c>
      <c r="B895" s="46">
        <v>4569783000</v>
      </c>
      <c r="C895" s="56">
        <v>7718498377.09758</v>
      </c>
      <c r="F895" s="45">
        <f t="shared" si="48"/>
        <v>3148715377.09758</v>
      </c>
      <c r="H895" s="46">
        <v>800091000</v>
      </c>
      <c r="I895" s="50">
        <v>833098863.65237999</v>
      </c>
      <c r="L895" s="44">
        <f t="shared" si="46"/>
        <v>3181723240.7499599</v>
      </c>
      <c r="M895" s="45">
        <f t="shared" si="47"/>
        <v>33007863.65237999</v>
      </c>
    </row>
    <row r="896" spans="1:13" ht="12.65" customHeight="1">
      <c r="A896" s="33">
        <v>44292</v>
      </c>
      <c r="B896" s="46">
        <v>4569783000</v>
      </c>
      <c r="C896" s="56">
        <v>6036681432.2548504</v>
      </c>
      <c r="F896" s="45">
        <f t="shared" si="48"/>
        <v>1466898432.2548504</v>
      </c>
      <c r="H896" s="46">
        <v>800091000</v>
      </c>
      <c r="I896" s="50">
        <v>961524180.41693997</v>
      </c>
      <c r="L896" s="44">
        <f t="shared" ref="L896:L959" si="49">F896+M896</f>
        <v>1628331612.6717904</v>
      </c>
      <c r="M896" s="45">
        <f t="shared" ref="M896:M959" si="50">I896-H896</f>
        <v>161433180.41693997</v>
      </c>
    </row>
    <row r="897" spans="1:13" ht="12.65" customHeight="1">
      <c r="A897" s="33">
        <v>44293</v>
      </c>
      <c r="B897" s="46">
        <v>4569783000</v>
      </c>
      <c r="C897" s="56">
        <v>6101912333.4665298</v>
      </c>
      <c r="F897" s="45">
        <f t="shared" si="48"/>
        <v>1532129333.4665298</v>
      </c>
      <c r="H897" s="46">
        <v>800091000</v>
      </c>
      <c r="I897" s="50">
        <v>856833497.42832005</v>
      </c>
      <c r="L897" s="44">
        <f t="shared" si="49"/>
        <v>1588871830.8948498</v>
      </c>
      <c r="M897" s="45">
        <f t="shared" si="50"/>
        <v>56742497.42832005</v>
      </c>
    </row>
    <row r="898" spans="1:13" ht="12.65" customHeight="1">
      <c r="A898" s="33">
        <v>44294</v>
      </c>
      <c r="B898" s="46">
        <v>4569783000</v>
      </c>
      <c r="C898" s="56">
        <v>4566186337.0540199</v>
      </c>
      <c r="F898" s="45">
        <f t="shared" ref="F898:F961" si="51">C898-B898</f>
        <v>-3596662.945980072</v>
      </c>
      <c r="H898" s="46">
        <v>800091000</v>
      </c>
      <c r="I898" s="50">
        <v>768307134.94763005</v>
      </c>
      <c r="L898" s="44">
        <f t="shared" si="49"/>
        <v>-35380527.998350024</v>
      </c>
      <c r="M898" s="45">
        <f t="shared" si="50"/>
        <v>-31783865.052369952</v>
      </c>
    </row>
    <row r="899" spans="1:13" ht="12.65" customHeight="1">
      <c r="A899" s="33">
        <v>44295</v>
      </c>
      <c r="B899" s="46">
        <v>4569783000</v>
      </c>
      <c r="C899" s="56">
        <v>3158867281.9063201</v>
      </c>
      <c r="F899" s="45">
        <f t="shared" si="51"/>
        <v>-1410915718.0936799</v>
      </c>
      <c r="H899" s="46">
        <v>800091000</v>
      </c>
      <c r="I899" s="50">
        <v>759716387.96685004</v>
      </c>
      <c r="L899" s="44">
        <f t="shared" si="49"/>
        <v>-1451290330.1268299</v>
      </c>
      <c r="M899" s="45">
        <f t="shared" si="50"/>
        <v>-40374612.033149958</v>
      </c>
    </row>
    <row r="900" spans="1:13" ht="12.65" customHeight="1">
      <c r="A900" s="33">
        <v>44298</v>
      </c>
      <c r="B900" s="46">
        <v>4569783000</v>
      </c>
      <c r="C900" s="56">
        <v>3398491915.0694699</v>
      </c>
      <c r="F900" s="45">
        <f t="shared" si="51"/>
        <v>-1171291084.9305301</v>
      </c>
      <c r="H900" s="46">
        <v>800091000</v>
      </c>
      <c r="I900" s="50">
        <v>777772376.27772999</v>
      </c>
      <c r="L900" s="44">
        <f t="shared" si="49"/>
        <v>-1193609708.6528001</v>
      </c>
      <c r="M900" s="45">
        <f t="shared" si="50"/>
        <v>-22318623.722270012</v>
      </c>
    </row>
    <row r="901" spans="1:13" ht="12.65" customHeight="1">
      <c r="A901" s="33">
        <v>44299</v>
      </c>
      <c r="B901" s="46">
        <v>4569783000</v>
      </c>
      <c r="C901" s="56">
        <v>3160002823.97925</v>
      </c>
      <c r="F901" s="45">
        <f t="shared" si="51"/>
        <v>-1409780176.02075</v>
      </c>
      <c r="H901" s="46">
        <v>800091000</v>
      </c>
      <c r="I901" s="50">
        <v>769644180.43660998</v>
      </c>
      <c r="L901" s="44">
        <f t="shared" si="49"/>
        <v>-1440226995.5841401</v>
      </c>
      <c r="M901" s="45">
        <f t="shared" si="50"/>
        <v>-30446819.563390017</v>
      </c>
    </row>
    <row r="902" spans="1:13" ht="12.65" customHeight="1">
      <c r="A902" s="33">
        <v>44300</v>
      </c>
      <c r="B902" s="46">
        <v>4569783000</v>
      </c>
      <c r="C902" s="56">
        <v>2848264643.9188199</v>
      </c>
      <c r="F902" s="45">
        <f t="shared" si="51"/>
        <v>-1721518356.0811801</v>
      </c>
      <c r="H902" s="46">
        <v>800091000</v>
      </c>
      <c r="I902" s="50">
        <v>764453831.98215997</v>
      </c>
      <c r="L902" s="44">
        <f t="shared" si="49"/>
        <v>-1757155524.09902</v>
      </c>
      <c r="M902" s="45">
        <f t="shared" si="50"/>
        <v>-35637168.017840028</v>
      </c>
    </row>
    <row r="903" spans="1:13" ht="12.65" customHeight="1">
      <c r="A903" s="33">
        <v>44301</v>
      </c>
      <c r="B903" s="46">
        <v>4569783000</v>
      </c>
      <c r="C903" s="56">
        <v>2519024322.0310102</v>
      </c>
      <c r="F903" s="45">
        <f t="shared" si="51"/>
        <v>-2050758677.9689898</v>
      </c>
      <c r="H903" s="46">
        <v>800091000</v>
      </c>
      <c r="I903" s="50">
        <v>703770030.02768004</v>
      </c>
      <c r="L903" s="44">
        <f t="shared" si="49"/>
        <v>-2147079647.9413099</v>
      </c>
      <c r="M903" s="45">
        <f t="shared" si="50"/>
        <v>-96320969.972319961</v>
      </c>
    </row>
    <row r="904" spans="1:13" ht="12.65" customHeight="1">
      <c r="A904" s="33">
        <v>44302</v>
      </c>
      <c r="B904" s="46">
        <v>4440037000</v>
      </c>
      <c r="C904" s="56">
        <v>5078780116.5728397</v>
      </c>
      <c r="F904" s="45">
        <f t="shared" si="51"/>
        <v>638743116.57283974</v>
      </c>
      <c r="H904" s="46">
        <v>807882000</v>
      </c>
      <c r="I904" s="50">
        <v>1011510351.9837101</v>
      </c>
      <c r="L904" s="44">
        <f t="shared" si="49"/>
        <v>842371468.55654979</v>
      </c>
      <c r="M904" s="45">
        <f t="shared" si="50"/>
        <v>203628351.98371005</v>
      </c>
    </row>
    <row r="905" spans="1:13" ht="12.65" customHeight="1">
      <c r="A905" s="33">
        <v>44305</v>
      </c>
      <c r="B905" s="46">
        <v>4440037000</v>
      </c>
      <c r="C905" s="56">
        <v>5046052836.2825499</v>
      </c>
      <c r="F905" s="45">
        <f t="shared" si="51"/>
        <v>606015836.28254986</v>
      </c>
      <c r="H905" s="46">
        <v>807882000</v>
      </c>
      <c r="I905" s="50">
        <v>884716889.71789002</v>
      </c>
      <c r="L905" s="44">
        <f t="shared" si="49"/>
        <v>682850726.00043988</v>
      </c>
      <c r="M905" s="45">
        <f t="shared" si="50"/>
        <v>76834889.717890024</v>
      </c>
    </row>
    <row r="906" spans="1:13" ht="12.65" customHeight="1">
      <c r="A906" s="33">
        <v>44306</v>
      </c>
      <c r="B906" s="46">
        <v>4440037000</v>
      </c>
      <c r="C906" s="56">
        <v>4363309770.8777599</v>
      </c>
      <c r="F906" s="45">
        <f t="shared" si="51"/>
        <v>-76727229.122240067</v>
      </c>
      <c r="H906" s="46">
        <v>807882000</v>
      </c>
      <c r="I906" s="50">
        <v>1150006726.2402401</v>
      </c>
      <c r="L906" s="44">
        <f t="shared" si="49"/>
        <v>265397497.11800003</v>
      </c>
      <c r="M906" s="45">
        <f t="shared" si="50"/>
        <v>342124726.2402401</v>
      </c>
    </row>
    <row r="907" spans="1:13" ht="12.65" customHeight="1">
      <c r="A907" s="33">
        <v>44307</v>
      </c>
      <c r="B907" s="46">
        <v>4440037000</v>
      </c>
      <c r="C907" s="56">
        <v>6359647694.9634895</v>
      </c>
      <c r="F907" s="45">
        <f t="shared" si="51"/>
        <v>1919610694.9634895</v>
      </c>
      <c r="H907" s="46">
        <v>807882000</v>
      </c>
      <c r="I907" s="50">
        <v>825530914.69003999</v>
      </c>
      <c r="L907" s="44">
        <f t="shared" si="49"/>
        <v>1937259609.6535296</v>
      </c>
      <c r="M907" s="45">
        <f t="shared" si="50"/>
        <v>17648914.690039992</v>
      </c>
    </row>
    <row r="908" spans="1:13" ht="12.65" customHeight="1">
      <c r="A908" s="33">
        <v>44308</v>
      </c>
      <c r="B908" s="46">
        <v>4440037000</v>
      </c>
      <c r="C908" s="56">
        <v>6197573874.0242395</v>
      </c>
      <c r="F908" s="45">
        <f t="shared" si="51"/>
        <v>1757536874.0242395</v>
      </c>
      <c r="H908" s="46">
        <v>807882000</v>
      </c>
      <c r="I908" s="50">
        <v>747672030.92120004</v>
      </c>
      <c r="L908" s="44">
        <f t="shared" si="49"/>
        <v>1697326904.9454396</v>
      </c>
      <c r="M908" s="45">
        <f t="shared" si="50"/>
        <v>-60209969.078799963</v>
      </c>
    </row>
    <row r="909" spans="1:13" ht="12.65" customHeight="1">
      <c r="A909" s="33">
        <v>44309</v>
      </c>
      <c r="B909" s="46">
        <v>4440037000</v>
      </c>
      <c r="C909" s="56">
        <v>5694285425.7817602</v>
      </c>
      <c r="F909" s="45">
        <f t="shared" si="51"/>
        <v>1254248425.7817602</v>
      </c>
      <c r="H909" s="46">
        <v>807882000</v>
      </c>
      <c r="I909" s="56">
        <v>762077541.71537995</v>
      </c>
      <c r="L909" s="44">
        <f t="shared" si="49"/>
        <v>1208443967.4971402</v>
      </c>
      <c r="M909" s="45">
        <f t="shared" si="50"/>
        <v>-45804458.284620047</v>
      </c>
    </row>
    <row r="910" spans="1:13" ht="12.65" customHeight="1">
      <c r="A910" s="33">
        <v>44312</v>
      </c>
      <c r="B910" s="46">
        <v>4440037000</v>
      </c>
      <c r="C910" s="56">
        <v>5661707953.2344303</v>
      </c>
      <c r="F910" s="45">
        <f t="shared" si="51"/>
        <v>1221670953.2344303</v>
      </c>
      <c r="H910" s="46">
        <v>807882000</v>
      </c>
      <c r="I910" s="50">
        <v>766582476.69833004</v>
      </c>
      <c r="L910" s="44">
        <f t="shared" si="49"/>
        <v>1180371429.9327602</v>
      </c>
      <c r="M910" s="45">
        <f t="shared" si="50"/>
        <v>-41299523.301669955</v>
      </c>
    </row>
    <row r="911" spans="1:13" ht="12.65" customHeight="1">
      <c r="A911" s="33">
        <v>44313</v>
      </c>
      <c r="B911" s="46">
        <v>4440037000</v>
      </c>
      <c r="C911" s="56">
        <v>2862617981.4205399</v>
      </c>
      <c r="F911" s="45">
        <f t="shared" si="51"/>
        <v>-1577419018.5794601</v>
      </c>
      <c r="H911" s="46">
        <v>807882000</v>
      </c>
      <c r="I911" s="50">
        <v>743341280.26924002</v>
      </c>
      <c r="L911" s="44">
        <f t="shared" si="49"/>
        <v>-1641959738.3102202</v>
      </c>
      <c r="M911" s="45">
        <f t="shared" si="50"/>
        <v>-64540719.730759978</v>
      </c>
    </row>
    <row r="912" spans="1:13" ht="12.65" customHeight="1">
      <c r="A912" s="33">
        <v>44314</v>
      </c>
      <c r="B912" s="46">
        <v>4440037000</v>
      </c>
      <c r="C912" s="56">
        <v>2767270721.5404601</v>
      </c>
      <c r="F912" s="45">
        <f t="shared" si="51"/>
        <v>-1672766278.4595399</v>
      </c>
      <c r="H912" s="46">
        <v>807882000</v>
      </c>
      <c r="I912" s="50">
        <v>768582114.65655994</v>
      </c>
      <c r="L912" s="44">
        <f t="shared" si="49"/>
        <v>-1712066163.8029799</v>
      </c>
      <c r="M912" s="45">
        <f t="shared" si="50"/>
        <v>-39299885.343440056</v>
      </c>
    </row>
    <row r="913" spans="1:13" ht="12.65" customHeight="1">
      <c r="A913" s="33">
        <v>44315</v>
      </c>
      <c r="B913" s="46">
        <v>4440037000</v>
      </c>
      <c r="C913" s="56">
        <v>2791516397.1742201</v>
      </c>
      <c r="F913" s="45">
        <f t="shared" si="51"/>
        <v>-1648520602.8257799</v>
      </c>
      <c r="H913" s="46">
        <v>807882000</v>
      </c>
      <c r="I913" s="50">
        <v>739075590.45615995</v>
      </c>
      <c r="L913" s="44">
        <f t="shared" si="49"/>
        <v>-1717327012.3696198</v>
      </c>
      <c r="M913" s="45">
        <f t="shared" si="50"/>
        <v>-68806409.543840051</v>
      </c>
    </row>
    <row r="914" spans="1:13" ht="12.65" customHeight="1">
      <c r="A914" s="33">
        <v>44316</v>
      </c>
      <c r="B914" s="46">
        <v>4440037000</v>
      </c>
      <c r="C914" s="56">
        <v>2399879774.8242898</v>
      </c>
      <c r="F914" s="45">
        <f t="shared" si="51"/>
        <v>-2040157225.1757102</v>
      </c>
      <c r="H914" s="46">
        <v>807882000</v>
      </c>
      <c r="I914" s="50">
        <v>608656111.07568002</v>
      </c>
      <c r="L914" s="44">
        <f t="shared" si="49"/>
        <v>-2239383114.1000299</v>
      </c>
      <c r="M914" s="45">
        <f t="shared" si="50"/>
        <v>-199225888.92431998</v>
      </c>
    </row>
    <row r="915" spans="1:13" ht="12.65" customHeight="1">
      <c r="A915" s="33">
        <v>44319</v>
      </c>
      <c r="B915" s="46">
        <v>4401214000</v>
      </c>
      <c r="C915" s="56">
        <v>5268830180.3737803</v>
      </c>
      <c r="F915" s="45">
        <f t="shared" si="51"/>
        <v>867616180.37378025</v>
      </c>
      <c r="H915" s="46">
        <v>847012000</v>
      </c>
      <c r="I915" s="50">
        <v>925224523.23002994</v>
      </c>
      <c r="L915" s="44">
        <f t="shared" si="49"/>
        <v>945828703.60381019</v>
      </c>
      <c r="M915" s="45">
        <f t="shared" si="50"/>
        <v>78212523.230029941</v>
      </c>
    </row>
    <row r="916" spans="1:13" ht="12.65" customHeight="1">
      <c r="A916" s="33">
        <v>44320</v>
      </c>
      <c r="B916" s="46">
        <v>4401214000</v>
      </c>
      <c r="C916" s="111">
        <v>5644930801.6219702</v>
      </c>
      <c r="F916" s="45">
        <f t="shared" si="51"/>
        <v>1243716801.6219702</v>
      </c>
      <c r="H916" s="46">
        <v>847012000</v>
      </c>
      <c r="I916" s="50">
        <v>1024027332.8723201</v>
      </c>
      <c r="L916" s="44">
        <f t="shared" si="49"/>
        <v>1420732134.4942904</v>
      </c>
      <c r="M916" s="45">
        <f t="shared" si="50"/>
        <v>177015332.87232006</v>
      </c>
    </row>
    <row r="917" spans="1:13" ht="12.65" customHeight="1">
      <c r="A917" s="33">
        <v>44321</v>
      </c>
      <c r="B917" s="46">
        <v>4401214000</v>
      </c>
      <c r="C917" s="56">
        <v>6385340184.1402102</v>
      </c>
      <c r="F917" s="45">
        <f t="shared" si="51"/>
        <v>1984126184.1402102</v>
      </c>
      <c r="H917" s="46">
        <v>847012000</v>
      </c>
      <c r="I917" s="50">
        <v>1087675484.2643399</v>
      </c>
      <c r="L917" s="44">
        <f t="shared" si="49"/>
        <v>2224789668.4045501</v>
      </c>
      <c r="M917" s="45">
        <f t="shared" si="50"/>
        <v>240663484.26433992</v>
      </c>
    </row>
    <row r="918" spans="1:13" ht="12.65" customHeight="1">
      <c r="A918" s="33">
        <v>44322</v>
      </c>
      <c r="B918" s="46">
        <v>4401214000</v>
      </c>
      <c r="C918" s="56">
        <v>4764315316.6931696</v>
      </c>
      <c r="F918" s="45">
        <f t="shared" si="51"/>
        <v>363101316.69316959</v>
      </c>
      <c r="H918" s="46">
        <v>847012000</v>
      </c>
      <c r="I918" s="50">
        <v>758526235.95946002</v>
      </c>
      <c r="L918" s="44">
        <f t="shared" si="49"/>
        <v>274615552.65262961</v>
      </c>
      <c r="M918" s="45">
        <f t="shared" si="50"/>
        <v>-88485764.04053998</v>
      </c>
    </row>
    <row r="919" spans="1:13" ht="12.65" customHeight="1">
      <c r="A919" s="33">
        <v>44323</v>
      </c>
      <c r="B919" s="46">
        <v>4401214000</v>
      </c>
      <c r="C919" s="56">
        <v>3643296939.75172</v>
      </c>
      <c r="F919" s="45">
        <f t="shared" si="51"/>
        <v>-757917060.24828005</v>
      </c>
      <c r="H919" s="46">
        <v>847012000</v>
      </c>
      <c r="I919" s="50">
        <v>750701442.73715997</v>
      </c>
      <c r="L919" s="44">
        <f t="shared" si="49"/>
        <v>-854227617.51112008</v>
      </c>
      <c r="M919" s="45">
        <f t="shared" si="50"/>
        <v>-96310557.262840033</v>
      </c>
    </row>
    <row r="920" spans="1:13" ht="12.65" customHeight="1">
      <c r="A920" s="33">
        <v>44326</v>
      </c>
      <c r="B920" s="46">
        <v>4401214000</v>
      </c>
      <c r="C920" s="56">
        <v>2879202380.6809201</v>
      </c>
      <c r="F920" s="45">
        <f t="shared" si="51"/>
        <v>-1522011619.3190799</v>
      </c>
      <c r="H920" s="46">
        <v>847012000</v>
      </c>
      <c r="I920" s="50">
        <v>748392666.98474002</v>
      </c>
      <c r="L920" s="44">
        <f t="shared" si="49"/>
        <v>-1620630952.3343399</v>
      </c>
      <c r="M920" s="45">
        <f t="shared" si="50"/>
        <v>-98619333.015259981</v>
      </c>
    </row>
    <row r="921" spans="1:13" ht="12.65" customHeight="1">
      <c r="A921" s="33">
        <v>44327</v>
      </c>
      <c r="B921" s="46">
        <v>4401214000</v>
      </c>
      <c r="C921" s="56">
        <v>3005572418.3864598</v>
      </c>
      <c r="F921" s="45">
        <f t="shared" si="51"/>
        <v>-1395641581.6135402</v>
      </c>
      <c r="H921" s="46">
        <v>847012000</v>
      </c>
      <c r="I921" s="50">
        <v>713319457.43204999</v>
      </c>
      <c r="L921" s="44">
        <f t="shared" si="49"/>
        <v>-1529334124.1814902</v>
      </c>
      <c r="M921" s="45">
        <f t="shared" si="50"/>
        <v>-133692542.56795001</v>
      </c>
    </row>
    <row r="922" spans="1:13" ht="12.65" customHeight="1">
      <c r="A922" s="33">
        <v>44333</v>
      </c>
      <c r="B922" s="46">
        <v>4461331000</v>
      </c>
      <c r="C922" s="56">
        <v>7439513350.4489498</v>
      </c>
      <c r="F922" s="45">
        <f t="shared" si="51"/>
        <v>2978182350.4489498</v>
      </c>
      <c r="H922" s="46">
        <v>879722000</v>
      </c>
      <c r="I922" s="50">
        <v>1282531449.7472</v>
      </c>
      <c r="L922" s="44">
        <f t="shared" si="49"/>
        <v>3380991800.1961498</v>
      </c>
      <c r="M922" s="45">
        <f t="shared" si="50"/>
        <v>402809449.74720001</v>
      </c>
    </row>
    <row r="923" spans="1:13" ht="12.65" customHeight="1">
      <c r="A923" s="33">
        <v>44334</v>
      </c>
      <c r="B923" s="46">
        <v>4461331000</v>
      </c>
      <c r="C923" s="56">
        <v>6167997364.1759796</v>
      </c>
      <c r="F923" s="45">
        <f t="shared" si="51"/>
        <v>1706666364.1759796</v>
      </c>
      <c r="H923" s="46">
        <v>879722000</v>
      </c>
      <c r="I923" s="50">
        <v>922158739.33542001</v>
      </c>
      <c r="L923" s="44">
        <f t="shared" si="49"/>
        <v>1749103103.5113997</v>
      </c>
      <c r="M923" s="45">
        <f t="shared" si="50"/>
        <v>42436739.335420012</v>
      </c>
    </row>
    <row r="924" spans="1:13" ht="12.65" customHeight="1">
      <c r="A924" s="33">
        <v>44335</v>
      </c>
      <c r="B924" s="46">
        <v>4461331000</v>
      </c>
      <c r="C924" s="56">
        <v>7170994252.5558996</v>
      </c>
      <c r="F924" s="45">
        <f t="shared" si="51"/>
        <v>2709663252.5558996</v>
      </c>
      <c r="H924" s="46">
        <v>879722000</v>
      </c>
      <c r="I924" s="50">
        <v>936776655.40286005</v>
      </c>
      <c r="L924" s="44">
        <f t="shared" si="49"/>
        <v>2766717907.9587598</v>
      </c>
      <c r="M924" s="45">
        <f t="shared" si="50"/>
        <v>57054655.402860045</v>
      </c>
    </row>
    <row r="925" spans="1:13" ht="12.65" customHeight="1">
      <c r="A925" s="33">
        <v>44336</v>
      </c>
      <c r="B925" s="46">
        <v>4461331000</v>
      </c>
      <c r="C925" s="56">
        <v>5632804760.2793303</v>
      </c>
      <c r="F925" s="45">
        <f t="shared" si="51"/>
        <v>1171473760.2793303</v>
      </c>
      <c r="H925" s="46">
        <v>879722000</v>
      </c>
      <c r="I925" s="50">
        <v>924450774.47332001</v>
      </c>
      <c r="L925" s="44">
        <f t="shared" si="49"/>
        <v>1216202534.7526503</v>
      </c>
      <c r="M925" s="45">
        <f t="shared" si="50"/>
        <v>44728774.473320007</v>
      </c>
    </row>
    <row r="926" spans="1:13" ht="12.65" customHeight="1">
      <c r="A926" s="33">
        <v>44337</v>
      </c>
      <c r="B926" s="46">
        <v>4461331000</v>
      </c>
      <c r="C926" s="56">
        <v>3747612700.48911</v>
      </c>
      <c r="F926" s="45">
        <f t="shared" si="51"/>
        <v>-713718299.51089001</v>
      </c>
      <c r="H926" s="46">
        <v>879722000</v>
      </c>
      <c r="I926" s="50">
        <v>920441734.56658995</v>
      </c>
      <c r="L926" s="44">
        <f t="shared" si="49"/>
        <v>-672998564.94430006</v>
      </c>
      <c r="M926" s="45">
        <f t="shared" si="50"/>
        <v>40719734.566589952</v>
      </c>
    </row>
    <row r="927" spans="1:13" ht="12.65" customHeight="1">
      <c r="A927" s="33">
        <v>44340</v>
      </c>
      <c r="B927" s="46">
        <v>4461331000</v>
      </c>
      <c r="C927" s="56">
        <v>3165734357.1830802</v>
      </c>
      <c r="F927" s="45">
        <f t="shared" si="51"/>
        <v>-1295596642.8169198</v>
      </c>
      <c r="H927" s="46">
        <v>879722000</v>
      </c>
      <c r="I927" s="50">
        <v>830917263.74463999</v>
      </c>
      <c r="L927" s="44">
        <f t="shared" si="49"/>
        <v>-1344401379.0722799</v>
      </c>
      <c r="M927" s="45">
        <f t="shared" si="50"/>
        <v>-48804736.255360007</v>
      </c>
    </row>
    <row r="928" spans="1:13" ht="12.65" customHeight="1">
      <c r="A928" s="33">
        <v>44341</v>
      </c>
      <c r="B928" s="46">
        <v>4461331000</v>
      </c>
      <c r="C928" s="56">
        <v>3059293814.7661901</v>
      </c>
      <c r="F928" s="45">
        <f t="shared" si="51"/>
        <v>-1402037185.2338099</v>
      </c>
      <c r="H928" s="46">
        <v>879722000</v>
      </c>
      <c r="I928" s="50">
        <v>851852527.43276</v>
      </c>
      <c r="L928" s="44">
        <f t="shared" si="49"/>
        <v>-1429906657.8010499</v>
      </c>
      <c r="M928" s="45">
        <f t="shared" si="50"/>
        <v>-27869472.56724</v>
      </c>
    </row>
    <row r="929" spans="1:13" ht="12.65" customHeight="1">
      <c r="A929" s="33">
        <v>44343</v>
      </c>
      <c r="B929" s="46">
        <v>4461331000</v>
      </c>
      <c r="C929" s="56">
        <v>3068671096.9129801</v>
      </c>
      <c r="F929" s="45">
        <f t="shared" si="51"/>
        <v>-1392659903.0870199</v>
      </c>
      <c r="H929" s="46">
        <v>879722000</v>
      </c>
      <c r="I929" s="50">
        <v>816353536.36787999</v>
      </c>
      <c r="L929" s="44">
        <f t="shared" si="49"/>
        <v>-1456028366.7191401</v>
      </c>
      <c r="M929" s="45">
        <f t="shared" si="50"/>
        <v>-63368463.632120013</v>
      </c>
    </row>
    <row r="930" spans="1:13" ht="12.65" customHeight="1">
      <c r="A930" s="33">
        <v>44344</v>
      </c>
      <c r="B930" s="46">
        <v>4461331000</v>
      </c>
      <c r="C930" s="56">
        <v>3034418823.4562702</v>
      </c>
      <c r="F930" s="45">
        <f t="shared" si="51"/>
        <v>-1426912176.5437298</v>
      </c>
      <c r="H930" s="46">
        <v>879722000</v>
      </c>
      <c r="I930" s="50">
        <v>759737608.91577995</v>
      </c>
      <c r="L930" s="44">
        <f t="shared" si="49"/>
        <v>-1546896567.6279497</v>
      </c>
      <c r="M930" s="45">
        <f t="shared" si="50"/>
        <v>-119984391.08422005</v>
      </c>
    </row>
    <row r="931" spans="1:13" ht="12.65" customHeight="1">
      <c r="A931" s="33">
        <v>44347</v>
      </c>
      <c r="B931" s="46">
        <v>4461331000</v>
      </c>
      <c r="C931" s="56">
        <v>2652692456.59588</v>
      </c>
      <c r="F931" s="45">
        <f t="shared" si="51"/>
        <v>-1808638543.40412</v>
      </c>
      <c r="H931" s="46">
        <v>879722000</v>
      </c>
      <c r="I931" s="50">
        <v>676734399.80388999</v>
      </c>
      <c r="L931" s="44">
        <f t="shared" si="49"/>
        <v>-2011626143.60023</v>
      </c>
      <c r="M931" s="45">
        <f t="shared" si="50"/>
        <v>-202987600.19611001</v>
      </c>
    </row>
    <row r="932" spans="1:13" ht="12.65" customHeight="1">
      <c r="A932" s="33">
        <v>44349</v>
      </c>
      <c r="B932" s="46">
        <v>4439553000</v>
      </c>
      <c r="C932" s="56">
        <v>6751726425.2937803</v>
      </c>
      <c r="F932" s="45">
        <f t="shared" si="51"/>
        <v>2312173425.2937803</v>
      </c>
      <c r="H932" s="46">
        <v>932320000</v>
      </c>
      <c r="I932" s="50">
        <v>1357895413.67314</v>
      </c>
      <c r="L932" s="44">
        <f t="shared" si="49"/>
        <v>2737748838.9669204</v>
      </c>
      <c r="M932" s="45">
        <f t="shared" si="50"/>
        <v>425575413.67314005</v>
      </c>
    </row>
    <row r="933" spans="1:13" ht="12.65" customHeight="1">
      <c r="A933" s="33">
        <v>44350</v>
      </c>
      <c r="B933" s="46">
        <v>4439553000</v>
      </c>
      <c r="C933" s="56">
        <v>6902705294.2819204</v>
      </c>
      <c r="F933" s="45">
        <f t="shared" si="51"/>
        <v>2463152294.2819204</v>
      </c>
      <c r="H933" s="46">
        <v>932320000</v>
      </c>
      <c r="I933" s="50">
        <v>1023620629.88161</v>
      </c>
      <c r="L933" s="44">
        <f t="shared" si="49"/>
        <v>2554452924.1635303</v>
      </c>
      <c r="M933" s="45">
        <f t="shared" si="50"/>
        <v>91300629.881610036</v>
      </c>
    </row>
    <row r="934" spans="1:13" ht="12.65" customHeight="1">
      <c r="A934" s="33">
        <v>44351</v>
      </c>
      <c r="B934" s="46">
        <v>4439553000</v>
      </c>
      <c r="C934" s="56">
        <v>5880426481.0704899</v>
      </c>
      <c r="F934" s="45">
        <f t="shared" si="51"/>
        <v>1440873481.0704899</v>
      </c>
      <c r="H934" s="46">
        <v>932320000</v>
      </c>
      <c r="I934" s="56">
        <v>1067926687.86024</v>
      </c>
      <c r="L934" s="44">
        <f t="shared" si="49"/>
        <v>1576480168.9307299</v>
      </c>
      <c r="M934" s="45">
        <f t="shared" si="50"/>
        <v>135606687.86023998</v>
      </c>
    </row>
    <row r="935" spans="1:13" ht="12.65" customHeight="1">
      <c r="A935" s="33">
        <v>44354</v>
      </c>
      <c r="B935" s="46">
        <v>4439553000</v>
      </c>
      <c r="C935" s="56">
        <v>5370022158.8839102</v>
      </c>
      <c r="F935" s="45">
        <f t="shared" si="51"/>
        <v>930469158.88391018</v>
      </c>
      <c r="H935" s="46">
        <v>932320000</v>
      </c>
      <c r="I935" s="50">
        <v>1003628662.00371</v>
      </c>
      <c r="L935" s="44">
        <f t="shared" si="49"/>
        <v>1001777820.8876202</v>
      </c>
      <c r="M935" s="45">
        <f t="shared" si="50"/>
        <v>71308662.003710032</v>
      </c>
    </row>
    <row r="936" spans="1:13" ht="12.65" customHeight="1">
      <c r="A936" s="33">
        <v>44355</v>
      </c>
      <c r="B936" s="46">
        <v>4439553000</v>
      </c>
      <c r="C936" s="56">
        <v>5283321060.6139498</v>
      </c>
      <c r="F936" s="45">
        <f t="shared" si="51"/>
        <v>843768060.61394978</v>
      </c>
      <c r="H936" s="46">
        <v>932320000</v>
      </c>
      <c r="I936" s="50">
        <v>908962149.15290999</v>
      </c>
      <c r="L936" s="44">
        <f t="shared" si="49"/>
        <v>820410209.76685977</v>
      </c>
      <c r="M936" s="45">
        <f t="shared" si="50"/>
        <v>-23357850.847090006</v>
      </c>
    </row>
    <row r="937" spans="1:13" ht="12.65" customHeight="1">
      <c r="A937" s="33">
        <v>44356</v>
      </c>
      <c r="B937" s="46">
        <v>4439553000</v>
      </c>
      <c r="C937" s="56">
        <v>3143747978.25773</v>
      </c>
      <c r="F937" s="45">
        <f t="shared" si="51"/>
        <v>-1295805021.74227</v>
      </c>
      <c r="H937" s="46">
        <v>932320000</v>
      </c>
      <c r="I937" s="50">
        <v>913316679.89845002</v>
      </c>
      <c r="L937" s="44">
        <f t="shared" si="49"/>
        <v>-1314808341.8438201</v>
      </c>
      <c r="M937" s="45">
        <f t="shared" si="50"/>
        <v>-19003320.101549983</v>
      </c>
    </row>
    <row r="938" spans="1:13" ht="12.65" customHeight="1">
      <c r="A938" s="33">
        <v>44357</v>
      </c>
      <c r="B938" s="46">
        <v>4439553000</v>
      </c>
      <c r="C938" s="56">
        <v>2922018233.7670798</v>
      </c>
      <c r="F938" s="45">
        <f t="shared" si="51"/>
        <v>-1517534766.2329202</v>
      </c>
      <c r="H938" s="46">
        <v>932320000</v>
      </c>
      <c r="I938" s="50">
        <v>906878124.33267999</v>
      </c>
      <c r="L938" s="44">
        <f t="shared" si="49"/>
        <v>-1542976641.9002402</v>
      </c>
      <c r="M938" s="45">
        <f t="shared" si="50"/>
        <v>-25441875.667320013</v>
      </c>
    </row>
    <row r="939" spans="1:13" ht="12.65" customHeight="1">
      <c r="A939" s="33">
        <v>44358</v>
      </c>
      <c r="B939" s="46">
        <v>4439553000</v>
      </c>
      <c r="C939" s="56">
        <v>3077877258.9251499</v>
      </c>
      <c r="F939" s="45">
        <f t="shared" si="51"/>
        <v>-1361675741.0748501</v>
      </c>
      <c r="H939" s="46">
        <v>932320000</v>
      </c>
      <c r="I939" s="50">
        <v>804660728.80811</v>
      </c>
      <c r="L939" s="44">
        <f t="shared" si="49"/>
        <v>-1489335012.2667401</v>
      </c>
      <c r="M939" s="45">
        <f t="shared" si="50"/>
        <v>-127659271.19189</v>
      </c>
    </row>
    <row r="940" spans="1:13" ht="12.65" customHeight="1">
      <c r="A940" s="33">
        <v>44361</v>
      </c>
      <c r="B940" s="46">
        <v>4439553000</v>
      </c>
      <c r="C940" s="56">
        <v>2869971969.0366101</v>
      </c>
      <c r="F940" s="45">
        <f t="shared" si="51"/>
        <v>-1569581030.9633899</v>
      </c>
      <c r="H940" s="46">
        <v>932320000</v>
      </c>
      <c r="I940" s="50">
        <v>754246063.72791004</v>
      </c>
      <c r="L940" s="44">
        <f t="shared" si="49"/>
        <v>-1747654967.2354798</v>
      </c>
      <c r="M940" s="45">
        <f t="shared" si="50"/>
        <v>-178073936.27208996</v>
      </c>
    </row>
    <row r="941" spans="1:13" ht="12.65" customHeight="1">
      <c r="A941" s="33">
        <v>44362</v>
      </c>
      <c r="B941" s="46">
        <v>4439553000</v>
      </c>
      <c r="C941" s="56">
        <v>2953503738.0787601</v>
      </c>
      <c r="F941" s="45">
        <f t="shared" si="51"/>
        <v>-1486049261.9212399</v>
      </c>
      <c r="H941" s="46">
        <v>932320000</v>
      </c>
      <c r="I941" s="50">
        <v>717309321.58433998</v>
      </c>
      <c r="L941" s="44">
        <f t="shared" si="49"/>
        <v>-1701059940.3368998</v>
      </c>
      <c r="M941" s="45">
        <f t="shared" si="50"/>
        <v>-215010678.41566002</v>
      </c>
    </row>
    <row r="942" spans="1:13" ht="12.65" customHeight="1">
      <c r="A942" s="33">
        <v>44363</v>
      </c>
      <c r="B942" s="46">
        <v>4570595412.3000002</v>
      </c>
      <c r="C942" s="56">
        <v>6060746347.8935003</v>
      </c>
      <c r="F942" s="45">
        <f t="shared" si="51"/>
        <v>1490150935.5935001</v>
      </c>
      <c r="H942" s="46">
        <v>975666000</v>
      </c>
      <c r="I942" s="50">
        <v>1023348718.69665</v>
      </c>
      <c r="L942" s="44">
        <f t="shared" si="49"/>
        <v>1537833654.2901502</v>
      </c>
      <c r="M942" s="45">
        <f t="shared" si="50"/>
        <v>47682718.696650028</v>
      </c>
    </row>
    <row r="943" spans="1:13" ht="12.65" customHeight="1">
      <c r="A943" s="33">
        <v>44364</v>
      </c>
      <c r="B943" s="46">
        <v>4570595412.3000002</v>
      </c>
      <c r="C943" s="56">
        <v>4321595404.6662397</v>
      </c>
      <c r="F943" s="45">
        <f t="shared" si="51"/>
        <v>-249000007.63376045</v>
      </c>
      <c r="H943" s="46">
        <v>975666000</v>
      </c>
      <c r="I943" s="50">
        <v>1074047744.2126999</v>
      </c>
      <c r="L943" s="44">
        <f t="shared" si="49"/>
        <v>-150618263.42106056</v>
      </c>
      <c r="M943" s="45">
        <f t="shared" si="50"/>
        <v>98381744.21269989</v>
      </c>
    </row>
    <row r="944" spans="1:13" ht="12.65" customHeight="1">
      <c r="A944" s="33">
        <v>44365</v>
      </c>
      <c r="B944" s="46">
        <v>4570595412.3000002</v>
      </c>
      <c r="C944" s="56">
        <v>6110189320.4327803</v>
      </c>
      <c r="F944" s="45">
        <f t="shared" si="51"/>
        <v>1539593908.1327801</v>
      </c>
      <c r="H944" s="46">
        <v>975666000</v>
      </c>
      <c r="I944" s="50">
        <v>1102577854.39113</v>
      </c>
      <c r="L944" s="44">
        <f t="shared" si="49"/>
        <v>1666505762.52391</v>
      </c>
      <c r="M944" s="45">
        <f t="shared" si="50"/>
        <v>126911854.39112997</v>
      </c>
    </row>
    <row r="945" spans="1:13" ht="12.65" customHeight="1">
      <c r="A945" s="33">
        <v>44368</v>
      </c>
      <c r="B945" s="46">
        <v>4570595412.3000002</v>
      </c>
      <c r="C945" s="56">
        <v>6322310195.2940502</v>
      </c>
      <c r="F945" s="45">
        <f t="shared" si="51"/>
        <v>1751714782.99405</v>
      </c>
      <c r="H945" s="46">
        <v>975666000</v>
      </c>
      <c r="I945" s="50">
        <v>1129641547.4219301</v>
      </c>
      <c r="L945" s="44">
        <f t="shared" si="49"/>
        <v>1905690330.4159801</v>
      </c>
      <c r="M945" s="45">
        <f t="shared" si="50"/>
        <v>153975547.42193007</v>
      </c>
    </row>
    <row r="946" spans="1:13" ht="12.65" customHeight="1">
      <c r="A946" s="33">
        <v>44369</v>
      </c>
      <c r="B946" s="46">
        <v>4570595412.3000002</v>
      </c>
      <c r="C946" s="56">
        <v>6059716964.6218596</v>
      </c>
      <c r="F946" s="45">
        <f t="shared" si="51"/>
        <v>1489121552.3218594</v>
      </c>
      <c r="H946" s="46">
        <v>975666000</v>
      </c>
      <c r="I946" s="50">
        <v>1069513076.59503</v>
      </c>
      <c r="L946" s="44">
        <f t="shared" si="49"/>
        <v>1582968628.9168892</v>
      </c>
      <c r="M946" s="45">
        <f t="shared" si="50"/>
        <v>93847076.59502995</v>
      </c>
    </row>
    <row r="947" spans="1:13" ht="12.65" customHeight="1">
      <c r="A947" s="33">
        <v>44370</v>
      </c>
      <c r="B947" s="46">
        <v>4570595412.3000002</v>
      </c>
      <c r="C947" s="56">
        <v>5151068320.0655403</v>
      </c>
      <c r="F947" s="45">
        <f t="shared" si="51"/>
        <v>580472907.76554012</v>
      </c>
      <c r="H947" s="46">
        <v>975666000</v>
      </c>
      <c r="I947" s="50">
        <v>1044400083.17685</v>
      </c>
      <c r="L947" s="44">
        <f t="shared" si="49"/>
        <v>649206990.94239008</v>
      </c>
      <c r="M947" s="45">
        <f t="shared" si="50"/>
        <v>68734083.176849961</v>
      </c>
    </row>
    <row r="948" spans="1:13" ht="12.65" customHeight="1">
      <c r="A948" s="33">
        <v>44371</v>
      </c>
      <c r="B948" s="46">
        <v>4570595412.3000002</v>
      </c>
      <c r="C948" s="56">
        <v>4856685770.7709703</v>
      </c>
      <c r="F948" s="45">
        <f t="shared" si="51"/>
        <v>286090358.47097015</v>
      </c>
      <c r="H948" s="46">
        <v>975666000</v>
      </c>
      <c r="I948" s="50">
        <v>1022351401.02509</v>
      </c>
      <c r="L948" s="44">
        <f t="shared" si="49"/>
        <v>332775759.49606013</v>
      </c>
      <c r="M948" s="45">
        <f t="shared" si="50"/>
        <v>46685401.025089979</v>
      </c>
    </row>
    <row r="949" spans="1:13" ht="12.65" customHeight="1">
      <c r="A949" s="33">
        <v>44372</v>
      </c>
      <c r="B949" s="46">
        <v>4570595412.3000002</v>
      </c>
      <c r="C949" s="56">
        <v>3051991889.4254398</v>
      </c>
      <c r="F949" s="45">
        <f t="shared" si="51"/>
        <v>-1518603522.8745604</v>
      </c>
      <c r="H949" s="46">
        <v>975666000</v>
      </c>
      <c r="I949" s="50">
        <v>946939690.16516995</v>
      </c>
      <c r="L949" s="44">
        <f t="shared" si="49"/>
        <v>-1547329832.7093904</v>
      </c>
      <c r="M949" s="45">
        <f t="shared" si="50"/>
        <v>-28726309.834830046</v>
      </c>
    </row>
    <row r="950" spans="1:13" ht="12.65" customHeight="1">
      <c r="A950" s="33">
        <v>44375</v>
      </c>
      <c r="B950" s="46">
        <v>4570595412.3000002</v>
      </c>
      <c r="C950" s="56">
        <v>3363451463.7568698</v>
      </c>
      <c r="F950" s="45">
        <f t="shared" si="51"/>
        <v>-1207143948.5431304</v>
      </c>
      <c r="H950" s="46">
        <v>975666000</v>
      </c>
      <c r="I950" s="50">
        <v>867458519.23503006</v>
      </c>
      <c r="L950" s="44">
        <f t="shared" si="49"/>
        <v>-1315351429.3081002</v>
      </c>
      <c r="M950" s="45">
        <f t="shared" si="50"/>
        <v>-108207480.76496994</v>
      </c>
    </row>
    <row r="951" spans="1:13" ht="12.65" customHeight="1">
      <c r="A951" s="33">
        <v>44376</v>
      </c>
      <c r="B951" s="46">
        <v>4570595412.3000002</v>
      </c>
      <c r="C951" s="56">
        <v>3004453637.25736</v>
      </c>
      <c r="F951" s="45">
        <f t="shared" si="51"/>
        <v>-1566141775.0426402</v>
      </c>
      <c r="H951" s="46">
        <v>975666000</v>
      </c>
      <c r="I951" s="50">
        <v>873109309.25741994</v>
      </c>
      <c r="L951" s="44">
        <f t="shared" si="49"/>
        <v>-1668698465.7852201</v>
      </c>
      <c r="M951" s="45">
        <f t="shared" si="50"/>
        <v>-102556690.74258006</v>
      </c>
    </row>
    <row r="952" spans="1:13" ht="12.65" customHeight="1">
      <c r="A952" s="33">
        <v>44377</v>
      </c>
      <c r="B952" s="46">
        <v>4570595412.3000002</v>
      </c>
      <c r="C952" s="56">
        <v>2501674693.2802401</v>
      </c>
      <c r="F952" s="45">
        <f t="shared" si="51"/>
        <v>-2068920719.0197601</v>
      </c>
      <c r="H952" s="46">
        <v>975666000</v>
      </c>
      <c r="I952" s="50">
        <v>747197891.93776</v>
      </c>
      <c r="L952" s="44">
        <f t="shared" si="49"/>
        <v>-2297388827.0820003</v>
      </c>
      <c r="M952" s="45">
        <f t="shared" si="50"/>
        <v>-228468108.06224</v>
      </c>
    </row>
    <row r="953" spans="1:13" ht="12.65" customHeight="1">
      <c r="A953" s="33">
        <v>44378</v>
      </c>
      <c r="B953" s="46">
        <v>4647163467</v>
      </c>
      <c r="C953" s="56">
        <v>6810571763.9211102</v>
      </c>
      <c r="F953" s="45">
        <f t="shared" si="51"/>
        <v>2163408296.9211102</v>
      </c>
      <c r="H953" s="46">
        <v>1181810000</v>
      </c>
      <c r="I953" s="50">
        <v>1337829841.4488599</v>
      </c>
      <c r="L953" s="44">
        <f t="shared" si="49"/>
        <v>2319428138.3699703</v>
      </c>
      <c r="M953" s="45">
        <f t="shared" si="50"/>
        <v>156019841.44885993</v>
      </c>
    </row>
    <row r="954" spans="1:13" ht="12.65" customHeight="1">
      <c r="A954" s="33">
        <v>44379</v>
      </c>
      <c r="B954" s="46">
        <v>4647163467</v>
      </c>
      <c r="C954" s="56">
        <v>7620037288.6475096</v>
      </c>
      <c r="F954" s="45">
        <f t="shared" si="51"/>
        <v>2972873821.6475096</v>
      </c>
      <c r="H954" s="46">
        <v>1181810000</v>
      </c>
      <c r="I954" s="50">
        <v>1411743358.5747001</v>
      </c>
      <c r="L954" s="44">
        <f t="shared" si="49"/>
        <v>3202807180.2222099</v>
      </c>
      <c r="M954" s="45">
        <f t="shared" si="50"/>
        <v>229933358.57470012</v>
      </c>
    </row>
    <row r="955" spans="1:13" ht="12.65" customHeight="1">
      <c r="A955" s="33">
        <v>44382</v>
      </c>
      <c r="B955" s="46">
        <v>4647163467</v>
      </c>
      <c r="C955" s="56">
        <v>6576824651.4430799</v>
      </c>
      <c r="F955" s="45">
        <f t="shared" si="51"/>
        <v>1929661184.4430799</v>
      </c>
      <c r="H955" s="46">
        <v>1181810000</v>
      </c>
      <c r="I955" s="50">
        <v>1331259060.7437501</v>
      </c>
      <c r="L955" s="44">
        <f t="shared" si="49"/>
        <v>2079110245.18683</v>
      </c>
      <c r="M955" s="45">
        <f t="shared" si="50"/>
        <v>149449060.7437501</v>
      </c>
    </row>
    <row r="956" spans="1:13" ht="12.65" customHeight="1">
      <c r="A956" s="33">
        <v>44383</v>
      </c>
      <c r="B956" s="46">
        <v>4647163467</v>
      </c>
      <c r="C956" s="56">
        <v>6513136915.1437101</v>
      </c>
      <c r="F956" s="45">
        <f t="shared" si="51"/>
        <v>1865973448.1437101</v>
      </c>
      <c r="H956" s="46">
        <v>1181810000</v>
      </c>
      <c r="I956" s="50">
        <v>1226795329.3076799</v>
      </c>
      <c r="L956" s="44">
        <f t="shared" si="49"/>
        <v>1910958777.45139</v>
      </c>
      <c r="M956" s="45">
        <f t="shared" si="50"/>
        <v>44985329.307679892</v>
      </c>
    </row>
    <row r="957" spans="1:13" ht="12.65" customHeight="1">
      <c r="A957" s="33">
        <v>44384</v>
      </c>
      <c r="B957" s="46">
        <v>4647163467</v>
      </c>
      <c r="C957" s="56">
        <v>5418778984.8959503</v>
      </c>
      <c r="F957" s="45">
        <f t="shared" si="51"/>
        <v>771615517.89595032</v>
      </c>
      <c r="H957" s="46">
        <v>1181810000</v>
      </c>
      <c r="I957" s="50">
        <v>1247317764.6243801</v>
      </c>
      <c r="L957" s="44">
        <f t="shared" si="49"/>
        <v>837123282.52033043</v>
      </c>
      <c r="M957" s="45">
        <f t="shared" si="50"/>
        <v>65507764.624380112</v>
      </c>
    </row>
    <row r="958" spans="1:13" ht="12.65" customHeight="1">
      <c r="A958" s="33">
        <v>44385</v>
      </c>
      <c r="B958" s="46">
        <v>4647163467</v>
      </c>
      <c r="C958" s="56">
        <v>4978164189.9893904</v>
      </c>
      <c r="F958" s="45">
        <f t="shared" si="51"/>
        <v>331000722.98939037</v>
      </c>
      <c r="H958" s="46">
        <v>1181810000</v>
      </c>
      <c r="I958" s="50">
        <v>1220891118.1689601</v>
      </c>
      <c r="L958" s="44">
        <f t="shared" si="49"/>
        <v>370081841.15835047</v>
      </c>
      <c r="M958" s="45">
        <f t="shared" si="50"/>
        <v>39081118.168960094</v>
      </c>
    </row>
    <row r="959" spans="1:13" ht="12.65" customHeight="1">
      <c r="A959" s="33">
        <v>44386</v>
      </c>
      <c r="B959" s="46">
        <v>4647163467</v>
      </c>
      <c r="C959" s="56">
        <v>5080035008.6405001</v>
      </c>
      <c r="F959" s="45">
        <f t="shared" si="51"/>
        <v>432871541.64050007</v>
      </c>
      <c r="H959" s="46">
        <v>1181810000</v>
      </c>
      <c r="I959" s="50">
        <v>1209239792.99278</v>
      </c>
      <c r="L959" s="44">
        <f t="shared" si="49"/>
        <v>460301334.63328004</v>
      </c>
      <c r="M959" s="45">
        <f t="shared" si="50"/>
        <v>27429792.99277997</v>
      </c>
    </row>
    <row r="960" spans="1:13" ht="12.65" customHeight="1">
      <c r="A960" s="33">
        <v>44389</v>
      </c>
      <c r="B960" s="46">
        <v>4647163467</v>
      </c>
      <c r="C960" s="56">
        <v>5351072413.8164301</v>
      </c>
      <c r="F960" s="45">
        <f t="shared" si="51"/>
        <v>703908946.81643009</v>
      </c>
      <c r="H960" s="46">
        <v>1181810000</v>
      </c>
      <c r="I960" s="50">
        <v>1138128216.9821801</v>
      </c>
      <c r="L960" s="44">
        <f t="shared" ref="L960:L1023" si="52">F960+M960</f>
        <v>660227163.79861021</v>
      </c>
      <c r="M960" s="45">
        <f t="shared" ref="M960:M973" si="53">I960-H960</f>
        <v>-43681783.017819881</v>
      </c>
    </row>
    <row r="961" spans="1:13" ht="12.65" customHeight="1">
      <c r="A961" s="33">
        <v>44390</v>
      </c>
      <c r="B961" s="46">
        <v>4647163467</v>
      </c>
      <c r="C961" s="56">
        <v>4975993445.63589</v>
      </c>
      <c r="F961" s="45">
        <f t="shared" si="51"/>
        <v>328829978.63589001</v>
      </c>
      <c r="H961" s="46">
        <v>1181810000</v>
      </c>
      <c r="I961" s="50">
        <v>1140195441.91944</v>
      </c>
      <c r="L961" s="44">
        <f t="shared" si="52"/>
        <v>287215420.55533004</v>
      </c>
      <c r="M961" s="45">
        <f t="shared" si="53"/>
        <v>-41614558.080559969</v>
      </c>
    </row>
    <row r="962" spans="1:13" ht="12.65" customHeight="1">
      <c r="A962" s="33">
        <v>44391</v>
      </c>
      <c r="B962" s="46">
        <v>4647163467</v>
      </c>
      <c r="C962" s="56">
        <v>4099328626.1322899</v>
      </c>
      <c r="F962" s="45">
        <f t="shared" ref="F962:F973" si="54">C962-B962</f>
        <v>-547834840.86771011</v>
      </c>
      <c r="H962" s="46">
        <v>1181810000</v>
      </c>
      <c r="I962" s="50">
        <v>1074912844.11239</v>
      </c>
      <c r="L962" s="44">
        <f t="shared" si="52"/>
        <v>-654731996.75532007</v>
      </c>
      <c r="M962" s="45">
        <f t="shared" si="53"/>
        <v>-106897155.88760996</v>
      </c>
    </row>
    <row r="963" spans="1:13" ht="12.65" customHeight="1">
      <c r="A963" s="33">
        <v>44392</v>
      </c>
      <c r="B963" s="46">
        <v>4647163467</v>
      </c>
      <c r="C963" s="56">
        <v>4096896574.3824701</v>
      </c>
      <c r="F963" s="45">
        <f t="shared" si="54"/>
        <v>-550266892.61752987</v>
      </c>
      <c r="H963" s="46">
        <v>1181810000</v>
      </c>
      <c r="I963" s="50">
        <v>870376154.73286998</v>
      </c>
      <c r="L963" s="44">
        <f t="shared" si="52"/>
        <v>-861700737.88465989</v>
      </c>
      <c r="M963" s="45">
        <f t="shared" si="53"/>
        <v>-311433845.26713002</v>
      </c>
    </row>
    <row r="964" spans="1:13" ht="12.65" customHeight="1">
      <c r="A964" s="33">
        <v>44393</v>
      </c>
      <c r="B964" s="46">
        <v>5482961172</v>
      </c>
      <c r="C964" s="56">
        <v>5951145826.0829296</v>
      </c>
      <c r="F964" s="45">
        <f t="shared" si="54"/>
        <v>468184654.08292961</v>
      </c>
      <c r="H964" s="46">
        <v>1200615000</v>
      </c>
      <c r="I964" s="50">
        <v>3061489794.1301298</v>
      </c>
      <c r="L964" s="44">
        <f t="shared" si="52"/>
        <v>2329059448.2130594</v>
      </c>
      <c r="M964" s="45">
        <f t="shared" si="53"/>
        <v>1860874794.1301298</v>
      </c>
    </row>
    <row r="965" spans="1:13" ht="12.65" customHeight="1">
      <c r="A965" s="33">
        <v>44396</v>
      </c>
      <c r="B965" s="46">
        <v>5482961172</v>
      </c>
      <c r="C965" s="56">
        <v>6664858762.7931404</v>
      </c>
      <c r="F965" s="45">
        <f t="shared" si="54"/>
        <v>1181897590.7931404</v>
      </c>
      <c r="H965" s="46">
        <v>1200615000</v>
      </c>
      <c r="I965" s="50">
        <v>1706472282.3413999</v>
      </c>
      <c r="L965" s="44">
        <f t="shared" si="52"/>
        <v>1687754873.1345403</v>
      </c>
      <c r="M965" s="45">
        <f t="shared" si="53"/>
        <v>505857282.34139991</v>
      </c>
    </row>
    <row r="966" spans="1:13" ht="12.65" customHeight="1">
      <c r="A966" s="33">
        <v>44398</v>
      </c>
      <c r="B966" s="46">
        <v>5482961172</v>
      </c>
      <c r="C966" s="56">
        <v>3665664816.2681999</v>
      </c>
      <c r="F966" s="45">
        <f t="shared" si="54"/>
        <v>-1817296355.7318001</v>
      </c>
      <c r="H966" s="46">
        <v>1200615000</v>
      </c>
      <c r="I966" s="50">
        <v>1036319201.72763</v>
      </c>
      <c r="L966" s="44">
        <f t="shared" si="52"/>
        <v>-1981592154.0041699</v>
      </c>
      <c r="M966" s="45">
        <f t="shared" si="53"/>
        <v>-164295798.27236998</v>
      </c>
    </row>
    <row r="967" spans="1:13" ht="12.65" customHeight="1">
      <c r="A967" s="33">
        <v>44399</v>
      </c>
      <c r="B967" s="46">
        <v>5482961172</v>
      </c>
      <c r="C967" s="56">
        <v>7710624021.9421997</v>
      </c>
      <c r="F967" s="45">
        <f t="shared" si="54"/>
        <v>2227662849.9421997</v>
      </c>
      <c r="H967" s="46">
        <v>1200615000</v>
      </c>
      <c r="I967" s="50">
        <v>951911515.44226003</v>
      </c>
      <c r="L967" s="44">
        <f t="shared" si="52"/>
        <v>1978959365.3844597</v>
      </c>
      <c r="M967" s="45">
        <f t="shared" si="53"/>
        <v>-248703484.55773997</v>
      </c>
    </row>
    <row r="968" spans="1:13" ht="12.65" customHeight="1">
      <c r="A968" s="33">
        <v>44400</v>
      </c>
      <c r="B968" s="46">
        <v>5482961172</v>
      </c>
      <c r="C968" s="56">
        <v>6957137205.8223801</v>
      </c>
      <c r="F968" s="45">
        <f t="shared" si="54"/>
        <v>1474176033.8223801</v>
      </c>
      <c r="H968" s="46">
        <v>1200615000</v>
      </c>
      <c r="I968" s="50">
        <v>939065154.10999</v>
      </c>
      <c r="L968" s="44">
        <f t="shared" si="52"/>
        <v>1212626187.9323702</v>
      </c>
      <c r="M968" s="45">
        <f t="shared" si="53"/>
        <v>-261549845.89001</v>
      </c>
    </row>
    <row r="969" spans="1:13" ht="12.65" customHeight="1">
      <c r="A969" s="33">
        <v>44403</v>
      </c>
      <c r="B969" s="46">
        <v>5482961172</v>
      </c>
      <c r="C969" s="56">
        <v>5923486309.9490604</v>
      </c>
      <c r="F969" s="45">
        <f t="shared" si="54"/>
        <v>440525137.94906044</v>
      </c>
      <c r="H969" s="46">
        <v>1200615000</v>
      </c>
      <c r="I969" s="50">
        <v>955670679.04099</v>
      </c>
      <c r="L969" s="44">
        <f t="shared" si="52"/>
        <v>195580816.99005044</v>
      </c>
      <c r="M969" s="45">
        <f t="shared" si="53"/>
        <v>-244944320.95901</v>
      </c>
    </row>
    <row r="970" spans="1:13" ht="12.65" customHeight="1">
      <c r="A970" s="33">
        <v>44404</v>
      </c>
      <c r="B970" s="46">
        <v>5482961172</v>
      </c>
      <c r="C970" s="56">
        <v>6288924497.5350904</v>
      </c>
      <c r="F970" s="45">
        <f t="shared" si="54"/>
        <v>805963325.53509045</v>
      </c>
      <c r="H970" s="46">
        <v>1200615000</v>
      </c>
      <c r="I970" s="50">
        <v>1278360794.33109</v>
      </c>
      <c r="L970" s="44">
        <f t="shared" si="52"/>
        <v>883709119.86618042</v>
      </c>
      <c r="M970" s="45">
        <f t="shared" si="53"/>
        <v>77745794.331089973</v>
      </c>
    </row>
    <row r="971" spans="1:13" ht="12.65" customHeight="1">
      <c r="A971" s="33">
        <v>44405</v>
      </c>
      <c r="B971" s="46">
        <v>5482961172</v>
      </c>
      <c r="C971" s="56">
        <v>4373939658.4424295</v>
      </c>
      <c r="F971" s="45">
        <f t="shared" si="54"/>
        <v>-1109021513.5575705</v>
      </c>
      <c r="H971" s="46">
        <v>1200615000</v>
      </c>
      <c r="I971" s="50">
        <v>750634974.96670997</v>
      </c>
      <c r="L971" s="44">
        <f t="shared" si="52"/>
        <v>-1559001538.5908604</v>
      </c>
      <c r="M971" s="45">
        <f t="shared" si="53"/>
        <v>-449980025.03329003</v>
      </c>
    </row>
    <row r="972" spans="1:13" ht="12.65" customHeight="1">
      <c r="A972" s="33">
        <v>44406</v>
      </c>
      <c r="B972" s="46">
        <v>5482961172</v>
      </c>
      <c r="C972" s="56">
        <v>4497863668.8758001</v>
      </c>
      <c r="F972" s="45">
        <f t="shared" si="54"/>
        <v>-985097503.12419987</v>
      </c>
      <c r="H972" s="46">
        <v>1200615000</v>
      </c>
      <c r="I972" s="50">
        <v>746632134.53639996</v>
      </c>
      <c r="L972" s="44">
        <f t="shared" si="52"/>
        <v>-1439080368.5878</v>
      </c>
      <c r="M972" s="45">
        <f t="shared" si="53"/>
        <v>-453982865.46360004</v>
      </c>
    </row>
    <row r="973" spans="1:13" ht="12.65" customHeight="1">
      <c r="A973" s="33">
        <v>44407</v>
      </c>
      <c r="B973" s="46">
        <v>5482961172</v>
      </c>
      <c r="C973" s="56">
        <v>3400778630.3461399</v>
      </c>
      <c r="F973" s="45">
        <f t="shared" si="54"/>
        <v>-2082182541.6538601</v>
      </c>
      <c r="H973" s="46">
        <v>1200615000</v>
      </c>
      <c r="I973" s="50">
        <v>757728437.88095999</v>
      </c>
      <c r="L973" s="44">
        <f t="shared" si="52"/>
        <v>-2525069103.7729001</v>
      </c>
      <c r="M973" s="45">
        <f t="shared" si="53"/>
        <v>-442886562.11904001</v>
      </c>
    </row>
    <row r="974" spans="1:13" ht="12.65" customHeight="1">
      <c r="A974" s="33">
        <v>44408</v>
      </c>
      <c r="B974" s="46">
        <v>5482961172</v>
      </c>
      <c r="C974" s="56">
        <v>3400778630.3461399</v>
      </c>
      <c r="F974" s="45">
        <v>-2082182541.6538601</v>
      </c>
      <c r="H974" s="46">
        <v>1200615000</v>
      </c>
      <c r="I974" s="50">
        <v>757728437.88095999</v>
      </c>
      <c r="L974" s="44">
        <f t="shared" si="52"/>
        <v>-2525069103.7729001</v>
      </c>
      <c r="M974" s="45">
        <v>-442886562.11904001</v>
      </c>
    </row>
    <row r="975" spans="1:13" ht="12.65" customHeight="1">
      <c r="A975" s="33">
        <v>44410</v>
      </c>
      <c r="B975" s="46">
        <v>8208586242</v>
      </c>
      <c r="C975" s="56">
        <v>9970332585.4330101</v>
      </c>
      <c r="F975" s="45">
        <f t="shared" ref="F975:F1038" si="55">C975-B975</f>
        <v>1761746343.4330101</v>
      </c>
      <c r="H975" s="46">
        <v>1277321000</v>
      </c>
      <c r="I975" s="50">
        <v>1894005146.5362101</v>
      </c>
      <c r="L975" s="44">
        <f t="shared" si="52"/>
        <v>2378430489.9692202</v>
      </c>
      <c r="M975" s="45">
        <f t="shared" ref="M975:M1038" si="56">I975-H975</f>
        <v>616684146.53621006</v>
      </c>
    </row>
    <row r="976" spans="1:13" ht="12.65" customHeight="1">
      <c r="A976" s="33">
        <v>44411</v>
      </c>
      <c r="B976" s="46">
        <v>8208586242</v>
      </c>
      <c r="C976" s="56">
        <v>6130862046.7922497</v>
      </c>
      <c r="F976" s="45">
        <f t="shared" si="55"/>
        <v>-2077724195.2077503</v>
      </c>
      <c r="H976" s="46">
        <v>1277321000</v>
      </c>
      <c r="I976" s="50">
        <v>1254988094.1559899</v>
      </c>
      <c r="L976" s="44">
        <f t="shared" si="52"/>
        <v>-2100057101.0517604</v>
      </c>
      <c r="M976" s="45">
        <f t="shared" si="56"/>
        <v>-22332905.844010115</v>
      </c>
    </row>
    <row r="977" spans="1:13" ht="12.65" customHeight="1">
      <c r="A977" s="33">
        <v>44412</v>
      </c>
      <c r="B977" s="46">
        <v>8208586242</v>
      </c>
      <c r="C977" s="56">
        <v>7434910627.0362301</v>
      </c>
      <c r="F977" s="45">
        <f t="shared" si="55"/>
        <v>-773675614.96376991</v>
      </c>
      <c r="H977" s="46">
        <v>1277321000</v>
      </c>
      <c r="I977" s="50">
        <v>806570239.60194004</v>
      </c>
      <c r="L977" s="44">
        <f t="shared" si="52"/>
        <v>-1244426375.3618298</v>
      </c>
      <c r="M977" s="45">
        <f t="shared" si="56"/>
        <v>-470750760.39805996</v>
      </c>
    </row>
    <row r="978" spans="1:13" ht="12.65" customHeight="1">
      <c r="A978" s="33">
        <v>44413</v>
      </c>
      <c r="B978" s="46">
        <v>8208586242</v>
      </c>
      <c r="C978" s="56">
        <v>14767395593.9161</v>
      </c>
      <c r="F978" s="45">
        <f t="shared" si="55"/>
        <v>6558809351.9160995</v>
      </c>
      <c r="H978" s="46">
        <v>1277321000</v>
      </c>
      <c r="I978" s="50">
        <v>1286949739.9897499</v>
      </c>
      <c r="L978" s="44">
        <f t="shared" si="52"/>
        <v>6568438091.9058495</v>
      </c>
      <c r="M978" s="45">
        <f t="shared" si="56"/>
        <v>9628739.9897499084</v>
      </c>
    </row>
    <row r="979" spans="1:13" ht="12.65" customHeight="1">
      <c r="A979" s="33">
        <v>44414</v>
      </c>
      <c r="B979" s="46">
        <v>8208586242</v>
      </c>
      <c r="C979" s="56">
        <v>8041040398.5482597</v>
      </c>
      <c r="F979" s="45">
        <f t="shared" si="55"/>
        <v>-167545843.45174026</v>
      </c>
      <c r="H979" s="46">
        <v>1277321000</v>
      </c>
      <c r="I979" s="50">
        <v>1273709267.9024301</v>
      </c>
      <c r="L979" s="44">
        <f t="shared" si="52"/>
        <v>-171157575.54931021</v>
      </c>
      <c r="M979" s="45">
        <f t="shared" si="56"/>
        <v>-3611732.0975699425</v>
      </c>
    </row>
    <row r="980" spans="1:13" ht="12.65" customHeight="1">
      <c r="A980" s="33">
        <v>44417</v>
      </c>
      <c r="B980" s="46">
        <v>8208586242</v>
      </c>
      <c r="C980" s="56">
        <v>8576441823.5780897</v>
      </c>
      <c r="F980" s="45">
        <f t="shared" si="55"/>
        <v>367855581.57808971</v>
      </c>
      <c r="H980" s="46">
        <v>1277321000</v>
      </c>
      <c r="I980" s="50">
        <v>1285999966.74594</v>
      </c>
      <c r="L980" s="44">
        <f t="shared" si="52"/>
        <v>376534548.32402968</v>
      </c>
      <c r="M980" s="45">
        <f t="shared" si="56"/>
        <v>8678966.74593997</v>
      </c>
    </row>
    <row r="981" spans="1:13" ht="12.65" customHeight="1">
      <c r="A981" s="33">
        <v>44418</v>
      </c>
      <c r="B981" s="46">
        <v>8208586242</v>
      </c>
      <c r="C981" s="56">
        <v>6401319805.0877504</v>
      </c>
      <c r="F981" s="45">
        <f t="shared" si="55"/>
        <v>-1807266436.9122496</v>
      </c>
      <c r="H981" s="46">
        <v>1277321000</v>
      </c>
      <c r="I981" s="50">
        <v>1410296494.82128</v>
      </c>
      <c r="L981" s="44">
        <f t="shared" si="52"/>
        <v>-1674290942.0909696</v>
      </c>
      <c r="M981" s="45">
        <f t="shared" si="56"/>
        <v>132975494.82128</v>
      </c>
    </row>
    <row r="982" spans="1:13" ht="12.65" customHeight="1">
      <c r="A982" s="33">
        <v>44420</v>
      </c>
      <c r="B982" s="46">
        <v>8208586242</v>
      </c>
      <c r="C982" s="56">
        <v>6848077403.4566698</v>
      </c>
      <c r="F982" s="45">
        <f t="shared" si="55"/>
        <v>-1360508838.5433302</v>
      </c>
      <c r="H982" s="46">
        <v>1277321000</v>
      </c>
      <c r="I982" s="50">
        <v>1274359840.3011501</v>
      </c>
      <c r="L982" s="44">
        <f t="shared" si="52"/>
        <v>-1363469998.2421801</v>
      </c>
      <c r="M982" s="45">
        <f t="shared" si="56"/>
        <v>-2961159.6988499165</v>
      </c>
    </row>
    <row r="983" spans="1:13" ht="12.65" customHeight="1">
      <c r="A983" s="33">
        <v>44421</v>
      </c>
      <c r="B983" s="46">
        <v>8208586242</v>
      </c>
      <c r="C983" s="56">
        <v>6441199164.3351097</v>
      </c>
      <c r="F983" s="45">
        <f t="shared" si="55"/>
        <v>-1767387077.6648903</v>
      </c>
      <c r="H983" s="46">
        <v>1277321000</v>
      </c>
      <c r="I983" s="50">
        <v>1222674414.5169599</v>
      </c>
      <c r="L983" s="44">
        <f t="shared" si="52"/>
        <v>-1822033663.1479304</v>
      </c>
      <c r="M983" s="45">
        <f t="shared" si="56"/>
        <v>-54646585.483040094</v>
      </c>
    </row>
    <row r="984" spans="1:13" ht="12.65" customHeight="1">
      <c r="A984" s="33">
        <v>44424</v>
      </c>
      <c r="B984" s="46">
        <v>7961899334</v>
      </c>
      <c r="C984" s="56">
        <v>9733730717.8530903</v>
      </c>
      <c r="F984" s="45">
        <f t="shared" si="55"/>
        <v>1771831383.8530903</v>
      </c>
      <c r="H984" s="46">
        <v>1278200000</v>
      </c>
      <c r="I984" s="50">
        <v>1353507283.51267</v>
      </c>
      <c r="L984" s="44">
        <f t="shared" si="52"/>
        <v>1847138667.3657603</v>
      </c>
      <c r="M984" s="45">
        <f t="shared" si="56"/>
        <v>75307283.51267004</v>
      </c>
    </row>
    <row r="985" spans="1:13" ht="12.65" customHeight="1">
      <c r="A985" s="33">
        <v>44426</v>
      </c>
      <c r="B985" s="46">
        <v>7961899334</v>
      </c>
      <c r="C985" s="56">
        <v>10491131679.038799</v>
      </c>
      <c r="F985" s="45">
        <f t="shared" si="55"/>
        <v>2529232345.0387993</v>
      </c>
      <c r="H985" s="46">
        <v>1278200000</v>
      </c>
      <c r="I985" s="50">
        <v>1304058542.80302</v>
      </c>
      <c r="L985" s="44">
        <f t="shared" si="52"/>
        <v>2555090887.8418193</v>
      </c>
      <c r="M985" s="45">
        <f t="shared" si="56"/>
        <v>25858542.80302</v>
      </c>
    </row>
    <row r="986" spans="1:13" ht="12.65" customHeight="1">
      <c r="A986" s="33">
        <v>44427</v>
      </c>
      <c r="B986" s="46">
        <v>7961899334</v>
      </c>
      <c r="C986" s="56">
        <v>9177953863.5180302</v>
      </c>
      <c r="F986" s="45">
        <f t="shared" si="55"/>
        <v>1216054529.5180302</v>
      </c>
      <c r="H986" s="46">
        <v>1278200000</v>
      </c>
      <c r="I986" s="50">
        <v>1255782534.9321899</v>
      </c>
      <c r="L986" s="44">
        <f t="shared" si="52"/>
        <v>1193637064.4502201</v>
      </c>
      <c r="M986" s="45">
        <f t="shared" si="56"/>
        <v>-22417465.067810059</v>
      </c>
    </row>
    <row r="987" spans="1:13" ht="12.65" customHeight="1">
      <c r="A987" s="33">
        <v>44428</v>
      </c>
      <c r="B987" s="46">
        <v>7961899334</v>
      </c>
      <c r="C987" s="56">
        <v>9300687423.4751091</v>
      </c>
      <c r="F987" s="45">
        <f t="shared" si="55"/>
        <v>1338788089.4751091</v>
      </c>
      <c r="H987" s="46">
        <v>1278200000</v>
      </c>
      <c r="I987" s="50">
        <v>1276925525.6622801</v>
      </c>
      <c r="L987" s="44">
        <f t="shared" si="52"/>
        <v>1337513615.1373892</v>
      </c>
      <c r="M987" s="45">
        <f t="shared" si="56"/>
        <v>-1274474.3377199173</v>
      </c>
    </row>
    <row r="988" spans="1:13" ht="12.65" customHeight="1">
      <c r="A988" s="33">
        <v>44431</v>
      </c>
      <c r="B988" s="46">
        <v>7961899334</v>
      </c>
      <c r="C988" s="56">
        <v>9585926101.0497894</v>
      </c>
      <c r="F988" s="45">
        <f t="shared" si="55"/>
        <v>1624026767.0497894</v>
      </c>
      <c r="H988" s="46">
        <v>1278200000</v>
      </c>
      <c r="I988" s="50">
        <v>1311137640.1682601</v>
      </c>
      <c r="L988" s="44">
        <f t="shared" si="52"/>
        <v>1656964407.2180495</v>
      </c>
      <c r="M988" s="45">
        <f t="shared" si="56"/>
        <v>32937640.168260098</v>
      </c>
    </row>
    <row r="989" spans="1:13" ht="12.65" customHeight="1">
      <c r="A989" s="33">
        <v>44432</v>
      </c>
      <c r="B989" s="46">
        <v>7961899334</v>
      </c>
      <c r="C989" s="56">
        <v>7709940332.32265</v>
      </c>
      <c r="F989" s="45">
        <f t="shared" si="55"/>
        <v>-251959001.67735004</v>
      </c>
      <c r="H989" s="46">
        <v>1278200000</v>
      </c>
      <c r="I989" s="50">
        <v>1315831410.0597401</v>
      </c>
      <c r="L989" s="44">
        <f t="shared" si="52"/>
        <v>-214327591.61760998</v>
      </c>
      <c r="M989" s="45">
        <f t="shared" si="56"/>
        <v>37631410.059740067</v>
      </c>
    </row>
    <row r="990" spans="1:13" ht="12.65" customHeight="1">
      <c r="A990" s="33">
        <v>44433</v>
      </c>
      <c r="B990" s="46">
        <v>7961899334</v>
      </c>
      <c r="C990" s="56">
        <v>7131384605.8851204</v>
      </c>
      <c r="F990" s="45">
        <f t="shared" si="55"/>
        <v>-830514728.11487961</v>
      </c>
      <c r="H990" s="46">
        <v>1278200000</v>
      </c>
      <c r="I990" s="50">
        <v>1364836259.6526599</v>
      </c>
      <c r="L990" s="44">
        <f t="shared" si="52"/>
        <v>-743878468.46221972</v>
      </c>
      <c r="M990" s="45">
        <f t="shared" si="56"/>
        <v>86636259.652659893</v>
      </c>
    </row>
    <row r="991" spans="1:13" ht="12.65" customHeight="1">
      <c r="A991" s="33">
        <v>44434</v>
      </c>
      <c r="B991" s="46">
        <v>7961899334</v>
      </c>
      <c r="C991" s="56">
        <v>7230574127.2925997</v>
      </c>
      <c r="F991" s="45">
        <f t="shared" si="55"/>
        <v>-731325206.70740032</v>
      </c>
      <c r="H991" s="46">
        <v>1278200000</v>
      </c>
      <c r="I991" s="50">
        <v>1194252936.6399601</v>
      </c>
      <c r="L991" s="44">
        <f t="shared" si="52"/>
        <v>-815272270.06744027</v>
      </c>
      <c r="M991" s="45">
        <f t="shared" si="56"/>
        <v>-83947063.360039949</v>
      </c>
    </row>
    <row r="992" spans="1:13" ht="12.65" customHeight="1">
      <c r="A992" s="33">
        <v>44435</v>
      </c>
      <c r="B992" s="46">
        <v>7961899334</v>
      </c>
      <c r="C992" s="56">
        <v>6696775651.0414104</v>
      </c>
      <c r="F992" s="45">
        <f t="shared" si="55"/>
        <v>-1265123682.9585896</v>
      </c>
      <c r="H992" s="46">
        <v>1278200000</v>
      </c>
      <c r="I992" s="50">
        <v>1278295625.76717</v>
      </c>
      <c r="L992" s="44">
        <f t="shared" si="52"/>
        <v>-1265028057.1914196</v>
      </c>
      <c r="M992" s="45">
        <f t="shared" si="56"/>
        <v>95625.767169952393</v>
      </c>
    </row>
    <row r="993" spans="1:13" ht="12.65" customHeight="1">
      <c r="A993" s="33">
        <v>44438</v>
      </c>
      <c r="B993" s="46">
        <v>7961899334</v>
      </c>
      <c r="C993" s="56">
        <v>6035511548.1591597</v>
      </c>
      <c r="F993" s="45">
        <f t="shared" si="55"/>
        <v>-1926387785.8408403</v>
      </c>
      <c r="H993" s="46">
        <v>1278200000</v>
      </c>
      <c r="I993" s="50">
        <v>1158726603.4446199</v>
      </c>
      <c r="L993" s="44">
        <f t="shared" si="52"/>
        <v>-2045861182.3962204</v>
      </c>
      <c r="M993" s="45">
        <f t="shared" si="56"/>
        <v>-119473396.55538011</v>
      </c>
    </row>
    <row r="994" spans="1:13" ht="12.65" customHeight="1">
      <c r="A994" s="33">
        <v>44439</v>
      </c>
      <c r="B994" s="46">
        <v>7961899334</v>
      </c>
      <c r="C994" s="56">
        <v>5048844222.5616398</v>
      </c>
      <c r="F994" s="45">
        <f t="shared" si="55"/>
        <v>-2913055111.4383602</v>
      </c>
      <c r="H994" s="46">
        <v>1278200000</v>
      </c>
      <c r="I994" s="50">
        <v>1318540260.60606</v>
      </c>
      <c r="L994" s="44">
        <f t="shared" si="52"/>
        <v>-2872714850.8323002</v>
      </c>
      <c r="M994" s="45">
        <f t="shared" si="56"/>
        <v>40340260.606060028</v>
      </c>
    </row>
    <row r="995" spans="1:13" ht="12.65" customHeight="1">
      <c r="A995" s="33">
        <v>44440</v>
      </c>
      <c r="B995" s="46">
        <v>8141618732</v>
      </c>
      <c r="C995" s="56">
        <v>5735267124.0803003</v>
      </c>
      <c r="F995" s="45">
        <f t="shared" si="55"/>
        <v>-2406351607.9196997</v>
      </c>
      <c r="H995" s="46">
        <v>1242290000</v>
      </c>
      <c r="I995" s="50">
        <v>1228177078.51723</v>
      </c>
      <c r="L995" s="44">
        <f t="shared" si="52"/>
        <v>-2420464529.4024696</v>
      </c>
      <c r="M995" s="45">
        <f t="shared" si="56"/>
        <v>-14112921.482769966</v>
      </c>
    </row>
    <row r="996" spans="1:13" ht="12.65" customHeight="1">
      <c r="A996" s="33">
        <v>44441</v>
      </c>
      <c r="B996" s="46">
        <v>8141618732</v>
      </c>
      <c r="C996" s="56">
        <v>6652670453.3763599</v>
      </c>
      <c r="F996" s="45">
        <f t="shared" si="55"/>
        <v>-1488948278.6236401</v>
      </c>
      <c r="H996" s="46">
        <v>1242290000</v>
      </c>
      <c r="I996" s="50">
        <v>1297800457.0862601</v>
      </c>
      <c r="L996" s="44">
        <f t="shared" si="52"/>
        <v>-1433437821.53738</v>
      </c>
      <c r="M996" s="45">
        <f t="shared" si="56"/>
        <v>55510457.08626008</v>
      </c>
    </row>
    <row r="997" spans="1:13" ht="12.65" customHeight="1">
      <c r="A997" s="33">
        <v>44442</v>
      </c>
      <c r="B997" s="46">
        <v>8141618732</v>
      </c>
      <c r="C997" s="56">
        <v>14616885295.202999</v>
      </c>
      <c r="F997" s="45">
        <f t="shared" si="55"/>
        <v>6475266563.2029991</v>
      </c>
      <c r="H997" s="46">
        <v>1242290000</v>
      </c>
      <c r="I997" s="50">
        <v>1278244525.0500801</v>
      </c>
      <c r="L997" s="44">
        <f t="shared" si="52"/>
        <v>6511221088.2530794</v>
      </c>
      <c r="M997" s="45">
        <f t="shared" si="56"/>
        <v>35954525.050080061</v>
      </c>
    </row>
    <row r="998" spans="1:13" ht="12.65" customHeight="1">
      <c r="A998" s="33">
        <v>44445</v>
      </c>
      <c r="B998" s="46">
        <v>8141618732</v>
      </c>
      <c r="C998" s="56">
        <v>9938026299.7613602</v>
      </c>
      <c r="F998" s="45">
        <f t="shared" si="55"/>
        <v>1796407567.7613602</v>
      </c>
      <c r="H998" s="46">
        <v>1242290000</v>
      </c>
      <c r="I998" s="50">
        <v>1273076804.93014</v>
      </c>
      <c r="L998" s="44">
        <f t="shared" si="52"/>
        <v>1827194372.6915002</v>
      </c>
      <c r="M998" s="45">
        <f t="shared" si="56"/>
        <v>30786804.930140018</v>
      </c>
    </row>
    <row r="999" spans="1:13" ht="12.65" customHeight="1">
      <c r="A999" s="33">
        <v>44446</v>
      </c>
      <c r="B999" s="46">
        <v>8141618732</v>
      </c>
      <c r="C999" s="56">
        <v>9956079143.4327908</v>
      </c>
      <c r="F999" s="45">
        <f t="shared" si="55"/>
        <v>1814460411.4327908</v>
      </c>
      <c r="H999" s="46">
        <v>1242290000</v>
      </c>
      <c r="I999" s="50">
        <v>1272077266.64835</v>
      </c>
      <c r="L999" s="44">
        <f t="shared" si="52"/>
        <v>1844247678.0811408</v>
      </c>
      <c r="M999" s="45">
        <f t="shared" si="56"/>
        <v>29787266.64835</v>
      </c>
    </row>
    <row r="1000" spans="1:13" ht="12.65" customHeight="1">
      <c r="A1000" s="33">
        <v>44447</v>
      </c>
      <c r="B1000" s="46">
        <v>8141618732</v>
      </c>
      <c r="C1000" s="56">
        <v>9827688739.4974594</v>
      </c>
      <c r="F1000" s="45">
        <f t="shared" si="55"/>
        <v>1686070007.4974594</v>
      </c>
      <c r="H1000" s="46">
        <v>1242290000</v>
      </c>
      <c r="I1000" s="50">
        <v>1323762762.5128701</v>
      </c>
      <c r="L1000" s="44">
        <f t="shared" si="52"/>
        <v>1767542770.0103295</v>
      </c>
      <c r="M1000" s="45">
        <f t="shared" si="56"/>
        <v>81472762.512870073</v>
      </c>
    </row>
    <row r="1001" spans="1:13" ht="12.65" customHeight="1">
      <c r="A1001" s="33">
        <v>44448</v>
      </c>
      <c r="B1001" s="46">
        <v>8141618732</v>
      </c>
      <c r="C1001" s="56">
        <v>7158070139.5242395</v>
      </c>
      <c r="F1001" s="45">
        <f t="shared" si="55"/>
        <v>-983548592.47576046</v>
      </c>
      <c r="H1001" s="46">
        <v>1242290000</v>
      </c>
      <c r="I1001" s="50">
        <v>1222885485.4716001</v>
      </c>
      <c r="L1001" s="44">
        <f t="shared" si="52"/>
        <v>-1002953107.0041604</v>
      </c>
      <c r="M1001" s="45">
        <f t="shared" si="56"/>
        <v>-19404514.528399944</v>
      </c>
    </row>
    <row r="1002" spans="1:13" ht="12.65" customHeight="1">
      <c r="A1002" s="33">
        <v>44449</v>
      </c>
      <c r="B1002" s="46">
        <v>8141618732</v>
      </c>
      <c r="C1002" s="56">
        <v>7026144453.2559099</v>
      </c>
      <c r="F1002" s="45">
        <f t="shared" si="55"/>
        <v>-1115474278.7440901</v>
      </c>
      <c r="H1002" s="46">
        <v>1242290000</v>
      </c>
      <c r="I1002" s="50">
        <v>1230976128.29374</v>
      </c>
      <c r="L1002" s="44">
        <f t="shared" si="52"/>
        <v>-1126788150.45035</v>
      </c>
      <c r="M1002" s="45">
        <f t="shared" si="56"/>
        <v>-11313871.706259966</v>
      </c>
    </row>
    <row r="1003" spans="1:13" ht="12.65" customHeight="1">
      <c r="A1003" s="33">
        <v>44452</v>
      </c>
      <c r="B1003" s="46">
        <v>8141618732</v>
      </c>
      <c r="C1003" s="56">
        <v>6738306728.52736</v>
      </c>
      <c r="F1003" s="45">
        <f t="shared" si="55"/>
        <v>-1403312003.47264</v>
      </c>
      <c r="H1003" s="46">
        <v>1242290000</v>
      </c>
      <c r="I1003" s="50">
        <v>1240226592.4426799</v>
      </c>
      <c r="L1003" s="44">
        <f t="shared" si="52"/>
        <v>-1405375411.0299602</v>
      </c>
      <c r="M1003" s="45">
        <f t="shared" si="56"/>
        <v>-2063407.557320118</v>
      </c>
    </row>
    <row r="1004" spans="1:13" ht="12.65" customHeight="1">
      <c r="A1004" s="33">
        <v>44453</v>
      </c>
      <c r="B1004" s="46">
        <v>8141618732</v>
      </c>
      <c r="C1004" s="56">
        <v>6340682037.97927</v>
      </c>
      <c r="F1004" s="45">
        <f t="shared" si="55"/>
        <v>-1800936694.02073</v>
      </c>
      <c r="H1004" s="46">
        <v>1242290000</v>
      </c>
      <c r="I1004" s="50">
        <v>1206108938.59483</v>
      </c>
      <c r="L1004" s="44">
        <f t="shared" si="52"/>
        <v>-1837117755.4259</v>
      </c>
      <c r="M1004" s="45">
        <f t="shared" si="56"/>
        <v>-36181061.405169964</v>
      </c>
    </row>
    <row r="1005" spans="1:13" ht="12.65" customHeight="1">
      <c r="A1005" s="33">
        <v>44454</v>
      </c>
      <c r="B1005" s="46">
        <v>8141618732</v>
      </c>
      <c r="C1005" s="56">
        <v>6141644806.0220203</v>
      </c>
      <c r="F1005" s="45">
        <f t="shared" si="55"/>
        <v>-1999973925.9779797</v>
      </c>
      <c r="H1005" s="46">
        <v>1242290000</v>
      </c>
      <c r="I1005" s="50">
        <v>1236484360.20784</v>
      </c>
      <c r="L1005" s="44">
        <f t="shared" si="52"/>
        <v>-2005779565.7701397</v>
      </c>
      <c r="M1005" s="45">
        <f t="shared" si="56"/>
        <v>-5805639.7921600342</v>
      </c>
    </row>
    <row r="1006" spans="1:13" ht="12.65" customHeight="1">
      <c r="A1006" s="33">
        <v>44455</v>
      </c>
      <c r="B1006" s="46">
        <v>8340560388.3973198</v>
      </c>
      <c r="C1006" s="56">
        <v>11128745686.511101</v>
      </c>
      <c r="F1006" s="45">
        <f t="shared" si="55"/>
        <v>2788185298.113781</v>
      </c>
      <c r="H1006" s="46">
        <v>1189112000</v>
      </c>
      <c r="I1006" s="50">
        <v>1219335566.15681</v>
      </c>
      <c r="L1006" s="44">
        <f t="shared" si="52"/>
        <v>2818408864.2705908</v>
      </c>
      <c r="M1006" s="45">
        <f t="shared" si="56"/>
        <v>30223566.156810045</v>
      </c>
    </row>
    <row r="1007" spans="1:13" ht="12.65" customHeight="1">
      <c r="A1007" s="33">
        <v>44456</v>
      </c>
      <c r="B1007" s="46">
        <v>8340560388.3973198</v>
      </c>
      <c r="C1007" s="56">
        <v>6885506551.2919598</v>
      </c>
      <c r="F1007" s="45">
        <f t="shared" si="55"/>
        <v>-1455053837.10536</v>
      </c>
      <c r="H1007" s="46">
        <v>1189112000</v>
      </c>
      <c r="I1007" s="50">
        <v>1237159519.0800099</v>
      </c>
      <c r="L1007" s="44">
        <f t="shared" si="52"/>
        <v>-1407006318.0253501</v>
      </c>
      <c r="M1007" s="45">
        <f t="shared" si="56"/>
        <v>48047519.080009937</v>
      </c>
    </row>
    <row r="1008" spans="1:13" ht="12.65" customHeight="1">
      <c r="A1008" s="33">
        <v>44459</v>
      </c>
      <c r="B1008" s="46">
        <v>8340560388.3973198</v>
      </c>
      <c r="C1008" s="56">
        <v>10324390470.001301</v>
      </c>
      <c r="F1008" s="45">
        <f t="shared" si="55"/>
        <v>1983830081.603981</v>
      </c>
      <c r="H1008" s="46">
        <v>1189112000</v>
      </c>
      <c r="I1008" s="50">
        <v>1199767900.30317</v>
      </c>
      <c r="L1008" s="44">
        <f t="shared" si="52"/>
        <v>1994485981.907151</v>
      </c>
      <c r="M1008" s="45">
        <f t="shared" si="56"/>
        <v>10655900.303169966</v>
      </c>
    </row>
    <row r="1009" spans="1:13" ht="12.65" customHeight="1">
      <c r="A1009" s="33">
        <v>44460</v>
      </c>
      <c r="B1009" s="46">
        <v>8340560388.3973198</v>
      </c>
      <c r="C1009" s="56">
        <v>10783502300.158899</v>
      </c>
      <c r="F1009" s="45">
        <f t="shared" si="55"/>
        <v>2442941911.7615795</v>
      </c>
      <c r="H1009" s="46">
        <v>1189112000</v>
      </c>
      <c r="I1009" s="50">
        <v>1232121716.1705599</v>
      </c>
      <c r="L1009" s="44">
        <f t="shared" si="52"/>
        <v>2485951627.9321394</v>
      </c>
      <c r="M1009" s="45">
        <f t="shared" si="56"/>
        <v>43009716.170559883</v>
      </c>
    </row>
    <row r="1010" spans="1:13" ht="12.65" customHeight="1">
      <c r="A1010" s="33">
        <v>44461</v>
      </c>
      <c r="B1010" s="46">
        <v>8340560388.3973198</v>
      </c>
      <c r="C1010" s="56">
        <v>9096036123.5434208</v>
      </c>
      <c r="F1010" s="45">
        <f t="shared" si="55"/>
        <v>755475735.146101</v>
      </c>
      <c r="H1010" s="46">
        <v>1189112000</v>
      </c>
      <c r="I1010" s="50">
        <v>1204448904.61042</v>
      </c>
      <c r="L1010" s="44">
        <f t="shared" si="52"/>
        <v>770812639.75652099</v>
      </c>
      <c r="M1010" s="45">
        <f t="shared" si="56"/>
        <v>15336904.610419989</v>
      </c>
    </row>
    <row r="1011" spans="1:13" ht="12.65" customHeight="1">
      <c r="A1011" s="33">
        <v>44462</v>
      </c>
      <c r="B1011" s="46">
        <v>8340560388.3973198</v>
      </c>
      <c r="C1011" s="56">
        <v>9556413806.3267403</v>
      </c>
      <c r="F1011" s="45">
        <f t="shared" si="55"/>
        <v>1215853417.9294205</v>
      </c>
      <c r="H1011" s="46">
        <v>1189112000</v>
      </c>
      <c r="I1011" s="50">
        <v>1127422638.56338</v>
      </c>
      <c r="L1011" s="44">
        <f t="shared" si="52"/>
        <v>1154164056.4928005</v>
      </c>
      <c r="M1011" s="45">
        <f t="shared" si="56"/>
        <v>-61689361.436619997</v>
      </c>
    </row>
    <row r="1012" spans="1:13" ht="12.65" customHeight="1">
      <c r="A1012" s="33">
        <v>44463</v>
      </c>
      <c r="B1012" s="46">
        <v>8340560388.3973198</v>
      </c>
      <c r="C1012" s="56">
        <v>8104401065.6488199</v>
      </c>
      <c r="F1012" s="45">
        <f t="shared" si="55"/>
        <v>-236159322.74849987</v>
      </c>
      <c r="H1012" s="46">
        <v>1189112000</v>
      </c>
      <c r="I1012" s="50">
        <v>1212263004.28971</v>
      </c>
      <c r="L1012" s="44">
        <f t="shared" si="52"/>
        <v>-213008318.45878983</v>
      </c>
      <c r="M1012" s="45">
        <f t="shared" si="56"/>
        <v>23151004.289710045</v>
      </c>
    </row>
    <row r="1013" spans="1:13" ht="12.65" customHeight="1">
      <c r="A1013" s="33">
        <v>44466</v>
      </c>
      <c r="B1013" s="46">
        <v>8340560388.3973198</v>
      </c>
      <c r="C1013" s="56">
        <v>6953763968.3210497</v>
      </c>
      <c r="F1013" s="45">
        <f t="shared" si="55"/>
        <v>-1386796420.0762701</v>
      </c>
      <c r="H1013" s="46">
        <v>1189112000</v>
      </c>
      <c r="I1013" s="50">
        <v>1252705371.4201</v>
      </c>
      <c r="L1013" s="44">
        <f t="shared" si="52"/>
        <v>-1323203048.6561701</v>
      </c>
      <c r="M1013" s="45">
        <f t="shared" si="56"/>
        <v>63593371.420099974</v>
      </c>
    </row>
    <row r="1014" spans="1:13" ht="12.65" customHeight="1">
      <c r="A1014" s="33">
        <v>44467</v>
      </c>
      <c r="B1014" s="46">
        <v>8340560388.3973198</v>
      </c>
      <c r="C1014" s="56">
        <v>6574232917.2632198</v>
      </c>
      <c r="F1014" s="45">
        <f t="shared" si="55"/>
        <v>-1766327471.1341</v>
      </c>
      <c r="H1014" s="46">
        <v>1189112000</v>
      </c>
      <c r="I1014" s="50">
        <v>1157286392.4669299</v>
      </c>
      <c r="L1014" s="44">
        <f t="shared" si="52"/>
        <v>-1798153078.66717</v>
      </c>
      <c r="M1014" s="45">
        <f t="shared" si="56"/>
        <v>-31825607.533070087</v>
      </c>
    </row>
    <row r="1015" spans="1:13" ht="12.65" customHeight="1">
      <c r="A1015" s="33">
        <v>44468</v>
      </c>
      <c r="B1015" s="46">
        <v>8340560388.3973198</v>
      </c>
      <c r="C1015" s="56">
        <v>7459935777.1760397</v>
      </c>
      <c r="F1015" s="45">
        <f t="shared" si="55"/>
        <v>-880624611.2212801</v>
      </c>
      <c r="H1015" s="46">
        <v>1189112000</v>
      </c>
      <c r="I1015" s="50">
        <v>1189223654.8227999</v>
      </c>
      <c r="L1015" s="44">
        <f t="shared" si="52"/>
        <v>-880512956.39848018</v>
      </c>
      <c r="M1015" s="45">
        <f t="shared" si="56"/>
        <v>111654.82279992104</v>
      </c>
    </row>
    <row r="1016" spans="1:13" ht="12.65" customHeight="1">
      <c r="A1016" s="33">
        <v>44469</v>
      </c>
      <c r="B1016" s="46">
        <v>8340560388.3973198</v>
      </c>
      <c r="C1016" s="56">
        <v>5689543673.2047195</v>
      </c>
      <c r="F1016" s="45">
        <f t="shared" si="55"/>
        <v>-2651016715.1926003</v>
      </c>
      <c r="H1016" s="46">
        <v>1189112000</v>
      </c>
      <c r="I1016" s="50">
        <v>1164485686.9228899</v>
      </c>
      <c r="L1016" s="44">
        <f t="shared" si="52"/>
        <v>-2675643028.2697105</v>
      </c>
      <c r="M1016" s="45">
        <f t="shared" si="56"/>
        <v>-24626313.077110052</v>
      </c>
    </row>
    <row r="1017" spans="1:13" ht="12.65" customHeight="1">
      <c r="A1017" s="33">
        <v>44470</v>
      </c>
      <c r="B1017" s="46">
        <v>8996737137.1288204</v>
      </c>
      <c r="C1017" s="56">
        <v>12255931823.085899</v>
      </c>
      <c r="F1017" s="45">
        <f t="shared" si="55"/>
        <v>3259194685.9570789</v>
      </c>
      <c r="H1017" s="46">
        <v>1093923000</v>
      </c>
      <c r="I1017" s="50">
        <v>1167606087.57092</v>
      </c>
      <c r="L1017" s="44">
        <f t="shared" si="52"/>
        <v>3332877773.5279989</v>
      </c>
      <c r="M1017" s="45">
        <f t="shared" si="56"/>
        <v>73683087.570919991</v>
      </c>
    </row>
    <row r="1018" spans="1:13" ht="12.65" customHeight="1">
      <c r="A1018" s="33">
        <v>44473</v>
      </c>
      <c r="B1018" s="46">
        <v>8996737137.1288204</v>
      </c>
      <c r="C1018" s="56">
        <v>10395671184.354601</v>
      </c>
      <c r="F1018" s="45">
        <f t="shared" si="55"/>
        <v>1398934047.2257805</v>
      </c>
      <c r="H1018" s="46">
        <v>1093923000</v>
      </c>
      <c r="I1018" s="50">
        <v>1281648244.7611001</v>
      </c>
      <c r="L1018" s="44">
        <f t="shared" si="52"/>
        <v>1586659291.9868805</v>
      </c>
      <c r="M1018" s="45">
        <f t="shared" si="56"/>
        <v>187725244.76110005</v>
      </c>
    </row>
    <row r="1019" spans="1:13" ht="12.65" customHeight="1">
      <c r="A1019" s="33">
        <v>44474</v>
      </c>
      <c r="B1019" s="46">
        <v>8996737137.1288204</v>
      </c>
      <c r="C1019" s="56">
        <v>9896649330.8243904</v>
      </c>
      <c r="F1019" s="45">
        <f t="shared" si="55"/>
        <v>899912193.69556999</v>
      </c>
      <c r="H1019" s="46">
        <v>1093923000</v>
      </c>
      <c r="I1019" s="50">
        <v>1273395012.05128</v>
      </c>
      <c r="L1019" s="44">
        <f t="shared" si="52"/>
        <v>1079384205.74685</v>
      </c>
      <c r="M1019" s="45">
        <f t="shared" si="56"/>
        <v>179472012.05128002</v>
      </c>
    </row>
    <row r="1020" spans="1:13" ht="12.65" customHeight="1">
      <c r="A1020" s="33">
        <v>44475</v>
      </c>
      <c r="B1020" s="46">
        <v>8996737137.1288204</v>
      </c>
      <c r="C1020" s="56">
        <v>9417690351.2797203</v>
      </c>
      <c r="F1020" s="45">
        <f t="shared" si="55"/>
        <v>420953214.15089989</v>
      </c>
      <c r="H1020" s="46">
        <v>1093923000</v>
      </c>
      <c r="I1020" s="50">
        <v>1220458871.69486</v>
      </c>
      <c r="L1020" s="44">
        <f t="shared" si="52"/>
        <v>547489085.84575987</v>
      </c>
      <c r="M1020" s="45">
        <f t="shared" si="56"/>
        <v>126535871.69485998</v>
      </c>
    </row>
    <row r="1021" spans="1:13" ht="12.65" customHeight="1">
      <c r="A1021" s="33">
        <v>44476</v>
      </c>
      <c r="B1021" s="46">
        <v>8996737137.1288204</v>
      </c>
      <c r="C1021" s="56">
        <v>10233965234.1231</v>
      </c>
      <c r="F1021" s="45">
        <f t="shared" si="55"/>
        <v>1237228096.9942799</v>
      </c>
      <c r="H1021" s="46">
        <v>1093923000</v>
      </c>
      <c r="I1021" s="50">
        <v>1226379524.9479799</v>
      </c>
      <c r="L1021" s="44">
        <f t="shared" si="52"/>
        <v>1369684621.9422598</v>
      </c>
      <c r="M1021" s="45">
        <f t="shared" si="56"/>
        <v>132456524.94797993</v>
      </c>
    </row>
    <row r="1022" spans="1:13" ht="12.65" customHeight="1">
      <c r="A1022" s="33">
        <v>44477</v>
      </c>
      <c r="B1022" s="46">
        <v>8996737137.1288204</v>
      </c>
      <c r="C1022" s="56">
        <v>8283847958.7670898</v>
      </c>
      <c r="F1022" s="45">
        <f t="shared" si="55"/>
        <v>-712889178.36173058</v>
      </c>
      <c r="H1022" s="46">
        <v>1093923000</v>
      </c>
      <c r="I1022" s="50">
        <v>1334701407.9351799</v>
      </c>
      <c r="L1022" s="44">
        <f t="shared" si="52"/>
        <v>-472110770.42655063</v>
      </c>
      <c r="M1022" s="45">
        <f t="shared" si="56"/>
        <v>240778407.93517995</v>
      </c>
    </row>
    <row r="1023" spans="1:13" ht="12.65" customHeight="1">
      <c r="A1023" s="33">
        <v>44480</v>
      </c>
      <c r="B1023" s="46">
        <v>8996737137.1288204</v>
      </c>
      <c r="C1023" s="56">
        <v>9752114804.5696106</v>
      </c>
      <c r="F1023" s="45">
        <f t="shared" si="55"/>
        <v>755377667.44079018</v>
      </c>
      <c r="H1023" s="46">
        <v>1093923000</v>
      </c>
      <c r="I1023" s="50">
        <v>1048755402.3757499</v>
      </c>
      <c r="L1023" s="44">
        <f t="shared" si="52"/>
        <v>710210069.81654012</v>
      </c>
      <c r="M1023" s="45">
        <f t="shared" si="56"/>
        <v>-45167597.624250054</v>
      </c>
    </row>
    <row r="1024" spans="1:13" ht="12.65" customHeight="1">
      <c r="A1024" s="33">
        <v>44481</v>
      </c>
      <c r="B1024" s="46">
        <v>8996737137.1288204</v>
      </c>
      <c r="C1024" s="56">
        <v>7584502479.2186203</v>
      </c>
      <c r="F1024" s="45">
        <f t="shared" si="55"/>
        <v>-1412234657.9102001</v>
      </c>
      <c r="H1024" s="46">
        <v>1093923000</v>
      </c>
      <c r="I1024" s="50">
        <v>1091217425.7202301</v>
      </c>
      <c r="L1024" s="44">
        <f t="shared" ref="L1024:L1087" si="57">F1024+M1024</f>
        <v>-1414940232.18997</v>
      </c>
      <c r="M1024" s="45">
        <f t="shared" si="56"/>
        <v>-2705574.2797698975</v>
      </c>
    </row>
    <row r="1025" spans="1:13" ht="12.65" customHeight="1">
      <c r="A1025" s="33">
        <v>44482</v>
      </c>
      <c r="B1025" s="46">
        <v>8996737137.1288204</v>
      </c>
      <c r="C1025" s="56">
        <v>7472857683.4630899</v>
      </c>
      <c r="F1025" s="45">
        <f t="shared" si="55"/>
        <v>-1523879453.6657305</v>
      </c>
      <c r="H1025" s="46">
        <v>1093923000</v>
      </c>
      <c r="I1025" s="50">
        <v>945082226.92262995</v>
      </c>
      <c r="L1025" s="44">
        <f t="shared" si="57"/>
        <v>-1672720226.7431006</v>
      </c>
      <c r="M1025" s="45">
        <f t="shared" si="56"/>
        <v>-148840773.07737005</v>
      </c>
    </row>
    <row r="1026" spans="1:13" ht="12.65" customHeight="1">
      <c r="A1026" s="33">
        <v>44483</v>
      </c>
      <c r="B1026" s="46">
        <v>8996737137.1288204</v>
      </c>
      <c r="C1026" s="56">
        <v>7210434059.2129498</v>
      </c>
      <c r="F1026" s="45">
        <f t="shared" si="55"/>
        <v>-1786303077.9158707</v>
      </c>
      <c r="H1026" s="46">
        <v>1093923000</v>
      </c>
      <c r="I1026" s="50">
        <v>828617807.51209998</v>
      </c>
      <c r="L1026" s="44">
        <f t="shared" si="57"/>
        <v>-2051608270.4037707</v>
      </c>
      <c r="M1026" s="45">
        <f t="shared" si="56"/>
        <v>-265305192.48790002</v>
      </c>
    </row>
    <row r="1027" spans="1:13" ht="12.65" customHeight="1">
      <c r="A1027" s="33">
        <v>44484</v>
      </c>
      <c r="B1027" s="46">
        <v>8996737137.1288204</v>
      </c>
      <c r="C1027" s="56">
        <v>8923948427.3962898</v>
      </c>
      <c r="F1027" s="45">
        <f t="shared" si="55"/>
        <v>-72788709.732530594</v>
      </c>
      <c r="H1027" s="46">
        <v>1093923000</v>
      </c>
      <c r="I1027" s="50">
        <v>764647670.06133997</v>
      </c>
      <c r="L1027" s="44">
        <f t="shared" si="57"/>
        <v>-402064039.67119062</v>
      </c>
      <c r="M1027" s="45">
        <f t="shared" si="56"/>
        <v>-329275329.93866003</v>
      </c>
    </row>
    <row r="1028" spans="1:13" ht="12.65" customHeight="1">
      <c r="A1028" s="33">
        <v>44487</v>
      </c>
      <c r="B1028" s="46">
        <v>8390873973.2596102</v>
      </c>
      <c r="C1028" s="56">
        <v>11005340885.0791</v>
      </c>
      <c r="F1028" s="45">
        <f t="shared" si="55"/>
        <v>2614466911.8194895</v>
      </c>
      <c r="H1028" s="46">
        <v>1122963000</v>
      </c>
      <c r="I1028" s="50">
        <v>1282149567.6454599</v>
      </c>
      <c r="L1028" s="44">
        <f t="shared" si="57"/>
        <v>2773653479.4649496</v>
      </c>
      <c r="M1028" s="45">
        <f t="shared" si="56"/>
        <v>159186567.64545989</v>
      </c>
    </row>
    <row r="1029" spans="1:13" ht="12.65" customHeight="1">
      <c r="A1029" s="33">
        <v>44488</v>
      </c>
      <c r="B1029" s="46">
        <v>8390873973.2596102</v>
      </c>
      <c r="C1029" s="56">
        <v>12062401573.8671</v>
      </c>
      <c r="F1029" s="45">
        <f t="shared" si="55"/>
        <v>3671527600.6074896</v>
      </c>
      <c r="H1029" s="46">
        <v>1122963000</v>
      </c>
      <c r="I1029" s="50">
        <v>1275221000.1907599</v>
      </c>
      <c r="L1029" s="44">
        <f t="shared" si="57"/>
        <v>3823785600.7982492</v>
      </c>
      <c r="M1029" s="45">
        <f t="shared" si="56"/>
        <v>152258000.1907599</v>
      </c>
    </row>
    <row r="1030" spans="1:13" ht="12.65" customHeight="1">
      <c r="A1030" s="33">
        <v>44490</v>
      </c>
      <c r="B1030" s="46">
        <v>8390873973.2596102</v>
      </c>
      <c r="C1030" s="56">
        <v>9517005455.3226891</v>
      </c>
      <c r="F1030" s="45">
        <f t="shared" si="55"/>
        <v>1126131482.0630789</v>
      </c>
      <c r="H1030" s="46">
        <v>1122963000</v>
      </c>
      <c r="I1030" s="50">
        <v>1224554764.03619</v>
      </c>
      <c r="L1030" s="44">
        <f t="shared" si="57"/>
        <v>1227723246.0992689</v>
      </c>
      <c r="M1030" s="45">
        <f t="shared" si="56"/>
        <v>101591764.03619003</v>
      </c>
    </row>
    <row r="1031" spans="1:13" ht="12.65" customHeight="1">
      <c r="A1031" s="33">
        <v>44491</v>
      </c>
      <c r="B1031" s="46">
        <v>8390873973.2596102</v>
      </c>
      <c r="C1031" s="56">
        <v>8548768257.0346003</v>
      </c>
      <c r="F1031" s="45">
        <f t="shared" si="55"/>
        <v>157894283.77499008</v>
      </c>
      <c r="H1031" s="46">
        <v>1122963000</v>
      </c>
      <c r="I1031" s="50">
        <v>1002254137.48283</v>
      </c>
      <c r="L1031" s="44">
        <f t="shared" si="57"/>
        <v>37185421.257820129</v>
      </c>
      <c r="M1031" s="45">
        <f t="shared" si="56"/>
        <v>-120708862.51716995</v>
      </c>
    </row>
    <row r="1032" spans="1:13" ht="12.65" customHeight="1">
      <c r="A1032" s="33">
        <v>44494</v>
      </c>
      <c r="B1032" s="46">
        <v>8390873973.2596102</v>
      </c>
      <c r="C1032" s="56">
        <v>8037586065.1995201</v>
      </c>
      <c r="F1032" s="45">
        <f t="shared" si="55"/>
        <v>-353287908.06009007</v>
      </c>
      <c r="H1032" s="46">
        <v>1122963000</v>
      </c>
      <c r="I1032" s="50">
        <v>1249030286.9946899</v>
      </c>
      <c r="L1032" s="44">
        <f t="shared" si="57"/>
        <v>-227220621.06540012</v>
      </c>
      <c r="M1032" s="45">
        <f t="shared" si="56"/>
        <v>126067286.99468994</v>
      </c>
    </row>
    <row r="1033" spans="1:13" ht="12.65" customHeight="1">
      <c r="A1033" s="33">
        <v>44495</v>
      </c>
      <c r="B1033" s="46">
        <v>8390873973.2596102</v>
      </c>
      <c r="C1033" s="56">
        <v>7411448089.0808697</v>
      </c>
      <c r="F1033" s="45">
        <f t="shared" si="55"/>
        <v>-979425884.1787405</v>
      </c>
      <c r="H1033" s="46">
        <v>1122963000</v>
      </c>
      <c r="I1033" s="50">
        <v>1198421739.9511499</v>
      </c>
      <c r="L1033" s="44">
        <f t="shared" si="57"/>
        <v>-903967144.22759056</v>
      </c>
      <c r="M1033" s="45">
        <f t="shared" si="56"/>
        <v>75458739.95114994</v>
      </c>
    </row>
    <row r="1034" spans="1:13" ht="12.65" customHeight="1">
      <c r="A1034" s="33">
        <v>44496</v>
      </c>
      <c r="B1034" s="46">
        <v>8390873973.2596102</v>
      </c>
      <c r="C1034" s="56">
        <v>7148555943.4062996</v>
      </c>
      <c r="F1034" s="45">
        <f t="shared" si="55"/>
        <v>-1242318029.8533106</v>
      </c>
      <c r="H1034" s="46">
        <v>1122963000</v>
      </c>
      <c r="I1034" s="50">
        <v>994209536.94560003</v>
      </c>
      <c r="L1034" s="44">
        <f t="shared" si="57"/>
        <v>-1371071492.9077106</v>
      </c>
      <c r="M1034" s="45">
        <f t="shared" si="56"/>
        <v>-128753463.05439997</v>
      </c>
    </row>
    <row r="1035" spans="1:13" ht="12.65" customHeight="1">
      <c r="A1035" s="33">
        <v>44497</v>
      </c>
      <c r="B1035" s="46">
        <v>8390873973.2596102</v>
      </c>
      <c r="C1035" s="56">
        <v>6374513529.3252697</v>
      </c>
      <c r="F1035" s="45">
        <f t="shared" si="55"/>
        <v>-2016360443.9343405</v>
      </c>
      <c r="H1035" s="46">
        <v>1122963000</v>
      </c>
      <c r="I1035" s="50">
        <v>1024493720.56504</v>
      </c>
      <c r="L1035" s="44">
        <f t="shared" si="57"/>
        <v>-2114829723.3693004</v>
      </c>
      <c r="M1035" s="45">
        <f t="shared" si="56"/>
        <v>-98469279.434960008</v>
      </c>
    </row>
    <row r="1036" spans="1:13" ht="12.65" customHeight="1">
      <c r="A1036" s="33">
        <v>44498</v>
      </c>
      <c r="B1036" s="46">
        <v>8390873973.2596102</v>
      </c>
      <c r="C1036" s="56">
        <v>6213263833.5232296</v>
      </c>
      <c r="F1036" s="45">
        <f t="shared" si="55"/>
        <v>-2177610139.7363806</v>
      </c>
      <c r="H1036" s="46">
        <v>1122963000</v>
      </c>
      <c r="I1036" s="50">
        <v>956750672.04525006</v>
      </c>
      <c r="L1036" s="44">
        <f t="shared" si="57"/>
        <v>-2343822467.6911306</v>
      </c>
      <c r="M1036" s="45">
        <f t="shared" si="56"/>
        <v>-166212327.95474994</v>
      </c>
    </row>
    <row r="1037" spans="1:13" ht="12.65" customHeight="1">
      <c r="A1037" s="33">
        <v>44500</v>
      </c>
      <c r="B1037" s="46">
        <v>8390873973.2596102</v>
      </c>
      <c r="C1037" s="56">
        <v>6213263833.5232296</v>
      </c>
      <c r="F1037" s="45">
        <f t="shared" si="55"/>
        <v>-2177610139.7363806</v>
      </c>
      <c r="H1037" s="46">
        <v>1122963000</v>
      </c>
      <c r="I1037" s="50">
        <v>956750672.04525006</v>
      </c>
      <c r="L1037" s="44">
        <f t="shared" si="57"/>
        <v>-2343822467.6911306</v>
      </c>
      <c r="M1037" s="45">
        <f t="shared" si="56"/>
        <v>-166212327.95474994</v>
      </c>
    </row>
    <row r="1038" spans="1:13" ht="12.65" customHeight="1">
      <c r="A1038" s="33">
        <v>44501</v>
      </c>
      <c r="B1038" s="46">
        <v>8572750430.7952499</v>
      </c>
      <c r="C1038" s="56">
        <v>11425733268.395399</v>
      </c>
      <c r="F1038" s="45">
        <f t="shared" si="55"/>
        <v>2852982837.6001492</v>
      </c>
      <c r="H1038" s="46">
        <v>1168576000</v>
      </c>
      <c r="I1038" s="50">
        <v>1233747622.9721301</v>
      </c>
      <c r="L1038" s="44">
        <f t="shared" si="57"/>
        <v>2918154460.572279</v>
      </c>
      <c r="M1038" s="45">
        <f t="shared" si="56"/>
        <v>65171622.97213006</v>
      </c>
    </row>
    <row r="1039" spans="1:13" ht="12.65" customHeight="1">
      <c r="A1039" s="33">
        <v>44502</v>
      </c>
      <c r="B1039" s="46">
        <v>8572750430.7952499</v>
      </c>
      <c r="C1039" s="56">
        <v>10241319902.063999</v>
      </c>
      <c r="F1039" s="45">
        <f t="shared" ref="F1039:F1102" si="58">C1039-B1039</f>
        <v>1668569471.2687492</v>
      </c>
      <c r="H1039" s="46">
        <v>1168576000</v>
      </c>
      <c r="I1039" s="50">
        <v>1217142789.97034</v>
      </c>
      <c r="L1039" s="44">
        <f t="shared" si="57"/>
        <v>1717136261.2390893</v>
      </c>
      <c r="M1039" s="45">
        <f t="shared" ref="M1039:M1102" si="59">I1039-H1039</f>
        <v>48566789.970340014</v>
      </c>
    </row>
    <row r="1040" spans="1:13" ht="12.65" customHeight="1">
      <c r="A1040" s="33">
        <v>44503</v>
      </c>
      <c r="B1040" s="46">
        <v>8572750430.7952499</v>
      </c>
      <c r="C1040" s="56">
        <v>9235312838.4397392</v>
      </c>
      <c r="F1040" s="45">
        <f t="shared" si="58"/>
        <v>662562407.64448929</v>
      </c>
      <c r="H1040" s="46">
        <v>1168576000</v>
      </c>
      <c r="I1040" s="50">
        <v>1216079429.9767799</v>
      </c>
      <c r="L1040" s="44">
        <f t="shared" si="57"/>
        <v>710065837.62126923</v>
      </c>
      <c r="M1040" s="45">
        <f t="shared" si="59"/>
        <v>47503429.976779938</v>
      </c>
    </row>
    <row r="1041" spans="1:13" ht="12.65" customHeight="1">
      <c r="A1041" s="33">
        <v>44504</v>
      </c>
      <c r="B1041" s="46">
        <v>8572750430.7952499</v>
      </c>
      <c r="C1041" s="56">
        <v>9687204915.6777496</v>
      </c>
      <c r="F1041" s="45">
        <f t="shared" si="58"/>
        <v>1114454484.8824997</v>
      </c>
      <c r="H1041" s="46">
        <v>1168576000</v>
      </c>
      <c r="I1041" s="50">
        <v>1204150632.0938101</v>
      </c>
      <c r="L1041" s="44">
        <f t="shared" si="57"/>
        <v>1150029116.9763098</v>
      </c>
      <c r="M1041" s="45">
        <f t="shared" si="59"/>
        <v>35574632.093810081</v>
      </c>
    </row>
    <row r="1042" spans="1:13" ht="12.65" customHeight="1">
      <c r="A1042" s="33">
        <v>44505</v>
      </c>
      <c r="B1042" s="46">
        <v>8572750430.7952499</v>
      </c>
      <c r="C1042" s="56">
        <v>8373301239.5009499</v>
      </c>
      <c r="F1042" s="45">
        <f t="shared" si="58"/>
        <v>-199449191.29430008</v>
      </c>
      <c r="H1042" s="46">
        <v>1168576000</v>
      </c>
      <c r="I1042" s="50">
        <v>1141256789.5126901</v>
      </c>
      <c r="L1042" s="44">
        <f t="shared" si="57"/>
        <v>-226768401.78161001</v>
      </c>
      <c r="M1042" s="45">
        <f t="shared" si="59"/>
        <v>-27319210.487309933</v>
      </c>
    </row>
    <row r="1043" spans="1:13" ht="12.65" customHeight="1">
      <c r="A1043" s="33">
        <v>44508</v>
      </c>
      <c r="B1043" s="46">
        <v>8572750430.7952499</v>
      </c>
      <c r="C1043" s="56">
        <v>8883124277.0967999</v>
      </c>
      <c r="F1043" s="45">
        <f t="shared" si="58"/>
        <v>310373846.30154991</v>
      </c>
      <c r="H1043" s="46">
        <v>1168576000</v>
      </c>
      <c r="I1043" s="50">
        <v>1299255146.3628299</v>
      </c>
      <c r="L1043" s="44">
        <f t="shared" si="57"/>
        <v>441052992.66437984</v>
      </c>
      <c r="M1043" s="45">
        <f t="shared" si="59"/>
        <v>130679146.36282992</v>
      </c>
    </row>
    <row r="1044" spans="1:13" ht="12.65" customHeight="1">
      <c r="A1044" s="33">
        <v>44509</v>
      </c>
      <c r="B1044" s="46">
        <v>8572750430.7952499</v>
      </c>
      <c r="C1044" s="56">
        <v>10090845852.046101</v>
      </c>
      <c r="F1044" s="45">
        <f t="shared" si="58"/>
        <v>1518095421.2508507</v>
      </c>
      <c r="H1044" s="46">
        <v>1168576000</v>
      </c>
      <c r="I1044" s="50">
        <v>1210822708.97948</v>
      </c>
      <c r="L1044" s="44">
        <f t="shared" si="57"/>
        <v>1560342130.2303307</v>
      </c>
      <c r="M1044" s="45">
        <f t="shared" si="59"/>
        <v>42246708.979480028</v>
      </c>
    </row>
    <row r="1045" spans="1:13" ht="12.65" customHeight="1">
      <c r="A1045" s="33">
        <v>44510</v>
      </c>
      <c r="B1045" s="46">
        <v>8572750430.7952499</v>
      </c>
      <c r="C1045" s="56">
        <v>7287138032.0265703</v>
      </c>
      <c r="F1045" s="45">
        <f t="shared" si="58"/>
        <v>-1285612398.7686796</v>
      </c>
      <c r="H1045" s="46">
        <v>1168576000</v>
      </c>
      <c r="I1045" s="50">
        <v>1193699780.5908999</v>
      </c>
      <c r="L1045" s="44">
        <f t="shared" si="57"/>
        <v>-1260488618.1777797</v>
      </c>
      <c r="M1045" s="45">
        <f t="shared" si="59"/>
        <v>25123780.590899944</v>
      </c>
    </row>
    <row r="1046" spans="1:13" ht="12.65" customHeight="1">
      <c r="A1046" s="33">
        <v>44511</v>
      </c>
      <c r="B1046" s="46">
        <v>8572750430.7952499</v>
      </c>
      <c r="C1046" s="56">
        <v>6649985089.9281197</v>
      </c>
      <c r="F1046" s="45">
        <f t="shared" si="58"/>
        <v>-1922765340.8671303</v>
      </c>
      <c r="H1046" s="46">
        <v>1168576000</v>
      </c>
      <c r="I1046" s="50">
        <v>1142244667.4685199</v>
      </c>
      <c r="L1046" s="44">
        <f t="shared" si="57"/>
        <v>-1949096673.3986104</v>
      </c>
      <c r="M1046" s="45">
        <f t="shared" si="59"/>
        <v>-26331332.531480074</v>
      </c>
    </row>
    <row r="1047" spans="1:13" ht="12.65" customHeight="1">
      <c r="A1047" s="33">
        <v>44512</v>
      </c>
      <c r="B1047" s="46">
        <v>8572750430.7952499</v>
      </c>
      <c r="C1047" s="56">
        <v>6569065263.9333601</v>
      </c>
      <c r="F1047" s="45">
        <f t="shared" si="58"/>
        <v>-2003685166.8618898</v>
      </c>
      <c r="H1047" s="46">
        <v>1168576000</v>
      </c>
      <c r="I1047" s="50">
        <v>1067304104.64798</v>
      </c>
      <c r="L1047" s="44">
        <f t="shared" si="57"/>
        <v>-2104957062.2139099</v>
      </c>
      <c r="M1047" s="45">
        <f t="shared" si="59"/>
        <v>-101271895.35202003</v>
      </c>
    </row>
    <row r="1048" spans="1:13" ht="12.65" customHeight="1">
      <c r="A1048" s="33">
        <v>44515</v>
      </c>
      <c r="B1048" s="46">
        <v>8572750430.7952499</v>
      </c>
      <c r="C1048" s="56">
        <v>6520411644.5043497</v>
      </c>
      <c r="F1048" s="45">
        <f t="shared" si="58"/>
        <v>-2052338786.2909002</v>
      </c>
      <c r="H1048" s="46">
        <v>1168576000</v>
      </c>
      <c r="I1048" s="50">
        <v>1080154879.4923501</v>
      </c>
      <c r="L1048" s="44">
        <f t="shared" si="57"/>
        <v>-2140759906.7985501</v>
      </c>
      <c r="M1048" s="45">
        <f t="shared" si="59"/>
        <v>-88421120.507649899</v>
      </c>
    </row>
    <row r="1049" spans="1:13" ht="12.65" customHeight="1">
      <c r="A1049" s="33">
        <v>44516</v>
      </c>
      <c r="B1049" s="46">
        <v>8918646915.3513203</v>
      </c>
      <c r="C1049" s="56">
        <v>10240328749.794201</v>
      </c>
      <c r="F1049" s="45">
        <f t="shared" si="58"/>
        <v>1321681834.4428806</v>
      </c>
      <c r="H1049" s="46">
        <v>1175990000</v>
      </c>
      <c r="I1049" s="50">
        <v>1344094181.8101799</v>
      </c>
      <c r="L1049" s="44">
        <f t="shared" si="57"/>
        <v>1489786016.2530606</v>
      </c>
      <c r="M1049" s="45">
        <f t="shared" si="59"/>
        <v>168104181.81017995</v>
      </c>
    </row>
    <row r="1050" spans="1:13" ht="12.65" customHeight="1">
      <c r="A1050" s="33">
        <v>44517</v>
      </c>
      <c r="B1050" s="46">
        <v>8918646915.3513203</v>
      </c>
      <c r="C1050" s="56">
        <v>10004837438.7932</v>
      </c>
      <c r="F1050" s="45">
        <f t="shared" si="58"/>
        <v>1086190523.4418793</v>
      </c>
      <c r="H1050" s="46">
        <v>1175990000</v>
      </c>
      <c r="I1050" s="50">
        <v>1405710920.04672</v>
      </c>
      <c r="L1050" s="44">
        <f t="shared" si="57"/>
        <v>1315911443.4885993</v>
      </c>
      <c r="M1050" s="45">
        <f t="shared" si="59"/>
        <v>229720920.04672003</v>
      </c>
    </row>
    <row r="1051" spans="1:13" ht="12.65" customHeight="1">
      <c r="A1051" s="33">
        <v>44518</v>
      </c>
      <c r="B1051" s="46">
        <v>8918646915.3513203</v>
      </c>
      <c r="C1051" s="56">
        <v>10497019675.523399</v>
      </c>
      <c r="F1051" s="45">
        <f t="shared" si="58"/>
        <v>1578372760.1720791</v>
      </c>
      <c r="H1051" s="46">
        <v>1175990000</v>
      </c>
      <c r="I1051" s="50">
        <v>1390821344.73248</v>
      </c>
      <c r="L1051" s="44">
        <f t="shared" si="57"/>
        <v>1793204104.9045591</v>
      </c>
      <c r="M1051" s="45">
        <f t="shared" si="59"/>
        <v>214831344.73248005</v>
      </c>
    </row>
    <row r="1052" spans="1:13" ht="12.65" customHeight="1">
      <c r="A1052" s="33">
        <v>44519</v>
      </c>
      <c r="B1052" s="46">
        <v>8918646915.3513203</v>
      </c>
      <c r="C1052" s="56">
        <v>9821275524.5786095</v>
      </c>
      <c r="F1052" s="45">
        <f t="shared" si="58"/>
        <v>902628609.2272892</v>
      </c>
      <c r="H1052" s="46">
        <v>1175990000</v>
      </c>
      <c r="I1052" s="50">
        <v>1269128863.6912301</v>
      </c>
      <c r="L1052" s="44">
        <f t="shared" si="57"/>
        <v>995767472.91851926</v>
      </c>
      <c r="M1052" s="45">
        <f t="shared" si="59"/>
        <v>93138863.691230059</v>
      </c>
    </row>
    <row r="1053" spans="1:13" ht="12.65" customHeight="1">
      <c r="A1053" s="33">
        <v>44522</v>
      </c>
      <c r="B1053" s="46">
        <v>8918646915.3513203</v>
      </c>
      <c r="C1053" s="56">
        <v>10469995071.604099</v>
      </c>
      <c r="F1053" s="45">
        <f t="shared" si="58"/>
        <v>1551348156.252779</v>
      </c>
      <c r="H1053" s="46">
        <v>1175990000</v>
      </c>
      <c r="I1053" s="50">
        <v>1232556136.0181201</v>
      </c>
      <c r="L1053" s="44">
        <f t="shared" si="57"/>
        <v>1607914292.2708991</v>
      </c>
      <c r="M1053" s="45">
        <f t="shared" si="59"/>
        <v>56566136.01812005</v>
      </c>
    </row>
    <row r="1054" spans="1:13" ht="12.65" customHeight="1">
      <c r="A1054" s="33">
        <v>44523</v>
      </c>
      <c r="B1054" s="46">
        <v>8918646915.3513203</v>
      </c>
      <c r="C1054" s="56">
        <v>10354248708.5979</v>
      </c>
      <c r="F1054" s="45">
        <f t="shared" si="58"/>
        <v>1435601793.2465801</v>
      </c>
      <c r="H1054" s="46">
        <v>1175990000</v>
      </c>
      <c r="I1054" s="50">
        <v>1231320900.37749</v>
      </c>
      <c r="L1054" s="44">
        <f t="shared" si="57"/>
        <v>1490932693.6240702</v>
      </c>
      <c r="M1054" s="45">
        <f t="shared" si="59"/>
        <v>55330900.377490044</v>
      </c>
    </row>
    <row r="1055" spans="1:13" ht="12.65" customHeight="1">
      <c r="A1055" s="33">
        <v>44524</v>
      </c>
      <c r="B1055" s="46">
        <v>8918646915.3513203</v>
      </c>
      <c r="C1055" s="56">
        <v>9145164700.6694107</v>
      </c>
      <c r="F1055" s="45">
        <f t="shared" si="58"/>
        <v>226517785.31809044</v>
      </c>
      <c r="H1055" s="46">
        <v>1175990000</v>
      </c>
      <c r="I1055" s="50">
        <v>1209317272.40025</v>
      </c>
      <c r="L1055" s="44">
        <f t="shared" si="57"/>
        <v>259845057.7183404</v>
      </c>
      <c r="M1055" s="45">
        <f t="shared" si="59"/>
        <v>33327272.400249958</v>
      </c>
    </row>
    <row r="1056" spans="1:13" ht="12.65" customHeight="1">
      <c r="A1056" s="33">
        <v>44525</v>
      </c>
      <c r="B1056" s="46">
        <v>8918646915.3513203</v>
      </c>
      <c r="C1056" s="56">
        <v>7517258276.9379997</v>
      </c>
      <c r="F1056" s="45">
        <f t="shared" si="58"/>
        <v>-1401388638.4133205</v>
      </c>
      <c r="H1056" s="46">
        <v>1175990000</v>
      </c>
      <c r="I1056" s="50">
        <v>1026587560.78571</v>
      </c>
      <c r="L1056" s="44">
        <f t="shared" si="57"/>
        <v>-1550791077.6276107</v>
      </c>
      <c r="M1056" s="45">
        <f t="shared" si="59"/>
        <v>-149402439.21429002</v>
      </c>
    </row>
    <row r="1057" spans="1:13" ht="12.65" customHeight="1">
      <c r="A1057" s="33">
        <v>44526</v>
      </c>
      <c r="B1057" s="46">
        <v>8918646915.3513203</v>
      </c>
      <c r="C1057" s="56">
        <v>7446030681.2447701</v>
      </c>
      <c r="F1057" s="45">
        <f t="shared" si="58"/>
        <v>-1472616234.1065502</v>
      </c>
      <c r="H1057" s="46">
        <v>1175990000</v>
      </c>
      <c r="I1057" s="50">
        <v>1031134577.7206399</v>
      </c>
      <c r="L1057" s="44">
        <f t="shared" si="57"/>
        <v>-1617471656.3859103</v>
      </c>
      <c r="M1057" s="45">
        <f t="shared" si="59"/>
        <v>-144855422.27936006</v>
      </c>
    </row>
    <row r="1058" spans="1:13" ht="12.65" customHeight="1">
      <c r="A1058" s="33">
        <v>44529</v>
      </c>
      <c r="B1058" s="46">
        <v>8918646915.3513203</v>
      </c>
      <c r="C1058" s="56">
        <v>6720826325.0180998</v>
      </c>
      <c r="F1058" s="45">
        <f t="shared" si="58"/>
        <v>-2197820590.3332205</v>
      </c>
      <c r="H1058" s="46">
        <v>1175990000</v>
      </c>
      <c r="I1058" s="50">
        <v>1045216473.02924</v>
      </c>
      <c r="L1058" s="44">
        <f t="shared" si="57"/>
        <v>-2328594117.3039804</v>
      </c>
      <c r="M1058" s="45">
        <f t="shared" si="59"/>
        <v>-130773526.97075999</v>
      </c>
    </row>
    <row r="1059" spans="1:13" ht="12.65" customHeight="1">
      <c r="A1059" s="33">
        <v>44530</v>
      </c>
      <c r="B1059" s="46">
        <v>8918646915.3513203</v>
      </c>
      <c r="C1059" s="56">
        <v>6543178752.7803898</v>
      </c>
      <c r="F1059" s="45">
        <f t="shared" si="58"/>
        <v>-2375468162.5709305</v>
      </c>
      <c r="H1059" s="46">
        <v>1175990000</v>
      </c>
      <c r="I1059" s="50">
        <v>906216891.18180001</v>
      </c>
      <c r="L1059" s="44">
        <f t="shared" si="57"/>
        <v>-2645241271.3891306</v>
      </c>
      <c r="M1059" s="45">
        <f t="shared" si="59"/>
        <v>-269773108.81819999</v>
      </c>
    </row>
    <row r="1060" spans="1:13" ht="12.65" customHeight="1">
      <c r="A1060" s="33">
        <v>44531</v>
      </c>
      <c r="B1060" s="46">
        <v>9137176424.8638897</v>
      </c>
      <c r="C1060" s="56">
        <v>11418407811.8563</v>
      </c>
      <c r="F1060" s="45">
        <f t="shared" si="58"/>
        <v>2281231386.9924107</v>
      </c>
      <c r="H1060" s="46">
        <v>1186917000</v>
      </c>
      <c r="I1060" s="50">
        <v>1404772191.40118</v>
      </c>
      <c r="L1060" s="44">
        <f t="shared" si="57"/>
        <v>2499086578.3935909</v>
      </c>
      <c r="M1060" s="45">
        <f t="shared" si="59"/>
        <v>217855191.40118003</v>
      </c>
    </row>
    <row r="1061" spans="1:13" ht="12.65" customHeight="1">
      <c r="A1061" s="33">
        <v>44532</v>
      </c>
      <c r="B1061" s="46">
        <v>9137176424.8638897</v>
      </c>
      <c r="C1061" s="56">
        <v>12767153425.628401</v>
      </c>
      <c r="F1061" s="45">
        <f t="shared" si="58"/>
        <v>3629977000.7645111</v>
      </c>
      <c r="H1061" s="46">
        <v>1186917000</v>
      </c>
      <c r="I1061" s="50">
        <v>1257952038.5878201</v>
      </c>
      <c r="L1061" s="44">
        <f t="shared" si="57"/>
        <v>3701012039.3523312</v>
      </c>
      <c r="M1061" s="45">
        <f t="shared" si="59"/>
        <v>71035038.587820053</v>
      </c>
    </row>
    <row r="1062" spans="1:13" ht="12.65" customHeight="1">
      <c r="A1062" s="33">
        <v>44533</v>
      </c>
      <c r="B1062" s="46">
        <v>9137176424.8638897</v>
      </c>
      <c r="C1062" s="56">
        <v>10117943082.306999</v>
      </c>
      <c r="F1062" s="45">
        <f t="shared" si="58"/>
        <v>980766657.44310951</v>
      </c>
      <c r="H1062" s="46">
        <v>1186917000</v>
      </c>
      <c r="I1062" s="50">
        <v>1217044632.3018999</v>
      </c>
      <c r="L1062" s="44">
        <f t="shared" si="57"/>
        <v>1010894289.7450094</v>
      </c>
      <c r="M1062" s="45">
        <f t="shared" si="59"/>
        <v>30127632.30189991</v>
      </c>
    </row>
    <row r="1063" spans="1:13" ht="12.65" customHeight="1">
      <c r="A1063" s="33">
        <v>44536</v>
      </c>
      <c r="B1063" s="46">
        <v>9137176424.8638897</v>
      </c>
      <c r="C1063" s="56">
        <v>9626378637.0653591</v>
      </c>
      <c r="F1063" s="45">
        <f t="shared" si="58"/>
        <v>489202212.20146942</v>
      </c>
      <c r="H1063" s="46">
        <v>1186917000</v>
      </c>
      <c r="I1063" s="50">
        <v>1460386093.8503201</v>
      </c>
      <c r="L1063" s="44">
        <f t="shared" si="57"/>
        <v>762671306.05178952</v>
      </c>
      <c r="M1063" s="45">
        <f t="shared" si="59"/>
        <v>273469093.8503201</v>
      </c>
    </row>
    <row r="1064" spans="1:13" ht="12.65" customHeight="1">
      <c r="A1064" s="33">
        <v>44537</v>
      </c>
      <c r="B1064" s="46">
        <v>9137176424.8638897</v>
      </c>
      <c r="C1064" s="56">
        <v>9508239780.4604397</v>
      </c>
      <c r="F1064" s="45">
        <f t="shared" si="58"/>
        <v>371063355.59654999</v>
      </c>
      <c r="H1064" s="46">
        <v>1186917000</v>
      </c>
      <c r="I1064" s="50">
        <v>1319856434.9854</v>
      </c>
      <c r="L1064" s="44">
        <f t="shared" si="57"/>
        <v>504002790.58194995</v>
      </c>
      <c r="M1064" s="45">
        <f t="shared" si="59"/>
        <v>132939434.98539996</v>
      </c>
    </row>
    <row r="1065" spans="1:13" ht="12.65" customHeight="1">
      <c r="A1065" s="33">
        <v>44538</v>
      </c>
      <c r="B1065" s="46">
        <v>9137176424.8638897</v>
      </c>
      <c r="C1065" s="56">
        <v>8644940306.5577908</v>
      </c>
      <c r="F1065" s="45">
        <f t="shared" si="58"/>
        <v>-492236118.30609894</v>
      </c>
      <c r="H1065" s="46">
        <v>1186917000</v>
      </c>
      <c r="I1065" s="50">
        <v>1184125845.3961599</v>
      </c>
      <c r="L1065" s="44">
        <f t="shared" si="57"/>
        <v>-495027272.90993905</v>
      </c>
      <c r="M1065" s="45">
        <f t="shared" si="59"/>
        <v>-2791154.6038401127</v>
      </c>
    </row>
    <row r="1066" spans="1:13" ht="12.65" customHeight="1">
      <c r="A1066" s="33">
        <v>44539</v>
      </c>
      <c r="B1066" s="46">
        <v>9137176424.8638897</v>
      </c>
      <c r="C1066" s="56">
        <v>9168331380.6306496</v>
      </c>
      <c r="F1066" s="45">
        <f t="shared" si="58"/>
        <v>31154955.766759872</v>
      </c>
      <c r="H1066" s="46">
        <v>1186917000</v>
      </c>
      <c r="I1066" s="50">
        <v>1142628642.14715</v>
      </c>
      <c r="L1066" s="44">
        <f t="shared" si="57"/>
        <v>-13133402.086090088</v>
      </c>
      <c r="M1066" s="45">
        <f t="shared" si="59"/>
        <v>-44288357.85284996</v>
      </c>
    </row>
    <row r="1067" spans="1:13" ht="12.65" customHeight="1">
      <c r="A1067" s="33">
        <v>44540</v>
      </c>
      <c r="B1067" s="46">
        <v>9137176424.8638897</v>
      </c>
      <c r="C1067" s="56">
        <v>7198373469.8486404</v>
      </c>
      <c r="F1067" s="45">
        <f t="shared" si="58"/>
        <v>-1938802955.0152493</v>
      </c>
      <c r="H1067" s="46">
        <v>1186917000</v>
      </c>
      <c r="I1067" s="50">
        <v>1114316761.14131</v>
      </c>
      <c r="L1067" s="44">
        <f t="shared" si="57"/>
        <v>-2011403193.8739393</v>
      </c>
      <c r="M1067" s="45">
        <f t="shared" si="59"/>
        <v>-72600238.858690023</v>
      </c>
    </row>
    <row r="1068" spans="1:13" ht="12.65" customHeight="1">
      <c r="A1068" s="33">
        <v>44543</v>
      </c>
      <c r="B1068" s="46">
        <v>9137176424.8638897</v>
      </c>
      <c r="C1068" s="56">
        <v>8219129101.6748304</v>
      </c>
      <c r="F1068" s="45">
        <f t="shared" si="58"/>
        <v>-918047323.18905926</v>
      </c>
      <c r="H1068" s="46">
        <v>1186917000</v>
      </c>
      <c r="I1068" s="50">
        <v>1053597189.49351</v>
      </c>
      <c r="L1068" s="44">
        <f t="shared" si="57"/>
        <v>-1051367133.6955492</v>
      </c>
      <c r="M1068" s="45">
        <f t="shared" si="59"/>
        <v>-133319810.50648999</v>
      </c>
    </row>
    <row r="1069" spans="1:13" ht="12.65" customHeight="1">
      <c r="A1069" s="33">
        <v>44544</v>
      </c>
      <c r="B1069" s="46">
        <v>9137176424.8638897</v>
      </c>
      <c r="C1069" s="56">
        <v>8194403234.0136204</v>
      </c>
      <c r="F1069" s="45">
        <f t="shared" si="58"/>
        <v>-942773190.85026932</v>
      </c>
      <c r="H1069" s="46">
        <v>1186917000</v>
      </c>
      <c r="I1069" s="50">
        <v>1021625653.61156</v>
      </c>
      <c r="L1069" s="44">
        <f t="shared" si="57"/>
        <v>-1108064537.2387094</v>
      </c>
      <c r="M1069" s="45">
        <f t="shared" si="59"/>
        <v>-165291346.38844001</v>
      </c>
    </row>
    <row r="1070" spans="1:13" ht="12.65" customHeight="1">
      <c r="A1070" s="33">
        <v>44545</v>
      </c>
      <c r="B1070" s="46">
        <v>9137176424.8638897</v>
      </c>
      <c r="C1070" s="56">
        <v>7031021875.0266504</v>
      </c>
      <c r="F1070" s="45">
        <f t="shared" si="58"/>
        <v>-2106154549.8372393</v>
      </c>
      <c r="H1070" s="46">
        <v>1186917000</v>
      </c>
      <c r="I1070" s="50">
        <v>1048345009.31739</v>
      </c>
      <c r="L1070" s="44">
        <f t="shared" si="57"/>
        <v>-2244726540.5198493</v>
      </c>
      <c r="M1070" s="45">
        <f t="shared" si="59"/>
        <v>-138571990.68261003</v>
      </c>
    </row>
    <row r="1071" spans="1:13" ht="12.65" customHeight="1">
      <c r="A1071" s="33">
        <v>44546</v>
      </c>
      <c r="B1071" s="46">
        <v>9152007050.22929</v>
      </c>
      <c r="C1071" s="56">
        <v>8139402232.6554203</v>
      </c>
      <c r="F1071" s="45">
        <f t="shared" si="58"/>
        <v>-1012604817.5738697</v>
      </c>
      <c r="H1071" s="46">
        <v>1230466000</v>
      </c>
      <c r="I1071" s="50">
        <v>1382291944.6622901</v>
      </c>
      <c r="L1071" s="44">
        <f t="shared" si="57"/>
        <v>-860778872.91157961</v>
      </c>
      <c r="M1071" s="45">
        <f t="shared" si="59"/>
        <v>151825944.6622901</v>
      </c>
    </row>
    <row r="1072" spans="1:13" ht="12.65" customHeight="1">
      <c r="A1072" s="33">
        <v>44547</v>
      </c>
      <c r="B1072" s="46">
        <v>9152007050.22929</v>
      </c>
      <c r="C1072" s="56">
        <v>9407730645.6735001</v>
      </c>
      <c r="F1072" s="45">
        <f t="shared" si="58"/>
        <v>255723595.44421005</v>
      </c>
      <c r="H1072" s="46">
        <v>1230466000</v>
      </c>
      <c r="I1072" s="50">
        <v>1595987519.7147601</v>
      </c>
      <c r="L1072" s="44">
        <f t="shared" si="57"/>
        <v>621245115.15897012</v>
      </c>
      <c r="M1072" s="45">
        <f t="shared" si="59"/>
        <v>365521519.71476007</v>
      </c>
    </row>
    <row r="1073" spans="1:13" ht="12.65" customHeight="1">
      <c r="A1073" s="33">
        <v>44550</v>
      </c>
      <c r="B1073" s="46">
        <v>9152007050.22929</v>
      </c>
      <c r="C1073" s="56">
        <v>8322834855.6012602</v>
      </c>
      <c r="F1073" s="45">
        <f t="shared" si="58"/>
        <v>-829172194.62802982</v>
      </c>
      <c r="H1073" s="46">
        <v>1230466000</v>
      </c>
      <c r="I1073" s="50">
        <v>1461821187.6463499</v>
      </c>
      <c r="L1073" s="44">
        <f t="shared" si="57"/>
        <v>-597817006.98167992</v>
      </c>
      <c r="M1073" s="45">
        <f t="shared" si="59"/>
        <v>231355187.64634991</v>
      </c>
    </row>
    <row r="1074" spans="1:13" ht="12.65" customHeight="1">
      <c r="A1074" s="33">
        <v>44551</v>
      </c>
      <c r="B1074" s="46">
        <v>9152007050.22929</v>
      </c>
      <c r="C1074" s="56">
        <v>9508789254.7205601</v>
      </c>
      <c r="F1074" s="45">
        <f t="shared" si="58"/>
        <v>356782204.49127007</v>
      </c>
      <c r="H1074" s="46">
        <v>1230466000</v>
      </c>
      <c r="I1074" s="50">
        <v>1292756104.2377999</v>
      </c>
      <c r="L1074" s="44">
        <f t="shared" si="57"/>
        <v>419072308.72906995</v>
      </c>
      <c r="M1074" s="45">
        <f t="shared" si="59"/>
        <v>62290104.237799883</v>
      </c>
    </row>
    <row r="1075" spans="1:13" ht="12.65" customHeight="1">
      <c r="A1075" s="33">
        <v>44552</v>
      </c>
      <c r="B1075" s="46">
        <v>9152007050.22929</v>
      </c>
      <c r="C1075" s="56">
        <v>9399169528.14077</v>
      </c>
      <c r="F1075" s="45">
        <f t="shared" si="58"/>
        <v>247162477.91147995</v>
      </c>
      <c r="H1075" s="46">
        <v>1230466000</v>
      </c>
      <c r="I1075" s="50">
        <v>1561073981.75196</v>
      </c>
      <c r="L1075" s="44">
        <f t="shared" si="57"/>
        <v>577770459.66343999</v>
      </c>
      <c r="M1075" s="45">
        <f t="shared" si="59"/>
        <v>330607981.75196004</v>
      </c>
    </row>
    <row r="1076" spans="1:13" ht="12.65" customHeight="1">
      <c r="A1076" s="33">
        <v>44553</v>
      </c>
      <c r="B1076" s="46">
        <v>9152007050.22929</v>
      </c>
      <c r="C1076" s="56">
        <v>13382677354.312</v>
      </c>
      <c r="F1076" s="45">
        <f t="shared" si="58"/>
        <v>4230670304.0827103</v>
      </c>
      <c r="H1076" s="46">
        <v>1230466000</v>
      </c>
      <c r="I1076" s="50">
        <v>1330548822.5095401</v>
      </c>
      <c r="L1076" s="44">
        <f t="shared" si="57"/>
        <v>4330753126.5922508</v>
      </c>
      <c r="M1076" s="45">
        <f t="shared" si="59"/>
        <v>100082822.50954008</v>
      </c>
    </row>
    <row r="1077" spans="1:13" ht="12.65" customHeight="1">
      <c r="A1077" s="33">
        <v>44554</v>
      </c>
      <c r="B1077" s="46">
        <v>9152007050.22929</v>
      </c>
      <c r="C1077" s="56">
        <v>11991952356.9821</v>
      </c>
      <c r="F1077" s="45">
        <f t="shared" si="58"/>
        <v>2839945306.7528095</v>
      </c>
      <c r="H1077" s="46">
        <v>1230466000</v>
      </c>
      <c r="I1077" s="50">
        <v>1598527999.1825299</v>
      </c>
      <c r="L1077" s="44">
        <f t="shared" si="57"/>
        <v>3208007305.9353395</v>
      </c>
      <c r="M1077" s="45">
        <f t="shared" si="59"/>
        <v>368061999.18252993</v>
      </c>
    </row>
    <row r="1078" spans="1:13" ht="12.65" customHeight="1">
      <c r="A1078" s="33">
        <v>44557</v>
      </c>
      <c r="B1078" s="46">
        <v>9152007050.22929</v>
      </c>
      <c r="C1078" s="56">
        <v>10003723663.7803</v>
      </c>
      <c r="F1078" s="45">
        <f t="shared" si="58"/>
        <v>851716613.55101013</v>
      </c>
      <c r="H1078" s="46">
        <v>1230466000</v>
      </c>
      <c r="I1078" s="50">
        <v>869596909.55364001</v>
      </c>
      <c r="L1078" s="44">
        <f t="shared" si="57"/>
        <v>490847523.10465014</v>
      </c>
      <c r="M1078" s="45">
        <f t="shared" si="59"/>
        <v>-360869090.44635999</v>
      </c>
    </row>
    <row r="1079" spans="1:13" ht="12.65" customHeight="1">
      <c r="A1079" s="33">
        <v>44558</v>
      </c>
      <c r="B1079" s="46">
        <v>9152007050.22929</v>
      </c>
      <c r="C1079" s="56">
        <v>9386362789.8422203</v>
      </c>
      <c r="F1079" s="45">
        <f t="shared" si="58"/>
        <v>234355739.6129303</v>
      </c>
      <c r="H1079" s="46">
        <v>1230466000</v>
      </c>
      <c r="I1079" s="50">
        <v>869677413.15006995</v>
      </c>
      <c r="L1079" s="44">
        <f t="shared" si="57"/>
        <v>-126432847.23699975</v>
      </c>
      <c r="M1079" s="45">
        <f t="shared" si="59"/>
        <v>-360788586.84993005</v>
      </c>
    </row>
    <row r="1080" spans="1:13" ht="12.65" customHeight="1">
      <c r="A1080" s="33">
        <v>44559</v>
      </c>
      <c r="B1080" s="46">
        <v>9152007050.22929</v>
      </c>
      <c r="C1080" s="56">
        <v>9050598633.1035309</v>
      </c>
      <c r="F1080" s="45">
        <f t="shared" si="58"/>
        <v>-101408417.12575912</v>
      </c>
      <c r="H1080" s="46">
        <v>1230466000</v>
      </c>
      <c r="I1080" s="50">
        <v>1334961495.38024</v>
      </c>
      <c r="L1080" s="44">
        <f t="shared" si="57"/>
        <v>3087078.2544808388</v>
      </c>
      <c r="M1080" s="45">
        <f t="shared" si="59"/>
        <v>104495495.38023996</v>
      </c>
    </row>
    <row r="1081" spans="1:13" ht="12.65" customHeight="1">
      <c r="A1081" s="33">
        <v>44560</v>
      </c>
      <c r="B1081" s="46">
        <v>9152007050.22929</v>
      </c>
      <c r="C1081" s="56">
        <f>7065778143.04353+571848680.248</f>
        <v>7637626823.2915306</v>
      </c>
      <c r="F1081" s="45">
        <f t="shared" si="58"/>
        <v>-1514380226.9377594</v>
      </c>
      <c r="H1081" s="46">
        <v>1230466000</v>
      </c>
      <c r="I1081" s="50">
        <v>3794308033.9602799</v>
      </c>
      <c r="L1081" s="44">
        <f t="shared" si="57"/>
        <v>1049461807.0225205</v>
      </c>
      <c r="M1081" s="45">
        <f t="shared" si="59"/>
        <v>2563842033.9602799</v>
      </c>
    </row>
    <row r="1082" spans="1:13" ht="12.65" customHeight="1">
      <c r="A1082" s="33">
        <v>44561</v>
      </c>
      <c r="B1082" s="46">
        <v>9152007050.22929</v>
      </c>
      <c r="C1082" s="56">
        <f>4922599181.703+588239051.044</f>
        <v>5510838232.7469997</v>
      </c>
      <c r="F1082" s="45">
        <f t="shared" si="58"/>
        <v>-3641168817.4822903</v>
      </c>
      <c r="H1082" s="46">
        <v>1230466000</v>
      </c>
      <c r="I1082" s="50">
        <v>2035426745.1484499</v>
      </c>
      <c r="L1082" s="44">
        <f t="shared" si="57"/>
        <v>-2836208072.3338404</v>
      </c>
      <c r="M1082" s="45">
        <f t="shared" si="59"/>
        <v>804960745.1484499</v>
      </c>
    </row>
    <row r="1083" spans="1:13" ht="12.65" customHeight="1">
      <c r="A1083" s="33">
        <v>44564</v>
      </c>
      <c r="B1083" s="46">
        <v>9190507759.9202995</v>
      </c>
      <c r="C1083" s="56">
        <f>8785392029.39162+478112367.547</f>
        <v>9263504396.9386215</v>
      </c>
      <c r="F1083" s="45">
        <f t="shared" si="58"/>
        <v>72996637.018321991</v>
      </c>
      <c r="H1083" s="46">
        <v>1264683000</v>
      </c>
      <c r="I1083" s="50">
        <f>1823397745.00856+52393631.413</f>
        <v>1875791376.42156</v>
      </c>
      <c r="L1083" s="44">
        <f t="shared" si="57"/>
        <v>684105013.43988204</v>
      </c>
      <c r="M1083" s="45">
        <f t="shared" si="59"/>
        <v>611108376.42156005</v>
      </c>
    </row>
    <row r="1084" spans="1:13" ht="12.65" customHeight="1">
      <c r="A1084" s="33">
        <v>44565</v>
      </c>
      <c r="B1084" s="46">
        <v>9190507759.9202995</v>
      </c>
      <c r="C1084" s="56">
        <f>10633827358.7126+503874147.71</f>
        <v>11137701506.4226</v>
      </c>
      <c r="F1084" s="45">
        <f t="shared" si="58"/>
        <v>1947193746.5023003</v>
      </c>
      <c r="H1084" s="46">
        <v>1264683000</v>
      </c>
      <c r="I1084" s="50">
        <f>1517897317.02698+53016292.315</f>
        <v>1570913609.34198</v>
      </c>
      <c r="L1084" s="44">
        <f t="shared" si="57"/>
        <v>2253424355.8442802</v>
      </c>
      <c r="M1084" s="45">
        <f t="shared" si="59"/>
        <v>306230609.34197998</v>
      </c>
    </row>
    <row r="1085" spans="1:13" ht="12.65" customHeight="1">
      <c r="A1085" s="33">
        <v>44566</v>
      </c>
      <c r="B1085" s="46">
        <v>9190507759.9202995</v>
      </c>
      <c r="C1085" s="56">
        <f>10186592532.8931+522758621.208</f>
        <v>10709351154.101101</v>
      </c>
      <c r="F1085" s="45">
        <f t="shared" si="58"/>
        <v>1518843394.1808014</v>
      </c>
      <c r="H1085" s="46">
        <v>1264683000</v>
      </c>
      <c r="I1085" s="50">
        <f>1358174632.61028+53906628.411</f>
        <v>1412081261.0212801</v>
      </c>
      <c r="L1085" s="44">
        <f t="shared" si="57"/>
        <v>1666241655.2020814</v>
      </c>
      <c r="M1085" s="45">
        <f t="shared" si="59"/>
        <v>147398261.02128005</v>
      </c>
    </row>
    <row r="1086" spans="1:13" ht="12.65" customHeight="1">
      <c r="A1086" s="33">
        <v>44567</v>
      </c>
      <c r="B1086" s="46">
        <v>9190507759.9202995</v>
      </c>
      <c r="C1086" s="56">
        <f>10027762449.1444+546517644.408</f>
        <v>10574280093.552399</v>
      </c>
      <c r="F1086" s="45">
        <f t="shared" si="58"/>
        <v>1383772333.6320992</v>
      </c>
      <c r="H1086" s="46">
        <v>1264683000</v>
      </c>
      <c r="I1086" s="50">
        <f>1378574443.16747+54838378.722</f>
        <v>1433412821.8894701</v>
      </c>
      <c r="L1086" s="44">
        <f t="shared" si="57"/>
        <v>1552502155.5215693</v>
      </c>
      <c r="M1086" s="45">
        <f t="shared" si="59"/>
        <v>168729821.8894701</v>
      </c>
    </row>
    <row r="1087" spans="1:13" ht="12.65" customHeight="1">
      <c r="A1087" s="33">
        <v>44568</v>
      </c>
      <c r="B1087" s="46">
        <v>9190507759.9202995</v>
      </c>
      <c r="C1087" s="56">
        <f>11320260920.7683+468461535.681</f>
        <v>11788722456.449299</v>
      </c>
      <c r="F1087" s="45">
        <f t="shared" si="58"/>
        <v>2598214696.5289993</v>
      </c>
      <c r="H1087" s="46">
        <v>1264683000</v>
      </c>
      <c r="I1087" s="50">
        <f>1105306039.67331+56049077.173</f>
        <v>1161355116.8463101</v>
      </c>
      <c r="L1087" s="44">
        <f t="shared" si="57"/>
        <v>2494886813.3753095</v>
      </c>
      <c r="M1087" s="45">
        <f t="shared" si="59"/>
        <v>-103327883.15368986</v>
      </c>
    </row>
    <row r="1088" spans="1:13" ht="12.65" customHeight="1">
      <c r="A1088" s="33">
        <v>44571</v>
      </c>
      <c r="B1088" s="46">
        <v>9190507759.9202995</v>
      </c>
      <c r="C1088" s="56">
        <f>9486900795.72272+515770843.413</f>
        <v>10002671639.135719</v>
      </c>
      <c r="F1088" s="45">
        <f t="shared" si="58"/>
        <v>812163879.21541977</v>
      </c>
      <c r="H1088" s="46">
        <v>1264683000</v>
      </c>
      <c r="I1088" s="50">
        <f>1221850393.38443+57093251.337</f>
        <v>1278943644.7214298</v>
      </c>
      <c r="L1088" s="44">
        <f t="shared" ref="L1088:L1151" si="60">F1088+M1088</f>
        <v>826424523.93684959</v>
      </c>
      <c r="M1088" s="45">
        <f t="shared" si="59"/>
        <v>14260644.721429825</v>
      </c>
    </row>
    <row r="1089" spans="1:13" ht="12.65" customHeight="1">
      <c r="A1089" s="33">
        <v>44572</v>
      </c>
      <c r="B1089" s="46">
        <v>9190507759.9202995</v>
      </c>
      <c r="C1089" s="56">
        <f>7050782017.34836+540745410.9346</f>
        <v>7591527428.2829599</v>
      </c>
      <c r="F1089" s="45">
        <f t="shared" si="58"/>
        <v>-1598980331.6373396</v>
      </c>
      <c r="H1089" s="46">
        <v>1264683000</v>
      </c>
      <c r="I1089" s="50">
        <f>1097245473.23254+58143016.895</f>
        <v>1155388490.1275399</v>
      </c>
      <c r="L1089" s="44">
        <f t="shared" si="60"/>
        <v>-1708274841.5097997</v>
      </c>
      <c r="M1089" s="45">
        <f t="shared" si="59"/>
        <v>-109294509.87246013</v>
      </c>
    </row>
    <row r="1090" spans="1:13" ht="12.65" customHeight="1">
      <c r="A1090" s="33">
        <v>44573</v>
      </c>
      <c r="B1090" s="46">
        <v>9190507759.9202995</v>
      </c>
      <c r="C1090" s="56">
        <f>7680751802.98425+415897263.8606</f>
        <v>8096649066.8448505</v>
      </c>
      <c r="F1090" s="45">
        <f t="shared" si="58"/>
        <v>-1093858693.075449</v>
      </c>
      <c r="H1090" s="46">
        <v>1264683000</v>
      </c>
      <c r="I1090" s="50">
        <f>1100613214.69339+58877870.534</f>
        <v>1159491085.2273898</v>
      </c>
      <c r="L1090" s="44">
        <f t="shared" si="60"/>
        <v>-1199050607.8480592</v>
      </c>
      <c r="M1090" s="45">
        <f t="shared" si="59"/>
        <v>-105191914.77261019</v>
      </c>
    </row>
    <row r="1091" spans="1:13" ht="12.65" customHeight="1">
      <c r="A1091" s="33">
        <v>44574</v>
      </c>
      <c r="B1091" s="46">
        <v>9190507759.9202995</v>
      </c>
      <c r="C1091" s="56">
        <f>6545736834.18544+436695139.1316</f>
        <v>6982431973.3170404</v>
      </c>
      <c r="F1091" s="45">
        <f t="shared" si="58"/>
        <v>-2208075786.6032591</v>
      </c>
      <c r="H1091" s="46">
        <v>1264683000</v>
      </c>
      <c r="I1091" s="50">
        <f>859350436.12342+59145800.304</f>
        <v>918496236.42742002</v>
      </c>
      <c r="L1091" s="44">
        <f t="shared" si="60"/>
        <v>-2554262550.1758389</v>
      </c>
      <c r="M1091" s="45">
        <f t="shared" si="59"/>
        <v>-346186763.57257998</v>
      </c>
    </row>
    <row r="1092" spans="1:13" ht="12.65" customHeight="1">
      <c r="A1092" s="33">
        <v>44575</v>
      </c>
      <c r="B1092" s="46">
        <v>9190507759.9202995</v>
      </c>
      <c r="C1092" s="56">
        <f>6485407038.81774+458778890.1366</f>
        <v>6944185928.95434</v>
      </c>
      <c r="F1092" s="45">
        <f t="shared" si="58"/>
        <v>-2246321830.9659595</v>
      </c>
      <c r="H1092" s="46">
        <v>1264683000</v>
      </c>
      <c r="I1092" s="50">
        <f>788014444.91505+59728826.704</f>
        <v>847743271.61905003</v>
      </c>
      <c r="L1092" s="44">
        <f t="shared" si="60"/>
        <v>-2663261559.3469095</v>
      </c>
      <c r="M1092" s="45">
        <f t="shared" si="59"/>
        <v>-416939728.38094997</v>
      </c>
    </row>
    <row r="1093" spans="1:13" ht="12.65" customHeight="1">
      <c r="A1093" s="33">
        <v>44578</v>
      </c>
      <c r="B1093" s="46">
        <v>8777422214.037571</v>
      </c>
      <c r="C1093" s="56">
        <f>10093684911.5038+509478297.53752</f>
        <v>10603163209.041319</v>
      </c>
      <c r="F1093" s="45">
        <f t="shared" si="58"/>
        <v>1825740995.0037479</v>
      </c>
      <c r="H1093" s="46">
        <v>1234625000</v>
      </c>
      <c r="I1093" s="50">
        <f>1502003391.20639+61473478.354</f>
        <v>1563476869.56039</v>
      </c>
      <c r="L1093" s="44">
        <f t="shared" si="60"/>
        <v>2154592864.5641379</v>
      </c>
      <c r="M1093" s="45">
        <f t="shared" si="59"/>
        <v>328851869.56039</v>
      </c>
    </row>
    <row r="1094" spans="1:13" ht="12.65" customHeight="1">
      <c r="A1094" s="33">
        <v>44579</v>
      </c>
      <c r="B1094" s="46">
        <v>8777422214.037571</v>
      </c>
      <c r="C1094" s="56">
        <f>9532681417.09257+433655214.79752</f>
        <v>9966336631.890089</v>
      </c>
      <c r="F1094" s="45">
        <f t="shared" si="58"/>
        <v>1188914417.8525181</v>
      </c>
      <c r="H1094" s="46">
        <v>1234625000</v>
      </c>
      <c r="I1094" s="50">
        <f>1427186438.32469+62315410.308</f>
        <v>1489501848.6326902</v>
      </c>
      <c r="L1094" s="44">
        <f t="shared" si="60"/>
        <v>1443791266.4852083</v>
      </c>
      <c r="M1094" s="45">
        <f t="shared" si="59"/>
        <v>254876848.63269019</v>
      </c>
    </row>
    <row r="1095" spans="1:13" ht="12.65" customHeight="1">
      <c r="A1095" s="33">
        <v>44580</v>
      </c>
      <c r="B1095" s="46">
        <v>8777422214.037571</v>
      </c>
      <c r="C1095" s="56">
        <f>8326190894.06827+460348857.70952</f>
        <v>8786539751.7777901</v>
      </c>
      <c r="F1095" s="45">
        <f t="shared" si="58"/>
        <v>9117537.7402191162</v>
      </c>
      <c r="H1095" s="46">
        <v>1234625000</v>
      </c>
      <c r="I1095" s="50">
        <f>1219665317.09912+63385152.343</f>
        <v>1283050469.4421198</v>
      </c>
      <c r="L1095" s="44">
        <f t="shared" si="60"/>
        <v>57543007.182338953</v>
      </c>
      <c r="M1095" s="45">
        <f t="shared" si="59"/>
        <v>48425469.442119837</v>
      </c>
    </row>
    <row r="1096" spans="1:13" ht="12.65" customHeight="1">
      <c r="A1096" s="33">
        <v>44581</v>
      </c>
      <c r="B1096" s="46">
        <v>8777422214.037571</v>
      </c>
      <c r="C1096" s="56">
        <f>13574288932.54+483004201.10452</f>
        <v>14057293133.644522</v>
      </c>
      <c r="F1096" s="45">
        <f t="shared" si="58"/>
        <v>5279870919.6069508</v>
      </c>
      <c r="H1096" s="46">
        <v>1234625000</v>
      </c>
      <c r="I1096" s="50">
        <f>1297009779.92258+64040133.573</f>
        <v>1361049913.49558</v>
      </c>
      <c r="L1096" s="44">
        <f t="shared" si="60"/>
        <v>5406295833.1025305</v>
      </c>
      <c r="M1096" s="45">
        <f t="shared" si="59"/>
        <v>126424913.49557996</v>
      </c>
    </row>
    <row r="1097" spans="1:13" ht="12.65" customHeight="1">
      <c r="A1097" s="33">
        <v>44582</v>
      </c>
      <c r="B1097" s="46">
        <v>8777422214.037571</v>
      </c>
      <c r="C1097" s="56">
        <f>9095997442.46787+510183208.49952</f>
        <v>9606180650.9673901</v>
      </c>
      <c r="F1097" s="45">
        <f t="shared" si="58"/>
        <v>828758436.92981911</v>
      </c>
      <c r="H1097" s="46">
        <v>1234625000</v>
      </c>
      <c r="I1097" s="50">
        <f>1238199364.90238+64871724.869</f>
        <v>1303071089.7713799</v>
      </c>
      <c r="L1097" s="44">
        <f t="shared" si="60"/>
        <v>897204526.70119905</v>
      </c>
      <c r="M1097" s="45">
        <f t="shared" si="59"/>
        <v>68446089.771379948</v>
      </c>
    </row>
    <row r="1098" spans="1:13" ht="12.65" customHeight="1">
      <c r="A1098" s="33">
        <v>44585</v>
      </c>
      <c r="B1098" s="46">
        <v>8777422214.037571</v>
      </c>
      <c r="C1098" s="56">
        <f>8847762479.3425+411129295.56352</f>
        <v>9258891774.9060211</v>
      </c>
      <c r="F1098" s="45">
        <f t="shared" si="58"/>
        <v>481469560.86845016</v>
      </c>
      <c r="H1098" s="46">
        <v>1234625000</v>
      </c>
      <c r="I1098" s="50">
        <f>1214628932.28867+51090772.501</f>
        <v>1265719704.78967</v>
      </c>
      <c r="L1098" s="44">
        <f t="shared" si="60"/>
        <v>512564265.65812016</v>
      </c>
      <c r="M1098" s="45">
        <f t="shared" si="59"/>
        <v>31094704.789669991</v>
      </c>
    </row>
    <row r="1099" spans="1:13" ht="12.65" customHeight="1">
      <c r="A1099" s="33">
        <v>44586</v>
      </c>
      <c r="B1099" s="46">
        <v>8777422214.037571</v>
      </c>
      <c r="C1099" s="56">
        <f>6869595561.19975+464686141.49952</f>
        <v>7334281702.6992702</v>
      </c>
      <c r="F1099" s="45">
        <f t="shared" si="58"/>
        <v>-1443140511.3383007</v>
      </c>
      <c r="H1099" s="46">
        <v>1234625000</v>
      </c>
      <c r="I1099" s="50">
        <f>1102943597.97077+53444377.298</f>
        <v>1156387975.26877</v>
      </c>
      <c r="L1099" s="44">
        <f t="shared" si="60"/>
        <v>-1521377536.0695307</v>
      </c>
      <c r="M1099" s="45">
        <f t="shared" si="59"/>
        <v>-78237024.731230021</v>
      </c>
    </row>
    <row r="1100" spans="1:13" ht="12.65" customHeight="1">
      <c r="A1100" s="33">
        <v>44587</v>
      </c>
      <c r="B1100" s="46">
        <v>8777422214.037571</v>
      </c>
      <c r="C1100" s="56">
        <f>6862707268.82884+464686141.49952</f>
        <v>7327393410.3283606</v>
      </c>
      <c r="F1100" s="45">
        <f t="shared" si="58"/>
        <v>-1450028803.7092104</v>
      </c>
      <c r="H1100" s="46">
        <v>1234625000</v>
      </c>
      <c r="I1100" s="50">
        <f>1137494626.61388+53444377.298</f>
        <v>1190939003.91188</v>
      </c>
      <c r="L1100" s="44">
        <f t="shared" si="60"/>
        <v>-1493714799.7973304</v>
      </c>
      <c r="M1100" s="45">
        <f t="shared" si="59"/>
        <v>-43685996.088119984</v>
      </c>
    </row>
    <row r="1101" spans="1:13" ht="12.65" customHeight="1">
      <c r="A1101" s="33">
        <v>44588</v>
      </c>
      <c r="B1101" s="46">
        <v>8777422214.037571</v>
      </c>
      <c r="C1101" s="56">
        <f>6347369863.033+464686141.49952</f>
        <v>6812056004.5325203</v>
      </c>
      <c r="F1101" s="45">
        <f t="shared" si="58"/>
        <v>-1965366209.5050507</v>
      </c>
      <c r="H1101" s="46">
        <v>1234625000</v>
      </c>
      <c r="I1101" s="50">
        <f>1033002135.36326+53444377.298</f>
        <v>1086446512.6612601</v>
      </c>
      <c r="L1101" s="44">
        <f t="shared" si="60"/>
        <v>-2113544696.8437905</v>
      </c>
      <c r="M1101" s="45">
        <f t="shared" si="59"/>
        <v>-148178487.33873987</v>
      </c>
    </row>
    <row r="1102" spans="1:13" ht="12.65" customHeight="1">
      <c r="A1102" s="33">
        <v>44589</v>
      </c>
      <c r="B1102" s="46">
        <v>8777422214.037571</v>
      </c>
      <c r="C1102" s="56">
        <f>6849165232.32618+518433302.29252</f>
        <v>7367598534.6187</v>
      </c>
      <c r="F1102" s="45">
        <f t="shared" si="58"/>
        <v>-1409823679.4188709</v>
      </c>
      <c r="H1102" s="46">
        <v>1234625000</v>
      </c>
      <c r="I1102" s="50">
        <f>966226333.81389+55387385.863</f>
        <v>1021613719.67689</v>
      </c>
      <c r="L1102" s="44">
        <f t="shared" si="60"/>
        <v>-1622834959.741981</v>
      </c>
      <c r="M1102" s="45">
        <f t="shared" si="59"/>
        <v>-213011280.32310998</v>
      </c>
    </row>
    <row r="1103" spans="1:13" ht="12.65" customHeight="1">
      <c r="A1103" s="33">
        <v>44592</v>
      </c>
      <c r="B1103" s="46">
        <v>8777422214.037571</v>
      </c>
      <c r="C1103" s="56">
        <f>6105142104.18832+436041262.17492</f>
        <v>6541183366.3632402</v>
      </c>
      <c r="F1103" s="45">
        <f t="shared" ref="F1103:F1166" si="61">C1103-B1103</f>
        <v>-2236238847.6743307</v>
      </c>
      <c r="H1103" s="46">
        <v>1234625000</v>
      </c>
      <c r="I1103" s="50">
        <f>901437479.18921+60636026.81682</f>
        <v>962073506.00603008</v>
      </c>
      <c r="L1103" s="44">
        <f t="shared" si="60"/>
        <v>-2508790341.6683006</v>
      </c>
      <c r="M1103" s="45">
        <f t="shared" ref="M1103:M1166" si="62">I1103-H1103</f>
        <v>-272551493.99396992</v>
      </c>
    </row>
    <row r="1104" spans="1:13" ht="12.65" customHeight="1">
      <c r="A1104" s="33">
        <v>44594</v>
      </c>
      <c r="B1104" s="46">
        <v>9301536085.9533501</v>
      </c>
      <c r="C1104" s="56">
        <f>8649155501.41435+436041262.17492</f>
        <v>9085196763.5892696</v>
      </c>
      <c r="F1104" s="45">
        <f t="shared" si="61"/>
        <v>-216339322.36408043</v>
      </c>
      <c r="H1104" s="46">
        <v>1332192000</v>
      </c>
      <c r="I1104" s="50">
        <f>2388503178.66803+60636026.81682</f>
        <v>2449139205.4848499</v>
      </c>
      <c r="L1104" s="44">
        <f t="shared" si="60"/>
        <v>900607883.1207695</v>
      </c>
      <c r="M1104" s="45">
        <f t="shared" si="62"/>
        <v>1116947205.4848499</v>
      </c>
    </row>
    <row r="1105" spans="1:13" ht="12.65" customHeight="1">
      <c r="A1105" s="33">
        <v>44595</v>
      </c>
      <c r="B1105" s="46">
        <v>9301536085.9533501</v>
      </c>
      <c r="C1105" s="56">
        <f>13239349727.9556+436041262.17492</f>
        <v>13675390990.13052</v>
      </c>
      <c r="F1105" s="45">
        <f t="shared" si="61"/>
        <v>4373854904.1771698</v>
      </c>
      <c r="H1105" s="46">
        <v>1332192000</v>
      </c>
      <c r="I1105" s="50">
        <f>2130210693.70723+60636026.81682</f>
        <v>2190846720.5240502</v>
      </c>
      <c r="L1105" s="44">
        <f t="shared" si="60"/>
        <v>5232509624.7012196</v>
      </c>
      <c r="M1105" s="45">
        <f t="shared" si="62"/>
        <v>858654720.52405024</v>
      </c>
    </row>
    <row r="1106" spans="1:13" ht="12.65" customHeight="1">
      <c r="A1106" s="33">
        <v>44596</v>
      </c>
      <c r="B1106" s="46">
        <v>9301536085.9533501</v>
      </c>
      <c r="C1106" s="56">
        <f>10407008136.4273+436041262.17492</f>
        <v>10843049398.602219</v>
      </c>
      <c r="F1106" s="45">
        <f t="shared" si="61"/>
        <v>1541513312.6488686</v>
      </c>
      <c r="H1106" s="46">
        <v>1332192000</v>
      </c>
      <c r="I1106" s="50">
        <f>1146186400.88456+60636026.81682</f>
        <v>1206822427.70138</v>
      </c>
      <c r="L1106" s="44">
        <f t="shared" si="60"/>
        <v>1416143740.3502486</v>
      </c>
      <c r="M1106" s="45">
        <f t="shared" si="62"/>
        <v>-125369572.29861999</v>
      </c>
    </row>
    <row r="1107" spans="1:13" ht="12.65" customHeight="1">
      <c r="A1107" s="33">
        <v>44599</v>
      </c>
      <c r="B1107" s="46">
        <v>9301536085.9533501</v>
      </c>
      <c r="C1107" s="56">
        <f>8738568541.52211+512302237.48101</f>
        <v>9250870779.0031204</v>
      </c>
      <c r="F1107" s="45">
        <f t="shared" si="61"/>
        <v>-50665306.950229645</v>
      </c>
      <c r="H1107" s="46">
        <v>1332192000</v>
      </c>
      <c r="I1107" s="50">
        <f>1107892239.19575+69832355.40482</f>
        <v>1177724594.60057</v>
      </c>
      <c r="L1107" s="44">
        <f t="shared" si="60"/>
        <v>-205132712.34965968</v>
      </c>
      <c r="M1107" s="45">
        <f t="shared" si="62"/>
        <v>-154467405.39943004</v>
      </c>
    </row>
    <row r="1108" spans="1:13" ht="12.65" customHeight="1">
      <c r="A1108" s="33">
        <v>44600</v>
      </c>
      <c r="B1108" s="46">
        <v>9301536085.9533501</v>
      </c>
      <c r="C1108" s="56">
        <f>9126378913.25396+463761424.41625</f>
        <v>9590140337.6702099</v>
      </c>
      <c r="F1108" s="45">
        <f t="shared" si="61"/>
        <v>288604251.71685982</v>
      </c>
      <c r="H1108" s="46">
        <v>1332192000</v>
      </c>
      <c r="I1108" s="50">
        <f>1115967006.32675+69361428.44982</f>
        <v>1185328434.7765701</v>
      </c>
      <c r="L1108" s="44">
        <f t="shared" si="60"/>
        <v>141740686.4934299</v>
      </c>
      <c r="M1108" s="45">
        <f t="shared" si="62"/>
        <v>-146863565.22342992</v>
      </c>
    </row>
    <row r="1109" spans="1:13" ht="12.65" customHeight="1">
      <c r="A1109" s="33">
        <v>44601</v>
      </c>
      <c r="B1109" s="46">
        <v>9301536085.9533501</v>
      </c>
      <c r="C1109" s="56">
        <f>8957939319.78472+494249216.12621</f>
        <v>9452188535.9109287</v>
      </c>
      <c r="F1109" s="45">
        <f t="shared" si="61"/>
        <v>150652449.95757866</v>
      </c>
      <c r="H1109" s="46">
        <v>1332192000</v>
      </c>
      <c r="I1109" s="50">
        <f>1073936988.79818+69970768.51982</f>
        <v>1143907757.3180001</v>
      </c>
      <c r="L1109" s="44">
        <f t="shared" si="60"/>
        <v>-37631792.724421263</v>
      </c>
      <c r="M1109" s="45">
        <f t="shared" si="62"/>
        <v>-188284242.68199992</v>
      </c>
    </row>
    <row r="1110" spans="1:13" ht="12.65" customHeight="1">
      <c r="A1110" s="33">
        <v>44602</v>
      </c>
      <c r="B1110" s="46">
        <v>9301536085.9533501</v>
      </c>
      <c r="C1110" s="56">
        <f>10130299926.0158+525143127.18936</f>
        <v>10655443053.20516</v>
      </c>
      <c r="F1110" s="45">
        <f t="shared" si="61"/>
        <v>1353906967.2518101</v>
      </c>
      <c r="H1110" s="46">
        <v>1332192000</v>
      </c>
      <c r="I1110" s="50">
        <f>1083740773.23389+70531757.51182</f>
        <v>1154272530.7457101</v>
      </c>
      <c r="L1110" s="44">
        <f t="shared" si="60"/>
        <v>1175987497.9975202</v>
      </c>
      <c r="M1110" s="45">
        <f t="shared" si="62"/>
        <v>-177919469.25428987</v>
      </c>
    </row>
    <row r="1111" spans="1:13" ht="12.65" customHeight="1">
      <c r="A1111" s="33">
        <v>44603</v>
      </c>
      <c r="B1111" s="46">
        <v>9301536085.9533501</v>
      </c>
      <c r="C1111" s="56">
        <f>7176583381.92038+560420042.66996</f>
        <v>7737003424.5903397</v>
      </c>
      <c r="F1111" s="45">
        <f t="shared" si="61"/>
        <v>-1564532661.3630104</v>
      </c>
      <c r="H1111" s="46">
        <v>1332192000</v>
      </c>
      <c r="I1111" s="50">
        <f>994625500.9435+71359706.20282</f>
        <v>1065985207.1463201</v>
      </c>
      <c r="L1111" s="44">
        <f t="shared" si="60"/>
        <v>-1830739454.2166903</v>
      </c>
      <c r="M1111" s="45">
        <f t="shared" si="62"/>
        <v>-266206792.8536799</v>
      </c>
    </row>
    <row r="1112" spans="1:13" ht="12.65" customHeight="1">
      <c r="A1112" s="33">
        <v>44606</v>
      </c>
      <c r="B1112" s="46">
        <v>9301536085.9533501</v>
      </c>
      <c r="C1112" s="56">
        <f>6559048362.18946+627303577.87217</f>
        <v>7186351940.0616302</v>
      </c>
      <c r="F1112" s="45">
        <f t="shared" si="61"/>
        <v>-2115184145.8917198</v>
      </c>
      <c r="H1112" s="46">
        <v>1332192000</v>
      </c>
      <c r="I1112" s="50">
        <f>962505927.20212+73056017.88482</f>
        <v>1035561945.0869399</v>
      </c>
      <c r="L1112" s="44">
        <f t="shared" si="60"/>
        <v>-2411814200.80478</v>
      </c>
      <c r="M1112" s="45">
        <f t="shared" si="62"/>
        <v>-296630054.91306007</v>
      </c>
    </row>
    <row r="1113" spans="1:13" ht="12.65" customHeight="1">
      <c r="A1113" s="33">
        <v>44607</v>
      </c>
      <c r="B1113" s="46">
        <v>9301536085.9533501</v>
      </c>
      <c r="C1113" s="56">
        <f>6627276175.45796+663587092.12617</f>
        <v>7290863267.5841303</v>
      </c>
      <c r="F1113" s="45">
        <f t="shared" si="61"/>
        <v>-2010672818.3692198</v>
      </c>
      <c r="H1113" s="46">
        <v>1332192000</v>
      </c>
      <c r="I1113" s="50">
        <f>945958566.78483+74024824.81782</f>
        <v>1019983391.6026499</v>
      </c>
      <c r="L1113" s="44">
        <f t="shared" si="60"/>
        <v>-2322881426.7665701</v>
      </c>
      <c r="M1113" s="45">
        <f t="shared" si="62"/>
        <v>-312208608.39735007</v>
      </c>
    </row>
    <row r="1114" spans="1:13" ht="12.65" customHeight="1">
      <c r="A1114" s="33">
        <v>44608</v>
      </c>
      <c r="B1114" s="46">
        <v>9555865311.2102509</v>
      </c>
      <c r="C1114" s="56">
        <f>10269946093.8644+702001643.05317</f>
        <v>10971947736.91757</v>
      </c>
      <c r="F1114" s="45">
        <f t="shared" si="61"/>
        <v>1416082425.7073193</v>
      </c>
      <c r="H1114" s="46">
        <v>1315478000</v>
      </c>
      <c r="I1114" s="50">
        <f>1486257590.42785+74790331.94482</f>
        <v>1561047922.3726699</v>
      </c>
      <c r="L1114" s="44">
        <f t="shared" si="60"/>
        <v>1661652348.0799892</v>
      </c>
      <c r="M1114" s="45">
        <f t="shared" si="62"/>
        <v>245569922.37266994</v>
      </c>
    </row>
    <row r="1115" spans="1:13" ht="12.65" customHeight="1">
      <c r="A1115" s="33">
        <v>44609</v>
      </c>
      <c r="B1115" s="46">
        <v>9555865311.2102509</v>
      </c>
      <c r="C1115" s="56">
        <f>10167628714.8173+725934472.69917</f>
        <v>10893563187.51647</v>
      </c>
      <c r="F1115" s="45">
        <f t="shared" si="61"/>
        <v>1337697876.3062191</v>
      </c>
      <c r="H1115" s="46">
        <v>1315478000</v>
      </c>
      <c r="I1115" s="50">
        <f>1474061674.46937+75565461.98782</f>
        <v>1549627136.4571898</v>
      </c>
      <c r="L1115" s="44">
        <f t="shared" si="60"/>
        <v>1571847012.7634089</v>
      </c>
      <c r="M1115" s="45">
        <f t="shared" si="62"/>
        <v>234149136.4571898</v>
      </c>
    </row>
    <row r="1116" spans="1:13" ht="12.65" customHeight="1">
      <c r="A1116" s="33">
        <v>44610</v>
      </c>
      <c r="B1116" s="46">
        <v>9555865311.2102509</v>
      </c>
      <c r="C1116" s="56">
        <f>8854982990.63111+756492500.56537</f>
        <v>9611475491.1964798</v>
      </c>
      <c r="F1116" s="45">
        <f t="shared" si="61"/>
        <v>55610179.986228943</v>
      </c>
      <c r="H1116" s="46">
        <v>1315478000</v>
      </c>
      <c r="I1116" s="50">
        <f>1506302884.71994+76117740.58582</f>
        <v>1582420625.3057599</v>
      </c>
      <c r="L1116" s="44">
        <f t="shared" si="60"/>
        <v>322552805.29198885</v>
      </c>
      <c r="M1116" s="45">
        <f t="shared" si="62"/>
        <v>266942625.30575991</v>
      </c>
    </row>
    <row r="1117" spans="1:13" ht="12.65" customHeight="1">
      <c r="A1117" s="33">
        <v>44613</v>
      </c>
      <c r="B1117" s="46">
        <v>9555865311.2102509</v>
      </c>
      <c r="C1117" s="56">
        <f>9223946310.91244+827286769.95097</f>
        <v>10051233080.863409</v>
      </c>
      <c r="F1117" s="45">
        <f t="shared" si="61"/>
        <v>495367769.65315819</v>
      </c>
      <c r="H1117" s="46">
        <v>1315478000</v>
      </c>
      <c r="I1117" s="50">
        <f>1471135977.5766+78077683.20782</f>
        <v>1549213660.78442</v>
      </c>
      <c r="L1117" s="44">
        <f t="shared" si="60"/>
        <v>729103430.4375782</v>
      </c>
      <c r="M1117" s="45">
        <f t="shared" si="62"/>
        <v>233735660.78442001</v>
      </c>
    </row>
    <row r="1118" spans="1:13" ht="12.65" customHeight="1">
      <c r="A1118" s="33">
        <v>44614</v>
      </c>
      <c r="B1118" s="46">
        <v>9555865311.2102509</v>
      </c>
      <c r="C1118" s="56">
        <f>10083331512.3515+712989405.42897</f>
        <v>10796320917.78047</v>
      </c>
      <c r="F1118" s="45">
        <f t="shared" si="61"/>
        <v>1240455606.570219</v>
      </c>
      <c r="H1118" s="46">
        <v>1315478000</v>
      </c>
      <c r="I1118" s="50">
        <f>1259048265.07121+78510139.28182</f>
        <v>1337558404.35303</v>
      </c>
      <c r="L1118" s="44">
        <f t="shared" si="60"/>
        <v>1262536010.923249</v>
      </c>
      <c r="M1118" s="45">
        <f t="shared" si="62"/>
        <v>22080404.353029966</v>
      </c>
    </row>
    <row r="1119" spans="1:13" ht="12.65" customHeight="1">
      <c r="A1119" s="33">
        <v>44615</v>
      </c>
      <c r="B1119" s="46">
        <v>9555865311.2102509</v>
      </c>
      <c r="C1119" s="56">
        <f>8977568718.98281+751115857.23167</f>
        <v>9728684576.2144794</v>
      </c>
      <c r="F1119" s="45">
        <f t="shared" si="61"/>
        <v>172819265.00422859</v>
      </c>
      <c r="H1119" s="46">
        <v>1315478000</v>
      </c>
      <c r="I1119" s="50">
        <f>1037426608.26329+79685878.17282</f>
        <v>1117112486.43611</v>
      </c>
      <c r="L1119" s="44">
        <f t="shared" si="60"/>
        <v>-25546248.559661388</v>
      </c>
      <c r="M1119" s="45">
        <f t="shared" si="62"/>
        <v>-198365513.56388998</v>
      </c>
    </row>
    <row r="1120" spans="1:13" ht="12.65" customHeight="1">
      <c r="A1120" s="33">
        <v>44616</v>
      </c>
      <c r="B1120" s="46">
        <v>9555865311.2102509</v>
      </c>
      <c r="C1120" s="56">
        <f>8347259635.52542+790536324.09067</f>
        <v>9137795959.6160908</v>
      </c>
      <c r="F1120" s="45">
        <f t="shared" si="61"/>
        <v>-418069351.59416008</v>
      </c>
      <c r="H1120" s="46">
        <v>1315478000</v>
      </c>
      <c r="I1120" s="50">
        <f>939349831.98496+81089402.56282</f>
        <v>1020439234.5477799</v>
      </c>
      <c r="L1120" s="44">
        <f t="shared" si="60"/>
        <v>-713108117.04638016</v>
      </c>
      <c r="M1120" s="45">
        <f t="shared" si="62"/>
        <v>-295038765.45222008</v>
      </c>
    </row>
    <row r="1121" spans="1:13" ht="12.65" customHeight="1">
      <c r="A1121" s="33">
        <v>44617</v>
      </c>
      <c r="B1121" s="46">
        <v>9555865311.2102509</v>
      </c>
      <c r="C1121" s="56">
        <f>5799425520.273+736791288.90697</f>
        <v>6536216809.1799698</v>
      </c>
      <c r="F1121" s="45">
        <f t="shared" si="61"/>
        <v>-3019648502.0302811</v>
      </c>
      <c r="H1121" s="46">
        <v>1315478000</v>
      </c>
      <c r="I1121" s="50">
        <f>935785353.43399+82563263.35682</f>
        <v>1018348616.79081</v>
      </c>
      <c r="L1121" s="44">
        <f t="shared" si="60"/>
        <v>-3316777885.239471</v>
      </c>
      <c r="M1121" s="45">
        <f t="shared" si="62"/>
        <v>-297129383.20919001</v>
      </c>
    </row>
    <row r="1122" spans="1:13" ht="12.65" customHeight="1">
      <c r="A1122" s="33">
        <v>44620</v>
      </c>
      <c r="B1122" s="46">
        <v>9555865311.2102509</v>
      </c>
      <c r="C1122" s="56">
        <f>5799425520.273+736791288.90697</f>
        <v>6536216809.1799698</v>
      </c>
      <c r="F1122" s="45">
        <f t="shared" si="61"/>
        <v>-3019648502.0302811</v>
      </c>
      <c r="H1122" s="46">
        <v>1315478000</v>
      </c>
      <c r="I1122" s="50">
        <f>935785353.43399+82563263.35682</f>
        <v>1018348616.79081</v>
      </c>
      <c r="L1122" s="44">
        <f t="shared" si="60"/>
        <v>-3316777885.239471</v>
      </c>
      <c r="M1122" s="45">
        <f t="shared" si="62"/>
        <v>-297129383.20919001</v>
      </c>
    </row>
    <row r="1123" spans="1:13" ht="12.65" customHeight="1">
      <c r="A1123" s="33">
        <v>44621</v>
      </c>
      <c r="B1123" s="46">
        <v>12154903643.613001</v>
      </c>
      <c r="C1123" s="56">
        <f>12231013491.954+810038224.1583</f>
        <v>13041051716.112301</v>
      </c>
      <c r="F1123" s="45">
        <f t="shared" si="61"/>
        <v>886148072.4993</v>
      </c>
      <c r="H1123" s="46">
        <v>1335173000</v>
      </c>
      <c r="I1123" s="50">
        <f>1472379289.56194+60175505.68482</f>
        <v>1532554795.2467599</v>
      </c>
      <c r="L1123" s="44">
        <f t="shared" si="60"/>
        <v>1083529867.7460599</v>
      </c>
      <c r="M1123" s="45">
        <f t="shared" si="62"/>
        <v>197381795.24675989</v>
      </c>
    </row>
    <row r="1124" spans="1:13" ht="12.65" customHeight="1">
      <c r="A1124" s="33">
        <v>44622</v>
      </c>
      <c r="B1124" s="46">
        <v>12154903643.613001</v>
      </c>
      <c r="C1124" s="56">
        <f>12308906111.6789+722224142.86527</f>
        <v>13031130254.54417</v>
      </c>
      <c r="F1124" s="45">
        <f t="shared" si="61"/>
        <v>876226610.93116951</v>
      </c>
      <c r="H1124" s="46">
        <v>1335173000</v>
      </c>
      <c r="I1124" s="50">
        <f>1417887896.5675+62139181.99282</f>
        <v>1480027078.5603201</v>
      </c>
      <c r="L1124" s="44">
        <f t="shared" si="60"/>
        <v>1021080689.4914896</v>
      </c>
      <c r="M1124" s="45">
        <f t="shared" si="62"/>
        <v>144854078.56032014</v>
      </c>
    </row>
    <row r="1125" spans="1:13" ht="12.65" customHeight="1">
      <c r="A1125" s="33">
        <v>44624</v>
      </c>
      <c r="B1125" s="46">
        <v>12154903643.613001</v>
      </c>
      <c r="C1125" s="56">
        <f>9064169168.98501+821663642.82146</f>
        <v>9885832811.8064709</v>
      </c>
      <c r="F1125" s="45">
        <f t="shared" si="61"/>
        <v>-2269070831.80653</v>
      </c>
      <c r="H1125" s="46">
        <v>1335173000</v>
      </c>
      <c r="I1125" s="50">
        <f>1289072095.23743+65281385.72682</f>
        <v>1354353480.9642501</v>
      </c>
      <c r="L1125" s="44">
        <f t="shared" si="60"/>
        <v>-2249890350.8422799</v>
      </c>
      <c r="M1125" s="45">
        <f t="shared" si="62"/>
        <v>19180480.964250088</v>
      </c>
    </row>
    <row r="1126" spans="1:13" ht="12.65" customHeight="1">
      <c r="A1126" s="33">
        <v>44627</v>
      </c>
      <c r="B1126" s="46">
        <v>11812130528.083799</v>
      </c>
      <c r="C1126" s="56">
        <f>12341167800.2512+750726702.86596</f>
        <v>13091894503.117159</v>
      </c>
      <c r="F1126" s="45">
        <f t="shared" si="61"/>
        <v>1279763975.0333595</v>
      </c>
      <c r="H1126" s="46">
        <v>1335173000</v>
      </c>
      <c r="I1126" s="50">
        <f>1413991712.90767+68424091.37382</f>
        <v>1482415804.2814901</v>
      </c>
      <c r="L1126" s="44">
        <f t="shared" si="60"/>
        <v>1427006779.3148496</v>
      </c>
      <c r="M1126" s="45">
        <f t="shared" si="62"/>
        <v>147242804.28149009</v>
      </c>
    </row>
    <row r="1127" spans="1:13" ht="12.65" customHeight="1">
      <c r="A1127" s="33">
        <v>44628</v>
      </c>
      <c r="B1127" s="46">
        <v>11812130528.083799</v>
      </c>
      <c r="C1127" s="56">
        <f>12204747576.4994+797891763.87592</f>
        <v>13002639340.375319</v>
      </c>
      <c r="F1127" s="45">
        <f t="shared" si="61"/>
        <v>1190508812.2915192</v>
      </c>
      <c r="H1127" s="46">
        <v>1335173000</v>
      </c>
      <c r="I1127" s="50">
        <f>1403647623.63165+69911224.13722</f>
        <v>1473558847.7688699</v>
      </c>
      <c r="L1127" s="44">
        <f t="shared" si="60"/>
        <v>1328894660.060389</v>
      </c>
      <c r="M1127" s="45">
        <f t="shared" si="62"/>
        <v>138385847.76886988</v>
      </c>
    </row>
    <row r="1128" spans="1:13" ht="12.65" customHeight="1">
      <c r="A1128" s="33">
        <v>44629</v>
      </c>
      <c r="B1128" s="46">
        <v>11812130528.083799</v>
      </c>
      <c r="C1128" s="56">
        <f>12389122686.1518+842637101.33598</f>
        <v>13231759787.48778</v>
      </c>
      <c r="F1128" s="45">
        <f t="shared" si="61"/>
        <v>1419629259.4039803</v>
      </c>
      <c r="H1128" s="46">
        <v>1335173000</v>
      </c>
      <c r="I1128" s="50">
        <f>1595598860.05907+70585440.63122</f>
        <v>1666184300.6902902</v>
      </c>
      <c r="L1128" s="44">
        <f t="shared" si="60"/>
        <v>1750640560.0942705</v>
      </c>
      <c r="M1128" s="45">
        <f t="shared" si="62"/>
        <v>331011300.69029021</v>
      </c>
    </row>
    <row r="1129" spans="1:13" ht="12.65" customHeight="1">
      <c r="A1129" s="33">
        <v>44630</v>
      </c>
      <c r="B1129" s="46">
        <v>11812130528.083799</v>
      </c>
      <c r="C1129" s="56">
        <f>12039302448.9555+711573776.18454</f>
        <v>12750876225.140039</v>
      </c>
      <c r="F1129" s="45">
        <f t="shared" si="61"/>
        <v>938745697.05624008</v>
      </c>
      <c r="H1129" s="46">
        <v>1335173000</v>
      </c>
      <c r="I1129" s="50">
        <f>1238344017.82095+71352047.49522</f>
        <v>1309696065.31617</v>
      </c>
      <c r="L1129" s="44">
        <f t="shared" si="60"/>
        <v>913268762.37241006</v>
      </c>
      <c r="M1129" s="45">
        <f t="shared" si="62"/>
        <v>-25476934.683830023</v>
      </c>
    </row>
    <row r="1130" spans="1:13" ht="12.65" customHeight="1">
      <c r="A1130" s="33">
        <v>44631</v>
      </c>
      <c r="B1130" s="46">
        <v>11812130528.083799</v>
      </c>
      <c r="C1130" s="56">
        <f>10737535725.9516+758458176.56634</f>
        <v>11495993902.517939</v>
      </c>
      <c r="F1130" s="45">
        <f t="shared" si="61"/>
        <v>-316136625.56586075</v>
      </c>
      <c r="H1130" s="46">
        <v>1335173000</v>
      </c>
      <c r="I1130" s="50">
        <f>1132805332.27185+72485107.09822</f>
        <v>1205290439.3700702</v>
      </c>
      <c r="L1130" s="44">
        <f t="shared" si="60"/>
        <v>-446019186.19579053</v>
      </c>
      <c r="M1130" s="45">
        <f t="shared" si="62"/>
        <v>-129882560.62992978</v>
      </c>
    </row>
    <row r="1131" spans="1:13" ht="12.65" customHeight="1">
      <c r="A1131" s="33">
        <v>44634</v>
      </c>
      <c r="B1131" s="46">
        <v>11812130528.083799</v>
      </c>
      <c r="C1131" s="56">
        <f>8518734128.13095+855625089.47563</f>
        <v>9374359217.6065807</v>
      </c>
      <c r="F1131" s="45">
        <f t="shared" si="61"/>
        <v>-2437771310.4772186</v>
      </c>
      <c r="H1131" s="46">
        <v>1335173000</v>
      </c>
      <c r="I1131" s="50">
        <f>1035116116.25628+75369923.33422</f>
        <v>1110486039.5904999</v>
      </c>
      <c r="L1131" s="44">
        <f t="shared" si="60"/>
        <v>-2662458270.8867187</v>
      </c>
      <c r="M1131" s="45">
        <f t="shared" si="62"/>
        <v>-224686960.40950012</v>
      </c>
    </row>
    <row r="1132" spans="1:13" ht="12.65" customHeight="1">
      <c r="A1132" s="33">
        <v>44635</v>
      </c>
      <c r="B1132" s="46">
        <v>11812130528.083799</v>
      </c>
      <c r="C1132" s="56">
        <f>9878493304.92656+749964997.14367</f>
        <v>10628458302.070229</v>
      </c>
      <c r="F1132" s="45">
        <f t="shared" si="61"/>
        <v>-1183672226.0135708</v>
      </c>
      <c r="H1132" s="46">
        <v>1335173000</v>
      </c>
      <c r="I1132" s="50">
        <f>960251298.91935+76790970.63322</f>
        <v>1037042269.55257</v>
      </c>
      <c r="L1132" s="44">
        <f t="shared" si="60"/>
        <v>-1481802956.4610009</v>
      </c>
      <c r="M1132" s="45">
        <f t="shared" si="62"/>
        <v>-298130730.44743001</v>
      </c>
    </row>
    <row r="1133" spans="1:13" ht="12.65" customHeight="1">
      <c r="A1133" s="33">
        <v>44636</v>
      </c>
      <c r="B1133" s="46">
        <v>12053626457.2092</v>
      </c>
      <c r="C1133" s="56">
        <f>14437118700.2217+796387594.21537</f>
        <v>15233506294.437071</v>
      </c>
      <c r="F1133" s="45">
        <f t="shared" si="61"/>
        <v>3179879837.2278709</v>
      </c>
      <c r="H1133" s="46">
        <v>1238305000</v>
      </c>
      <c r="I1133" s="50">
        <f>1576514690.07263+77726835.27422</f>
        <v>1654241525.3468499</v>
      </c>
      <c r="L1133" s="44">
        <f t="shared" si="60"/>
        <v>3595816362.5747209</v>
      </c>
      <c r="M1133" s="45">
        <f t="shared" si="62"/>
        <v>415936525.34684992</v>
      </c>
    </row>
    <row r="1134" spans="1:13" ht="12.65" customHeight="1">
      <c r="A1134" s="33">
        <v>44637</v>
      </c>
      <c r="B1134" s="46">
        <v>12053626457.2092</v>
      </c>
      <c r="C1134" s="56">
        <f>13319173753.914+837401603.27513</f>
        <v>14156575357.189129</v>
      </c>
      <c r="F1134" s="45">
        <f t="shared" si="61"/>
        <v>2102948899.979929</v>
      </c>
      <c r="H1134" s="46">
        <v>1238305000</v>
      </c>
      <c r="I1134" s="50">
        <f>1531413943.50665+78893870.99622</f>
        <v>1610307814.5028701</v>
      </c>
      <c r="L1134" s="44">
        <f t="shared" si="60"/>
        <v>2474951714.4827991</v>
      </c>
      <c r="M1134" s="45">
        <f t="shared" si="62"/>
        <v>372002814.50287008</v>
      </c>
    </row>
    <row r="1135" spans="1:13" ht="12.65" customHeight="1">
      <c r="A1135" s="33">
        <v>44638</v>
      </c>
      <c r="B1135" s="46">
        <v>12053626457.2092</v>
      </c>
      <c r="C1135" s="56">
        <f>10441631159.1765+732931899.80541</f>
        <v>11174563058.981911</v>
      </c>
      <c r="F1135" s="45">
        <f t="shared" si="61"/>
        <v>-879063398.2272892</v>
      </c>
      <c r="H1135" s="46">
        <v>1238305000</v>
      </c>
      <c r="I1135" s="50">
        <f>1116270208.44433+79581819.95522</f>
        <v>1195852028.39955</v>
      </c>
      <c r="L1135" s="44">
        <f t="shared" si="60"/>
        <v>-921516369.82773924</v>
      </c>
      <c r="M1135" s="45">
        <f t="shared" si="62"/>
        <v>-42452971.600450039</v>
      </c>
    </row>
    <row r="1136" spans="1:13" ht="12.65" customHeight="1">
      <c r="A1136" s="33">
        <v>44641</v>
      </c>
      <c r="B1136" s="46">
        <v>12053626457.2092</v>
      </c>
      <c r="C1136" s="56">
        <f>10921276290.3111+661450290.12023</f>
        <v>11582726580.43133</v>
      </c>
      <c r="F1136" s="45">
        <f t="shared" si="61"/>
        <v>-470899876.77787018</v>
      </c>
      <c r="H1136" s="46">
        <v>1238305000</v>
      </c>
      <c r="I1136" s="50">
        <f>1167215319.85646+81054046.41122</f>
        <v>1248269366.2676802</v>
      </c>
      <c r="L1136" s="44">
        <f t="shared" si="60"/>
        <v>-460935510.51019001</v>
      </c>
      <c r="M1136" s="45">
        <f t="shared" si="62"/>
        <v>9964366.2676801682</v>
      </c>
    </row>
    <row r="1137" spans="1:13" ht="12.65" customHeight="1">
      <c r="A1137" s="33">
        <v>44642</v>
      </c>
      <c r="B1137" s="46">
        <v>12053626457.2092</v>
      </c>
      <c r="C1137" s="56">
        <f>12983491610.313+700997576.8646</f>
        <v>13684489187.177599</v>
      </c>
      <c r="F1137" s="45">
        <f t="shared" si="61"/>
        <v>1630862729.968399</v>
      </c>
      <c r="H1137" s="46">
        <v>1238305000</v>
      </c>
      <c r="I1137" s="50">
        <f>1439207222.48269+81603344.99122</f>
        <v>1520810567.4739101</v>
      </c>
      <c r="L1137" s="44">
        <f t="shared" si="60"/>
        <v>1913368297.4423091</v>
      </c>
      <c r="M1137" s="45">
        <f t="shared" si="62"/>
        <v>282505567.47391009</v>
      </c>
    </row>
    <row r="1138" spans="1:13" ht="12.65" customHeight="1">
      <c r="A1138" s="33">
        <v>44643</v>
      </c>
      <c r="B1138" s="46">
        <v>12053626457.2092</v>
      </c>
      <c r="C1138" s="56">
        <f>12766556318.166+745988605.01201</f>
        <v>13512544923.178011</v>
      </c>
      <c r="F1138" s="45">
        <f t="shared" si="61"/>
        <v>1458918465.968811</v>
      </c>
      <c r="H1138" s="46">
        <v>1238305000</v>
      </c>
      <c r="I1138" s="50">
        <f>1450088291.04841+62666019.62022</f>
        <v>1512754310.6686299</v>
      </c>
      <c r="L1138" s="44">
        <f t="shared" si="60"/>
        <v>1733367776.6374409</v>
      </c>
      <c r="M1138" s="45">
        <f t="shared" si="62"/>
        <v>274449310.66862988</v>
      </c>
    </row>
    <row r="1139" spans="1:13" ht="12.65" customHeight="1">
      <c r="A1139" s="33">
        <v>44644</v>
      </c>
      <c r="B1139" s="46">
        <v>12053626457.2092</v>
      </c>
      <c r="C1139" s="56">
        <f>14589128020.733+789968046.28325</f>
        <v>15379096067.016251</v>
      </c>
      <c r="F1139" s="45">
        <f t="shared" si="61"/>
        <v>3325469609.8070507</v>
      </c>
      <c r="H1139" s="46">
        <v>1238305000</v>
      </c>
      <c r="I1139" s="50">
        <f>1253557941.91447+63225799.08472</f>
        <v>1316783740.9991899</v>
      </c>
      <c r="L1139" s="44">
        <f t="shared" si="60"/>
        <v>3403948350.8062406</v>
      </c>
      <c r="M1139" s="45">
        <f t="shared" si="62"/>
        <v>78478740.999189854</v>
      </c>
    </row>
    <row r="1140" spans="1:13" ht="12.65" customHeight="1">
      <c r="A1140" s="33">
        <v>44645</v>
      </c>
      <c r="B1140" s="46">
        <v>12053626457.2092</v>
      </c>
      <c r="C1140" s="56">
        <f>12456033915.4571+686891252.53895</f>
        <v>13142925167.99605</v>
      </c>
      <c r="F1140" s="45">
        <f t="shared" si="61"/>
        <v>1089298710.78685</v>
      </c>
      <c r="H1140" s="46">
        <v>1238305000</v>
      </c>
      <c r="I1140" s="50">
        <f>1001277095.87968+66331198.29872</f>
        <v>1067608294.1784</v>
      </c>
      <c r="L1140" s="44">
        <f t="shared" si="60"/>
        <v>918602004.96525002</v>
      </c>
      <c r="M1140" s="45">
        <f t="shared" si="62"/>
        <v>-170696705.82159996</v>
      </c>
    </row>
    <row r="1141" spans="1:13" ht="12.65" customHeight="1">
      <c r="A1141" s="33">
        <v>44648</v>
      </c>
      <c r="B1141" s="46">
        <v>12053626457.2092</v>
      </c>
      <c r="C1141" s="56">
        <f>12487435558.0307+663267392.36036</f>
        <v>13150702950.39106</v>
      </c>
      <c r="F1141" s="45">
        <f t="shared" si="61"/>
        <v>1097076493.18186</v>
      </c>
      <c r="H1141" s="46">
        <v>1238305000</v>
      </c>
      <c r="I1141" s="50">
        <f>927524170.86635+71035964.00372</f>
        <v>998560134.8700701</v>
      </c>
      <c r="L1141" s="44">
        <f t="shared" si="60"/>
        <v>857331628.05193007</v>
      </c>
      <c r="M1141" s="45">
        <f t="shared" si="62"/>
        <v>-239744865.1299299</v>
      </c>
    </row>
    <row r="1142" spans="1:13" ht="12.65" customHeight="1">
      <c r="A1142" s="33">
        <v>44649</v>
      </c>
      <c r="B1142" s="46">
        <v>12053626457.2092</v>
      </c>
      <c r="C1142" s="56">
        <f>8859115199.5936+698035317.21293</f>
        <v>9557150516.80653</v>
      </c>
      <c r="F1142" s="45">
        <f t="shared" si="61"/>
        <v>-2496475940.4026699</v>
      </c>
      <c r="H1142" s="46">
        <v>1238305000</v>
      </c>
      <c r="I1142" s="50">
        <f>924435202.34753+71663384.21872</f>
        <v>996098586.56624997</v>
      </c>
      <c r="L1142" s="44">
        <f t="shared" si="60"/>
        <v>-2738682353.8364201</v>
      </c>
      <c r="M1142" s="45">
        <f t="shared" si="62"/>
        <v>-242206413.43375003</v>
      </c>
    </row>
    <row r="1143" spans="1:13" ht="12.65" customHeight="1">
      <c r="A1143" s="33">
        <v>44650</v>
      </c>
      <c r="B1143" s="46">
        <v>12053626457.2092</v>
      </c>
      <c r="C1143" s="56">
        <f>7854684362.13612+749906553.2882</f>
        <v>8604590915.4243202</v>
      </c>
      <c r="F1143" s="45">
        <f t="shared" si="61"/>
        <v>-3449035541.7848797</v>
      </c>
      <c r="H1143" s="46">
        <v>1238305000</v>
      </c>
      <c r="I1143" s="50">
        <f>955843508.18279+73219256.55272</f>
        <v>1029062764.73551</v>
      </c>
      <c r="L1143" s="44">
        <f t="shared" si="60"/>
        <v>-3658277777.0493698</v>
      </c>
      <c r="M1143" s="45">
        <f t="shared" si="62"/>
        <v>-209242235.26449001</v>
      </c>
    </row>
    <row r="1144" spans="1:13" ht="12.65" customHeight="1">
      <c r="A1144" s="33">
        <v>44651</v>
      </c>
      <c r="B1144" s="46">
        <v>12053626457.2092</v>
      </c>
      <c r="C1144" s="56">
        <f>5747362012.46588+804989643.94723</f>
        <v>6552351656.4131107</v>
      </c>
      <c r="F1144" s="45">
        <f t="shared" si="61"/>
        <v>-5501274800.7960892</v>
      </c>
      <c r="H1144" s="46">
        <v>1238305000</v>
      </c>
      <c r="I1144" s="50">
        <f>915325075.61413+75377033.04672</f>
        <v>990702108.66085005</v>
      </c>
      <c r="L1144" s="44">
        <f t="shared" si="60"/>
        <v>-5748877692.1352386</v>
      </c>
      <c r="M1144" s="45">
        <f t="shared" si="62"/>
        <v>-247602891.33914995</v>
      </c>
    </row>
    <row r="1145" spans="1:13" ht="12.65" customHeight="1">
      <c r="A1145" s="33">
        <v>44652</v>
      </c>
      <c r="B1145" s="46">
        <v>11417051126.225401</v>
      </c>
      <c r="C1145" s="56">
        <f>14051157042.9683+867609072.95831</f>
        <v>14918766115.926609</v>
      </c>
      <c r="F1145" s="45">
        <f t="shared" si="61"/>
        <v>3501714989.7012081</v>
      </c>
      <c r="H1145" s="46">
        <v>1241745000</v>
      </c>
      <c r="I1145" s="50">
        <f>1600694498.71946+77554960.94972</f>
        <v>1678249459.6691799</v>
      </c>
      <c r="L1145" s="44">
        <f t="shared" si="60"/>
        <v>3938219449.370388</v>
      </c>
      <c r="M1145" s="45">
        <f t="shared" si="62"/>
        <v>436504459.66917992</v>
      </c>
    </row>
    <row r="1146" spans="1:13" ht="12.65" customHeight="1">
      <c r="A1146" s="33">
        <v>44655</v>
      </c>
      <c r="B1146" s="46">
        <v>11417051126.225401</v>
      </c>
      <c r="C1146" s="56">
        <f>13779026832.5043+718685325.03377</f>
        <v>14497712157.538069</v>
      </c>
      <c r="F1146" s="45">
        <f t="shared" si="61"/>
        <v>3080661031.3126678</v>
      </c>
      <c r="H1146" s="46">
        <v>1241745000</v>
      </c>
      <c r="I1146" s="50">
        <f>1457127391.61221+67188385.10072</f>
        <v>1524315776.71293</v>
      </c>
      <c r="L1146" s="44">
        <f t="shared" si="60"/>
        <v>3363231808.0255976</v>
      </c>
      <c r="M1146" s="45">
        <f t="shared" si="62"/>
        <v>282570776.71292996</v>
      </c>
    </row>
    <row r="1147" spans="1:13" ht="12.65" customHeight="1">
      <c r="A1147" s="33">
        <v>44656</v>
      </c>
      <c r="B1147" s="46">
        <v>11417051126.225401</v>
      </c>
      <c r="C1147" s="56">
        <f>13478313138.1479+791171821.96736</f>
        <v>14269484960.115259</v>
      </c>
      <c r="F1147" s="45">
        <f t="shared" si="61"/>
        <v>2852433833.8898582</v>
      </c>
      <c r="H1147" s="46">
        <v>1241745000</v>
      </c>
      <c r="I1147" s="50">
        <f>1370317377.69366+69339607.06872</f>
        <v>1439656984.7623801</v>
      </c>
      <c r="L1147" s="44">
        <f t="shared" si="60"/>
        <v>3050345818.6522384</v>
      </c>
      <c r="M1147" s="45">
        <f t="shared" si="62"/>
        <v>197911984.76238012</v>
      </c>
    </row>
    <row r="1148" spans="1:13" ht="12.65" customHeight="1">
      <c r="A1148" s="33">
        <v>44657</v>
      </c>
      <c r="B1148" s="46">
        <v>11417051126.225401</v>
      </c>
      <c r="C1148" s="56">
        <f>10921215374.6782+861557340.34287</f>
        <v>11782772715.02107</v>
      </c>
      <c r="F1148" s="45">
        <f t="shared" si="61"/>
        <v>365721588.79566956</v>
      </c>
      <c r="H1148" s="46">
        <v>1241745000</v>
      </c>
      <c r="I1148" s="50">
        <f>1343766911.0796+73261267.70272</f>
        <v>1417028178.78232</v>
      </c>
      <c r="L1148" s="44">
        <f t="shared" si="60"/>
        <v>541004767.57798958</v>
      </c>
      <c r="M1148" s="45">
        <f t="shared" si="62"/>
        <v>175283178.78232002</v>
      </c>
    </row>
    <row r="1149" spans="1:13" ht="12.65" customHeight="1">
      <c r="A1149" s="33">
        <v>44658</v>
      </c>
      <c r="B1149" s="46">
        <v>11417051126.225401</v>
      </c>
      <c r="C1149" s="56">
        <f>9333990815.33721+633121016.87747</f>
        <v>9967111832.2146797</v>
      </c>
      <c r="F1149" s="45">
        <f t="shared" si="61"/>
        <v>-1449939294.0107212</v>
      </c>
      <c r="H1149" s="46">
        <v>1241745000</v>
      </c>
      <c r="I1149" s="50">
        <f>1211223662.65815+74506584.97672</f>
        <v>1285730247.6348701</v>
      </c>
      <c r="L1149" s="44">
        <f t="shared" si="60"/>
        <v>-1405954046.3758512</v>
      </c>
      <c r="M1149" s="45">
        <f t="shared" si="62"/>
        <v>43985247.634870052</v>
      </c>
    </row>
    <row r="1150" spans="1:13" ht="12.65" customHeight="1">
      <c r="A1150" s="33">
        <v>44659</v>
      </c>
      <c r="B1150" s="46">
        <v>11417051126.225401</v>
      </c>
      <c r="C1150" s="56">
        <f>9279294210.38499+710818660.35506</f>
        <v>9990112870.7400513</v>
      </c>
      <c r="F1150" s="45">
        <f t="shared" si="61"/>
        <v>-1426938255.4853497</v>
      </c>
      <c r="H1150" s="46">
        <v>1241745000</v>
      </c>
      <c r="I1150" s="50">
        <f>1114631950.1785+78949101.12681</f>
        <v>1193581051.30531</v>
      </c>
      <c r="L1150" s="44">
        <f t="shared" si="60"/>
        <v>-1475102204.1800396</v>
      </c>
      <c r="M1150" s="45">
        <f t="shared" si="62"/>
        <v>-48163948.694689989</v>
      </c>
    </row>
    <row r="1151" spans="1:13" ht="12.65" customHeight="1">
      <c r="A1151" s="33">
        <v>44662</v>
      </c>
      <c r="B1151" s="46">
        <v>11417051126.225401</v>
      </c>
      <c r="C1151" s="56">
        <f>12061502785.081+675718766.01275</f>
        <v>12737221551.09375</v>
      </c>
      <c r="F1151" s="45">
        <f t="shared" si="61"/>
        <v>1320170424.8683491</v>
      </c>
      <c r="H1151" s="46">
        <v>1241745000</v>
      </c>
      <c r="I1151" s="50">
        <f>1015920721.22033+67100051.21081</f>
        <v>1083020772.4311399</v>
      </c>
      <c r="L1151" s="44">
        <f t="shared" si="60"/>
        <v>1161446197.299489</v>
      </c>
      <c r="M1151" s="45">
        <f t="shared" si="62"/>
        <v>-158724227.56886005</v>
      </c>
    </row>
    <row r="1152" spans="1:13" ht="12.65" customHeight="1">
      <c r="A1152" s="33">
        <v>44663</v>
      </c>
      <c r="B1152" s="46">
        <v>11417051126.225401</v>
      </c>
      <c r="C1152" s="56">
        <f>10524215008.2576+770691929.34473</f>
        <v>11294906937.602331</v>
      </c>
      <c r="F1152" s="45">
        <f t="shared" si="61"/>
        <v>-122144188.62306976</v>
      </c>
      <c r="H1152" s="46">
        <v>1241745000</v>
      </c>
      <c r="I1152" s="50">
        <f>982479362.73179+72897674.03495</f>
        <v>1055377036.76674</v>
      </c>
      <c r="L1152" s="44">
        <f t="shared" ref="L1152:L1202" si="63">F1152+M1152</f>
        <v>-308512151.8563298</v>
      </c>
      <c r="M1152" s="45">
        <f t="shared" si="62"/>
        <v>-186367963.23326004</v>
      </c>
    </row>
    <row r="1153" spans="1:13" ht="12.65" customHeight="1">
      <c r="A1153" s="33">
        <v>44664</v>
      </c>
      <c r="B1153" s="46">
        <v>11417051126.225401</v>
      </c>
      <c r="C1153" s="56">
        <f>7706297257.89713+619070316.73641</f>
        <v>8325367574.6335402</v>
      </c>
      <c r="F1153" s="45">
        <f t="shared" si="61"/>
        <v>-3091683551.5918608</v>
      </c>
      <c r="H1153" s="46">
        <v>1241745000</v>
      </c>
      <c r="I1153" s="50">
        <f>961668712.27146+75414014.43695</f>
        <v>1037082726.70841</v>
      </c>
      <c r="L1153" s="44">
        <f t="shared" si="63"/>
        <v>-3296345824.8834505</v>
      </c>
      <c r="M1153" s="45">
        <f t="shared" si="62"/>
        <v>-204662273.29158998</v>
      </c>
    </row>
    <row r="1154" spans="1:13" ht="12.65" customHeight="1">
      <c r="A1154" s="33">
        <v>44665</v>
      </c>
      <c r="B1154" s="46">
        <v>11417051126.225401</v>
      </c>
      <c r="C1154" s="56">
        <f>6842152924.80735+616383297.33323</f>
        <v>7458536222.1405802</v>
      </c>
      <c r="F1154" s="45">
        <f t="shared" si="61"/>
        <v>-3958514904.0848207</v>
      </c>
      <c r="H1154" s="46">
        <v>1241745000</v>
      </c>
      <c r="I1154" s="50">
        <f>901631049.90442+63519059.13966</f>
        <v>965150109.04408002</v>
      </c>
      <c r="L1154" s="44">
        <f t="shared" si="63"/>
        <v>-4235109795.040741</v>
      </c>
      <c r="M1154" s="45">
        <f t="shared" si="62"/>
        <v>-276594890.95591998</v>
      </c>
    </row>
    <row r="1155" spans="1:13" ht="12.65" customHeight="1">
      <c r="A1155" s="33">
        <v>44669</v>
      </c>
      <c r="B1155" s="46">
        <v>10900057745.2262</v>
      </c>
      <c r="C1155" s="56">
        <f>11479911602.9579+650329522.70689</f>
        <v>12130241125.664789</v>
      </c>
      <c r="F1155" s="45">
        <f t="shared" si="61"/>
        <v>1230183380.4385891</v>
      </c>
      <c r="H1155" s="46">
        <v>1329292000</v>
      </c>
      <c r="I1155" s="50">
        <f>1417470952.52257+77360421.77304</f>
        <v>1494831374.29561</v>
      </c>
      <c r="L1155" s="44">
        <f t="shared" si="63"/>
        <v>1395722754.734199</v>
      </c>
      <c r="M1155" s="45">
        <f t="shared" si="62"/>
        <v>165539374.29560995</v>
      </c>
    </row>
    <row r="1156" spans="1:13" ht="12.65" customHeight="1">
      <c r="A1156" s="33">
        <v>44670</v>
      </c>
      <c r="B1156" s="46">
        <v>10900057745.2262</v>
      </c>
      <c r="C1156" s="56">
        <f>16221555241.7604+760282829.64342</f>
        <v>16981838071.40382</v>
      </c>
      <c r="F1156" s="45">
        <f t="shared" si="61"/>
        <v>6081780326.1776199</v>
      </c>
      <c r="H1156" s="46">
        <v>1329292000</v>
      </c>
      <c r="I1156" s="50">
        <f>1261530143.78558+67639457.29604</f>
        <v>1329169601.08162</v>
      </c>
      <c r="L1156" s="44">
        <f t="shared" si="63"/>
        <v>6081657927.2592402</v>
      </c>
      <c r="M1156" s="45">
        <f t="shared" si="62"/>
        <v>-122398.91838002205</v>
      </c>
    </row>
    <row r="1157" spans="1:13" ht="12.65" customHeight="1">
      <c r="A1157" s="33">
        <v>44671</v>
      </c>
      <c r="B1157" s="46">
        <v>10900057745.2262</v>
      </c>
      <c r="C1157" s="56">
        <f>15129163988.1022+614128539.99356</f>
        <v>15743292528.09576</v>
      </c>
      <c r="F1157" s="45">
        <f t="shared" si="61"/>
        <v>4843234782.8695602</v>
      </c>
      <c r="H1157" s="46">
        <v>1329292000</v>
      </c>
      <c r="I1157" s="50">
        <f>1759364787.76639+70941204.98642</f>
        <v>1830305992.75281</v>
      </c>
      <c r="L1157" s="44">
        <f t="shared" si="63"/>
        <v>5344248775.6223698</v>
      </c>
      <c r="M1157" s="45">
        <f t="shared" si="62"/>
        <v>501013992.75281</v>
      </c>
    </row>
    <row r="1158" spans="1:13" ht="12.65" customHeight="1">
      <c r="A1158" s="33">
        <v>44672</v>
      </c>
      <c r="B1158" s="46">
        <v>10900057745.2262</v>
      </c>
      <c r="C1158" s="56">
        <f>14476695993.6007+736841812.32344</f>
        <v>15213537805.924141</v>
      </c>
      <c r="F1158" s="45">
        <f t="shared" si="61"/>
        <v>4313480060.6979408</v>
      </c>
      <c r="H1158" s="46">
        <v>1329292000</v>
      </c>
      <c r="I1158" s="50">
        <f>1438907550.91289+74579822.17485</f>
        <v>1513487373.0877399</v>
      </c>
      <c r="L1158" s="44">
        <f t="shared" si="63"/>
        <v>4497675433.7856808</v>
      </c>
      <c r="M1158" s="45">
        <f t="shared" si="62"/>
        <v>184195373.08773994</v>
      </c>
    </row>
    <row r="1159" spans="1:13" ht="12.65" customHeight="1">
      <c r="A1159" s="33">
        <v>44673</v>
      </c>
      <c r="B1159" s="46">
        <v>10900057745.2262</v>
      </c>
      <c r="C1159" s="56">
        <f>11353518752.0969+675113448.2829</f>
        <v>12028632200.379801</v>
      </c>
      <c r="F1159" s="45">
        <f t="shared" si="61"/>
        <v>1128574455.1536007</v>
      </c>
      <c r="H1159" s="46">
        <v>1329292000</v>
      </c>
      <c r="I1159" s="50">
        <f>1073873277.57484+78240106.39839</f>
        <v>1152113383.9732301</v>
      </c>
      <c r="L1159" s="44">
        <f t="shared" si="63"/>
        <v>951395839.12683082</v>
      </c>
      <c r="M1159" s="45">
        <f t="shared" si="62"/>
        <v>-177178616.02676988</v>
      </c>
    </row>
    <row r="1160" spans="1:13" ht="12.65" customHeight="1">
      <c r="A1160" s="33">
        <v>44676</v>
      </c>
      <c r="B1160" s="46">
        <v>10900057745.2262</v>
      </c>
      <c r="C1160" s="56">
        <f>9122594162.42921+989096773.60891</f>
        <v>10111690936.03812</v>
      </c>
      <c r="F1160" s="45">
        <f t="shared" si="61"/>
        <v>-788366809.18807983</v>
      </c>
      <c r="H1160" s="46">
        <v>1329292000</v>
      </c>
      <c r="I1160" s="50">
        <f>1206582293.52973+89778184.3592</f>
        <v>1296360477.8889301</v>
      </c>
      <c r="L1160" s="44">
        <f t="shared" si="63"/>
        <v>-821298331.29914975</v>
      </c>
      <c r="M1160" s="45">
        <f t="shared" si="62"/>
        <v>-32931522.111069918</v>
      </c>
    </row>
    <row r="1161" spans="1:13" ht="12.65" customHeight="1">
      <c r="A1161" s="33">
        <v>44677</v>
      </c>
      <c r="B1161" s="46">
        <v>10900057745.2262</v>
      </c>
      <c r="C1161" s="56">
        <f>6223956488.65929+1354604060.8193</f>
        <v>7578560549.47859</v>
      </c>
      <c r="F1161" s="45">
        <f t="shared" si="61"/>
        <v>-3321497195.7476101</v>
      </c>
      <c r="H1161" s="46">
        <v>1329292000</v>
      </c>
      <c r="I1161" s="50">
        <f>1204976242.21986+96849663.1942</f>
        <v>1301825905.4140601</v>
      </c>
      <c r="L1161" s="44">
        <f t="shared" si="63"/>
        <v>-3348963290.33355</v>
      </c>
      <c r="M1161" s="45">
        <f t="shared" si="62"/>
        <v>-27466094.585939884</v>
      </c>
    </row>
    <row r="1162" spans="1:13" ht="12.65" customHeight="1">
      <c r="A1162" s="33">
        <v>44678</v>
      </c>
      <c r="B1162" s="46">
        <v>10900057745.2262</v>
      </c>
      <c r="C1162" s="56">
        <f>3860568164.27011+1957750724.92763</f>
        <v>5818318889.1977406</v>
      </c>
      <c r="F1162" s="45">
        <f t="shared" si="61"/>
        <v>-5081738856.0284595</v>
      </c>
      <c r="H1162" s="46">
        <v>1329292000</v>
      </c>
      <c r="I1162" s="50">
        <f>1082566610.55496+305925095.58753</f>
        <v>1388491706.1424899</v>
      </c>
      <c r="L1162" s="44">
        <f t="shared" si="63"/>
        <v>-5022539149.8859692</v>
      </c>
      <c r="M1162" s="45">
        <f t="shared" si="62"/>
        <v>59199706.14248991</v>
      </c>
    </row>
    <row r="1163" spans="1:13" ht="12.65" customHeight="1">
      <c r="A1163" s="33">
        <v>44679</v>
      </c>
      <c r="B1163" s="46">
        <v>10900057745.2262</v>
      </c>
      <c r="C1163" s="56">
        <f>1543847207.05638+3002210395.1173</f>
        <v>4546057602.1736803</v>
      </c>
      <c r="F1163" s="45">
        <f t="shared" si="61"/>
        <v>-6354000143.0525198</v>
      </c>
      <c r="H1163" s="46">
        <v>1329292000</v>
      </c>
      <c r="I1163" s="50">
        <f>1630452781.20274+311894252.32262</f>
        <v>1942347033.5253599</v>
      </c>
      <c r="L1163" s="44">
        <f t="shared" si="63"/>
        <v>-5740945109.5271597</v>
      </c>
      <c r="M1163" s="45">
        <f t="shared" si="62"/>
        <v>613055033.52535987</v>
      </c>
    </row>
    <row r="1164" spans="1:13" ht="12.65" customHeight="1">
      <c r="A1164" s="33">
        <v>44681</v>
      </c>
      <c r="B1164" s="46">
        <v>10900057745.2262</v>
      </c>
      <c r="C1164" s="56">
        <f>1543847207.05638+3002210395.1173</f>
        <v>4546057602.1736803</v>
      </c>
      <c r="F1164" s="45">
        <f t="shared" si="61"/>
        <v>-6354000143.0525198</v>
      </c>
      <c r="H1164" s="46">
        <v>1329292000</v>
      </c>
      <c r="I1164" s="50">
        <f>1630452781.20274+311894252.32262</f>
        <v>1942347033.5253599</v>
      </c>
      <c r="L1164" s="44">
        <f t="shared" si="63"/>
        <v>-5740945109.5271597</v>
      </c>
      <c r="M1164" s="45">
        <f t="shared" si="62"/>
        <v>613055033.52535987</v>
      </c>
    </row>
    <row r="1165" spans="1:13" ht="12.65" customHeight="1">
      <c r="A1165" s="33">
        <v>44690</v>
      </c>
      <c r="B1165" s="46">
        <v>10668040147.8715</v>
      </c>
      <c r="C1165" s="56">
        <f>6261940492.03042+1247522858.72227</f>
        <v>7509463350.7526903</v>
      </c>
      <c r="F1165" s="45">
        <f t="shared" si="61"/>
        <v>-3158576797.1188097</v>
      </c>
      <c r="H1165" s="46">
        <v>1423093000</v>
      </c>
      <c r="I1165" s="50">
        <f>1203421902.46733+148857149.34981</f>
        <v>1352279051.8171401</v>
      </c>
      <c r="L1165" s="44">
        <f t="shared" si="63"/>
        <v>-3229390745.3016696</v>
      </c>
      <c r="M1165" s="45">
        <f t="shared" si="62"/>
        <v>-70813948.182859898</v>
      </c>
    </row>
    <row r="1166" spans="1:13" ht="12.65" customHeight="1">
      <c r="A1166" s="33">
        <v>44691</v>
      </c>
      <c r="B1166" s="46">
        <v>10668040147.8715</v>
      </c>
      <c r="C1166" s="56">
        <f>10679946549.3475+873531791.47819</f>
        <v>11553478340.825689</v>
      </c>
      <c r="F1166" s="45">
        <f t="shared" si="61"/>
        <v>885438192.9541893</v>
      </c>
      <c r="H1166" s="46">
        <v>1423093000</v>
      </c>
      <c r="I1166" s="50">
        <f>1584740202.59742+73552805.13865</f>
        <v>1658293007.7360699</v>
      </c>
      <c r="L1166" s="44">
        <f t="shared" si="63"/>
        <v>1120638200.6902592</v>
      </c>
      <c r="M1166" s="45">
        <f t="shared" si="62"/>
        <v>235200007.73606992</v>
      </c>
    </row>
    <row r="1167" spans="1:13" ht="12.65" customHeight="1">
      <c r="A1167" s="33">
        <v>44692</v>
      </c>
      <c r="B1167" s="46">
        <v>10668040147.8715</v>
      </c>
      <c r="C1167" s="56">
        <f>12337705636.2357+789951971.90206</f>
        <v>13127657608.13776</v>
      </c>
      <c r="F1167" s="45">
        <f t="shared" ref="F1167:F1231" si="64">C1167-B1167</f>
        <v>2459617460.2662601</v>
      </c>
      <c r="H1167" s="46">
        <v>1423093000</v>
      </c>
      <c r="I1167" s="50">
        <f>1451394410.16289+78062434.31608</f>
        <v>1529456844.4789701</v>
      </c>
      <c r="L1167" s="44">
        <f t="shared" si="63"/>
        <v>2565981304.7452302</v>
      </c>
      <c r="M1167" s="45">
        <f t="shared" ref="M1167:M1202" si="65">I1167-H1167</f>
        <v>106363844.47897005</v>
      </c>
    </row>
    <row r="1168" spans="1:13" ht="12.65" customHeight="1">
      <c r="A1168" s="33">
        <v>44693</v>
      </c>
      <c r="B1168" s="46">
        <v>10668040147.8715</v>
      </c>
      <c r="C1168" s="56">
        <f>9735337953.45647+904355281.78421</f>
        <v>10639693235.240681</v>
      </c>
      <c r="F1168" s="45">
        <f t="shared" si="64"/>
        <v>-28346912.630819321</v>
      </c>
      <c r="H1168" s="46">
        <v>1423093000</v>
      </c>
      <c r="I1168" s="50">
        <f>1247905310.59695+82995762.08308</f>
        <v>1330901072.6800301</v>
      </c>
      <c r="L1168" s="44">
        <f t="shared" si="63"/>
        <v>-120538839.95078921</v>
      </c>
      <c r="M1168" s="45">
        <f t="shared" si="65"/>
        <v>-92191927.319969893</v>
      </c>
    </row>
    <row r="1169" spans="1:13" ht="12.65" customHeight="1">
      <c r="A1169" s="33">
        <v>44694</v>
      </c>
      <c r="B1169" s="46">
        <v>10668040147.8715</v>
      </c>
      <c r="C1169" s="56">
        <f>10623091486.2312+1027773383.46082</f>
        <v>11650864869.692019</v>
      </c>
      <c r="F1169" s="45">
        <f t="shared" si="64"/>
        <v>982824721.82051849</v>
      </c>
      <c r="H1169" s="46">
        <v>1423093000</v>
      </c>
      <c r="I1169" s="50">
        <f>1682931455.86304+86279967.55408</f>
        <v>1769211423.41712</v>
      </c>
      <c r="L1169" s="44">
        <f t="shared" si="63"/>
        <v>1328943145.2376385</v>
      </c>
      <c r="M1169" s="45">
        <f t="shared" si="65"/>
        <v>346118423.41711998</v>
      </c>
    </row>
    <row r="1170" spans="1:13" ht="12.65" customHeight="1">
      <c r="A1170" s="33">
        <v>44698</v>
      </c>
      <c r="B1170" s="46">
        <v>10271671608.211901</v>
      </c>
      <c r="C1170" s="56">
        <f>15175535098.2522+872835245.35802</f>
        <v>16048370343.61022</v>
      </c>
      <c r="F1170" s="45">
        <f t="shared" si="64"/>
        <v>5776698735.3983192</v>
      </c>
      <c r="H1170" s="46">
        <v>1502802000</v>
      </c>
      <c r="I1170" s="50">
        <f>1706164333.04945+99089774.6261</f>
        <v>1805254107.67555</v>
      </c>
      <c r="L1170" s="44">
        <f t="shared" si="63"/>
        <v>6079150843.0738697</v>
      </c>
      <c r="M1170" s="45">
        <f t="shared" si="65"/>
        <v>302452107.67554998</v>
      </c>
    </row>
    <row r="1171" spans="1:13" ht="12.65" customHeight="1">
      <c r="A1171" s="33">
        <v>44699</v>
      </c>
      <c r="B1171" s="46">
        <v>10271671608.211901</v>
      </c>
      <c r="C1171" s="56">
        <f>14830804256.1852+966950827.13207</f>
        <v>15797755083.31727</v>
      </c>
      <c r="F1171" s="45">
        <f t="shared" si="64"/>
        <v>5526083475.1053696</v>
      </c>
      <c r="H1171" s="46">
        <v>1502802000</v>
      </c>
      <c r="I1171" s="50">
        <f>1642315506.5393+101628393.40179</f>
        <v>1743943899.9410899</v>
      </c>
      <c r="L1171" s="44">
        <f t="shared" si="63"/>
        <v>5767225375.0464592</v>
      </c>
      <c r="M1171" s="45">
        <f t="shared" si="65"/>
        <v>241141899.94108987</v>
      </c>
    </row>
    <row r="1172" spans="1:13" ht="12.65" customHeight="1">
      <c r="A1172" s="33">
        <v>44700</v>
      </c>
      <c r="B1172" s="46">
        <v>10271671608.211901</v>
      </c>
      <c r="C1172" s="56">
        <f>12066752899.4717+1064343683.35905</f>
        <v>13131096582.830751</v>
      </c>
      <c r="F1172" s="45">
        <f t="shared" si="64"/>
        <v>2859424974.6188507</v>
      </c>
      <c r="H1172" s="46">
        <v>1502802000</v>
      </c>
      <c r="I1172" s="50">
        <f>1630705864.78961+103287880.57879</f>
        <v>1733993745.3683999</v>
      </c>
      <c r="L1172" s="44">
        <f t="shared" si="63"/>
        <v>3090616719.9872503</v>
      </c>
      <c r="M1172" s="45">
        <f t="shared" si="65"/>
        <v>231191745.36839986</v>
      </c>
    </row>
    <row r="1173" spans="1:13" ht="12.65" customHeight="1">
      <c r="A1173" s="33">
        <v>44701</v>
      </c>
      <c r="B1173" s="46">
        <v>10271671608.211901</v>
      </c>
      <c r="C1173" s="56">
        <f>10210281070.4216+1064343683.35905</f>
        <v>11274624753.780651</v>
      </c>
      <c r="F1173" s="45">
        <f t="shared" si="64"/>
        <v>1002953145.5687504</v>
      </c>
      <c r="H1173" s="46">
        <v>1502802000</v>
      </c>
      <c r="I1173" s="50">
        <f>1542541506.50787+103287880.57879</f>
        <v>1645829387.0866599</v>
      </c>
      <c r="L1173" s="44">
        <f t="shared" si="63"/>
        <v>1145980532.6554103</v>
      </c>
      <c r="M1173" s="45">
        <f t="shared" si="65"/>
        <v>143027387.08665991</v>
      </c>
    </row>
    <row r="1174" spans="1:13" ht="12.65" customHeight="1">
      <c r="A1174" s="33">
        <v>44704</v>
      </c>
      <c r="B1174" s="46">
        <v>10271671608.211901</v>
      </c>
      <c r="C1174" s="56">
        <f>9314832105.45769+856454671.20076</f>
        <v>10171286776.658449</v>
      </c>
      <c r="F1174" s="45">
        <f t="shared" si="64"/>
        <v>-100384831.55345154</v>
      </c>
      <c r="H1174" s="46">
        <v>1502802000</v>
      </c>
      <c r="I1174" s="50">
        <f>1579854255.94988+113503476.54177</f>
        <v>1693357732.4916499</v>
      </c>
      <c r="L1174" s="44">
        <f t="shared" si="63"/>
        <v>90170900.938198328</v>
      </c>
      <c r="M1174" s="45">
        <f t="shared" si="65"/>
        <v>190555732.49164987</v>
      </c>
    </row>
    <row r="1175" spans="1:13" ht="12.65" customHeight="1">
      <c r="A1175" s="33">
        <v>44705</v>
      </c>
      <c r="B1175" s="46">
        <v>10271671608.211901</v>
      </c>
      <c r="C1175" s="56">
        <f>10820746525.7169+1003537155.17631</f>
        <v>11824283680.893209</v>
      </c>
      <c r="F1175" s="45">
        <f t="shared" si="64"/>
        <v>1552612072.6813087</v>
      </c>
      <c r="H1175" s="46">
        <v>1502802000</v>
      </c>
      <c r="I1175" s="50">
        <f>1374426823.08065+112050416.95277</f>
        <v>1486477240.0334201</v>
      </c>
      <c r="L1175" s="44">
        <f t="shared" si="63"/>
        <v>1536287312.7147288</v>
      </c>
      <c r="M1175" s="45">
        <f t="shared" si="65"/>
        <v>-16324759.966579914</v>
      </c>
    </row>
    <row r="1176" spans="1:13" ht="12.65" customHeight="1">
      <c r="A1176" s="33">
        <v>44706</v>
      </c>
      <c r="B1176" s="46">
        <v>10271671608.211901</v>
      </c>
      <c r="C1176" s="56">
        <f>7946687761.51955+1160021238.67658</f>
        <v>9106709000.1961308</v>
      </c>
      <c r="F1176" s="45">
        <f t="shared" si="64"/>
        <v>-1164962608.01577</v>
      </c>
      <c r="H1176" s="46">
        <v>1502802000</v>
      </c>
      <c r="I1176" s="50">
        <f>1335071568.55251+116788423.71433</f>
        <v>1451859992.26684</v>
      </c>
      <c r="L1176" s="44">
        <f t="shared" si="63"/>
        <v>-1215904615.74893</v>
      </c>
      <c r="M1176" s="45">
        <f t="shared" si="65"/>
        <v>-50942007.733160019</v>
      </c>
    </row>
    <row r="1177" spans="1:13" ht="12.65" customHeight="1">
      <c r="A1177" s="33">
        <v>44707</v>
      </c>
      <c r="B1177" s="46">
        <v>10271671608.211901</v>
      </c>
      <c r="C1177" s="56">
        <f>7946687761.51955+1160021238.67658</f>
        <v>9106709000.1961308</v>
      </c>
      <c r="F1177" s="45">
        <f t="shared" si="64"/>
        <v>-1164962608.01577</v>
      </c>
      <c r="H1177" s="46">
        <v>1502802000</v>
      </c>
      <c r="I1177" s="50">
        <f>1335071568.55251+116788423.71433</f>
        <v>1451859992.26684</v>
      </c>
      <c r="L1177" s="44">
        <f t="shared" si="63"/>
        <v>-1215904615.74893</v>
      </c>
      <c r="M1177" s="45">
        <f t="shared" si="65"/>
        <v>-50942007.733160019</v>
      </c>
    </row>
    <row r="1178" spans="1:13" ht="12.65" customHeight="1">
      <c r="A1178" s="33">
        <v>44708</v>
      </c>
      <c r="B1178" s="46">
        <v>10271671608.211901</v>
      </c>
      <c r="C1178" s="56">
        <f>5542831434.21673+885944339.79836</f>
        <v>6428775774.01509</v>
      </c>
      <c r="F1178" s="45">
        <f t="shared" si="64"/>
        <v>-3842895834.1968107</v>
      </c>
      <c r="H1178" s="46">
        <v>1502802000</v>
      </c>
      <c r="I1178" s="50">
        <f>1324640465.22145+126272365.81263</f>
        <v>1450912831.03408</v>
      </c>
      <c r="L1178" s="44">
        <f t="shared" si="63"/>
        <v>-3894785003.1627307</v>
      </c>
      <c r="M1178" s="45">
        <f t="shared" si="65"/>
        <v>-51889168.965919971</v>
      </c>
    </row>
    <row r="1179" spans="1:13" ht="12.65" customHeight="1">
      <c r="A1179" s="33">
        <v>44711</v>
      </c>
      <c r="B1179" s="46">
        <v>10271671608.211901</v>
      </c>
      <c r="C1179" s="56">
        <f>4336368040.4785+1181514258.91295</f>
        <v>5517882299.3914509</v>
      </c>
      <c r="F1179" s="45">
        <f t="shared" si="64"/>
        <v>-4753789308.8204498</v>
      </c>
      <c r="H1179" s="46">
        <v>1502802000</v>
      </c>
      <c r="I1179" s="50">
        <f>1409241373.12743+86973501.94533</f>
        <v>1496214875.0727599</v>
      </c>
      <c r="L1179" s="44">
        <f t="shared" si="63"/>
        <v>-4760376433.7476902</v>
      </c>
      <c r="M1179" s="45">
        <f t="shared" si="65"/>
        <v>-6587124.9272401333</v>
      </c>
    </row>
    <row r="1180" spans="1:13" ht="12.65" customHeight="1">
      <c r="A1180" s="33">
        <v>44712</v>
      </c>
      <c r="B1180" s="46">
        <v>10271671608.211901</v>
      </c>
      <c r="C1180" s="56">
        <f>4111502075.10212+949325182.14198</f>
        <v>5060827257.2440996</v>
      </c>
      <c r="F1180" s="45">
        <f t="shared" si="64"/>
        <v>-5210844350.9678011</v>
      </c>
      <c r="H1180" s="46">
        <v>1502802000</v>
      </c>
      <c r="I1180" s="50">
        <f>1015695054.17229+91289397.47324</f>
        <v>1106984451.64553</v>
      </c>
      <c r="L1180" s="44">
        <f t="shared" si="63"/>
        <v>-5606661899.3222713</v>
      </c>
      <c r="M1180" s="45">
        <f t="shared" si="65"/>
        <v>-395817548.35447001</v>
      </c>
    </row>
    <row r="1181" spans="1:13" ht="12.65" customHeight="1">
      <c r="A1181" s="33">
        <v>44713</v>
      </c>
      <c r="B1181" s="46">
        <v>12351301285.731899</v>
      </c>
      <c r="C1181" s="56">
        <f>4111502075.10212+949325182.14198</f>
        <v>5060827257.2440996</v>
      </c>
      <c r="F1181" s="45">
        <f t="shared" si="64"/>
        <v>-7290474028.4877996</v>
      </c>
      <c r="H1181" s="46">
        <v>1502802000</v>
      </c>
      <c r="I1181" s="50">
        <f>1015695054.17229+91289397.47324</f>
        <v>1106984451.64553</v>
      </c>
      <c r="L1181" s="44">
        <f t="shared" si="63"/>
        <v>-7686291576.8422699</v>
      </c>
      <c r="M1181" s="45">
        <f t="shared" si="65"/>
        <v>-395817548.35447001</v>
      </c>
    </row>
    <row r="1182" spans="1:13" ht="12.65" customHeight="1">
      <c r="A1182" s="33">
        <v>44714</v>
      </c>
      <c r="B1182" s="46">
        <v>12351301285.731899</v>
      </c>
      <c r="C1182" s="56">
        <f>12865440265.0622+857583966.60618</f>
        <v>13723024231.668381</v>
      </c>
      <c r="F1182" s="45">
        <f t="shared" si="64"/>
        <v>1371722945.9364815</v>
      </c>
      <c r="H1182" s="46">
        <v>1608994000</v>
      </c>
      <c r="I1182" s="50">
        <f>1820887965.95848+98774915.57832</f>
        <v>1919662881.5367999</v>
      </c>
      <c r="L1182" s="44">
        <f t="shared" si="63"/>
        <v>1682391827.4732814</v>
      </c>
      <c r="M1182" s="45">
        <f t="shared" si="65"/>
        <v>310668881.53679991</v>
      </c>
    </row>
    <row r="1183" spans="1:13" ht="12.65" customHeight="1">
      <c r="A1183" s="33">
        <f t="shared" ref="A1183:A1249" si="66">WORKDAY(A1182,1)</f>
        <v>44715</v>
      </c>
      <c r="B1183" s="46">
        <v>12351301285.731899</v>
      </c>
      <c r="C1183" s="56">
        <f>16459081355.2286+1019565305.2531</f>
        <v>17478646660.481701</v>
      </c>
      <c r="F1183" s="45">
        <f t="shared" si="64"/>
        <v>5127345374.7498016</v>
      </c>
      <c r="H1183" s="46">
        <v>1608994000</v>
      </c>
      <c r="I1183" s="50">
        <f>1737623764.78791+96940553.25532</f>
        <v>1834564318.0432301</v>
      </c>
      <c r="L1183" s="44">
        <f t="shared" si="63"/>
        <v>5352915692.7930317</v>
      </c>
      <c r="M1183" s="45">
        <f t="shared" si="65"/>
        <v>225570318.04323006</v>
      </c>
    </row>
    <row r="1184" spans="1:13" ht="12.65" customHeight="1">
      <c r="A1184" s="33">
        <f t="shared" si="66"/>
        <v>44718</v>
      </c>
      <c r="B1184" s="46">
        <v>12351301285.731899</v>
      </c>
      <c r="C1184" s="56">
        <f>14244196633.1186+891513051.2022</f>
        <v>15135709684.320801</v>
      </c>
      <c r="F1184" s="45">
        <f t="shared" si="64"/>
        <v>2784408398.5889015</v>
      </c>
      <c r="H1184" s="46">
        <v>1608994000</v>
      </c>
      <c r="I1184" s="50">
        <f>1728665156.77666+100809031.96432</f>
        <v>1829474188.7409799</v>
      </c>
      <c r="L1184" s="44">
        <f t="shared" si="63"/>
        <v>3004888587.3298817</v>
      </c>
      <c r="M1184" s="45">
        <f t="shared" si="65"/>
        <v>220480188.74097991</v>
      </c>
    </row>
    <row r="1185" spans="1:13" ht="12.65" customHeight="1">
      <c r="A1185" s="33">
        <f t="shared" si="66"/>
        <v>44719</v>
      </c>
      <c r="B1185" s="46">
        <v>12351301285.731899</v>
      </c>
      <c r="C1185" s="56">
        <f>13922617417.7188+798768197.80393</f>
        <v>14721385615.52273</v>
      </c>
      <c r="F1185" s="45">
        <f t="shared" si="64"/>
        <v>2370084329.7908306</v>
      </c>
      <c r="H1185" s="46">
        <v>1608994000</v>
      </c>
      <c r="I1185" s="50">
        <f>1638041156.91379+104531326.95992</f>
        <v>1742572483.8737099</v>
      </c>
      <c r="L1185" s="44">
        <f t="shared" si="63"/>
        <v>2503662813.6645403</v>
      </c>
      <c r="M1185" s="45">
        <f t="shared" si="65"/>
        <v>133578483.87370992</v>
      </c>
    </row>
    <row r="1186" spans="1:13" ht="12.65" customHeight="1">
      <c r="A1186" s="33">
        <f t="shared" si="66"/>
        <v>44720</v>
      </c>
      <c r="B1186" s="46">
        <v>12351301285.731899</v>
      </c>
      <c r="C1186" s="56">
        <f>11975481997.9574+940259730.72175</f>
        <v>12915741728.67915</v>
      </c>
      <c r="F1186" s="45">
        <f t="shared" si="64"/>
        <v>564440442.94725037</v>
      </c>
      <c r="H1186" s="46">
        <v>1608994000</v>
      </c>
      <c r="I1186" s="50">
        <f>1659337904.82789+106240097.20092</f>
        <v>1765578002.02881</v>
      </c>
      <c r="L1186" s="44">
        <f t="shared" si="63"/>
        <v>721024444.97606039</v>
      </c>
      <c r="M1186" s="45">
        <f t="shared" si="65"/>
        <v>156584002.02881002</v>
      </c>
    </row>
    <row r="1187" spans="1:13" ht="12.65" customHeight="1">
      <c r="A1187" s="33">
        <f t="shared" si="66"/>
        <v>44721</v>
      </c>
      <c r="B1187" s="46">
        <v>12351301285.731899</v>
      </c>
      <c r="C1187" s="56">
        <f>10685505298.5269+829368300.84563</f>
        <v>11514873599.37253</v>
      </c>
      <c r="F1187" s="45">
        <f t="shared" si="64"/>
        <v>-836427686.35936928</v>
      </c>
      <c r="H1187" s="46">
        <v>1608994000</v>
      </c>
      <c r="I1187" s="50">
        <f>1772439568.18355+109409521.09092</f>
        <v>1881849089.2744699</v>
      </c>
      <c r="L1187" s="44">
        <f t="shared" si="63"/>
        <v>-563572597.08489943</v>
      </c>
      <c r="M1187" s="45">
        <f t="shared" si="65"/>
        <v>272855089.27446985</v>
      </c>
    </row>
    <row r="1188" spans="1:13" ht="12.65" customHeight="1">
      <c r="A1188" s="33">
        <f t="shared" si="66"/>
        <v>44722</v>
      </c>
      <c r="B1188" s="46">
        <v>12351301285.731899</v>
      </c>
      <c r="C1188" s="56">
        <f>11757237590.2292+986799317.20729</f>
        <v>12744036907.436491</v>
      </c>
      <c r="F1188" s="45">
        <f t="shared" si="64"/>
        <v>392735621.70459175</v>
      </c>
      <c r="H1188" s="46">
        <v>1608994000</v>
      </c>
      <c r="I1188" s="50">
        <f>1546396580.87403+111578418.68575</f>
        <v>1657974999.5597801</v>
      </c>
      <c r="L1188" s="44">
        <f t="shared" si="63"/>
        <v>441716621.26437187</v>
      </c>
      <c r="M1188" s="45">
        <f t="shared" si="65"/>
        <v>48980999.559780121</v>
      </c>
    </row>
    <row r="1189" spans="1:13" ht="12.65" customHeight="1">
      <c r="A1189" s="33">
        <f t="shared" si="66"/>
        <v>44725</v>
      </c>
      <c r="B1189" s="46">
        <v>12351301285.731899</v>
      </c>
      <c r="C1189" s="56">
        <f>11841581911.7453+1339710734.57296</f>
        <v>13181292646.31826</v>
      </c>
      <c r="F1189" s="45">
        <f t="shared" si="64"/>
        <v>829991360.58636093</v>
      </c>
      <c r="H1189" s="46">
        <v>1608994000</v>
      </c>
      <c r="I1189" s="50">
        <f>1300175237.06185+118128100.91771</f>
        <v>1418303337.9795601</v>
      </c>
      <c r="L1189" s="44">
        <f t="shared" si="63"/>
        <v>639300698.56592107</v>
      </c>
      <c r="M1189" s="45">
        <f t="shared" si="65"/>
        <v>-190690662.02043986</v>
      </c>
    </row>
    <row r="1190" spans="1:13" ht="12.65" customHeight="1">
      <c r="A1190" s="33">
        <f t="shared" si="66"/>
        <v>44726</v>
      </c>
      <c r="B1190" s="46">
        <v>12351301285.731899</v>
      </c>
      <c r="C1190" s="56">
        <f>6143929528.20793+878292177.4145</f>
        <v>7022221705.6224298</v>
      </c>
      <c r="F1190" s="45">
        <f t="shared" si="64"/>
        <v>-5329079580.1094694</v>
      </c>
      <c r="H1190" s="46">
        <v>1608994000</v>
      </c>
      <c r="I1190" s="50">
        <f>1131112710.05435+119804019.03171</f>
        <v>1250916729.0860598</v>
      </c>
      <c r="L1190" s="44">
        <f t="shared" si="63"/>
        <v>-5687156851.0234098</v>
      </c>
      <c r="M1190" s="45">
        <f t="shared" si="65"/>
        <v>-358077270.91394019</v>
      </c>
    </row>
    <row r="1191" spans="1:13" ht="12.65" customHeight="1">
      <c r="A1191" s="33">
        <f t="shared" si="66"/>
        <v>44727</v>
      </c>
      <c r="B1191" s="46">
        <v>12351301285.731899</v>
      </c>
      <c r="C1191" s="56">
        <f>5561809695.64778+1015326350.76249</f>
        <v>6577136046.4102707</v>
      </c>
      <c r="F1191" s="45">
        <f t="shared" si="64"/>
        <v>-5774165239.3216286</v>
      </c>
      <c r="H1191" s="46">
        <v>1608994000</v>
      </c>
      <c r="I1191" s="50">
        <f>1022157138.10581+121757059.9087</f>
        <v>1143914198.0145102</v>
      </c>
      <c r="L1191" s="44">
        <f t="shared" si="63"/>
        <v>-6239245041.3071184</v>
      </c>
      <c r="M1191" s="45">
        <f t="shared" si="65"/>
        <v>-465079801.98548985</v>
      </c>
    </row>
    <row r="1192" spans="1:13" ht="12.65" customHeight="1">
      <c r="A1192" s="33">
        <f t="shared" si="66"/>
        <v>44728</v>
      </c>
      <c r="B1192" s="46">
        <v>12262377448.102699</v>
      </c>
      <c r="C1192" s="56">
        <f>11117351067.621+1154356082.27447</f>
        <v>12271707149.89547</v>
      </c>
      <c r="F1192" s="45">
        <f t="shared" si="64"/>
        <v>9329701.7927703857</v>
      </c>
      <c r="H1192" s="46">
        <v>1636672000</v>
      </c>
      <c r="I1192" s="50">
        <f>1804805903.13401+123319773.1987</f>
        <v>1928125676.33271</v>
      </c>
      <c r="L1192" s="44">
        <f t="shared" si="63"/>
        <v>300783378.12548041</v>
      </c>
      <c r="M1192" s="45">
        <f t="shared" si="65"/>
        <v>291453676.33271003</v>
      </c>
    </row>
    <row r="1193" spans="1:13" ht="12.65" customHeight="1">
      <c r="A1193" s="33">
        <f t="shared" si="66"/>
        <v>44729</v>
      </c>
      <c r="B1193" s="46">
        <v>12262377448.102699</v>
      </c>
      <c r="C1193" s="56">
        <f>12291358620.7498+889955263.82413</f>
        <v>13181313884.573929</v>
      </c>
      <c r="F1193" s="45">
        <f t="shared" si="64"/>
        <v>918936436.47122955</v>
      </c>
      <c r="H1193" s="46">
        <v>1636672000</v>
      </c>
      <c r="I1193" s="50">
        <f>1940055599.44849+79149352.77405</f>
        <v>2019204952.2225399</v>
      </c>
      <c r="L1193" s="44">
        <f t="shared" si="63"/>
        <v>1301469388.6937695</v>
      </c>
      <c r="M1193" s="45">
        <f t="shared" si="65"/>
        <v>382532952.2225399</v>
      </c>
    </row>
    <row r="1194" spans="1:13" ht="12.65" customHeight="1">
      <c r="A1194" s="33">
        <f t="shared" si="66"/>
        <v>44732</v>
      </c>
      <c r="B1194" s="46">
        <v>12262377448.102699</v>
      </c>
      <c r="C1194" s="56">
        <f>16704057364.7312+1193812513.14303</f>
        <v>17897869877.874229</v>
      </c>
      <c r="F1194" s="45">
        <f t="shared" si="64"/>
        <v>5635492429.7715302</v>
      </c>
      <c r="H1194" s="46">
        <v>1636672000</v>
      </c>
      <c r="I1194" s="50">
        <f>1901543145.02833+87575285.13812</f>
        <v>1989118430.16645</v>
      </c>
      <c r="L1194" s="44">
        <f t="shared" si="63"/>
        <v>5987938859.9379807</v>
      </c>
      <c r="M1194" s="45">
        <f t="shared" si="65"/>
        <v>352446430.16645002</v>
      </c>
    </row>
    <row r="1195" spans="1:13" ht="12.65" customHeight="1">
      <c r="A1195" s="33">
        <f t="shared" si="66"/>
        <v>44733</v>
      </c>
      <c r="B1195" s="46">
        <v>12262377448.102699</v>
      </c>
      <c r="C1195" s="56">
        <f>14527210145.9427+875836474.79688</f>
        <v>15403046620.73958</v>
      </c>
      <c r="F1195" s="45">
        <f t="shared" si="64"/>
        <v>3140669172.6368809</v>
      </c>
      <c r="H1195" s="46">
        <v>1636672000</v>
      </c>
      <c r="I1195" s="50">
        <f>1829050341.17592+89921399.48862</f>
        <v>1918971740.6645401</v>
      </c>
      <c r="L1195" s="44">
        <f t="shared" si="63"/>
        <v>3422968913.3014212</v>
      </c>
      <c r="M1195" s="45">
        <f t="shared" si="65"/>
        <v>282299740.66454005</v>
      </c>
    </row>
    <row r="1196" spans="1:13" ht="12.65" customHeight="1">
      <c r="A1196" s="33">
        <f t="shared" si="66"/>
        <v>44734</v>
      </c>
      <c r="B1196" s="46">
        <v>12262377448.102699</v>
      </c>
      <c r="C1196" s="56">
        <f>12165489389.3355+1018342365.90766</f>
        <v>13183831755.24316</v>
      </c>
      <c r="F1196" s="45">
        <f t="shared" si="64"/>
        <v>921454307.14046097</v>
      </c>
      <c r="H1196" s="46">
        <v>1636672000</v>
      </c>
      <c r="I1196" s="56">
        <f>1437628281.36909+93158119.17162</f>
        <v>1530786400.54071</v>
      </c>
      <c r="L1196" s="44">
        <f t="shared" si="63"/>
        <v>815568707.68117094</v>
      </c>
      <c r="M1196" s="45">
        <f t="shared" si="65"/>
        <v>-105885599.45929003</v>
      </c>
    </row>
    <row r="1197" spans="1:13" ht="12.65" customHeight="1">
      <c r="A1197" s="33">
        <f t="shared" si="66"/>
        <v>44735</v>
      </c>
      <c r="B1197" s="46">
        <v>12262377448.102699</v>
      </c>
      <c r="C1197" s="56">
        <f>13953975954.9276+1161145087.17315</f>
        <v>15115121042.10075</v>
      </c>
      <c r="F1197" s="45">
        <f t="shared" si="64"/>
        <v>2852743593.9980507</v>
      </c>
      <c r="H1197" s="46">
        <v>1636672000</v>
      </c>
      <c r="I1197" s="50">
        <f>1604855628.35314+95388844.50793</f>
        <v>1700244472.8610702</v>
      </c>
      <c r="L1197" s="44">
        <f t="shared" si="63"/>
        <v>2916316066.8591208</v>
      </c>
      <c r="M1197" s="45">
        <f t="shared" si="65"/>
        <v>63572472.861070156</v>
      </c>
    </row>
    <row r="1198" spans="1:13" ht="12.65" customHeight="1">
      <c r="A1198" s="33">
        <f t="shared" si="66"/>
        <v>44736</v>
      </c>
      <c r="B1198" s="46">
        <v>12262377448.102699</v>
      </c>
      <c r="C1198" s="56">
        <v>15657777429.542801</v>
      </c>
      <c r="F1198" s="45">
        <f t="shared" si="64"/>
        <v>3395399981.4401016</v>
      </c>
      <c r="H1198" s="46">
        <v>1636672000</v>
      </c>
      <c r="I1198" s="50">
        <v>1560187679.32336</v>
      </c>
      <c r="L1198" s="44">
        <f t="shared" si="63"/>
        <v>3318915660.7634616</v>
      </c>
      <c r="M1198" s="45">
        <f t="shared" si="65"/>
        <v>-76484320.676640034</v>
      </c>
    </row>
    <row r="1199" spans="1:13" ht="12.65" customHeight="1">
      <c r="A1199" s="33">
        <f t="shared" si="66"/>
        <v>44739</v>
      </c>
      <c r="B1199" s="46">
        <v>12262377448.102699</v>
      </c>
      <c r="C1199" s="56">
        <f>10573673107.1312+951823457.31353</f>
        <v>11525496564.444731</v>
      </c>
      <c r="F1199" s="45">
        <f t="shared" si="64"/>
        <v>-736880883.65796852</v>
      </c>
      <c r="H1199" s="46">
        <v>1636672000</v>
      </c>
      <c r="I1199" s="50">
        <f>1464077817.38458+109449768.71696</f>
        <v>1573527586.1015399</v>
      </c>
      <c r="L1199" s="44">
        <f t="shared" si="63"/>
        <v>-800025297.55642867</v>
      </c>
      <c r="M1199" s="45">
        <f t="shared" si="65"/>
        <v>-63144413.89846015</v>
      </c>
    </row>
    <row r="1200" spans="1:13" ht="12.65" customHeight="1">
      <c r="A1200" s="33">
        <f t="shared" si="66"/>
        <v>44740</v>
      </c>
      <c r="B1200" s="46">
        <v>12262377448.102699</v>
      </c>
      <c r="C1200" s="56">
        <f>9019851613.41712+1157147333.44566</f>
        <v>10176998946.86278</v>
      </c>
      <c r="F1200" s="45">
        <f t="shared" si="64"/>
        <v>-2085378501.2399197</v>
      </c>
      <c r="H1200" s="46">
        <v>1636672000</v>
      </c>
      <c r="I1200" s="50">
        <f>1335208308.06039+114081846.97836</f>
        <v>1449290155.0387499</v>
      </c>
      <c r="L1200" s="44">
        <f t="shared" si="63"/>
        <v>-2272760346.20117</v>
      </c>
      <c r="M1200" s="45">
        <f t="shared" si="65"/>
        <v>-187381844.96125007</v>
      </c>
    </row>
    <row r="1201" spans="1:13" ht="12.65" customHeight="1">
      <c r="A1201" s="33">
        <f t="shared" si="66"/>
        <v>44741</v>
      </c>
      <c r="B1201" s="46">
        <v>12262377448.102699</v>
      </c>
      <c r="C1201" s="56">
        <f>7763474315.12923+937000966.92872</f>
        <v>8700475282.0579491</v>
      </c>
      <c r="F1201" s="45">
        <f t="shared" si="64"/>
        <v>-3561902166.0447502</v>
      </c>
      <c r="H1201" s="46">
        <v>1636672000</v>
      </c>
      <c r="I1201" s="50">
        <f>1410485039.62853+118212445.60936</f>
        <v>1528697485.23789</v>
      </c>
      <c r="L1201" s="44">
        <f t="shared" si="63"/>
        <v>-3669876680.80686</v>
      </c>
      <c r="M1201" s="45">
        <f t="shared" si="65"/>
        <v>-107974514.76210999</v>
      </c>
    </row>
    <row r="1202" spans="1:13" ht="12.65" customHeight="1">
      <c r="A1202" s="33">
        <f t="shared" si="66"/>
        <v>44742</v>
      </c>
      <c r="B1202" s="46">
        <v>12262377448.102699</v>
      </c>
      <c r="C1202" s="56">
        <f>2750352219.82215+1168547086.39583</f>
        <v>3918899306.2179804</v>
      </c>
      <c r="F1202" s="45">
        <f t="shared" si="64"/>
        <v>-8343478141.8847189</v>
      </c>
      <c r="H1202" s="46">
        <v>1636672000</v>
      </c>
      <c r="I1202" s="50">
        <f>1177516649.20082+120438815.2653</f>
        <v>1297955464.46612</v>
      </c>
      <c r="L1202" s="44">
        <f t="shared" si="63"/>
        <v>-8682194677.4185982</v>
      </c>
      <c r="M1202" s="45">
        <f t="shared" si="65"/>
        <v>-338716535.53388</v>
      </c>
    </row>
    <row r="1203" spans="1:13" ht="12.65" customHeight="1">
      <c r="A1203" s="33">
        <f t="shared" si="66"/>
        <v>44743</v>
      </c>
      <c r="B1203" s="46">
        <v>15611850845.107401</v>
      </c>
      <c r="C1203" s="56">
        <f>20006406145.2455+998319321.86338</f>
        <v>21004725467.108879</v>
      </c>
      <c r="F1203" s="45">
        <f t="shared" si="64"/>
        <v>5392874622.0014782</v>
      </c>
      <c r="H1203" s="46">
        <v>2140603000</v>
      </c>
      <c r="I1203" s="50">
        <f>2833376761.7287+125906029.73581</f>
        <v>2959282791.46451</v>
      </c>
      <c r="L1203" s="44">
        <f t="shared" ref="L1203:L1213" si="67">F1203+M1203</f>
        <v>6211554413.4659882</v>
      </c>
      <c r="M1203" s="45">
        <f t="shared" ref="M1203:M1213" si="68">I1203-H1203</f>
        <v>818679791.46450996</v>
      </c>
    </row>
    <row r="1204" spans="1:13" ht="12.65" customHeight="1">
      <c r="A1204" s="33">
        <f t="shared" si="66"/>
        <v>44746</v>
      </c>
      <c r="B1204" s="46">
        <v>15611850845.107401</v>
      </c>
      <c r="C1204" s="56">
        <f>20733730943.69+1057291133.90656</f>
        <v>21791022077.596558</v>
      </c>
      <c r="F1204" s="45">
        <f t="shared" si="64"/>
        <v>6179171232.4891567</v>
      </c>
      <c r="H1204" s="46">
        <v>2140603000</v>
      </c>
      <c r="I1204" s="50">
        <f>2309192737.05102+136826514.09754</f>
        <v>2446019251.14856</v>
      </c>
      <c r="L1204" s="44">
        <f t="shared" si="67"/>
        <v>6484587483.6377163</v>
      </c>
      <c r="M1204" s="45">
        <f t="shared" si="68"/>
        <v>305416251.14856005</v>
      </c>
    </row>
    <row r="1205" spans="1:13" ht="12.65" customHeight="1">
      <c r="A1205" s="33">
        <f t="shared" si="66"/>
        <v>44747</v>
      </c>
      <c r="B1205" s="46">
        <v>15611850845.107401</v>
      </c>
      <c r="C1205" s="56">
        <f>19093075270.0589+1250682275.64709</f>
        <v>20343757545.70599</v>
      </c>
      <c r="F1205" s="45">
        <f t="shared" si="64"/>
        <v>4731906700.5985889</v>
      </c>
      <c r="H1205" s="46">
        <v>2140603000</v>
      </c>
      <c r="I1205" s="50">
        <f>2243132210.95269+85629964.66512</f>
        <v>2328762175.6178102</v>
      </c>
      <c r="L1205" s="44">
        <f t="shared" si="67"/>
        <v>4920065876.2163992</v>
      </c>
      <c r="M1205" s="45">
        <f t="shared" si="68"/>
        <v>188159175.61781025</v>
      </c>
    </row>
    <row r="1206" spans="1:13" ht="12.65" customHeight="1">
      <c r="A1206" s="33">
        <f t="shared" si="66"/>
        <v>44748</v>
      </c>
      <c r="B1206" s="46">
        <v>15611850845.107401</v>
      </c>
      <c r="C1206" s="56">
        <f>20169460653.4821+1047294102.86478</f>
        <v>21216754756.346882</v>
      </c>
      <c r="F1206" s="45">
        <f t="shared" si="64"/>
        <v>5604903911.239481</v>
      </c>
      <c r="H1206" s="46">
        <v>2140603000</v>
      </c>
      <c r="I1206" s="50">
        <f>2442831959.29828+86712811.43612</f>
        <v>2529544770.7343998</v>
      </c>
      <c r="L1206" s="44">
        <f t="shared" si="67"/>
        <v>5993845681.9738808</v>
      </c>
      <c r="M1206" s="45">
        <f t="shared" si="68"/>
        <v>388941770.7343998</v>
      </c>
    </row>
    <row r="1207" spans="1:13" ht="12.65" customHeight="1">
      <c r="A1207" s="33">
        <f t="shared" si="66"/>
        <v>44749</v>
      </c>
      <c r="B1207" s="46">
        <v>15611850845.107401</v>
      </c>
      <c r="C1207" s="56">
        <f>19244895327.3229+1212811423.47284</f>
        <v>20457706750.795738</v>
      </c>
      <c r="F1207" s="45">
        <f t="shared" si="64"/>
        <v>4845855905.6883373</v>
      </c>
      <c r="H1207" s="46">
        <v>2140603000</v>
      </c>
      <c r="I1207" s="50">
        <f>2309459512.52351+89468499.55012</f>
        <v>2398928012.0736299</v>
      </c>
      <c r="L1207" s="44">
        <f t="shared" si="67"/>
        <v>5104180917.7619667</v>
      </c>
      <c r="M1207" s="45">
        <f t="shared" si="68"/>
        <v>258325012.07362986</v>
      </c>
    </row>
    <row r="1208" spans="1:13" ht="12.65" customHeight="1">
      <c r="A1208" s="33">
        <f t="shared" si="66"/>
        <v>44750</v>
      </c>
      <c r="B1208" s="46">
        <v>15611850845.107401</v>
      </c>
      <c r="C1208" s="56">
        <f>11033428646.9784+982703319.06869</f>
        <v>12016131966.047089</v>
      </c>
      <c r="F1208" s="45">
        <f t="shared" si="64"/>
        <v>-3595718879.0603123</v>
      </c>
      <c r="H1208" s="46">
        <v>2140603000</v>
      </c>
      <c r="I1208" s="50">
        <f>3980226322.1447+91863162.90262</f>
        <v>4072089485.0473199</v>
      </c>
      <c r="L1208" s="44">
        <f t="shared" si="67"/>
        <v>-1664232394.0129924</v>
      </c>
      <c r="M1208" s="45">
        <f t="shared" si="68"/>
        <v>1931486485.0473199</v>
      </c>
    </row>
    <row r="1209" spans="1:13" ht="12.65" customHeight="1">
      <c r="A1209" s="33">
        <f t="shared" si="66"/>
        <v>44753</v>
      </c>
      <c r="B1209" s="46">
        <v>15611850845.107401</v>
      </c>
      <c r="C1209" s="56">
        <f>11052066615.6044+1340018876.74564</f>
        <v>12392085492.35004</v>
      </c>
      <c r="F1209" s="45">
        <f t="shared" si="64"/>
        <v>-3219765352.7573605</v>
      </c>
      <c r="H1209" s="46">
        <v>2140603000</v>
      </c>
      <c r="I1209" s="50">
        <f>1586723757.25125+93869732.98395</f>
        <v>1680593490.2351999</v>
      </c>
      <c r="L1209" s="44">
        <f t="shared" si="67"/>
        <v>-3679774862.5221605</v>
      </c>
      <c r="M1209" s="45">
        <f t="shared" si="68"/>
        <v>-460009509.76480007</v>
      </c>
    </row>
    <row r="1210" spans="1:13" ht="12.65" customHeight="1">
      <c r="A1210" s="33">
        <f t="shared" si="66"/>
        <v>44754</v>
      </c>
      <c r="B1210" s="46">
        <v>15611850845.107401</v>
      </c>
      <c r="C1210" s="56">
        <f>11028772495.004+907773545.29764</f>
        <v>11936546040.30164</v>
      </c>
      <c r="F1210" s="45">
        <f t="shared" si="64"/>
        <v>-3675304804.8057613</v>
      </c>
      <c r="H1210" s="46">
        <v>2140603000</v>
      </c>
      <c r="I1210" s="50">
        <f>1505413343.35381+94072584.33295</f>
        <v>1599485927.6867599</v>
      </c>
      <c r="L1210" s="44">
        <f t="shared" si="67"/>
        <v>-4216421877.1190014</v>
      </c>
      <c r="M1210" s="45">
        <f t="shared" si="68"/>
        <v>-541117072.31324005</v>
      </c>
    </row>
    <row r="1211" spans="1:13" ht="12.65" customHeight="1">
      <c r="A1211" s="33">
        <f t="shared" si="66"/>
        <v>44755</v>
      </c>
      <c r="B1211" s="46">
        <v>15611850845.107401</v>
      </c>
      <c r="C1211" s="56">
        <f>10032433827.115+1063125324.92753</f>
        <v>11095559152.04253</v>
      </c>
      <c r="F1211" s="45">
        <f t="shared" si="64"/>
        <v>-4516291693.0648708</v>
      </c>
      <c r="H1211" s="46">
        <v>2140603000</v>
      </c>
      <c r="I1211" s="50">
        <f>1429534053.51567+94509871.39748</f>
        <v>1524043924.9131501</v>
      </c>
      <c r="L1211" s="44">
        <f t="shared" si="67"/>
        <v>-5132850768.151721</v>
      </c>
      <c r="M1211" s="45">
        <f t="shared" si="68"/>
        <v>-616559075.08684993</v>
      </c>
    </row>
    <row r="1212" spans="1:13" ht="12.65" customHeight="1">
      <c r="A1212" s="33">
        <f t="shared" si="66"/>
        <v>44756</v>
      </c>
      <c r="B1212" s="46">
        <v>15611850845.107401</v>
      </c>
      <c r="C1212" s="56">
        <f>10054573987.4785+920981285.8475</f>
        <v>10975555273.326</v>
      </c>
      <c r="F1212" s="45">
        <f t="shared" si="64"/>
        <v>-4636295571.7814007</v>
      </c>
      <c r="H1212" s="46">
        <v>2140603000</v>
      </c>
      <c r="I1212" s="50">
        <f>1178019503.24377+95794415.98648</f>
        <v>1273813919.2302499</v>
      </c>
      <c r="L1212" s="44">
        <f t="shared" si="67"/>
        <v>-5503084652.5511513</v>
      </c>
      <c r="M1212" s="45">
        <f t="shared" si="68"/>
        <v>-866789080.76975012</v>
      </c>
    </row>
    <row r="1213" spans="1:13" ht="12.65" customHeight="1">
      <c r="A1213" s="33">
        <f t="shared" si="66"/>
        <v>44757</v>
      </c>
      <c r="B1213" s="46">
        <v>15611850845.107401</v>
      </c>
      <c r="C1213" s="56">
        <f>8760859777.24594+1082412524.48077</f>
        <v>9843272301.7267094</v>
      </c>
      <c r="F1213" s="45">
        <f t="shared" si="64"/>
        <v>-5768578543.3806915</v>
      </c>
      <c r="H1213" s="46">
        <v>2140603000</v>
      </c>
      <c r="I1213" s="50">
        <f>1036605483.69324+94281676.0357</f>
        <v>1130887159.72894</v>
      </c>
      <c r="L1213" s="44">
        <f t="shared" si="67"/>
        <v>-6778294383.6517515</v>
      </c>
      <c r="M1213" s="45">
        <f t="shared" si="68"/>
        <v>-1009715840.27106</v>
      </c>
    </row>
    <row r="1214" spans="1:13" ht="12.65" customHeight="1">
      <c r="A1214" s="33">
        <f t="shared" si="66"/>
        <v>44760</v>
      </c>
      <c r="B1214" s="46">
        <f>15010923153.2845</f>
        <v>15010923153.2845</v>
      </c>
      <c r="C1214" s="56">
        <f>10832770022.0439+916130279.63942</f>
        <v>11748900301.683319</v>
      </c>
      <c r="F1214" s="45">
        <f t="shared" si="64"/>
        <v>-3262022851.601181</v>
      </c>
      <c r="H1214" s="46">
        <v>2145080000</v>
      </c>
      <c r="I1214" s="50">
        <f>1971198645.54336+95753230.79489</f>
        <v>2066951876.3382499</v>
      </c>
      <c r="L1214" s="44">
        <f t="shared" ref="L1214:L1224" si="69">F1214+M1214</f>
        <v>-3340150975.2629309</v>
      </c>
      <c r="M1214" s="45">
        <f t="shared" ref="M1214:M1224" si="70">I1214-H1214</f>
        <v>-78128123.661750078</v>
      </c>
    </row>
    <row r="1215" spans="1:13" ht="12.65" customHeight="1">
      <c r="A1215" s="33">
        <f t="shared" si="66"/>
        <v>44761</v>
      </c>
      <c r="B1215" s="46">
        <f t="shared" ref="B1215:B1224" si="71">15010923153.2845</f>
        <v>15010923153.2845</v>
      </c>
      <c r="C1215" s="56">
        <f>9794943644.28445+1084240775.21911</f>
        <v>10879184419.503561</v>
      </c>
      <c r="F1215" s="45">
        <f t="shared" si="64"/>
        <v>-4131738733.7809391</v>
      </c>
      <c r="H1215" s="46">
        <v>2145080000</v>
      </c>
      <c r="I1215" s="50">
        <f>1303397068.1827+94515431.96689</f>
        <v>1397912500.14959</v>
      </c>
      <c r="L1215" s="44">
        <f t="shared" si="69"/>
        <v>-4878906233.6313496</v>
      </c>
      <c r="M1215" s="45">
        <f t="shared" si="70"/>
        <v>-747167499.85040998</v>
      </c>
    </row>
    <row r="1216" spans="1:13" ht="12.65" customHeight="1">
      <c r="A1216" s="33">
        <f t="shared" si="66"/>
        <v>44762</v>
      </c>
      <c r="B1216" s="46">
        <f t="shared" si="71"/>
        <v>15010923153.2845</v>
      </c>
      <c r="C1216" s="56">
        <f>12177001371.3677+903380235.99502</f>
        <v>13080381607.36272</v>
      </c>
      <c r="F1216" s="45">
        <f t="shared" si="64"/>
        <v>-1930541545.9217796</v>
      </c>
      <c r="H1216" s="46">
        <v>2145080000</v>
      </c>
      <c r="I1216" s="50">
        <f>1579998865.44348+91509167.54154</f>
        <v>1671508032.9850199</v>
      </c>
      <c r="L1216" s="44">
        <f t="shared" si="69"/>
        <v>-2404113512.9367599</v>
      </c>
      <c r="M1216" s="45">
        <f t="shared" si="70"/>
        <v>-473571967.01498008</v>
      </c>
    </row>
    <row r="1217" spans="1:13" ht="12.65" customHeight="1">
      <c r="A1217" s="33">
        <f t="shared" si="66"/>
        <v>44763</v>
      </c>
      <c r="B1217" s="46">
        <f t="shared" si="71"/>
        <v>15010923153.2845</v>
      </c>
      <c r="C1217" s="56">
        <f>12929506229.8116+1052039152.8493</f>
        <v>13981545382.6609</v>
      </c>
      <c r="F1217" s="45">
        <f t="shared" si="64"/>
        <v>-1029377770.6236</v>
      </c>
      <c r="H1217" s="46">
        <v>2145080000</v>
      </c>
      <c r="I1217" s="50">
        <f>1350706830.00475+90403318.61777</f>
        <v>1441110148.62252</v>
      </c>
      <c r="L1217" s="44">
        <f t="shared" si="69"/>
        <v>-1733347622.00108</v>
      </c>
      <c r="M1217" s="45">
        <f t="shared" si="70"/>
        <v>-703969851.37748003</v>
      </c>
    </row>
    <row r="1218" spans="1:13" ht="12.65" customHeight="1">
      <c r="A1218" s="33">
        <f t="shared" si="66"/>
        <v>44764</v>
      </c>
      <c r="B1218" s="46">
        <f t="shared" si="71"/>
        <v>15010923153.2845</v>
      </c>
      <c r="C1218" s="56">
        <f>16525997371.8565+862848015.58984</f>
        <v>17388845387.446342</v>
      </c>
      <c r="F1218" s="45">
        <f t="shared" si="64"/>
        <v>2377922234.1618423</v>
      </c>
      <c r="H1218" s="46">
        <v>2145080000</v>
      </c>
      <c r="I1218" s="50">
        <f>3230679871.17752+85347983.27714</f>
        <v>3316027854.4546599</v>
      </c>
      <c r="L1218" s="44">
        <f t="shared" si="69"/>
        <v>3548870088.6165023</v>
      </c>
      <c r="M1218" s="45">
        <f t="shared" si="70"/>
        <v>1170947854.4546599</v>
      </c>
    </row>
    <row r="1219" spans="1:13" ht="12.65" customHeight="1">
      <c r="A1219" s="33">
        <f t="shared" si="66"/>
        <v>44767</v>
      </c>
      <c r="B1219" s="46">
        <f t="shared" si="71"/>
        <v>15010923153.2845</v>
      </c>
      <c r="C1219" s="56">
        <f>18565738637.7257+915383033.11503</f>
        <v>19481121670.840729</v>
      </c>
      <c r="F1219" s="45">
        <f t="shared" si="64"/>
        <v>4470198517.5562286</v>
      </c>
      <c r="H1219" s="46">
        <v>2145080000</v>
      </c>
      <c r="I1219" s="50">
        <f>2915081814.37408+82626889.43854</f>
        <v>2997708703.8126202</v>
      </c>
      <c r="L1219" s="44">
        <f t="shared" si="69"/>
        <v>5322827221.3688488</v>
      </c>
      <c r="M1219" s="45">
        <f t="shared" si="70"/>
        <v>852628703.81262016</v>
      </c>
    </row>
    <row r="1220" spans="1:13" ht="12.65" customHeight="1">
      <c r="A1220" s="33">
        <f t="shared" si="66"/>
        <v>44768</v>
      </c>
      <c r="B1220" s="46">
        <f t="shared" si="71"/>
        <v>15010923153.2845</v>
      </c>
      <c r="C1220" s="56">
        <f>20823685774.6349+1127679916.50109</f>
        <v>21951365691.13599</v>
      </c>
      <c r="F1220" s="45">
        <f t="shared" si="64"/>
        <v>6940442537.85149</v>
      </c>
      <c r="H1220" s="46">
        <v>2145080000</v>
      </c>
      <c r="I1220" s="50">
        <f>2245921309.84421+84020926.43854</f>
        <v>2329942236.2827501</v>
      </c>
      <c r="L1220" s="44">
        <f t="shared" si="69"/>
        <v>7125304774.1342402</v>
      </c>
      <c r="M1220" s="45">
        <f t="shared" si="70"/>
        <v>184862236.28275013</v>
      </c>
    </row>
    <row r="1221" spans="1:13" ht="12.65" customHeight="1">
      <c r="A1221" s="33">
        <f t="shared" si="66"/>
        <v>44769</v>
      </c>
      <c r="B1221" s="46">
        <f t="shared" si="71"/>
        <v>15010923153.2845</v>
      </c>
      <c r="C1221" s="56">
        <f>20630190046.8803+929417657.60325</f>
        <v>21559607704.483547</v>
      </c>
      <c r="F1221" s="45">
        <f t="shared" si="64"/>
        <v>6548684551.1990471</v>
      </c>
      <c r="H1221" s="46">
        <v>2145080000</v>
      </c>
      <c r="I1221" s="50">
        <f>2058302528.04794+86520079.65966</f>
        <v>2144822607.7076001</v>
      </c>
      <c r="L1221" s="44">
        <f t="shared" si="69"/>
        <v>6548427158.9066467</v>
      </c>
      <c r="M1221" s="45">
        <f t="shared" si="70"/>
        <v>-257392.29239988327</v>
      </c>
    </row>
    <row r="1222" spans="1:13" ht="12.65" customHeight="1">
      <c r="A1222" s="33">
        <f t="shared" si="66"/>
        <v>44770</v>
      </c>
      <c r="B1222" s="46">
        <f t="shared" si="71"/>
        <v>15010923153.2845</v>
      </c>
      <c r="C1222" s="56">
        <f>16345201580.8473+1147276903.70523</f>
        <v>17492478484.552528</v>
      </c>
      <c r="F1222" s="45">
        <f t="shared" si="64"/>
        <v>2481555331.2680283</v>
      </c>
      <c r="H1222" s="46">
        <v>2145080000</v>
      </c>
      <c r="I1222" s="50">
        <f>2074780198.44678+87956388.71346</f>
        <v>2162736587.1602402</v>
      </c>
      <c r="L1222" s="44">
        <f t="shared" si="69"/>
        <v>2499211918.4282684</v>
      </c>
      <c r="M1222" s="45">
        <f t="shared" si="70"/>
        <v>17656587.160240173</v>
      </c>
    </row>
    <row r="1223" spans="1:13" ht="12.65" customHeight="1">
      <c r="A1223" s="33">
        <f t="shared" si="66"/>
        <v>44771</v>
      </c>
      <c r="B1223" s="46">
        <f t="shared" si="71"/>
        <v>15010923153.2845</v>
      </c>
      <c r="C1223" s="56">
        <f>4828047679.53522+996808411.72824</f>
        <v>5824856091.2634602</v>
      </c>
      <c r="F1223" s="45">
        <f t="shared" si="64"/>
        <v>-9186067062.02104</v>
      </c>
      <c r="H1223" s="46">
        <v>2145080000</v>
      </c>
      <c r="I1223" s="50">
        <f>2169240188.60754+89486806.63656</f>
        <v>2258726995.2441001</v>
      </c>
      <c r="L1223" s="44">
        <f t="shared" si="69"/>
        <v>-9072420066.7769394</v>
      </c>
      <c r="M1223" s="45">
        <f t="shared" si="70"/>
        <v>113646995.24410009</v>
      </c>
    </row>
    <row r="1224" spans="1:13" ht="12.65" customHeight="1">
      <c r="A1224" s="33">
        <f>A1223+2</f>
        <v>44773</v>
      </c>
      <c r="B1224" s="46">
        <f t="shared" si="71"/>
        <v>15010923153.2845</v>
      </c>
      <c r="C1224" s="56">
        <f>4828047679.53522+996808411.72824</f>
        <v>5824856091.2634602</v>
      </c>
      <c r="F1224" s="45">
        <f t="shared" si="64"/>
        <v>-9186067062.02104</v>
      </c>
      <c r="H1224" s="46">
        <v>2145080000</v>
      </c>
      <c r="I1224" s="50">
        <f>2169240188.60754+89486806.63656</f>
        <v>2258726995.2441001</v>
      </c>
      <c r="L1224" s="44">
        <f t="shared" si="69"/>
        <v>-9072420066.7769394</v>
      </c>
      <c r="M1224" s="45">
        <f t="shared" si="70"/>
        <v>113646995.24410009</v>
      </c>
    </row>
    <row r="1225" spans="1:13" ht="12.65" customHeight="1">
      <c r="A1225" s="33">
        <f>WORKDAY(A1223,1)</f>
        <v>44774</v>
      </c>
      <c r="B1225" s="46">
        <v>15700913838.5765</v>
      </c>
      <c r="C1225" s="56">
        <f>18060897239.1636+1444554979.6689</f>
        <v>19505452218.8325</v>
      </c>
      <c r="F1225" s="45">
        <f t="shared" si="64"/>
        <v>3804538380.2560005</v>
      </c>
      <c r="H1225" s="46">
        <v>1999967000</v>
      </c>
      <c r="I1225" s="50">
        <f>2106571860.04136+89644235.64016</f>
        <v>2196216095.68152</v>
      </c>
      <c r="L1225" s="44">
        <f t="shared" ref="L1225:L1235" si="72">F1225+M1225</f>
        <v>4000787475.9375205</v>
      </c>
      <c r="M1225" s="45">
        <f t="shared" ref="M1225:M1235" si="73">I1225-H1225</f>
        <v>196249095.68151999</v>
      </c>
    </row>
    <row r="1226" spans="1:13" ht="12.65" customHeight="1">
      <c r="A1226" s="33">
        <f t="shared" si="66"/>
        <v>44775</v>
      </c>
      <c r="B1226" s="46">
        <v>15700913838.5765</v>
      </c>
      <c r="C1226" s="56">
        <f>18302336747.4082+952227398.69399</f>
        <v>19254564146.102188</v>
      </c>
      <c r="F1226" s="45">
        <f t="shared" si="64"/>
        <v>3553650307.5256882</v>
      </c>
      <c r="H1226" s="46">
        <v>1999967000</v>
      </c>
      <c r="I1226" s="50">
        <f>2577347540.73284+91260221.47787</f>
        <v>2668607762.21071</v>
      </c>
      <c r="L1226" s="44">
        <f t="shared" si="72"/>
        <v>4222291069.7363982</v>
      </c>
      <c r="M1226" s="45">
        <f t="shared" si="73"/>
        <v>668640762.21071005</v>
      </c>
    </row>
    <row r="1227" spans="1:13" ht="12.65" customHeight="1">
      <c r="A1227" s="33">
        <f t="shared" si="66"/>
        <v>44776</v>
      </c>
      <c r="B1227" s="46">
        <v>15700913838.5765</v>
      </c>
      <c r="C1227" s="56">
        <f>1142065054.75081+18460800647.4753</f>
        <v>19602865702.226109</v>
      </c>
      <c r="F1227" s="45">
        <f t="shared" si="64"/>
        <v>3901951863.6496086</v>
      </c>
      <c r="H1227" s="46">
        <v>1999967000</v>
      </c>
      <c r="I1227" s="50">
        <f>88470915.70187+2410048586.53929</f>
        <v>2498519502.2411599</v>
      </c>
      <c r="L1227" s="44">
        <f t="shared" si="72"/>
        <v>4400504365.8907681</v>
      </c>
      <c r="M1227" s="45">
        <f t="shared" si="73"/>
        <v>498552502.24115992</v>
      </c>
    </row>
    <row r="1228" spans="1:13" ht="12.65" customHeight="1">
      <c r="A1228" s="33">
        <f t="shared" si="66"/>
        <v>44777</v>
      </c>
      <c r="B1228" s="46">
        <v>15700913838.5765</v>
      </c>
      <c r="C1228" s="56">
        <f>923493080.85583+15244072669.8462</f>
        <v>16167565750.70203</v>
      </c>
      <c r="F1228" s="45">
        <f t="shared" si="64"/>
        <v>466651912.12553024</v>
      </c>
      <c r="H1228" s="46">
        <v>1999967000</v>
      </c>
      <c r="I1228" s="50">
        <f>86542506.31323+1976136852.34012</f>
        <v>2062679358.6533501</v>
      </c>
      <c r="L1228" s="44">
        <f t="shared" si="72"/>
        <v>529364270.77888036</v>
      </c>
      <c r="M1228" s="45">
        <f t="shared" si="73"/>
        <v>62712358.653350115</v>
      </c>
    </row>
    <row r="1229" spans="1:13" ht="12.65" customHeight="1">
      <c r="A1229" s="33">
        <f t="shared" si="66"/>
        <v>44778</v>
      </c>
      <c r="B1229" s="46">
        <v>15700913838.5765</v>
      </c>
      <c r="C1229" s="56">
        <f>15176556094.6518+1134017104.62748</f>
        <v>16310573199.27928</v>
      </c>
      <c r="F1229" s="45">
        <f t="shared" si="64"/>
        <v>609659360.70277977</v>
      </c>
      <c r="H1229" s="46">
        <v>1999967000</v>
      </c>
      <c r="I1229" s="50">
        <f>2012552758.80108+83987891.20946</f>
        <v>2096540650.01054</v>
      </c>
      <c r="L1229" s="44">
        <f t="shared" si="72"/>
        <v>706233010.71331978</v>
      </c>
      <c r="M1229" s="45">
        <f t="shared" si="73"/>
        <v>96573650.010540009</v>
      </c>
    </row>
    <row r="1230" spans="1:13" ht="12.65" customHeight="1">
      <c r="A1230" s="33">
        <f t="shared" si="66"/>
        <v>44781</v>
      </c>
      <c r="B1230" s="46">
        <v>15700913838.5765</v>
      </c>
      <c r="C1230" s="56">
        <f>16169069883.1111+917175032.35209</f>
        <v>17086244915.46319</v>
      </c>
      <c r="F1230" s="45">
        <f t="shared" si="64"/>
        <v>1385331076.8866901</v>
      </c>
      <c r="H1230" s="46">
        <v>1999967000</v>
      </c>
      <c r="I1230" s="50">
        <f>2210076364.55032+79411640.48264</f>
        <v>2289488005.0329599</v>
      </c>
      <c r="L1230" s="44">
        <f t="shared" si="72"/>
        <v>1674852081.9196501</v>
      </c>
      <c r="M1230" s="45">
        <f t="shared" si="73"/>
        <v>289521005.03295994</v>
      </c>
    </row>
    <row r="1231" spans="1:13" ht="12.65" customHeight="1">
      <c r="A1231" s="33">
        <f t="shared" si="66"/>
        <v>44782</v>
      </c>
      <c r="B1231" s="46">
        <v>15700913838.5765</v>
      </c>
      <c r="C1231" s="56">
        <f>13793490406.3041+1088971355.4215</f>
        <v>14882461761.725599</v>
      </c>
      <c r="F1231" s="45">
        <f t="shared" si="64"/>
        <v>-818452076.85090065</v>
      </c>
      <c r="H1231" s="46">
        <v>1999967000</v>
      </c>
      <c r="I1231" s="50">
        <f>1929515588.48022+78565738.27581</f>
        <v>2008081326.7560301</v>
      </c>
      <c r="L1231" s="44">
        <f t="shared" si="72"/>
        <v>-810337750.09487057</v>
      </c>
      <c r="M1231" s="45">
        <f t="shared" si="73"/>
        <v>8114326.7560300827</v>
      </c>
    </row>
    <row r="1232" spans="1:13" ht="12.65" customHeight="1">
      <c r="A1232" s="33">
        <f t="shared" si="66"/>
        <v>44783</v>
      </c>
      <c r="B1232" s="46">
        <v>15700913838.5765</v>
      </c>
      <c r="C1232" s="56">
        <f>885181117.70256+13061628400.1116</f>
        <v>13946809517.814161</v>
      </c>
      <c r="F1232" s="45">
        <f t="shared" ref="F1232:F1262" si="74">C1232-B1232</f>
        <v>-1754104320.7623386</v>
      </c>
      <c r="H1232" s="46">
        <v>1999967000</v>
      </c>
      <c r="I1232" s="50">
        <f>74493967.62195+1760309067.37622</f>
        <v>1834803034.9981699</v>
      </c>
      <c r="L1232" s="44">
        <f t="shared" si="72"/>
        <v>-1919268285.7641687</v>
      </c>
      <c r="M1232" s="45">
        <f t="shared" si="73"/>
        <v>-165163965.0018301</v>
      </c>
    </row>
    <row r="1233" spans="1:13" ht="12.65" customHeight="1">
      <c r="A1233" s="33">
        <f t="shared" si="66"/>
        <v>44784</v>
      </c>
      <c r="B1233" s="46">
        <v>15700913838.5765</v>
      </c>
      <c r="C1233" s="56">
        <f>1042054344.58728+12825811120.459</f>
        <v>13867865465.04628</v>
      </c>
      <c r="F1233" s="45">
        <f t="shared" si="74"/>
        <v>-1833048373.53022</v>
      </c>
      <c r="H1233" s="46">
        <v>1999967000</v>
      </c>
      <c r="I1233" s="50">
        <f>70921517.33116+1673226820.66912</f>
        <v>1744148338.0002801</v>
      </c>
      <c r="L1233" s="44">
        <f t="shared" si="72"/>
        <v>-2088867035.5299399</v>
      </c>
      <c r="M1233" s="45">
        <f t="shared" si="73"/>
        <v>-255818661.99971986</v>
      </c>
    </row>
    <row r="1234" spans="1:13" ht="12.65" customHeight="1">
      <c r="A1234" s="33">
        <f t="shared" si="66"/>
        <v>44785</v>
      </c>
      <c r="B1234" s="46">
        <v>15700913838.5765</v>
      </c>
      <c r="C1234" s="56">
        <f>11937260685.6769+908645581.39526</f>
        <v>12845906267.072161</v>
      </c>
      <c r="F1234" s="45">
        <f t="shared" si="74"/>
        <v>-2855007571.5043392</v>
      </c>
      <c r="H1234" s="46">
        <v>1999967000</v>
      </c>
      <c r="I1234" s="56">
        <f>1527715572.51999+84090133.09316</f>
        <v>1611805705.6131499</v>
      </c>
      <c r="L1234" s="44">
        <f t="shared" si="72"/>
        <v>-3243168865.8911896</v>
      </c>
      <c r="M1234" s="45">
        <f t="shared" si="73"/>
        <v>-388161294.38685012</v>
      </c>
    </row>
    <row r="1235" spans="1:13" ht="12.65" customHeight="1">
      <c r="A1235" s="33">
        <f t="shared" si="66"/>
        <v>44788</v>
      </c>
      <c r="B1235" s="46">
        <v>15700913838.5765</v>
      </c>
      <c r="C1235" s="56">
        <f>905031510.03973+9761898923.59182</f>
        <v>10666930433.63155</v>
      </c>
      <c r="F1235" s="45">
        <f t="shared" si="74"/>
        <v>-5033983404.9449501</v>
      </c>
      <c r="H1235" s="46">
        <v>1999967000</v>
      </c>
      <c r="I1235" s="50">
        <f>83053015.69475+1232000109.79812</f>
        <v>1315053125.4928701</v>
      </c>
      <c r="L1235" s="44">
        <f t="shared" si="72"/>
        <v>-5718897279.4520798</v>
      </c>
      <c r="M1235" s="45">
        <f t="shared" si="73"/>
        <v>-684913874.50712991</v>
      </c>
    </row>
    <row r="1236" spans="1:13" ht="12" customHeight="1">
      <c r="A1236" s="33">
        <f>WORKDAY(A1235,1)</f>
        <v>44789</v>
      </c>
      <c r="B1236" s="46">
        <v>15167469198.052999</v>
      </c>
      <c r="C1236" s="56">
        <f>1095070106.34776+13784121534.8415</f>
        <v>14879191641.189259</v>
      </c>
      <c r="F1236" s="45">
        <f t="shared" si="74"/>
        <v>-288277556.86374092</v>
      </c>
      <c r="H1236" s="46">
        <v>2014046000</v>
      </c>
      <c r="I1236" s="50">
        <f>77890545.68125+1985465460.05138</f>
        <v>2063356005.73263</v>
      </c>
      <c r="L1236" s="44">
        <f t="shared" ref="L1236:L1249" si="75">F1236+M1236</f>
        <v>-238967551.13111091</v>
      </c>
      <c r="M1236" s="45">
        <f t="shared" ref="M1236:M1249" si="76">I1236-H1236</f>
        <v>49310005.732630014</v>
      </c>
    </row>
    <row r="1237" spans="1:13" ht="12" customHeight="1">
      <c r="A1237" s="33">
        <f t="shared" ref="A1237:A1238" si="77">WORKDAY(A1236,1)</f>
        <v>44790</v>
      </c>
      <c r="B1237" s="46">
        <v>15167469198.052999</v>
      </c>
      <c r="C1237" s="56">
        <f>1095070106.34776+13784121534.8415</f>
        <v>14879191641.189259</v>
      </c>
      <c r="F1237" s="45">
        <f t="shared" ref="F1237" si="78">C1237-B1237</f>
        <v>-288277556.86374092</v>
      </c>
      <c r="H1237" s="46">
        <v>2014046000</v>
      </c>
      <c r="I1237" s="50">
        <f>77890545.68125+1985465460.05138</f>
        <v>2063356005.73263</v>
      </c>
      <c r="L1237" s="44">
        <f t="shared" ref="L1237" si="79">F1237+M1237</f>
        <v>-238967551.13111091</v>
      </c>
      <c r="M1237" s="45">
        <f t="shared" ref="M1237" si="80">I1237-H1237</f>
        <v>49310005.732630014</v>
      </c>
    </row>
    <row r="1238" spans="1:13" ht="12.65" customHeight="1">
      <c r="A1238" s="33">
        <f t="shared" si="77"/>
        <v>44791</v>
      </c>
      <c r="B1238" s="46">
        <v>15167469198.052999</v>
      </c>
      <c r="C1238" s="56">
        <f>913589261.78565+15745956880.6437</f>
        <v>16659546142.42935</v>
      </c>
      <c r="F1238" s="45">
        <f t="shared" si="74"/>
        <v>1492076944.3763504</v>
      </c>
      <c r="H1238" s="46">
        <v>2014046000</v>
      </c>
      <c r="I1238" s="50">
        <f>70261025.86813+1867151106.10618</f>
        <v>1937412131.9743099</v>
      </c>
      <c r="L1238" s="44">
        <f t="shared" ref="L1238" si="81">F1238+M1238</f>
        <v>1415443076.3506603</v>
      </c>
      <c r="M1238" s="45">
        <f t="shared" ref="M1238" si="82">I1238-H1238</f>
        <v>-76633868.025690079</v>
      </c>
    </row>
    <row r="1239" spans="1:13" ht="12.65" customHeight="1">
      <c r="A1239" s="33">
        <f t="shared" si="66"/>
        <v>44792</v>
      </c>
      <c r="B1239" s="46">
        <v>15167469198.052999</v>
      </c>
      <c r="C1239" s="56">
        <f>1109179477.78491+15204076398.5396</f>
        <v>16313255876.324511</v>
      </c>
      <c r="F1239" s="45">
        <f t="shared" si="74"/>
        <v>1145786678.2715111</v>
      </c>
      <c r="H1239" s="46">
        <v>2014046000</v>
      </c>
      <c r="I1239" s="50">
        <f>93423527.69795+2055834903.49996</f>
        <v>2149258431.1979098</v>
      </c>
      <c r="L1239" s="44">
        <f t="shared" ref="L1239" si="83">F1239+M1239</f>
        <v>1280999109.4694209</v>
      </c>
      <c r="M1239" s="45">
        <f t="shared" ref="M1239" si="84">I1239-H1239</f>
        <v>135212431.19790983</v>
      </c>
    </row>
    <row r="1240" spans="1:13" ht="12.65" customHeight="1">
      <c r="A1240" s="33">
        <f t="shared" si="66"/>
        <v>44795</v>
      </c>
      <c r="B1240" s="46">
        <v>15167469198.052999</v>
      </c>
      <c r="C1240" s="56">
        <f>1276293429.45898+17275843410.6885</f>
        <v>18552136840.14748</v>
      </c>
      <c r="F1240" s="45">
        <f t="shared" si="74"/>
        <v>3384667642.0944805</v>
      </c>
      <c r="H1240" s="46">
        <v>2014046000</v>
      </c>
      <c r="I1240" s="50">
        <f>86435175.99395+2014511508.68122</f>
        <v>2100946684.6751699</v>
      </c>
      <c r="L1240" s="44">
        <f t="shared" si="75"/>
        <v>3471568326.7696505</v>
      </c>
      <c r="M1240" s="45">
        <f t="shared" si="76"/>
        <v>86900684.675169945</v>
      </c>
    </row>
    <row r="1241" spans="1:13" ht="12.65" customHeight="1">
      <c r="A1241" s="33">
        <f t="shared" si="66"/>
        <v>44796</v>
      </c>
      <c r="B1241" s="46">
        <v>15167469198.052999</v>
      </c>
      <c r="C1241" s="56">
        <f>1118218228.45163+17040130464.7862</f>
        <v>18158348693.237831</v>
      </c>
      <c r="F1241" s="45">
        <f t="shared" si="74"/>
        <v>2990879495.1848316</v>
      </c>
      <c r="H1241" s="46">
        <v>2014046000</v>
      </c>
      <c r="I1241" s="50">
        <f>77716048.30975+2068527932.54866</f>
        <v>2146243980.8584101</v>
      </c>
      <c r="L1241" s="44">
        <f t="shared" si="75"/>
        <v>3123077476.0432415</v>
      </c>
      <c r="M1241" s="45">
        <f t="shared" si="76"/>
        <v>132197980.85841012</v>
      </c>
    </row>
    <row r="1242" spans="1:13" ht="12.65" customHeight="1">
      <c r="A1242" s="33">
        <f t="shared" si="66"/>
        <v>44797</v>
      </c>
      <c r="B1242" s="46">
        <v>15167469198.052999</v>
      </c>
      <c r="C1242" s="56">
        <f>551141447.80602+16236639801.1382</f>
        <v>16787781248.944221</v>
      </c>
      <c r="F1242" s="45">
        <f t="shared" si="74"/>
        <v>1620312050.891222</v>
      </c>
      <c r="H1242" s="46">
        <v>2014046000</v>
      </c>
      <c r="I1242" s="50">
        <f>74754460.8902+2295022010.36404</f>
        <v>2369776471.25424</v>
      </c>
      <c r="L1242" s="44">
        <f t="shared" si="75"/>
        <v>1976042522.145462</v>
      </c>
      <c r="M1242" s="45">
        <f t="shared" si="76"/>
        <v>355730471.25424004</v>
      </c>
    </row>
    <row r="1243" spans="1:13" ht="12.65" customHeight="1">
      <c r="A1243" s="33">
        <f t="shared" si="66"/>
        <v>44798</v>
      </c>
      <c r="B1243" s="46">
        <v>15167469198.052999</v>
      </c>
      <c r="C1243" s="56">
        <f>1188835516.93774+12714609804.7775</f>
        <v>13903445321.71524</v>
      </c>
      <c r="F1243" s="45">
        <f t="shared" si="74"/>
        <v>-1264023876.337759</v>
      </c>
      <c r="H1243" s="46">
        <v>2014046000</v>
      </c>
      <c r="I1243" s="50">
        <f>76518707.48041+2060720704.65535</f>
        <v>2137239412.1357601</v>
      </c>
      <c r="L1243" s="44">
        <f t="shared" si="75"/>
        <v>-1140830464.2019989</v>
      </c>
      <c r="M1243" s="45">
        <f t="shared" si="76"/>
        <v>123193412.13576007</v>
      </c>
    </row>
    <row r="1244" spans="1:13" ht="12.65" customHeight="1">
      <c r="A1244" s="33">
        <f t="shared" si="66"/>
        <v>44799</v>
      </c>
      <c r="B1244" s="46">
        <v>15167469198.052999</v>
      </c>
      <c r="C1244" s="56">
        <f>998986458.31427+13481753129.4466</f>
        <v>14480739587.76087</v>
      </c>
      <c r="F1244" s="45">
        <f t="shared" si="74"/>
        <v>-686729610.29212952</v>
      </c>
      <c r="H1244" s="46">
        <v>2014046000</v>
      </c>
      <c r="I1244" s="50">
        <f>74934291.12972+1954630298.30855</f>
        <v>2029564589.4382699</v>
      </c>
      <c r="L1244" s="44">
        <f t="shared" si="75"/>
        <v>-671211020.85385966</v>
      </c>
      <c r="M1244" s="45">
        <f t="shared" si="76"/>
        <v>15518589.438269854</v>
      </c>
    </row>
    <row r="1245" spans="1:13" ht="12.65" customHeight="1">
      <c r="A1245" s="33">
        <f t="shared" si="66"/>
        <v>44802</v>
      </c>
      <c r="B1245" s="46">
        <v>15167469198.052999</v>
      </c>
      <c r="C1245" s="56">
        <f>1039319554.42684+14806135531.8227</f>
        <v>15845455086.24954</v>
      </c>
      <c r="F1245" s="45">
        <f t="shared" si="74"/>
        <v>677985888.19654083</v>
      </c>
      <c r="H1245" s="46">
        <v>2014046000</v>
      </c>
      <c r="I1245" s="50">
        <f>70628898.25496+1768163985.7901</f>
        <v>1838792884.0450602</v>
      </c>
      <c r="L1245" s="44">
        <f t="shared" si="75"/>
        <v>502732772.24160099</v>
      </c>
      <c r="M1245" s="45">
        <f t="shared" si="76"/>
        <v>-175253115.95493984</v>
      </c>
    </row>
    <row r="1246" spans="1:13" ht="12.65" customHeight="1">
      <c r="A1246" s="33">
        <f t="shared" si="66"/>
        <v>44803</v>
      </c>
      <c r="B1246" s="46">
        <v>15167469198.052999</v>
      </c>
      <c r="C1246" s="56">
        <f>894700797.9089+14200786439.3885</f>
        <v>15095487237.2974</v>
      </c>
      <c r="F1246" s="45">
        <f t="shared" si="74"/>
        <v>-71981960.755599976</v>
      </c>
      <c r="H1246" s="46">
        <v>2014046000</v>
      </c>
      <c r="I1246" s="50">
        <f>84582871.02949+1825574420.55866</f>
        <v>1910157291.58815</v>
      </c>
      <c r="L1246" s="44">
        <f t="shared" si="75"/>
        <v>-175870669.16744995</v>
      </c>
      <c r="M1246" s="45">
        <f t="shared" si="76"/>
        <v>-103888708.41184998</v>
      </c>
    </row>
    <row r="1247" spans="1:13" ht="12.65" customHeight="1">
      <c r="A1247" s="33">
        <f t="shared" si="66"/>
        <v>44804</v>
      </c>
      <c r="B1247" s="46">
        <v>15167469198.052999</v>
      </c>
      <c r="C1247" s="56">
        <f>1146269719.48253+6309192194.28948</f>
        <v>7455461913.7720108</v>
      </c>
      <c r="F1247" s="45">
        <f t="shared" si="74"/>
        <v>-7712007284.2809887</v>
      </c>
      <c r="H1247" s="46">
        <v>2014046000</v>
      </c>
      <c r="I1247" s="50">
        <f>81442747.3321+1721593030.48305</f>
        <v>1803035777.81515</v>
      </c>
      <c r="L1247" s="44">
        <f t="shared" si="75"/>
        <v>-7923017506.4658384</v>
      </c>
      <c r="M1247" s="45">
        <f t="shared" si="76"/>
        <v>-211010222.18484998</v>
      </c>
    </row>
    <row r="1248" spans="1:13" ht="12.65" customHeight="1">
      <c r="A1248" s="33">
        <f t="shared" si="66"/>
        <v>44805</v>
      </c>
      <c r="B1248" s="46">
        <v>16601084739.872601</v>
      </c>
      <c r="C1248" s="56">
        <f>1146269719.48253+14811788105.2452</f>
        <v>15958057824.72773</v>
      </c>
      <c r="F1248" s="45">
        <f t="shared" si="74"/>
        <v>-643026915.14487076</v>
      </c>
      <c r="H1248" s="46">
        <v>2206223000</v>
      </c>
      <c r="I1248" s="50">
        <f>81442747.3321+2035780992.27914</f>
        <v>2117223739.6112399</v>
      </c>
      <c r="L1248" s="44">
        <f t="shared" si="75"/>
        <v>-732026175.53363085</v>
      </c>
      <c r="M1248" s="45">
        <f t="shared" si="76"/>
        <v>-88999260.38876009</v>
      </c>
    </row>
    <row r="1249" spans="1:17" ht="12.65" customHeight="1">
      <c r="A1249" s="33">
        <f t="shared" si="66"/>
        <v>44806</v>
      </c>
      <c r="B1249" s="46">
        <v>16601084739.872601</v>
      </c>
      <c r="C1249" s="56">
        <f>853522828.75208+15533632137.3039</f>
        <v>16387154966.055981</v>
      </c>
      <c r="F1249" s="45">
        <f t="shared" si="74"/>
        <v>-213929773.81661987</v>
      </c>
      <c r="H1249" s="46">
        <v>2206223000</v>
      </c>
      <c r="I1249" s="50">
        <f>75680476.33736+1972069290.04833</f>
        <v>2047749766.38569</v>
      </c>
      <c r="L1249" s="44">
        <f t="shared" si="75"/>
        <v>-372403007.4309299</v>
      </c>
      <c r="M1249" s="45">
        <f t="shared" si="76"/>
        <v>-158473233.61431003</v>
      </c>
    </row>
    <row r="1250" spans="1:17" ht="12.65" customHeight="1">
      <c r="A1250" s="33">
        <f t="shared" ref="A1250:A1313" si="85">WORKDAY(A1249,1)</f>
        <v>44809</v>
      </c>
      <c r="B1250" s="46">
        <v>16601084739.872601</v>
      </c>
      <c r="C1250" s="56">
        <f>999693362.62026+15822407782.4827</f>
        <v>16822101145.102961</v>
      </c>
      <c r="F1250" s="45">
        <f t="shared" si="74"/>
        <v>221016405.23036003</v>
      </c>
      <c r="H1250" s="46">
        <v>2206223000</v>
      </c>
      <c r="I1250" s="50">
        <f>75904399.81739+2148743091.15933</f>
        <v>2224647490.9767199</v>
      </c>
      <c r="L1250" s="44">
        <f t="shared" ref="L1250:L1262" si="86">F1250+M1250</f>
        <v>239440896.20707989</v>
      </c>
      <c r="M1250" s="45">
        <f t="shared" ref="M1250:M1262" si="87">I1250-H1250</f>
        <v>18424490.976719856</v>
      </c>
    </row>
    <row r="1251" spans="1:17" ht="12.65" customHeight="1">
      <c r="A1251" s="33">
        <f t="shared" si="85"/>
        <v>44810</v>
      </c>
      <c r="B1251" s="46">
        <v>16601084739.872601</v>
      </c>
      <c r="C1251" s="56">
        <f>16169640259.9903+886005329.458</f>
        <v>17055645589.448299</v>
      </c>
      <c r="F1251" s="45">
        <f t="shared" si="74"/>
        <v>454560849.57569885</v>
      </c>
      <c r="H1251" s="46">
        <v>2206223000</v>
      </c>
      <c r="I1251" s="50">
        <f>2810629317.00193+78121996.24739</f>
        <v>2888751313.24932</v>
      </c>
      <c r="L1251" s="44">
        <f t="shared" si="86"/>
        <v>1137089162.8250189</v>
      </c>
      <c r="M1251" s="45">
        <f t="shared" si="87"/>
        <v>682528313.24932003</v>
      </c>
    </row>
    <row r="1252" spans="1:17" ht="12.65" customHeight="1">
      <c r="A1252" s="33">
        <f t="shared" si="85"/>
        <v>44811</v>
      </c>
      <c r="B1252" s="46">
        <v>16601084739.872601</v>
      </c>
      <c r="C1252" s="56">
        <f>1070939990.29498+16513990309.7959</f>
        <v>17584930300.090881</v>
      </c>
      <c r="F1252" s="45">
        <f t="shared" si="74"/>
        <v>983845560.21828079</v>
      </c>
      <c r="H1252" s="46">
        <v>2206223000</v>
      </c>
      <c r="I1252" s="50">
        <f>77754082.27939+2285995252.14981</f>
        <v>2363749334.4291997</v>
      </c>
      <c r="L1252" s="44">
        <f t="shared" si="86"/>
        <v>1141371894.6474805</v>
      </c>
      <c r="M1252" s="45">
        <f t="shared" si="87"/>
        <v>157526334.4291997</v>
      </c>
    </row>
    <row r="1253" spans="1:17" ht="12.65" customHeight="1">
      <c r="A1253" s="33">
        <f t="shared" si="85"/>
        <v>44812</v>
      </c>
      <c r="B1253" s="46">
        <v>16601084739.872601</v>
      </c>
      <c r="C1253" s="56">
        <f>1283051228.17133+16534856983.5047</f>
        <v>17817908211.676029</v>
      </c>
      <c r="F1253" s="45">
        <f t="shared" si="74"/>
        <v>1216823471.8034286</v>
      </c>
      <c r="H1253" s="46">
        <v>2206223000</v>
      </c>
      <c r="I1253" s="50">
        <f>79924180.48709+2214446481.81035</f>
        <v>2294370662.2974401</v>
      </c>
      <c r="L1253" s="44">
        <f t="shared" si="86"/>
        <v>1304971134.1008687</v>
      </c>
      <c r="M1253" s="45">
        <f t="shared" si="87"/>
        <v>88147662.297440052</v>
      </c>
    </row>
    <row r="1254" spans="1:17" ht="12.65" customHeight="1">
      <c r="A1254" s="33">
        <f t="shared" si="85"/>
        <v>44813</v>
      </c>
      <c r="B1254" s="46">
        <v>16601084739.872601</v>
      </c>
      <c r="C1254" s="56">
        <f>963295945.58802+18825782143.4275</f>
        <v>19789078089.015522</v>
      </c>
      <c r="F1254" s="45">
        <f t="shared" si="74"/>
        <v>3187993349.1429214</v>
      </c>
      <c r="H1254" s="46">
        <v>2206223000</v>
      </c>
      <c r="I1254" s="50">
        <f>35630400+2241384957.23326</f>
        <v>2277015357.2332602</v>
      </c>
      <c r="L1254" s="44">
        <f t="shared" si="86"/>
        <v>3258785706.3761816</v>
      </c>
      <c r="M1254" s="45">
        <f t="shared" si="87"/>
        <v>70792357.233260155</v>
      </c>
    </row>
    <row r="1255" spans="1:17" ht="12.65" customHeight="1">
      <c r="A1255" s="33">
        <f t="shared" si="85"/>
        <v>44816</v>
      </c>
      <c r="B1255" s="46">
        <v>16601084739.872601</v>
      </c>
      <c r="C1255" s="56">
        <f>721079369.40501+18441627731.9676</f>
        <v>19162707101.372612</v>
      </c>
      <c r="F1255" s="45">
        <f t="shared" si="74"/>
        <v>2561622361.5000114</v>
      </c>
      <c r="H1255" s="46">
        <v>2206223000</v>
      </c>
      <c r="I1255" s="50">
        <f>69689537.95405+2148030549.61237</f>
        <v>2217720087.5664201</v>
      </c>
      <c r="L1255" s="44">
        <f t="shared" si="86"/>
        <v>2573119449.0664315</v>
      </c>
      <c r="M1255" s="45">
        <f t="shared" si="87"/>
        <v>11497087.566420078</v>
      </c>
    </row>
    <row r="1256" spans="1:17" ht="12.65" customHeight="1">
      <c r="A1256" s="33">
        <f t="shared" si="85"/>
        <v>44817</v>
      </c>
      <c r="B1256" s="46">
        <v>16601084739.872601</v>
      </c>
      <c r="C1256" s="56">
        <f>898282542.0409+15309415242.1507</f>
        <v>16207697784.191599</v>
      </c>
      <c r="F1256" s="45">
        <f t="shared" si="74"/>
        <v>-393386955.68100166</v>
      </c>
      <c r="H1256" s="46">
        <v>2206223000</v>
      </c>
      <c r="I1256" s="50">
        <f>79243498.03113+2065007943.60627</f>
        <v>2144251441.6374002</v>
      </c>
      <c r="L1256" s="44">
        <f t="shared" si="86"/>
        <v>-455358514.04360151</v>
      </c>
      <c r="M1256" s="45">
        <f t="shared" si="87"/>
        <v>-61971558.36259985</v>
      </c>
    </row>
    <row r="1257" spans="1:17" ht="12.65" customHeight="1">
      <c r="A1257" s="33">
        <f t="shared" si="85"/>
        <v>44818</v>
      </c>
      <c r="B1257" s="46">
        <v>16601084739.872601</v>
      </c>
      <c r="C1257" s="56">
        <f>1088031863.04515+14135647821.6139</f>
        <v>15223679684.65905</v>
      </c>
      <c r="F1257" s="45">
        <f t="shared" si="74"/>
        <v>-1377405055.2135506</v>
      </c>
      <c r="H1257" s="46">
        <v>2206223000</v>
      </c>
      <c r="I1257" s="50">
        <f>79747182.22243+1943361143.06615</f>
        <v>2023108325.2885799</v>
      </c>
      <c r="L1257" s="44">
        <f t="shared" si="86"/>
        <v>-1560519729.9249706</v>
      </c>
      <c r="M1257" s="45">
        <f t="shared" si="87"/>
        <v>-183114674.71142006</v>
      </c>
    </row>
    <row r="1258" spans="1:17" ht="12.65" customHeight="1">
      <c r="A1258" s="33">
        <f t="shared" si="85"/>
        <v>44819</v>
      </c>
      <c r="B1258" s="46">
        <v>16601084739.872601</v>
      </c>
      <c r="C1258" s="56">
        <f>912177589.15799+10992051643.4925</f>
        <v>11904229232.65049</v>
      </c>
      <c r="F1258" s="45">
        <f t="shared" si="74"/>
        <v>-4696855507.2221107</v>
      </c>
      <c r="H1258" s="46">
        <v>2206223000</v>
      </c>
      <c r="I1258" s="50">
        <f>78739067.83683+1881681838.53951</f>
        <v>1960420906.3763399</v>
      </c>
      <c r="L1258" s="44">
        <f t="shared" si="86"/>
        <v>-4942657600.8457708</v>
      </c>
      <c r="M1258" s="45">
        <f t="shared" si="87"/>
        <v>-245802093.62366009</v>
      </c>
      <c r="Q1258" s="532"/>
    </row>
    <row r="1259" spans="1:17" ht="12.65" customHeight="1">
      <c r="A1259" s="33">
        <f t="shared" si="85"/>
        <v>44820</v>
      </c>
      <c r="B1259" s="46">
        <v>15622974763.634899</v>
      </c>
      <c r="C1259" s="56">
        <f>1092356630.6379+14363082268.9771</f>
        <v>15455438899.615</v>
      </c>
      <c r="F1259" s="45">
        <f t="shared" si="74"/>
        <v>-167535864.01989937</v>
      </c>
      <c r="H1259" s="46">
        <v>2217533000</v>
      </c>
      <c r="I1259" s="50">
        <f>77783687.07181+2108913143.92568</f>
        <v>2186696830.9974899</v>
      </c>
      <c r="L1259" s="44">
        <f t="shared" si="86"/>
        <v>-198372033.02240944</v>
      </c>
      <c r="M1259" s="45">
        <f t="shared" si="87"/>
        <v>-30836169.002510071</v>
      </c>
    </row>
    <row r="1260" spans="1:17" ht="12.65" customHeight="1">
      <c r="A1260" s="33">
        <f t="shared" si="85"/>
        <v>44823</v>
      </c>
      <c r="B1260" s="46">
        <v>15622974763.634899</v>
      </c>
      <c r="C1260" s="56">
        <f>561483028.61018+15709224983.6537</f>
        <v>16270708012.26388</v>
      </c>
      <c r="F1260" s="45">
        <f t="shared" si="74"/>
        <v>647733248.62898064</v>
      </c>
      <c r="H1260" s="46">
        <v>2217533000</v>
      </c>
      <c r="I1260" s="50">
        <f>63876972.16681+2181800963.94735</f>
        <v>2245677936.1141601</v>
      </c>
      <c r="L1260" s="44">
        <f t="shared" si="86"/>
        <v>675878184.7431407</v>
      </c>
      <c r="M1260" s="45">
        <f t="shared" si="87"/>
        <v>28144936.114160061</v>
      </c>
    </row>
    <row r="1261" spans="1:17" ht="12.65" customHeight="1">
      <c r="A1261" s="33">
        <f t="shared" si="85"/>
        <v>44824</v>
      </c>
      <c r="B1261" s="46">
        <v>15622974763.634899</v>
      </c>
      <c r="C1261" s="56">
        <f>1124409779.27902+16003170023.2789</f>
        <v>17127579802.55792</v>
      </c>
      <c r="F1261" s="45">
        <f t="shared" si="74"/>
        <v>1504605038.9230213</v>
      </c>
      <c r="H1261" s="46">
        <v>2217533000</v>
      </c>
      <c r="I1261" s="50">
        <f>71937236.242+2252526148.57765</f>
        <v>2324463384.8196502</v>
      </c>
      <c r="L1261" s="44">
        <f t="shared" si="86"/>
        <v>1611535423.7426715</v>
      </c>
      <c r="M1261" s="45">
        <f t="shared" si="87"/>
        <v>106930384.81965017</v>
      </c>
    </row>
    <row r="1262" spans="1:17" ht="12.65" customHeight="1">
      <c r="A1262" s="33">
        <f t="shared" si="85"/>
        <v>44825</v>
      </c>
      <c r="B1262" s="46">
        <v>15622974763.634899</v>
      </c>
      <c r="C1262" s="56">
        <f>1124409779.27902+17496792441.6935</f>
        <v>18621202220.972519</v>
      </c>
      <c r="F1262" s="45">
        <f t="shared" si="74"/>
        <v>2998227457.3376198</v>
      </c>
      <c r="H1262" s="46">
        <v>2217533000</v>
      </c>
      <c r="I1262" s="50">
        <f>71937236.242+2242380388.77516</f>
        <v>2314317625.0171599</v>
      </c>
      <c r="L1262" s="44">
        <f t="shared" si="86"/>
        <v>3095012082.3547797</v>
      </c>
      <c r="M1262" s="45">
        <f t="shared" si="87"/>
        <v>96784625.017159939</v>
      </c>
    </row>
    <row r="1263" spans="1:17" ht="12.65" customHeight="1">
      <c r="A1263" s="33">
        <f t="shared" si="85"/>
        <v>44826</v>
      </c>
      <c r="B1263" s="46">
        <v>15622974763.634899</v>
      </c>
      <c r="C1263" s="56">
        <f>901980787.74531+16647332709.0762</f>
        <v>17549313496.82151</v>
      </c>
      <c r="F1263" s="45">
        <f t="shared" ref="F1263:F1269" si="88">C1263-B1263</f>
        <v>1926338733.1866112</v>
      </c>
      <c r="H1263" s="46">
        <v>2217533000</v>
      </c>
      <c r="I1263" s="50">
        <f>71963755.57888+2444109646.54452</f>
        <v>2516073402.1233997</v>
      </c>
      <c r="L1263" s="44">
        <f t="shared" ref="L1263:L1269" si="89">F1263+M1263</f>
        <v>2224879135.3100109</v>
      </c>
      <c r="M1263" s="45">
        <f t="shared" ref="M1263:M1269" si="90">I1263-H1263</f>
        <v>298540402.12339973</v>
      </c>
    </row>
    <row r="1264" spans="1:17" ht="12.65" customHeight="1">
      <c r="A1264" s="33">
        <f t="shared" si="85"/>
        <v>44827</v>
      </c>
      <c r="B1264" s="46">
        <v>15622974763.634899</v>
      </c>
      <c r="C1264" s="56">
        <f>14257923661.9543+1151365095.97637</f>
        <v>15409288757.93067</v>
      </c>
      <c r="F1264" s="45">
        <f t="shared" si="88"/>
        <v>-213686005.70422935</v>
      </c>
      <c r="H1264" s="46">
        <v>2217533000</v>
      </c>
      <c r="I1264" s="50">
        <f>2111743053.46273+86222010.54399</f>
        <v>2197965064.0067201</v>
      </c>
      <c r="L1264" s="44">
        <f t="shared" si="89"/>
        <v>-233253941.69750929</v>
      </c>
      <c r="M1264" s="45">
        <f t="shared" si="90"/>
        <v>-19567935.993279934</v>
      </c>
    </row>
    <row r="1265" spans="1:13" ht="12.65" customHeight="1">
      <c r="A1265" s="33">
        <f t="shared" si="85"/>
        <v>44830</v>
      </c>
      <c r="B1265" s="46">
        <v>15622974763.634899</v>
      </c>
      <c r="C1265" s="56">
        <f>1013677372.67132+14755428045.9372</f>
        <v>15769105418.608521</v>
      </c>
      <c r="F1265" s="45">
        <f t="shared" si="88"/>
        <v>146130654.97362137</v>
      </c>
      <c r="H1265" s="46">
        <v>2217533000</v>
      </c>
      <c r="I1265" s="50">
        <f>83498956.10731+2126827243.45608</f>
        <v>2210326199.5633898</v>
      </c>
      <c r="L1265" s="44">
        <f t="shared" si="89"/>
        <v>138923854.53701115</v>
      </c>
      <c r="M1265" s="45">
        <f t="shared" si="90"/>
        <v>-7206800.4366102219</v>
      </c>
    </row>
    <row r="1266" spans="1:13" ht="12.65" customHeight="1">
      <c r="A1266" s="33">
        <f t="shared" si="85"/>
        <v>44831</v>
      </c>
      <c r="B1266" s="46">
        <v>15622974763.634899</v>
      </c>
      <c r="C1266" s="56">
        <f>958213776.60855+15303346607.7537</f>
        <v>16261560384.362249</v>
      </c>
      <c r="F1266" s="45">
        <f t="shared" si="88"/>
        <v>638585620.72735023</v>
      </c>
      <c r="H1266" s="46">
        <v>2217533000</v>
      </c>
      <c r="I1266" s="50">
        <f>84781936.60212+2112653267.38076</f>
        <v>2197435203.9828801</v>
      </c>
      <c r="L1266" s="44">
        <f t="shared" si="89"/>
        <v>618487824.71023035</v>
      </c>
      <c r="M1266" s="45">
        <f t="shared" si="90"/>
        <v>-20097796.017119884</v>
      </c>
    </row>
    <row r="1267" spans="1:13" ht="12.65" customHeight="1">
      <c r="A1267" s="33">
        <f t="shared" si="85"/>
        <v>44832</v>
      </c>
      <c r="B1267" s="46">
        <v>15622974763.634899</v>
      </c>
      <c r="C1267" s="56">
        <f>859498190.71619+14215345576.9616</f>
        <v>15074843767.67779</v>
      </c>
      <c r="F1267" s="45">
        <f t="shared" si="88"/>
        <v>-548130995.95710945</v>
      </c>
      <c r="H1267" s="46">
        <v>2217533000</v>
      </c>
      <c r="I1267" s="50">
        <f>82793316.54287+2020436426.72296</f>
        <v>2103229743.26583</v>
      </c>
      <c r="L1267" s="44">
        <f t="shared" si="89"/>
        <v>-662434252.69127941</v>
      </c>
      <c r="M1267" s="45">
        <f t="shared" si="90"/>
        <v>-114303256.73416996</v>
      </c>
    </row>
    <row r="1268" spans="1:13" ht="12.65" customHeight="1">
      <c r="A1268" s="33">
        <f t="shared" si="85"/>
        <v>44833</v>
      </c>
      <c r="B1268" s="46">
        <v>15622974763.634899</v>
      </c>
      <c r="C1268" s="56">
        <f>1091023802.12657+14634722561.277</f>
        <v>15725746363.40357</v>
      </c>
      <c r="F1268" s="45">
        <f t="shared" si="88"/>
        <v>102771599.76867104</v>
      </c>
      <c r="H1268" s="46">
        <v>2217533000</v>
      </c>
      <c r="I1268" s="50">
        <f>83058058.70587+2167174905.04384</f>
        <v>2250232963.7497101</v>
      </c>
      <c r="L1268" s="44">
        <f t="shared" si="89"/>
        <v>135471563.51838112</v>
      </c>
      <c r="M1268" s="45">
        <f t="shared" si="90"/>
        <v>32699963.749710083</v>
      </c>
    </row>
    <row r="1269" spans="1:13" ht="12.65" customHeight="1">
      <c r="A1269" s="33">
        <f t="shared" si="85"/>
        <v>44834</v>
      </c>
      <c r="B1269" s="46">
        <v>15622974763.634899</v>
      </c>
      <c r="C1269" s="56">
        <f>974420573.09809+8326803296.34488</f>
        <v>9301223869.4429703</v>
      </c>
      <c r="F1269" s="45">
        <f t="shared" si="88"/>
        <v>-6321750894.1919289</v>
      </c>
      <c r="H1269" s="46">
        <v>2217533000</v>
      </c>
      <c r="I1269" s="50">
        <f>79590592.16828+2121352069.43388</f>
        <v>2200942661.60216</v>
      </c>
      <c r="L1269" s="44">
        <f t="shared" si="89"/>
        <v>-6338341232.5897694</v>
      </c>
      <c r="M1269" s="45">
        <f t="shared" si="90"/>
        <v>-16590338.397840023</v>
      </c>
    </row>
    <row r="1270" spans="1:13" ht="12.65" customHeight="1">
      <c r="A1270" s="33">
        <f t="shared" si="85"/>
        <v>44837</v>
      </c>
      <c r="B1270" s="46">
        <v>15804585032.7022</v>
      </c>
      <c r="C1270" s="56">
        <f>969259087.42189+13123296077.5107</f>
        <v>14092555164.93259</v>
      </c>
      <c r="F1270" s="45">
        <f t="shared" ref="F1270:F1333" si="91">C1270-B1270</f>
        <v>-1712029867.7696095</v>
      </c>
      <c r="H1270" s="46">
        <v>2213196000</v>
      </c>
      <c r="I1270" s="50">
        <f>83382210.84489+1574316673.9684</f>
        <v>1657698884.8132901</v>
      </c>
      <c r="L1270" s="44">
        <f t="shared" ref="L1270:L1333" si="92">F1270+M1270</f>
        <v>-2267526982.9563193</v>
      </c>
      <c r="M1270" s="45">
        <f t="shared" ref="M1270:M1333" si="93">I1270-H1270</f>
        <v>-555497115.18670988</v>
      </c>
    </row>
    <row r="1271" spans="1:13" ht="12.65" customHeight="1">
      <c r="A1271" s="33">
        <f t="shared" si="85"/>
        <v>44838</v>
      </c>
      <c r="B1271" s="46">
        <v>15804585032.7022</v>
      </c>
      <c r="C1271" s="56">
        <f>1225876845.03054+15549877304.7536</f>
        <v>16775754149.78414</v>
      </c>
      <c r="F1271" s="45">
        <f t="shared" si="91"/>
        <v>971169117.0819397</v>
      </c>
      <c r="H1271" s="46">
        <v>2213196000</v>
      </c>
      <c r="I1271" s="50">
        <f>87532155.11381+2252865808.25086</f>
        <v>2340397963.3646703</v>
      </c>
      <c r="L1271" s="44">
        <f t="shared" si="92"/>
        <v>1098371080.44661</v>
      </c>
      <c r="M1271" s="45">
        <f t="shared" si="93"/>
        <v>127201963.36467028</v>
      </c>
    </row>
    <row r="1272" spans="1:13" ht="12.65" customHeight="1">
      <c r="A1272" s="33">
        <f t="shared" si="85"/>
        <v>44839</v>
      </c>
      <c r="B1272" s="46">
        <v>15804585032.7022</v>
      </c>
      <c r="C1272" s="56">
        <f>982846499.40358+10708202258.9153</f>
        <v>11691048758.31888</v>
      </c>
      <c r="F1272" s="45">
        <f t="shared" si="91"/>
        <v>-4113536274.3833199</v>
      </c>
      <c r="H1272" s="46">
        <v>2213196000</v>
      </c>
      <c r="I1272" s="50">
        <f>86789090.04157+2701808265.9662</f>
        <v>2788597356.0077701</v>
      </c>
      <c r="L1272" s="44">
        <f t="shared" si="92"/>
        <v>-3538134918.3755498</v>
      </c>
      <c r="M1272" s="45">
        <f t="shared" si="93"/>
        <v>575401356.00777006</v>
      </c>
    </row>
    <row r="1273" spans="1:13" ht="12.65" customHeight="1">
      <c r="A1273" s="33">
        <f t="shared" si="85"/>
        <v>44840</v>
      </c>
      <c r="B1273" s="46">
        <v>15804585032.7022</v>
      </c>
      <c r="C1273" s="56">
        <f>1240109923.58405+12229161609.3422</f>
        <v>13469271532.926249</v>
      </c>
      <c r="F1273" s="45">
        <f t="shared" si="91"/>
        <v>-2335313499.7759514</v>
      </c>
      <c r="H1273" s="46">
        <v>2213196000</v>
      </c>
      <c r="I1273" s="50">
        <f>91299437.10638+2088386094.38778</f>
        <v>2179685531.4941602</v>
      </c>
      <c r="L1273" s="44">
        <f t="shared" si="92"/>
        <v>-2368823968.2817912</v>
      </c>
      <c r="M1273" s="45">
        <f t="shared" si="93"/>
        <v>-33510468.505839825</v>
      </c>
    </row>
    <row r="1274" spans="1:13" ht="12.65" customHeight="1">
      <c r="A1274" s="33">
        <f t="shared" si="85"/>
        <v>44841</v>
      </c>
      <c r="B1274" s="46">
        <v>15804585032.7022</v>
      </c>
      <c r="C1274" s="56">
        <f>965154398.27798+13631632420.5565</f>
        <v>14596786818.83448</v>
      </c>
      <c r="F1274" s="45">
        <f t="shared" si="91"/>
        <v>-1207798213.8677197</v>
      </c>
      <c r="H1274" s="46">
        <v>2213196000</v>
      </c>
      <c r="I1274" s="50">
        <f>8758786.55989+2065497426.74008</f>
        <v>2074256213.2999701</v>
      </c>
      <c r="L1274" s="44">
        <f t="shared" si="92"/>
        <v>-1346738000.5677495</v>
      </c>
      <c r="M1274" s="45">
        <f t="shared" si="93"/>
        <v>-138939786.70002985</v>
      </c>
    </row>
    <row r="1275" spans="1:13" ht="12.65" customHeight="1">
      <c r="A1275" s="33">
        <f t="shared" si="85"/>
        <v>44844</v>
      </c>
      <c r="B1275" s="46">
        <v>15804585032.7022</v>
      </c>
      <c r="C1275" s="56">
        <f>1004957255.02526+20590048924.3382</f>
        <v>21595006179.363461</v>
      </c>
      <c r="F1275" s="45">
        <f t="shared" si="91"/>
        <v>5790421146.6612606</v>
      </c>
      <c r="H1275" s="46">
        <v>2213196000</v>
      </c>
      <c r="I1275" s="50">
        <f>77374619.13081+2163244043.74035</f>
        <v>2240618662.8711596</v>
      </c>
      <c r="L1275" s="44">
        <f t="shared" si="92"/>
        <v>5817843809.5324202</v>
      </c>
      <c r="M1275" s="45">
        <f t="shared" si="93"/>
        <v>27422662.871159554</v>
      </c>
    </row>
    <row r="1276" spans="1:13" ht="12.65" customHeight="1">
      <c r="A1276" s="33">
        <f t="shared" si="85"/>
        <v>44845</v>
      </c>
      <c r="B1276" s="46">
        <v>15804585032.7022</v>
      </c>
      <c r="C1276" s="56">
        <f>1229025577.94032+17900116786.8875</f>
        <v>19129142364.82782</v>
      </c>
      <c r="F1276" s="45">
        <f t="shared" si="91"/>
        <v>3324557332.1256199</v>
      </c>
      <c r="H1276" s="46">
        <v>2213196000</v>
      </c>
      <c r="I1276" s="50">
        <f>87530684.30773+2165295200.15286</f>
        <v>2252825884.4605904</v>
      </c>
      <c r="L1276" s="44">
        <f t="shared" si="92"/>
        <v>3364187216.5862103</v>
      </c>
      <c r="M1276" s="45">
        <f t="shared" si="93"/>
        <v>39629884.460590363</v>
      </c>
    </row>
    <row r="1277" spans="1:13" ht="12.65" customHeight="1">
      <c r="A1277" s="33">
        <f t="shared" si="85"/>
        <v>44846</v>
      </c>
      <c r="B1277" s="46">
        <v>15804585032.7022</v>
      </c>
      <c r="C1277" s="56">
        <f>930176708.51043+21238961003.4441</f>
        <v>22169137711.954529</v>
      </c>
      <c r="F1277" s="45">
        <f t="shared" si="91"/>
        <v>6364552679.2523289</v>
      </c>
      <c r="H1277" s="46">
        <v>2213196000</v>
      </c>
      <c r="I1277" s="50">
        <f>85449139.77166+2248387578.96987</f>
        <v>2333836718.7415299</v>
      </c>
      <c r="L1277" s="44">
        <f t="shared" si="92"/>
        <v>6485193397.9938583</v>
      </c>
      <c r="M1277" s="45">
        <f t="shared" si="93"/>
        <v>120640718.74152994</v>
      </c>
    </row>
    <row r="1278" spans="1:13" ht="12.65" customHeight="1">
      <c r="A1278" s="33">
        <f t="shared" si="85"/>
        <v>44847</v>
      </c>
      <c r="B1278" s="46">
        <v>15804585032.7022</v>
      </c>
      <c r="C1278" s="56">
        <f>1135122704.92825+15876462508.6387</f>
        <v>17011585213.56695</v>
      </c>
      <c r="F1278" s="45">
        <f t="shared" si="91"/>
        <v>1207000180.8647499</v>
      </c>
      <c r="H1278" s="46">
        <v>2213196000</v>
      </c>
      <c r="I1278" s="50">
        <f>84685591.37586+2280074037.75114</f>
        <v>2364759629.1270003</v>
      </c>
      <c r="L1278" s="44">
        <f t="shared" si="92"/>
        <v>1358563809.9917502</v>
      </c>
      <c r="M1278" s="45">
        <f t="shared" si="93"/>
        <v>151563629.12700033</v>
      </c>
    </row>
    <row r="1279" spans="1:13" ht="12.65" customHeight="1">
      <c r="A1279" s="33">
        <f t="shared" si="85"/>
        <v>44848</v>
      </c>
      <c r="B1279" s="46">
        <v>15804585032.7022</v>
      </c>
      <c r="C1279" s="56">
        <f>943929496.19684+8008697075.63168</f>
        <v>8952626571.8285198</v>
      </c>
      <c r="F1279" s="45">
        <f t="shared" si="91"/>
        <v>-6851958460.8736801</v>
      </c>
      <c r="H1279" s="46">
        <v>2213196000</v>
      </c>
      <c r="I1279" s="50">
        <f>82396233.47056+2193147948.46543</f>
        <v>2275544181.9359899</v>
      </c>
      <c r="L1279" s="44">
        <f t="shared" si="92"/>
        <v>-6789610278.9376907</v>
      </c>
      <c r="M1279" s="45">
        <f t="shared" si="93"/>
        <v>62348181.935989857</v>
      </c>
    </row>
    <row r="1280" spans="1:13" ht="12.65" customHeight="1">
      <c r="A1280" s="33">
        <f t="shared" si="85"/>
        <v>44851</v>
      </c>
      <c r="B1280" s="46">
        <v>15117975047.1334</v>
      </c>
      <c r="C1280" s="56">
        <f>970877235.37107+15007442537.6208</f>
        <v>15978319772.991871</v>
      </c>
      <c r="F1280" s="45">
        <f t="shared" si="91"/>
        <v>860344725.85847092</v>
      </c>
      <c r="H1280" s="46">
        <v>2133232000</v>
      </c>
      <c r="I1280" s="50">
        <f>73441090.84255+2103043239.90204</f>
        <v>2176484330.7445898</v>
      </c>
      <c r="L1280" s="44">
        <f t="shared" si="92"/>
        <v>903597056.60306072</v>
      </c>
      <c r="M1280" s="45">
        <f t="shared" si="93"/>
        <v>43252330.744589806</v>
      </c>
    </row>
    <row r="1281" spans="1:13" ht="12.65" customHeight="1">
      <c r="A1281" s="33">
        <f t="shared" si="85"/>
        <v>44852</v>
      </c>
      <c r="B1281" s="46">
        <v>15117975047.1334</v>
      </c>
      <c r="C1281" s="56">
        <f>1176511135.44702+15913054671.7513</f>
        <v>17089565807.19832</v>
      </c>
      <c r="F1281" s="45">
        <f t="shared" si="91"/>
        <v>1971590760.0649204</v>
      </c>
      <c r="H1281" s="46">
        <v>2133232000</v>
      </c>
      <c r="I1281" s="56">
        <f>70529500.63811+2096994166.81392</f>
        <v>2167523667.4520302</v>
      </c>
      <c r="L1281" s="44">
        <f t="shared" si="92"/>
        <v>2005882427.5169506</v>
      </c>
      <c r="M1281" s="45">
        <f t="shared" si="93"/>
        <v>34291667.452030182</v>
      </c>
    </row>
    <row r="1282" spans="1:13" ht="12.65" customHeight="1">
      <c r="A1282" s="33">
        <f t="shared" si="85"/>
        <v>44853</v>
      </c>
      <c r="B1282" s="46">
        <v>15117975047.1334</v>
      </c>
      <c r="C1282" s="56">
        <f>868416395.30471+14209014734.7689</f>
        <v>15077431130.07361</v>
      </c>
      <c r="F1282" s="45">
        <f t="shared" si="91"/>
        <v>-40543917.059789658</v>
      </c>
      <c r="H1282" s="46">
        <v>2133232000</v>
      </c>
      <c r="I1282" s="50">
        <f>87094654.04714+2250648948.43346</f>
        <v>2337743602.4806004</v>
      </c>
      <c r="L1282" s="44">
        <f t="shared" si="92"/>
        <v>163967685.4208107</v>
      </c>
      <c r="M1282" s="45">
        <f t="shared" si="93"/>
        <v>204511602.48060036</v>
      </c>
    </row>
    <row r="1283" spans="1:13" ht="12.65" customHeight="1">
      <c r="A1283" s="33">
        <f t="shared" si="85"/>
        <v>44854</v>
      </c>
      <c r="B1283" s="46">
        <v>15117975047.1334</v>
      </c>
      <c r="C1283" s="56">
        <f>1063440586.04614+15056754313.8977</f>
        <v>16120194899.94384</v>
      </c>
      <c r="F1283" s="45">
        <f t="shared" si="91"/>
        <v>1002219852.8104401</v>
      </c>
      <c r="H1283" s="46">
        <v>2133232000</v>
      </c>
      <c r="I1283" s="50">
        <f>85831009.2935+2256860968.63132</f>
        <v>2342691977.9248199</v>
      </c>
      <c r="L1283" s="44">
        <f t="shared" si="92"/>
        <v>1211679830.73526</v>
      </c>
      <c r="M1283" s="45">
        <f t="shared" si="93"/>
        <v>209459977.92481995</v>
      </c>
    </row>
    <row r="1284" spans="1:13" ht="12.65" customHeight="1">
      <c r="A1284" s="33">
        <f t="shared" si="85"/>
        <v>44855</v>
      </c>
      <c r="B1284" s="46">
        <v>15117975047.1334</v>
      </c>
      <c r="C1284" s="56">
        <f>982993513.4042+14805162749.3974</f>
        <v>15788156262.8016</v>
      </c>
      <c r="F1284" s="45">
        <f t="shared" si="91"/>
        <v>670181215.66819954</v>
      </c>
      <c r="H1284" s="46">
        <v>2133232000</v>
      </c>
      <c r="I1284" s="50">
        <f>79961361.03811+2033806318.80336</f>
        <v>2113767679.84147</v>
      </c>
      <c r="L1284" s="44">
        <f t="shared" si="92"/>
        <v>650716895.50966954</v>
      </c>
      <c r="M1284" s="45">
        <f t="shared" si="93"/>
        <v>-19464320.158529997</v>
      </c>
    </row>
    <row r="1285" spans="1:13" ht="12.65" customHeight="1">
      <c r="A1285" s="33">
        <f t="shared" si="85"/>
        <v>44858</v>
      </c>
      <c r="B1285" s="46">
        <v>15117975047.1334</v>
      </c>
      <c r="C1285" s="56">
        <f>1003332685.83617+16373578541.5751</f>
        <v>17376911227.41127</v>
      </c>
      <c r="F1285" s="45">
        <f t="shared" si="91"/>
        <v>2258936180.2778702</v>
      </c>
      <c r="H1285" s="46">
        <v>2133232000</v>
      </c>
      <c r="I1285" s="50">
        <f>77973890.445+2293741388.21704</f>
        <v>2371715278.6620402</v>
      </c>
      <c r="L1285" s="44">
        <f t="shared" si="92"/>
        <v>2497419458.9399104</v>
      </c>
      <c r="M1285" s="45">
        <f t="shared" si="93"/>
        <v>238483278.66204023</v>
      </c>
    </row>
    <row r="1286" spans="1:13" ht="12.65" customHeight="1">
      <c r="A1286" s="33">
        <f t="shared" si="85"/>
        <v>44859</v>
      </c>
      <c r="B1286" s="46">
        <v>15117975047.1334</v>
      </c>
      <c r="C1286" s="56">
        <f>934720503.29986+14613716994.1487</f>
        <v>15548437497.448561</v>
      </c>
      <c r="F1286" s="45">
        <f t="shared" si="91"/>
        <v>430462450.31516075</v>
      </c>
      <c r="H1286" s="46">
        <v>2133232000</v>
      </c>
      <c r="I1286" s="50">
        <f>81471493.82256+2188332711.15295</f>
        <v>2269804204.9755096</v>
      </c>
      <c r="L1286" s="44">
        <f t="shared" si="92"/>
        <v>567034655.29067039</v>
      </c>
      <c r="M1286" s="45">
        <f t="shared" si="93"/>
        <v>136572204.97550964</v>
      </c>
    </row>
    <row r="1287" spans="1:13" ht="12.65" customHeight="1">
      <c r="A1287" s="33">
        <f t="shared" si="85"/>
        <v>44860</v>
      </c>
      <c r="B1287" s="46">
        <v>15117975047.1334</v>
      </c>
      <c r="C1287" s="56">
        <f>863631269.36083+14828535709.2759</f>
        <v>15692166978.63673</v>
      </c>
      <c r="F1287" s="45">
        <f t="shared" si="91"/>
        <v>574191931.50333023</v>
      </c>
      <c r="H1287" s="46">
        <v>2133232000</v>
      </c>
      <c r="I1287" s="50">
        <f>78020529.66004+2021472930.51312</f>
        <v>2099493460.1731598</v>
      </c>
      <c r="L1287" s="44">
        <f t="shared" si="92"/>
        <v>540453391.67649007</v>
      </c>
      <c r="M1287" s="45">
        <f t="shared" si="93"/>
        <v>-33738539.826840162</v>
      </c>
    </row>
    <row r="1288" spans="1:13" ht="12.65" customHeight="1">
      <c r="A1288" s="33">
        <f t="shared" si="85"/>
        <v>44861</v>
      </c>
      <c r="B1288" s="46">
        <v>15117975047.1334</v>
      </c>
      <c r="C1288" s="56">
        <f>1130584491.94737+13860301490.1304</f>
        <v>14990885982.07777</v>
      </c>
      <c r="F1288" s="45">
        <f t="shared" si="91"/>
        <v>-127089065.05562973</v>
      </c>
      <c r="H1288" s="46">
        <v>2133232000</v>
      </c>
      <c r="I1288" s="50">
        <f>78152890.18065+1905701534.59847</f>
        <v>1983854424.77912</v>
      </c>
      <c r="L1288" s="44">
        <f t="shared" si="92"/>
        <v>-276466640.27650976</v>
      </c>
      <c r="M1288" s="45">
        <f t="shared" si="93"/>
        <v>-149377575.22088003</v>
      </c>
    </row>
    <row r="1289" spans="1:13" ht="12.65" customHeight="1">
      <c r="A1289" s="33">
        <f t="shared" si="85"/>
        <v>44862</v>
      </c>
      <c r="B1289" s="46">
        <v>15117975047.1334</v>
      </c>
      <c r="C1289" s="56">
        <f>1018062627.95309+11508505066.8802</f>
        <v>12526567694.83329</v>
      </c>
      <c r="F1289" s="45">
        <f t="shared" si="91"/>
        <v>-2591407352.3001099</v>
      </c>
      <c r="H1289" s="46">
        <v>2133232000</v>
      </c>
      <c r="I1289" s="50">
        <f>70530225.67036+1807306671.13437</f>
        <v>1877836896.8047302</v>
      </c>
      <c r="L1289" s="44">
        <f t="shared" si="92"/>
        <v>-2846802455.4953794</v>
      </c>
      <c r="M1289" s="45">
        <f t="shared" si="93"/>
        <v>-255395103.19526982</v>
      </c>
    </row>
    <row r="1290" spans="1:13" ht="12.65" customHeight="1">
      <c r="A1290" s="33">
        <f t="shared" si="85"/>
        <v>44865</v>
      </c>
      <c r="B1290" s="46">
        <v>15117975047.1334</v>
      </c>
      <c r="C1290" s="56">
        <f>96397638.30997+9631028300.92788</f>
        <v>9727425939.2378502</v>
      </c>
      <c r="F1290" s="45">
        <f t="shared" si="91"/>
        <v>-5390549107.8955498</v>
      </c>
      <c r="H1290" s="46">
        <v>2133232000</v>
      </c>
      <c r="I1290" s="50">
        <f>57090423.4639+1784439900.35718</f>
        <v>1841530323.8210802</v>
      </c>
      <c r="L1290" s="44">
        <f t="shared" si="92"/>
        <v>-5682250784.0744696</v>
      </c>
      <c r="M1290" s="45">
        <f t="shared" si="93"/>
        <v>-291701676.17891979</v>
      </c>
    </row>
    <row r="1291" spans="1:13" ht="12.65" customHeight="1">
      <c r="A1291" s="33">
        <f t="shared" si="85"/>
        <v>44866</v>
      </c>
      <c r="B1291" s="46">
        <v>15372832745.223</v>
      </c>
      <c r="C1291" s="56">
        <f>1010365454.0243+14554880944.6835</f>
        <v>15565246398.7078</v>
      </c>
      <c r="F1291" s="45">
        <f t="shared" si="91"/>
        <v>192413653.48480034</v>
      </c>
      <c r="H1291" s="46">
        <v>2003147000</v>
      </c>
      <c r="I1291" s="50">
        <f>82659357.99519+2013185072.82877</f>
        <v>2095844430.8239598</v>
      </c>
      <c r="L1291" s="44">
        <f t="shared" si="92"/>
        <v>285111084.30876017</v>
      </c>
      <c r="M1291" s="45">
        <f t="shared" si="93"/>
        <v>92697430.823959827</v>
      </c>
    </row>
    <row r="1292" spans="1:13" ht="12.65" customHeight="1">
      <c r="A1292" s="33">
        <f t="shared" si="85"/>
        <v>44867</v>
      </c>
      <c r="B1292" s="46">
        <v>15372832745.223</v>
      </c>
      <c r="C1292" s="56">
        <f>874032065.73889+14503899414.0222</f>
        <v>15377931479.761089</v>
      </c>
      <c r="F1292" s="45">
        <f t="shared" si="91"/>
        <v>5098734.5380897522</v>
      </c>
      <c r="H1292" s="46">
        <v>2003147000</v>
      </c>
      <c r="I1292" s="56">
        <f>80667837.78717+2020029082.63879</f>
        <v>2100696920.4259598</v>
      </c>
      <c r="L1292" s="44">
        <f t="shared" si="92"/>
        <v>102648654.96404958</v>
      </c>
      <c r="M1292" s="45">
        <f t="shared" si="93"/>
        <v>97549920.425959826</v>
      </c>
    </row>
    <row r="1293" spans="1:13" ht="12.65" customHeight="1">
      <c r="A1293" s="33">
        <f t="shared" si="85"/>
        <v>44868</v>
      </c>
      <c r="B1293" s="46">
        <v>15372832745.223</v>
      </c>
      <c r="C1293" s="56">
        <f>1026282879.16498+14692206776.6225</f>
        <v>15718489655.787479</v>
      </c>
      <c r="F1293" s="45">
        <f t="shared" si="91"/>
        <v>345656910.56447983</v>
      </c>
      <c r="H1293" s="46">
        <v>2003147000</v>
      </c>
      <c r="I1293" s="50">
        <f>75056816.6166+1977577739.44047</f>
        <v>2052634556.05707</v>
      </c>
      <c r="L1293" s="44">
        <f t="shared" si="92"/>
        <v>395144466.62154984</v>
      </c>
      <c r="M1293" s="45">
        <f t="shared" si="93"/>
        <v>49487556.057070017</v>
      </c>
    </row>
    <row r="1294" spans="1:13" ht="12.65" customHeight="1">
      <c r="A1294" s="33">
        <f t="shared" si="85"/>
        <v>44869</v>
      </c>
      <c r="B1294" s="46">
        <v>15372832745.223</v>
      </c>
      <c r="C1294" s="56">
        <f>1002938990.8907+13074033756.6466</f>
        <v>14076972747.5373</v>
      </c>
      <c r="F1294" s="45">
        <f t="shared" si="91"/>
        <v>-1295859997.6856995</v>
      </c>
      <c r="H1294" s="46">
        <v>2003147000</v>
      </c>
      <c r="I1294" s="50">
        <f>85752258.56834+1934373861.98927</f>
        <v>2020126120.55761</v>
      </c>
      <c r="L1294" s="44">
        <f t="shared" si="92"/>
        <v>-1278880877.1280894</v>
      </c>
      <c r="M1294" s="45">
        <f t="shared" si="93"/>
        <v>16979120.557610035</v>
      </c>
    </row>
    <row r="1295" spans="1:13" ht="12.65" customHeight="1">
      <c r="A1295" s="33">
        <f t="shared" si="85"/>
        <v>44872</v>
      </c>
      <c r="B1295" s="46">
        <v>15372832745.223</v>
      </c>
      <c r="C1295" s="56">
        <f>968058115.95724+14762471955.2551</f>
        <v>15730530071.212339</v>
      </c>
      <c r="F1295" s="45">
        <f t="shared" si="91"/>
        <v>357697325.98933983</v>
      </c>
      <c r="H1295" s="46">
        <v>2003147000</v>
      </c>
      <c r="I1295" s="50">
        <f>73668714.64992+1650278706.44739</f>
        <v>1723947421.0973101</v>
      </c>
      <c r="L1295" s="44">
        <f t="shared" si="92"/>
        <v>78497747.086649895</v>
      </c>
      <c r="M1295" s="45">
        <f t="shared" si="93"/>
        <v>-279199578.90268993</v>
      </c>
    </row>
    <row r="1296" spans="1:13" ht="12.65" customHeight="1">
      <c r="A1296" s="33">
        <f t="shared" si="85"/>
        <v>44873</v>
      </c>
      <c r="B1296" s="46">
        <v>15372832745.223</v>
      </c>
      <c r="C1296" s="56">
        <f>14265990908.9682+853403621.03538</f>
        <v>15119394530.00358</v>
      </c>
      <c r="F1296" s="45">
        <f t="shared" si="91"/>
        <v>-253438215.21941948</v>
      </c>
      <c r="H1296" s="46">
        <v>2003147000</v>
      </c>
      <c r="I1296" s="50">
        <f>1989734587.61777+93502917.08934</f>
        <v>2083237504.7071099</v>
      </c>
      <c r="L1296" s="44">
        <f t="shared" si="92"/>
        <v>-173347710.51230955</v>
      </c>
      <c r="M1296" s="45">
        <f t="shared" si="93"/>
        <v>80090504.707109928</v>
      </c>
    </row>
    <row r="1297" spans="1:13" ht="12.65" customHeight="1">
      <c r="A1297" s="33">
        <f t="shared" si="85"/>
        <v>44874</v>
      </c>
      <c r="B1297" s="46">
        <v>15372832745.223</v>
      </c>
      <c r="C1297" s="56">
        <f>1055381967.1676+15737264637.9769</f>
        <v>16792646605.144501</v>
      </c>
      <c r="F1297" s="45">
        <f t="shared" si="91"/>
        <v>1419813859.9215012</v>
      </c>
      <c r="H1297" s="46">
        <v>2003147000</v>
      </c>
      <c r="I1297" s="50">
        <f>86430851.90614+1988782752.58058</f>
        <v>2075213604.4867201</v>
      </c>
      <c r="L1297" s="44">
        <f t="shared" si="92"/>
        <v>1491880464.4082212</v>
      </c>
      <c r="M1297" s="45">
        <f t="shared" si="93"/>
        <v>72066604.486720085</v>
      </c>
    </row>
    <row r="1298" spans="1:13" ht="12.65" customHeight="1">
      <c r="A1298" s="33">
        <f t="shared" si="85"/>
        <v>44875</v>
      </c>
      <c r="B1298" s="46">
        <v>15372832745.223</v>
      </c>
      <c r="C1298" s="56">
        <f>843400510.75541+14434402466.0817</f>
        <v>15277802976.837109</v>
      </c>
      <c r="F1298" s="45">
        <f t="shared" si="91"/>
        <v>-95029768.385890961</v>
      </c>
      <c r="H1298" s="46">
        <v>2003147000</v>
      </c>
      <c r="I1298" s="50">
        <f>77432928.8044+1941264438.90895</f>
        <v>2018697367.7133501</v>
      </c>
      <c r="L1298" s="44">
        <f t="shared" si="92"/>
        <v>-79479400.672540903</v>
      </c>
      <c r="M1298" s="45">
        <f t="shared" si="93"/>
        <v>15550367.713350058</v>
      </c>
    </row>
    <row r="1299" spans="1:13" ht="12.65" customHeight="1">
      <c r="A1299" s="33">
        <f t="shared" si="85"/>
        <v>44876</v>
      </c>
      <c r="B1299" s="46">
        <v>15372832745.223</v>
      </c>
      <c r="C1299" s="56">
        <f>1059271376.61568+12510210804.4319</f>
        <v>13569482181.047581</v>
      </c>
      <c r="F1299" s="45">
        <f t="shared" si="91"/>
        <v>-1803350564.1754189</v>
      </c>
      <c r="H1299" s="46">
        <v>2003147000</v>
      </c>
      <c r="I1299" s="50">
        <f>95070533.70194+2074256922.80283</f>
        <v>2169327456.5047698</v>
      </c>
      <c r="L1299" s="44">
        <f t="shared" si="92"/>
        <v>-1637170107.6706491</v>
      </c>
      <c r="M1299" s="45">
        <f t="shared" si="93"/>
        <v>166180456.5047698</v>
      </c>
    </row>
    <row r="1300" spans="1:13" ht="12.65" customHeight="1">
      <c r="A1300" s="33">
        <f t="shared" si="85"/>
        <v>44879</v>
      </c>
      <c r="B1300" s="46">
        <v>15372832745.223</v>
      </c>
      <c r="C1300" s="56">
        <f>928041316.15665+15443380397.1433</f>
        <v>16371421713.29995</v>
      </c>
      <c r="F1300" s="45">
        <f t="shared" si="91"/>
        <v>998588968.07695007</v>
      </c>
      <c r="H1300" s="46">
        <v>2003147000</v>
      </c>
      <c r="I1300" s="50">
        <f>73876506.81737+1937171152.86351</f>
        <v>2011047659.6808798</v>
      </c>
      <c r="L1300" s="44">
        <f t="shared" si="92"/>
        <v>1006489627.7578299</v>
      </c>
      <c r="M1300" s="45">
        <f t="shared" si="93"/>
        <v>7900659.6808798313</v>
      </c>
    </row>
    <row r="1301" spans="1:13" ht="12.65" customHeight="1">
      <c r="A1301" s="33">
        <f t="shared" si="85"/>
        <v>44880</v>
      </c>
      <c r="B1301" s="46">
        <v>15372832745.223</v>
      </c>
      <c r="C1301" s="56">
        <f>1125922460.15815+15637383602.7579</f>
        <v>16763306062.91605</v>
      </c>
      <c r="F1301" s="45">
        <f t="shared" si="91"/>
        <v>1390473317.6930504</v>
      </c>
      <c r="H1301" s="46">
        <v>2003147000</v>
      </c>
      <c r="I1301" s="50">
        <f>88705571.59417+1826318138.69433</f>
        <v>1915023710.2885001</v>
      </c>
      <c r="L1301" s="44">
        <f t="shared" si="92"/>
        <v>1302350027.9815505</v>
      </c>
      <c r="M1301" s="45">
        <f t="shared" si="93"/>
        <v>-88123289.711499929</v>
      </c>
    </row>
    <row r="1302" spans="1:13" ht="12.65" customHeight="1">
      <c r="A1302" s="33">
        <f t="shared" si="85"/>
        <v>44881</v>
      </c>
      <c r="B1302" s="46">
        <v>15151893130.070299</v>
      </c>
      <c r="C1302" s="56">
        <f>926285610.46987+17881890763.5829</f>
        <v>18808176374.052773</v>
      </c>
      <c r="F1302" s="45">
        <f t="shared" si="91"/>
        <v>3656283243.9824734</v>
      </c>
      <c r="H1302" s="46">
        <v>2044223000</v>
      </c>
      <c r="I1302" s="50">
        <f>83819817.60774+2247433081.99079</f>
        <v>2331252899.5985298</v>
      </c>
      <c r="L1302" s="44">
        <f t="shared" si="92"/>
        <v>3943313143.5810032</v>
      </c>
      <c r="M1302" s="45">
        <f t="shared" si="93"/>
        <v>287029899.59852982</v>
      </c>
    </row>
    <row r="1303" spans="1:13" ht="12.65" customHeight="1">
      <c r="A1303" s="33">
        <f t="shared" si="85"/>
        <v>44882</v>
      </c>
      <c r="B1303" s="46">
        <v>15151893130.070299</v>
      </c>
      <c r="C1303" s="56">
        <f>1112298966.73414+16767625604.2005</f>
        <v>17879924570.934639</v>
      </c>
      <c r="F1303" s="45">
        <f t="shared" si="91"/>
        <v>2728031440.8643398</v>
      </c>
      <c r="H1303" s="46">
        <v>2044223000</v>
      </c>
      <c r="I1303" s="50">
        <f>79828140.2317+2089022398.29602</f>
        <v>2168850538.52772</v>
      </c>
      <c r="L1303" s="44">
        <f t="shared" si="92"/>
        <v>2852658979.3920598</v>
      </c>
      <c r="M1303" s="45">
        <f t="shared" si="93"/>
        <v>124627538.52771997</v>
      </c>
    </row>
    <row r="1304" spans="1:13" ht="12.65" customHeight="1">
      <c r="A1304" s="33">
        <f t="shared" si="85"/>
        <v>44883</v>
      </c>
      <c r="B1304" s="46">
        <v>15151893130.070299</v>
      </c>
      <c r="C1304" s="56">
        <f>976848424.32124+16399855033.2646</f>
        <v>17376703457.585842</v>
      </c>
      <c r="F1304" s="45">
        <f t="shared" si="91"/>
        <v>2224810327.515543</v>
      </c>
      <c r="H1304" s="46">
        <v>2044223000</v>
      </c>
      <c r="I1304" s="50">
        <f>94047852.84928+1980080304.76059</f>
        <v>2074128157.60987</v>
      </c>
      <c r="L1304" s="44">
        <f t="shared" si="92"/>
        <v>2254715485.1254129</v>
      </c>
      <c r="M1304" s="45">
        <f t="shared" si="93"/>
        <v>29905157.609869957</v>
      </c>
    </row>
    <row r="1305" spans="1:13" ht="12.65" customHeight="1">
      <c r="A1305" s="33">
        <f t="shared" si="85"/>
        <v>44886</v>
      </c>
      <c r="B1305" s="46">
        <v>15151893130.070299</v>
      </c>
      <c r="C1305" s="56">
        <f>981086026.51638+16079497524.0318</f>
        <v>17060583550.54818</v>
      </c>
      <c r="F1305" s="45">
        <f t="shared" si="91"/>
        <v>1908690420.4778805</v>
      </c>
      <c r="H1305" s="46">
        <v>2044223000</v>
      </c>
      <c r="I1305" s="50">
        <f>80903891.8001+2050012999.98618</f>
        <v>2130916891.7862802</v>
      </c>
      <c r="L1305" s="44">
        <f t="shared" si="92"/>
        <v>1995384312.2641606</v>
      </c>
      <c r="M1305" s="45">
        <f t="shared" si="93"/>
        <v>86693891.786280155</v>
      </c>
    </row>
    <row r="1306" spans="1:13" ht="12.65" customHeight="1">
      <c r="A1306" s="33">
        <f t="shared" si="85"/>
        <v>44887</v>
      </c>
      <c r="B1306" s="46">
        <v>15151893130.070299</v>
      </c>
      <c r="C1306" s="56">
        <f>1211758665.62195+15072594848.3734</f>
        <v>16284353513.99535</v>
      </c>
      <c r="F1306" s="45">
        <f t="shared" si="91"/>
        <v>1132460383.9250507</v>
      </c>
      <c r="H1306" s="46">
        <v>2044223000</v>
      </c>
      <c r="I1306" s="50">
        <f>76071563.05614+1826008778.36702</f>
        <v>1902080341.4231598</v>
      </c>
      <c r="L1306" s="44">
        <f t="shared" si="92"/>
        <v>990317725.34821057</v>
      </c>
      <c r="M1306" s="45">
        <f t="shared" si="93"/>
        <v>-142142658.57684016</v>
      </c>
    </row>
    <row r="1307" spans="1:13" ht="12.65" customHeight="1">
      <c r="A1307" s="33">
        <f t="shared" si="85"/>
        <v>44888</v>
      </c>
      <c r="B1307" s="46">
        <v>15151893130.070299</v>
      </c>
      <c r="C1307" s="56">
        <f>14212598679.2298+1017002764.35921</f>
        <v>15229601443.589008</v>
      </c>
      <c r="F1307" s="45">
        <f t="shared" si="91"/>
        <v>77708313.518709183</v>
      </c>
      <c r="H1307" s="46">
        <v>2044223000</v>
      </c>
      <c r="I1307" s="50">
        <f>2297271625.20515+92045441.59648</f>
        <v>2389317066.80163</v>
      </c>
      <c r="L1307" s="44">
        <f t="shared" si="92"/>
        <v>422802380.3203392</v>
      </c>
      <c r="M1307" s="45">
        <f t="shared" si="93"/>
        <v>345094066.80163002</v>
      </c>
    </row>
    <row r="1308" spans="1:13" ht="12.65" customHeight="1">
      <c r="A1308" s="33">
        <f t="shared" si="85"/>
        <v>44889</v>
      </c>
      <c r="B1308" s="46">
        <v>15151893130.070299</v>
      </c>
      <c r="C1308" s="56">
        <f>1231400124.35256+14783047053.4481</f>
        <v>16014447177.800659</v>
      </c>
      <c r="F1308" s="45">
        <f t="shared" si="91"/>
        <v>862554047.73036003</v>
      </c>
      <c r="H1308" s="46">
        <v>2044223000</v>
      </c>
      <c r="I1308" s="50">
        <f>86055816.39151+2123355314.81386</f>
        <v>2209411131.2053699</v>
      </c>
      <c r="L1308" s="44">
        <f t="shared" si="92"/>
        <v>1027742178.93573</v>
      </c>
      <c r="M1308" s="45">
        <f t="shared" si="93"/>
        <v>165188131.20536995</v>
      </c>
    </row>
    <row r="1309" spans="1:13" ht="12.65" customHeight="1">
      <c r="A1309" s="33">
        <f t="shared" si="85"/>
        <v>44890</v>
      </c>
      <c r="B1309" s="46">
        <v>15151893130.070299</v>
      </c>
      <c r="C1309" s="56">
        <f>1052583467.76264+15512489976.3689</f>
        <v>16565073444.13154</v>
      </c>
      <c r="F1309" s="45">
        <f t="shared" si="91"/>
        <v>1413180314.0612411</v>
      </c>
      <c r="H1309" s="46">
        <v>2044223000</v>
      </c>
      <c r="I1309" s="50">
        <f>80679645.93078+1802915374.44305</f>
        <v>1883595020.3738298</v>
      </c>
      <c r="L1309" s="44">
        <f t="shared" si="92"/>
        <v>1252552334.435071</v>
      </c>
      <c r="M1309" s="45">
        <f t="shared" si="93"/>
        <v>-160627979.62617016</v>
      </c>
    </row>
    <row r="1310" spans="1:13" ht="12.65" customHeight="1">
      <c r="A1310" s="33">
        <f t="shared" si="85"/>
        <v>44893</v>
      </c>
      <c r="B1310" s="46">
        <v>15151893130.070299</v>
      </c>
      <c r="C1310" s="56">
        <f>972568404.54898+15662180588.9345</f>
        <v>16634748993.48348</v>
      </c>
      <c r="F1310" s="45">
        <f t="shared" si="91"/>
        <v>1482855863.4131813</v>
      </c>
      <c r="H1310" s="46">
        <v>2044223000</v>
      </c>
      <c r="I1310" s="50">
        <f>79974653.30259+1827600472.46854</f>
        <v>1907575125.7711298</v>
      </c>
      <c r="L1310" s="44">
        <f t="shared" si="92"/>
        <v>1346207989.1843112</v>
      </c>
      <c r="M1310" s="45">
        <f t="shared" si="93"/>
        <v>-136647874.22887015</v>
      </c>
    </row>
    <row r="1311" spans="1:13" ht="12.65" customHeight="1">
      <c r="A1311" s="33">
        <f t="shared" si="85"/>
        <v>44894</v>
      </c>
      <c r="B1311" s="46">
        <v>15151893130.070299</v>
      </c>
      <c r="C1311" s="56">
        <f>1246056266.65069+11461902227.7088</f>
        <v>12707958494.359489</v>
      </c>
      <c r="F1311" s="45">
        <f t="shared" si="91"/>
        <v>-2443934635.7108097</v>
      </c>
      <c r="H1311" s="46">
        <v>2044223000</v>
      </c>
      <c r="I1311" s="50">
        <f>92157059.21578+2173150692.07357</f>
        <v>2265307751.2893496</v>
      </c>
      <c r="L1311" s="44">
        <f t="shared" si="92"/>
        <v>-2222849884.4214602</v>
      </c>
      <c r="M1311" s="45">
        <f t="shared" si="93"/>
        <v>221084751.28934956</v>
      </c>
    </row>
    <row r="1312" spans="1:13" ht="12.65" customHeight="1">
      <c r="A1312" s="33">
        <f t="shared" si="85"/>
        <v>44895</v>
      </c>
      <c r="B1312" s="46">
        <v>15151893130.070299</v>
      </c>
      <c r="C1312" s="56">
        <f>1033962328.25156+2677916218.54329</f>
        <v>3711878546.7948503</v>
      </c>
      <c r="F1312" s="45">
        <f t="shared" si="91"/>
        <v>-11440014583.275448</v>
      </c>
      <c r="H1312" s="46">
        <v>2044223000</v>
      </c>
      <c r="I1312" s="50">
        <f>80690531.43036+1546996038.43971</f>
        <v>1627686569.87007</v>
      </c>
      <c r="L1312" s="44">
        <f t="shared" si="92"/>
        <v>-11856551013.405378</v>
      </c>
      <c r="M1312" s="45">
        <f t="shared" si="93"/>
        <v>-416536430.12993002</v>
      </c>
    </row>
    <row r="1313" spans="1:13" ht="12.65" customHeight="1">
      <c r="A1313" s="33">
        <f t="shared" si="85"/>
        <v>44896</v>
      </c>
      <c r="B1313" s="46">
        <v>15834323292.2136</v>
      </c>
      <c r="C1313" s="56">
        <f>908012087.14838+13878067391.75</f>
        <v>14786079478.89838</v>
      </c>
      <c r="F1313" s="45">
        <f t="shared" si="91"/>
        <v>-1048243813.3152199</v>
      </c>
      <c r="H1313" s="46">
        <f>2085187000</f>
        <v>2085187000</v>
      </c>
      <c r="I1313" s="50">
        <f>74634669.57664+2160111411.86069</f>
        <v>2234746081.4373302</v>
      </c>
      <c r="L1313" s="44">
        <f t="shared" si="92"/>
        <v>-898684731.87788963</v>
      </c>
      <c r="M1313" s="45">
        <f t="shared" si="93"/>
        <v>149559081.43733025</v>
      </c>
    </row>
    <row r="1314" spans="1:13" ht="12.65" customHeight="1">
      <c r="A1314" s="33">
        <f t="shared" ref="A1314:A1377" si="94">WORKDAY(A1313,1)</f>
        <v>44897</v>
      </c>
      <c r="B1314" s="46">
        <v>15834323292.2136</v>
      </c>
      <c r="C1314" s="56">
        <f>1208595169.28671+15319818466.8655</f>
        <v>16528413636.15221</v>
      </c>
      <c r="F1314" s="45">
        <f t="shared" si="91"/>
        <v>694090343.93861008</v>
      </c>
      <c r="H1314" s="46">
        <f t="shared" ref="H1314:H1323" si="95">2085187000</f>
        <v>2085187000</v>
      </c>
      <c r="I1314" s="50">
        <f>96305907.54608+2422792101.98188</f>
        <v>2519098009.5279603</v>
      </c>
      <c r="L1314" s="44">
        <f t="shared" si="92"/>
        <v>1128001353.4665704</v>
      </c>
      <c r="M1314" s="45">
        <f t="shared" si="93"/>
        <v>433911009.5279603</v>
      </c>
    </row>
    <row r="1315" spans="1:13" ht="12.65" customHeight="1">
      <c r="A1315" s="33">
        <f t="shared" si="94"/>
        <v>44900</v>
      </c>
      <c r="B1315" s="46">
        <v>15834323292.2136</v>
      </c>
      <c r="C1315" s="56">
        <f>1007704457.85215+20091150475.0784</f>
        <v>21098854932.93055</v>
      </c>
      <c r="F1315" s="45">
        <f t="shared" si="91"/>
        <v>5264531640.7169495</v>
      </c>
      <c r="H1315" s="46">
        <f t="shared" si="95"/>
        <v>2085187000</v>
      </c>
      <c r="I1315" s="50">
        <f>93354835.79945+2130318487.7886</f>
        <v>2223673323.5880499</v>
      </c>
      <c r="L1315" s="44">
        <f t="shared" si="92"/>
        <v>5403017964.3049994</v>
      </c>
      <c r="M1315" s="45">
        <f t="shared" si="93"/>
        <v>138486323.58804989</v>
      </c>
    </row>
    <row r="1316" spans="1:13" ht="12.65" customHeight="1">
      <c r="A1316" s="33">
        <f t="shared" si="94"/>
        <v>44901</v>
      </c>
      <c r="B1316" s="46">
        <v>15834323292.2136</v>
      </c>
      <c r="C1316" s="56">
        <f>1308919477.00507+17661751102.2806</f>
        <v>18970670579.285671</v>
      </c>
      <c r="F1316" s="45">
        <f t="shared" si="91"/>
        <v>3136347287.0720711</v>
      </c>
      <c r="H1316" s="46">
        <f t="shared" si="95"/>
        <v>2085187000</v>
      </c>
      <c r="I1316" s="50">
        <f>85607802.90873+1723270924.64455</f>
        <v>1808878727.5532801</v>
      </c>
      <c r="L1316" s="44">
        <f t="shared" si="92"/>
        <v>2860039014.625351</v>
      </c>
      <c r="M1316" s="45">
        <f t="shared" si="93"/>
        <v>-276308272.44671988</v>
      </c>
    </row>
    <row r="1317" spans="1:13" ht="12.65" customHeight="1">
      <c r="A1317" s="33">
        <f t="shared" si="94"/>
        <v>44902</v>
      </c>
      <c r="B1317" s="46">
        <v>15834323292.2136</v>
      </c>
      <c r="C1317" s="56">
        <f>978380932.1844+18364529429.6154</f>
        <v>19342910361.799797</v>
      </c>
      <c r="F1317" s="45">
        <f t="shared" si="91"/>
        <v>3508587069.5861969</v>
      </c>
      <c r="H1317" s="46">
        <f t="shared" si="95"/>
        <v>2085187000</v>
      </c>
      <c r="I1317" s="50">
        <f>75710061.03301+2943035789.50153</f>
        <v>3018745850.5345402</v>
      </c>
      <c r="L1317" s="44">
        <f t="shared" si="92"/>
        <v>4442145920.1207371</v>
      </c>
      <c r="M1317" s="45">
        <f t="shared" si="93"/>
        <v>933558850.53454018</v>
      </c>
    </row>
    <row r="1318" spans="1:13" ht="12.65" customHeight="1">
      <c r="A1318" s="33">
        <f t="shared" si="94"/>
        <v>44903</v>
      </c>
      <c r="B1318" s="46">
        <v>15834323292.2136</v>
      </c>
      <c r="C1318" s="56">
        <f>886567020.10069+14540402600.6306</f>
        <v>15426969620.731291</v>
      </c>
      <c r="F1318" s="45">
        <f t="shared" si="91"/>
        <v>-407353671.48230934</v>
      </c>
      <c r="H1318" s="46">
        <f t="shared" si="95"/>
        <v>2085187000</v>
      </c>
      <c r="I1318" s="50">
        <f>85990855.10605+1969480361.42148</f>
        <v>2055471216.52753</v>
      </c>
      <c r="L1318" s="44">
        <f t="shared" si="92"/>
        <v>-437069454.95477939</v>
      </c>
      <c r="M1318" s="45">
        <f t="shared" si="93"/>
        <v>-29715783.472470045</v>
      </c>
    </row>
    <row r="1319" spans="1:13" ht="12.65" customHeight="1">
      <c r="A1319" s="33">
        <f t="shared" si="94"/>
        <v>44904</v>
      </c>
      <c r="B1319" s="46">
        <v>15834323292.2136</v>
      </c>
      <c r="C1319" s="56">
        <f>1140137308.95227+12889334502.188</f>
        <v>14029471811.14027</v>
      </c>
      <c r="F1319" s="45">
        <f t="shared" si="91"/>
        <v>-1804851481.0733299</v>
      </c>
      <c r="H1319" s="46">
        <f t="shared" si="95"/>
        <v>2085187000</v>
      </c>
      <c r="I1319" s="50">
        <f>96404391.31482+1825428433.94221</f>
        <v>1921832825.25703</v>
      </c>
      <c r="L1319" s="44">
        <f t="shared" si="92"/>
        <v>-1968205655.8162999</v>
      </c>
      <c r="M1319" s="45">
        <f t="shared" si="93"/>
        <v>-163354174.74296999</v>
      </c>
    </row>
    <row r="1320" spans="1:13" ht="12.65" customHeight="1">
      <c r="A1320" s="33">
        <f t="shared" si="94"/>
        <v>44907</v>
      </c>
      <c r="B1320" s="46">
        <v>15834323292.2136</v>
      </c>
      <c r="C1320" s="56">
        <f>830334820.35275+10385810998.1122</f>
        <v>11216145818.464951</v>
      </c>
      <c r="F1320" s="45">
        <f t="shared" si="91"/>
        <v>-4618177473.7486496</v>
      </c>
      <c r="H1320" s="46">
        <f t="shared" si="95"/>
        <v>2085187000</v>
      </c>
      <c r="I1320" s="50">
        <f>80824660.98568+1672299333.28785</f>
        <v>1753123994.27353</v>
      </c>
      <c r="L1320" s="44">
        <f t="shared" si="92"/>
        <v>-4950240479.4751196</v>
      </c>
      <c r="M1320" s="45">
        <f t="shared" si="93"/>
        <v>-332063005.72646999</v>
      </c>
    </row>
    <row r="1321" spans="1:13" ht="12.65" customHeight="1">
      <c r="A1321" s="33">
        <f t="shared" si="94"/>
        <v>44908</v>
      </c>
      <c r="B1321" s="46">
        <v>15834323292.2136</v>
      </c>
      <c r="C1321" s="56">
        <f>1238198383.79184+13005252579.2152</f>
        <v>14243450963.00704</v>
      </c>
      <c r="F1321" s="45">
        <f t="shared" si="91"/>
        <v>-1590872329.2065601</v>
      </c>
      <c r="H1321" s="46">
        <f t="shared" si="95"/>
        <v>2085187000</v>
      </c>
      <c r="I1321" s="50">
        <f>79719564.94754+1824128364.58235</f>
        <v>1903847929.5298901</v>
      </c>
      <c r="L1321" s="44">
        <f t="shared" si="92"/>
        <v>-1772211399.6766701</v>
      </c>
      <c r="M1321" s="45">
        <f t="shared" si="93"/>
        <v>-181339070.47010994</v>
      </c>
    </row>
    <row r="1322" spans="1:13" ht="12.65" customHeight="1">
      <c r="A1322" s="33">
        <f t="shared" si="94"/>
        <v>44909</v>
      </c>
      <c r="B1322" s="46">
        <v>15834323292.2136</v>
      </c>
      <c r="C1322" s="56">
        <f>955334582.44757+16720192931.5681</f>
        <v>17675527514.015671</v>
      </c>
      <c r="F1322" s="45">
        <f t="shared" si="91"/>
        <v>1841204221.8020706</v>
      </c>
      <c r="H1322" s="46">
        <f t="shared" si="95"/>
        <v>2085187000</v>
      </c>
      <c r="I1322" s="50">
        <f>68952568.86763+1962806849.57894</f>
        <v>2031759418.4465699</v>
      </c>
      <c r="L1322" s="44">
        <f t="shared" si="92"/>
        <v>1787776640.2486405</v>
      </c>
      <c r="M1322" s="45">
        <f t="shared" si="93"/>
        <v>-53427581.55343008</v>
      </c>
    </row>
    <row r="1323" spans="1:13" ht="12.65" customHeight="1">
      <c r="A1323" s="33">
        <f t="shared" si="94"/>
        <v>44910</v>
      </c>
      <c r="B1323" s="46">
        <v>15834323292.2136</v>
      </c>
      <c r="C1323" s="56">
        <f>1203076201.90147+11581649993.1714</f>
        <v>12784726195.07287</v>
      </c>
      <c r="F1323" s="45">
        <f t="shared" si="91"/>
        <v>-3049597097.1407299</v>
      </c>
      <c r="H1323" s="46">
        <f t="shared" si="95"/>
        <v>2085187000</v>
      </c>
      <c r="I1323" s="50">
        <f>78453624.57198+1779981199.563</f>
        <v>1858434824.13498</v>
      </c>
      <c r="L1323" s="44">
        <f t="shared" si="92"/>
        <v>-3276349273.0057497</v>
      </c>
      <c r="M1323" s="45">
        <f t="shared" si="93"/>
        <v>-226752175.86502004</v>
      </c>
    </row>
    <row r="1324" spans="1:13" ht="12.65" customHeight="1">
      <c r="A1324" s="33">
        <f t="shared" si="94"/>
        <v>44911</v>
      </c>
      <c r="B1324" s="46">
        <v>15741498443.248501</v>
      </c>
      <c r="C1324" s="56">
        <f>980143679.90343+15498675390.4444</f>
        <v>16478819070.347832</v>
      </c>
      <c r="F1324" s="45">
        <f t="shared" si="91"/>
        <v>737320627.0993309</v>
      </c>
      <c r="H1324" s="46">
        <v>2147439000</v>
      </c>
      <c r="I1324" s="50">
        <f>92424984.36113+2273763199.8207</f>
        <v>2366188184.1818304</v>
      </c>
      <c r="L1324" s="44">
        <f t="shared" si="92"/>
        <v>956069811.28116131</v>
      </c>
      <c r="M1324" s="45">
        <f t="shared" si="93"/>
        <v>218749184.18183041</v>
      </c>
    </row>
    <row r="1325" spans="1:13" ht="12.65" customHeight="1">
      <c r="A1325" s="33">
        <f t="shared" si="94"/>
        <v>44914</v>
      </c>
      <c r="B1325" s="46">
        <v>15741498443.248501</v>
      </c>
      <c r="C1325" s="56">
        <f>1055078423.03661+17274581238.9439</f>
        <v>18329659661.980511</v>
      </c>
      <c r="F1325" s="45">
        <f t="shared" si="91"/>
        <v>2588161218.7320099</v>
      </c>
      <c r="H1325" s="46">
        <v>2147439000</v>
      </c>
      <c r="I1325" s="50">
        <f>77757375.01241+2064076235.23273</f>
        <v>2141833610.2451398</v>
      </c>
      <c r="L1325" s="44">
        <f t="shared" si="92"/>
        <v>2582555828.97715</v>
      </c>
      <c r="M1325" s="45">
        <f t="shared" si="93"/>
        <v>-5605389.7548601627</v>
      </c>
    </row>
    <row r="1326" spans="1:13" ht="12.65" customHeight="1">
      <c r="A1326" s="33">
        <f t="shared" si="94"/>
        <v>44915</v>
      </c>
      <c r="B1326" s="46">
        <v>15741498443.248501</v>
      </c>
      <c r="C1326" s="56">
        <f>910004215.36631+13856560596.5448</f>
        <v>14766564811.91111</v>
      </c>
      <c r="F1326" s="45">
        <f t="shared" si="91"/>
        <v>-974933631.3373909</v>
      </c>
      <c r="H1326" s="46">
        <v>2147439000</v>
      </c>
      <c r="I1326" s="50">
        <f>70775461.82276+2114419099.74165</f>
        <v>2185194561.5644102</v>
      </c>
      <c r="L1326" s="44">
        <f t="shared" si="92"/>
        <v>-937178069.77298069</v>
      </c>
      <c r="M1326" s="45">
        <f t="shared" si="93"/>
        <v>37755561.56441021</v>
      </c>
    </row>
    <row r="1327" spans="1:13" ht="12.65" customHeight="1">
      <c r="A1327" s="33">
        <f t="shared" si="94"/>
        <v>44916</v>
      </c>
      <c r="B1327" s="46">
        <v>15741498443.248501</v>
      </c>
      <c r="C1327" s="56">
        <f>1148095025.6477+15807904218.9579</f>
        <v>16955999244.605598</v>
      </c>
      <c r="F1327" s="45">
        <f t="shared" si="91"/>
        <v>1214500801.3570976</v>
      </c>
      <c r="H1327" s="46">
        <v>2147439000</v>
      </c>
      <c r="I1327" s="50">
        <f>84490882.30926+2258736414.13708</f>
        <v>2343227296.4463401</v>
      </c>
      <c r="L1327" s="44">
        <f t="shared" si="92"/>
        <v>1410289097.8034377</v>
      </c>
      <c r="M1327" s="45">
        <f t="shared" si="93"/>
        <v>195788296.44634008</v>
      </c>
    </row>
    <row r="1328" spans="1:13" ht="12.65" customHeight="1">
      <c r="A1328" s="33">
        <f t="shared" si="94"/>
        <v>44917</v>
      </c>
      <c r="B1328" s="46">
        <v>15741498443.248501</v>
      </c>
      <c r="C1328" s="56">
        <f>1148095025.6477+18941137260.8668</f>
        <v>20089232286.5145</v>
      </c>
      <c r="F1328" s="45">
        <f t="shared" si="91"/>
        <v>4347733843.2659988</v>
      </c>
      <c r="H1328" s="46">
        <v>2147439000</v>
      </c>
      <c r="I1328" s="50">
        <f>84490882.30926+2136439053.81317</f>
        <v>2220929936.1224298</v>
      </c>
      <c r="L1328" s="44">
        <f t="shared" si="92"/>
        <v>4421224779.3884287</v>
      </c>
      <c r="M1328" s="45">
        <f t="shared" si="93"/>
        <v>73490936.122429848</v>
      </c>
    </row>
    <row r="1329" spans="1:14" ht="12.65" customHeight="1">
      <c r="A1329" s="33">
        <f t="shared" si="94"/>
        <v>44918</v>
      </c>
      <c r="B1329" s="46">
        <v>15741498443.248501</v>
      </c>
      <c r="C1329" s="56">
        <f>19317823106.0247+976370879.44454</f>
        <v>20294193985.469238</v>
      </c>
      <c r="F1329" s="45">
        <f t="shared" si="91"/>
        <v>4552695542.2207375</v>
      </c>
      <c r="H1329" s="46">
        <v>2147439000</v>
      </c>
      <c r="I1329" s="50">
        <f>2167554527.41054+72714824.02617</f>
        <v>2240269351.4367099</v>
      </c>
      <c r="L1329" s="44">
        <f t="shared" si="92"/>
        <v>4645525893.6574478</v>
      </c>
      <c r="M1329" s="45">
        <f t="shared" si="93"/>
        <v>92830351.436709881</v>
      </c>
    </row>
    <row r="1330" spans="1:14" ht="12.65" customHeight="1">
      <c r="A1330" s="33">
        <f t="shared" si="94"/>
        <v>44921</v>
      </c>
      <c r="B1330" s="46">
        <v>15741498443.248501</v>
      </c>
      <c r="C1330" s="56">
        <f>18163939657.0548+1072376323.6615</f>
        <v>19236315980.716297</v>
      </c>
      <c r="F1330" s="45">
        <f t="shared" si="91"/>
        <v>3494817537.4677963</v>
      </c>
      <c r="H1330" s="46">
        <v>2147439000</v>
      </c>
      <c r="I1330" s="50">
        <f>2044796307.33777+72548500.41991</f>
        <v>2117344807.7576799</v>
      </c>
      <c r="L1330" s="44">
        <f t="shared" si="92"/>
        <v>3464723345.2254763</v>
      </c>
      <c r="M1330" s="45">
        <f t="shared" si="93"/>
        <v>-30094192.242320061</v>
      </c>
    </row>
    <row r="1331" spans="1:14" ht="12.65" customHeight="1">
      <c r="A1331" s="33">
        <f t="shared" si="94"/>
        <v>44922</v>
      </c>
      <c r="B1331" s="46">
        <v>15741498443.248501</v>
      </c>
      <c r="C1331" s="56">
        <f>995337491.58724+17610656223.7315</f>
        <v>18605993715.318737</v>
      </c>
      <c r="F1331" s="45">
        <f t="shared" si="91"/>
        <v>2864495272.0702362</v>
      </c>
      <c r="H1331" s="46">
        <v>2147439000</v>
      </c>
      <c r="I1331" s="50">
        <f>85573803.04743+2225402265.05344</f>
        <v>2310976068.1008701</v>
      </c>
      <c r="L1331" s="44">
        <f t="shared" si="92"/>
        <v>3028032340.1711063</v>
      </c>
      <c r="M1331" s="45">
        <f t="shared" si="93"/>
        <v>163537068.10087013</v>
      </c>
    </row>
    <row r="1332" spans="1:14" ht="12.65" customHeight="1">
      <c r="A1332" s="33">
        <f t="shared" si="94"/>
        <v>44923</v>
      </c>
      <c r="B1332" s="46">
        <v>15741498443.248501</v>
      </c>
      <c r="C1332" s="56">
        <f>14837648913.6037+947602870.64657</f>
        <v>15785251784.250271</v>
      </c>
      <c r="F1332" s="45">
        <f t="shared" si="91"/>
        <v>43753341.00177002</v>
      </c>
      <c r="H1332" s="46">
        <v>2147439000</v>
      </c>
      <c r="I1332" s="50">
        <f>2046463090.43589+72282334.43284</f>
        <v>2118745424.8687301</v>
      </c>
      <c r="L1332" s="44">
        <f t="shared" si="92"/>
        <v>15059765.870500088</v>
      </c>
      <c r="M1332" s="45">
        <f t="shared" si="93"/>
        <v>-28693575.131269932</v>
      </c>
    </row>
    <row r="1333" spans="1:14" ht="12.65" customHeight="1">
      <c r="A1333" s="33">
        <f t="shared" si="94"/>
        <v>44924</v>
      </c>
      <c r="B1333" s="46">
        <v>15741498443.248501</v>
      </c>
      <c r="C1333" s="56">
        <f>1230939066.62806+9552685155.42816</f>
        <v>10783624222.056219</v>
      </c>
      <c r="F1333" s="45">
        <f t="shared" si="91"/>
        <v>-4957874221.1922817</v>
      </c>
      <c r="H1333" s="46">
        <v>2147439000</v>
      </c>
      <c r="I1333" s="50">
        <f>88997910.28787+1934259540.09473</f>
        <v>2023257450.3825998</v>
      </c>
      <c r="L1333" s="44">
        <f t="shared" si="92"/>
        <v>-5082055770.8096819</v>
      </c>
      <c r="M1333" s="45">
        <f t="shared" si="93"/>
        <v>-124181549.61740017</v>
      </c>
    </row>
    <row r="1334" spans="1:14" ht="12.65" customHeight="1">
      <c r="A1334" s="33">
        <f t="shared" si="94"/>
        <v>44925</v>
      </c>
      <c r="B1334" s="46">
        <v>15741498443.248501</v>
      </c>
      <c r="C1334" s="56">
        <f>1133930161.20892+3920885596.18922</f>
        <v>5054815757.39814</v>
      </c>
      <c r="F1334" s="45">
        <f t="shared" ref="F1334:F1397" si="96">C1334-B1334</f>
        <v>-10686682685.850361</v>
      </c>
      <c r="H1334" s="46">
        <v>2147439000</v>
      </c>
      <c r="I1334" s="50">
        <f>78888754.71488+2162252787.17722</f>
        <v>2241141541.8920999</v>
      </c>
      <c r="L1334" s="44">
        <f t="shared" ref="L1334:L1397" si="97">F1334+M1334</f>
        <v>-10592980143.958261</v>
      </c>
      <c r="M1334" s="45">
        <f t="shared" ref="M1334:M1397" si="98">I1334-H1334</f>
        <v>93702541.892099857</v>
      </c>
    </row>
    <row r="1335" spans="1:14" ht="12.65" customHeight="1">
      <c r="A1335" s="33">
        <v>44926</v>
      </c>
      <c r="B1335" s="46">
        <v>15741498443.248501</v>
      </c>
      <c r="C1335" s="56">
        <f>1133930161.20892+3920885596.18922</f>
        <v>5054815757.39814</v>
      </c>
      <c r="F1335" s="45">
        <f t="shared" ref="F1335" si="99">C1335-B1335</f>
        <v>-10686682685.850361</v>
      </c>
      <c r="H1335" s="46">
        <v>2147439000</v>
      </c>
      <c r="I1335" s="50">
        <f>78888754.71488+2162252787.17722</f>
        <v>2241141541.8920999</v>
      </c>
      <c r="L1335" s="44">
        <f t="shared" ref="L1335" si="100">F1335+M1335</f>
        <v>-10592980143.958261</v>
      </c>
      <c r="M1335" s="45">
        <f t="shared" ref="M1335" si="101">I1335-H1335</f>
        <v>93702541.892099857</v>
      </c>
    </row>
    <row r="1336" spans="1:14" ht="12.65" customHeight="1">
      <c r="A1336" s="33">
        <f>WORKDAY(A1334,1)</f>
        <v>44928</v>
      </c>
      <c r="B1336" s="46">
        <f>16151079258.632</f>
        <v>16151079258.632</v>
      </c>
      <c r="C1336" s="56">
        <f>1133930161.20892+14761169457.3561</f>
        <v>15895099618.56502</v>
      </c>
      <c r="F1336" s="45">
        <f t="shared" si="96"/>
        <v>-255979640.06698036</v>
      </c>
      <c r="H1336" s="46">
        <f>2152007000</f>
        <v>2152007000</v>
      </c>
      <c r="I1336" s="50">
        <f>78888754.71488+2165223620.78902</f>
        <v>2244112375.5039001</v>
      </c>
      <c r="L1336" s="44">
        <f t="shared" si="97"/>
        <v>-163874264.56308031</v>
      </c>
      <c r="M1336" s="45">
        <f t="shared" si="98"/>
        <v>92105375.503900051</v>
      </c>
      <c r="N1336" s="1535" t="str">
        <f>IF(OR(TEXT(A1336,"dddd")="Saturday",TEXT(A1336,"dddd")="Sunday"),"Yes","")</f>
        <v/>
      </c>
    </row>
    <row r="1337" spans="1:14" ht="12.65" customHeight="1">
      <c r="A1337" s="33">
        <f t="shared" si="94"/>
        <v>44929</v>
      </c>
      <c r="B1337" s="46">
        <f t="shared" ref="B1337:B1345" si="102">16151079258.632</f>
        <v>16151079258.632</v>
      </c>
      <c r="C1337" s="56">
        <f>1060140420.64654+16378419115.6856</f>
        <v>17438559536.332142</v>
      </c>
      <c r="F1337" s="45">
        <f t="shared" si="96"/>
        <v>1287480277.7001419</v>
      </c>
      <c r="H1337" s="46">
        <f t="shared" ref="H1337:H1345" si="103">2152007000</f>
        <v>2152007000</v>
      </c>
      <c r="I1337" s="50">
        <f>98386261.17108+2114196695.85705</f>
        <v>2212582957.0281301</v>
      </c>
      <c r="L1337" s="44">
        <f t="shared" si="97"/>
        <v>1348056234.728272</v>
      </c>
      <c r="M1337" s="45">
        <f t="shared" si="98"/>
        <v>60575957.028130054</v>
      </c>
    </row>
    <row r="1338" spans="1:14" ht="12.65" customHeight="1">
      <c r="A1338" s="33">
        <f t="shared" si="94"/>
        <v>44930</v>
      </c>
      <c r="B1338" s="46">
        <f t="shared" si="102"/>
        <v>16151079258.632</v>
      </c>
      <c r="C1338" s="56">
        <f>1021200444.51108+15739540715.4048</f>
        <v>16760741159.91588</v>
      </c>
      <c r="F1338" s="45">
        <f t="shared" si="96"/>
        <v>609661901.28388023</v>
      </c>
      <c r="H1338" s="46">
        <f t="shared" si="103"/>
        <v>2152007000</v>
      </c>
      <c r="I1338" s="50">
        <f>85731932.01913+1980705839.93886</f>
        <v>2066437771.9579899</v>
      </c>
      <c r="L1338" s="44">
        <f t="shared" si="97"/>
        <v>524092673.24187016</v>
      </c>
      <c r="M1338" s="45">
        <f t="shared" si="98"/>
        <v>-85569228.042010069</v>
      </c>
    </row>
    <row r="1339" spans="1:14" ht="12.65" customHeight="1">
      <c r="A1339" s="33">
        <f t="shared" si="94"/>
        <v>44931</v>
      </c>
      <c r="B1339" s="46">
        <f t="shared" si="102"/>
        <v>16151079258.632</v>
      </c>
      <c r="C1339" s="56">
        <f>1325538017.29452+15344625348.6128</f>
        <v>16670163365.90732</v>
      </c>
      <c r="F1339" s="45">
        <f t="shared" si="96"/>
        <v>519084107.27532005</v>
      </c>
      <c r="H1339" s="46">
        <f t="shared" si="103"/>
        <v>2152007000</v>
      </c>
      <c r="I1339" s="50">
        <f>77243955.98155+2179732726.72771</f>
        <v>2256976682.70926</v>
      </c>
      <c r="L1339" s="44">
        <f t="shared" si="97"/>
        <v>624053789.98458004</v>
      </c>
      <c r="M1339" s="45">
        <f t="shared" si="98"/>
        <v>104969682.70925999</v>
      </c>
    </row>
    <row r="1340" spans="1:14" ht="12.65" customHeight="1">
      <c r="A1340" s="33">
        <f t="shared" si="94"/>
        <v>44932</v>
      </c>
      <c r="B1340" s="46">
        <f t="shared" si="102"/>
        <v>16151079258.632</v>
      </c>
      <c r="C1340" s="56">
        <f>1026084974.22333+13309660245.9011</f>
        <v>14335745220.12443</v>
      </c>
      <c r="F1340" s="45">
        <f t="shared" si="96"/>
        <v>-1815334038.5075703</v>
      </c>
      <c r="H1340" s="46">
        <f t="shared" si="103"/>
        <v>2152007000</v>
      </c>
      <c r="I1340" s="50">
        <f>79991660.65488+1965251097.8939</f>
        <v>2045242758.54878</v>
      </c>
      <c r="L1340" s="44">
        <f t="shared" si="97"/>
        <v>-1922098279.9587903</v>
      </c>
      <c r="M1340" s="45">
        <f t="shared" si="98"/>
        <v>-106764241.45122004</v>
      </c>
    </row>
    <row r="1341" spans="1:14" ht="12.65" customHeight="1">
      <c r="A1341" s="33">
        <f t="shared" si="94"/>
        <v>44935</v>
      </c>
      <c r="B1341" s="46">
        <f t="shared" si="102"/>
        <v>16151079258.632</v>
      </c>
      <c r="C1341" s="56">
        <f>986130745.4104+14601243571.7338</f>
        <v>15587374317.144201</v>
      </c>
      <c r="F1341" s="45">
        <f t="shared" si="96"/>
        <v>-563704941.48779869</v>
      </c>
      <c r="H1341" s="46">
        <f t="shared" si="103"/>
        <v>2152007000</v>
      </c>
      <c r="I1341" s="50">
        <f>81312541.51194+1925899775.46883</f>
        <v>2007212316.9807701</v>
      </c>
      <c r="L1341" s="44">
        <f t="shared" si="97"/>
        <v>-708499624.50702858</v>
      </c>
      <c r="M1341" s="45">
        <f t="shared" si="98"/>
        <v>-144794683.01922989</v>
      </c>
    </row>
    <row r="1342" spans="1:14" ht="12.65" customHeight="1">
      <c r="A1342" s="33">
        <f t="shared" si="94"/>
        <v>44936</v>
      </c>
      <c r="B1342" s="46">
        <f t="shared" si="102"/>
        <v>16151079258.632</v>
      </c>
      <c r="C1342" s="56">
        <f>1277980872.52236+14746708242.5812</f>
        <v>16024689115.103559</v>
      </c>
      <c r="F1342" s="45">
        <f t="shared" si="96"/>
        <v>-126390143.52844048</v>
      </c>
      <c r="H1342" s="46">
        <f t="shared" si="103"/>
        <v>2152007000</v>
      </c>
      <c r="I1342" s="50">
        <f>73980484.58097+2581114931.60401</f>
        <v>2655095416.1849799</v>
      </c>
      <c r="L1342" s="44">
        <f t="shared" si="97"/>
        <v>376698272.65653944</v>
      </c>
      <c r="M1342" s="45">
        <f t="shared" si="98"/>
        <v>503088416.18497992</v>
      </c>
    </row>
    <row r="1343" spans="1:14" ht="12.65" customHeight="1">
      <c r="A1343" s="33">
        <f t="shared" si="94"/>
        <v>44937</v>
      </c>
      <c r="B1343" s="46">
        <f t="shared" si="102"/>
        <v>16151079258.632</v>
      </c>
      <c r="C1343" s="56">
        <f>979846704.93291+16989185876.5449</f>
        <v>17969032581.47781</v>
      </c>
      <c r="F1343" s="45">
        <f t="shared" si="96"/>
        <v>1817953322.8458099</v>
      </c>
      <c r="H1343" s="46">
        <f t="shared" si="103"/>
        <v>2152007000</v>
      </c>
      <c r="I1343" s="50">
        <f>84098043.16234+2224377407.1827</f>
        <v>2308475450.3450403</v>
      </c>
      <c r="L1343" s="44">
        <f t="shared" si="97"/>
        <v>1974421773.1908503</v>
      </c>
      <c r="M1343" s="45">
        <f t="shared" si="98"/>
        <v>156468450.34504032</v>
      </c>
    </row>
    <row r="1344" spans="1:14" ht="12.65" customHeight="1">
      <c r="A1344" s="33">
        <f t="shared" si="94"/>
        <v>44938</v>
      </c>
      <c r="B1344" s="46">
        <f t="shared" si="102"/>
        <v>16151079258.632</v>
      </c>
      <c r="C1344" s="56">
        <f>848697091.13292+20542754152.9925</f>
        <v>21391451244.12542</v>
      </c>
      <c r="F1344" s="45">
        <f t="shared" si="96"/>
        <v>5240371985.4934196</v>
      </c>
      <c r="H1344" s="46">
        <f t="shared" si="103"/>
        <v>2152007000</v>
      </c>
      <c r="I1344" s="50">
        <f>75768534.10025+2011793075.35622</f>
        <v>2087561609.45647</v>
      </c>
      <c r="L1344" s="44">
        <f t="shared" si="97"/>
        <v>5175926594.9498901</v>
      </c>
      <c r="M1344" s="45">
        <f t="shared" si="98"/>
        <v>-64445390.543529987</v>
      </c>
    </row>
    <row r="1345" spans="1:13" ht="12.65" customHeight="1">
      <c r="A1345" s="33">
        <f t="shared" si="94"/>
        <v>44939</v>
      </c>
      <c r="B1345" s="46">
        <f t="shared" si="102"/>
        <v>16151079258.632</v>
      </c>
      <c r="C1345" s="56">
        <f>1092140122.02278+10340278121.1002</f>
        <v>11432418243.12298</v>
      </c>
      <c r="F1345" s="45">
        <f t="shared" si="96"/>
        <v>-4718661015.5090199</v>
      </c>
      <c r="H1345" s="46">
        <f t="shared" si="103"/>
        <v>2152007000</v>
      </c>
      <c r="I1345" s="50">
        <f>93304923.90668+1733683277.70744</f>
        <v>1826988201.61412</v>
      </c>
      <c r="L1345" s="44">
        <f t="shared" si="97"/>
        <v>-5043679813.8948994</v>
      </c>
      <c r="M1345" s="45">
        <f t="shared" si="98"/>
        <v>-325018798.38587999</v>
      </c>
    </row>
    <row r="1346" spans="1:13" ht="12.65" customHeight="1">
      <c r="A1346" s="33">
        <f t="shared" si="94"/>
        <v>44942</v>
      </c>
      <c r="B1346" s="46">
        <f>15822020927.6199</f>
        <v>15822020927.6199</v>
      </c>
      <c r="C1346" s="56">
        <f>1023184947.83247+16220108538.5163</f>
        <v>17243293486.34877</v>
      </c>
      <c r="F1346" s="45">
        <f t="shared" si="96"/>
        <v>1421272558.7288704</v>
      </c>
      <c r="H1346" s="46">
        <f>2252557000</f>
        <v>2252557000</v>
      </c>
      <c r="I1346" s="50">
        <f>76916536.86756+2755424746.49274</f>
        <v>2832341283.3603001</v>
      </c>
      <c r="L1346" s="44">
        <f t="shared" si="97"/>
        <v>2001056842.0891705</v>
      </c>
      <c r="M1346" s="45">
        <f t="shared" si="98"/>
        <v>579784283.36030006</v>
      </c>
    </row>
    <row r="1347" spans="1:13" ht="12.65" customHeight="1">
      <c r="A1347" s="33">
        <f t="shared" si="94"/>
        <v>44943</v>
      </c>
      <c r="B1347" s="46">
        <f t="shared" ref="B1347:B1356" si="104">15822020927.6199</f>
        <v>15822020927.6199</v>
      </c>
      <c r="C1347" s="56">
        <f>906570286.25819+16247109098.7754</f>
        <v>17153679385.03359</v>
      </c>
      <c r="F1347" s="45">
        <f t="shared" si="96"/>
        <v>1331658457.4136906</v>
      </c>
      <c r="H1347" s="46">
        <f t="shared" ref="H1347:H1356" si="105">2252557000</f>
        <v>2252557000</v>
      </c>
      <c r="I1347" s="50">
        <f>84662140.0859+2267256298.2048</f>
        <v>2351918438.2907</v>
      </c>
      <c r="L1347" s="44">
        <f t="shared" si="97"/>
        <v>1431019895.7043905</v>
      </c>
      <c r="M1347" s="45">
        <f t="shared" si="98"/>
        <v>99361438.290699959</v>
      </c>
    </row>
    <row r="1348" spans="1:13" ht="12.65" customHeight="1">
      <c r="A1348" s="33">
        <f t="shared" si="94"/>
        <v>44944</v>
      </c>
      <c r="B1348" s="46">
        <f t="shared" si="104"/>
        <v>15822020927.6199</v>
      </c>
      <c r="C1348" s="56">
        <f>1131570545.90128+17796317349.7894</f>
        <v>18927887895.690678</v>
      </c>
      <c r="F1348" s="45">
        <f t="shared" si="96"/>
        <v>3105866968.0707779</v>
      </c>
      <c r="H1348" s="46">
        <f t="shared" si="105"/>
        <v>2252557000</v>
      </c>
      <c r="I1348" s="50">
        <f>75237318.74353+2390298157.30448</f>
        <v>2465535476.0480099</v>
      </c>
      <c r="L1348" s="44">
        <f t="shared" si="97"/>
        <v>3318845444.1187878</v>
      </c>
      <c r="M1348" s="45">
        <f t="shared" si="98"/>
        <v>212978476.04800987</v>
      </c>
    </row>
    <row r="1349" spans="1:13" ht="12.65" customHeight="1">
      <c r="A1349" s="33">
        <f t="shared" si="94"/>
        <v>44945</v>
      </c>
      <c r="B1349" s="46">
        <f t="shared" si="104"/>
        <v>15822020927.6199</v>
      </c>
      <c r="C1349" s="56">
        <f>888142290.68622+16475136149.1632</f>
        <v>17363278439.849419</v>
      </c>
      <c r="F1349" s="45">
        <f t="shared" si="96"/>
        <v>1541257512.2295189</v>
      </c>
      <c r="H1349" s="46">
        <f t="shared" si="105"/>
        <v>2252557000</v>
      </c>
      <c r="I1349" s="50">
        <f>89996857.00002+2314110505.83905</f>
        <v>2404107362.8390698</v>
      </c>
      <c r="L1349" s="44">
        <f t="shared" si="97"/>
        <v>1692807875.0685887</v>
      </c>
      <c r="M1349" s="45">
        <f t="shared" si="98"/>
        <v>151550362.83906984</v>
      </c>
    </row>
    <row r="1350" spans="1:13" ht="12.65" customHeight="1">
      <c r="A1350" s="33">
        <f t="shared" si="94"/>
        <v>44946</v>
      </c>
      <c r="B1350" s="46">
        <f t="shared" si="104"/>
        <v>15822020927.6199</v>
      </c>
      <c r="C1350" s="56">
        <f>16789380699.7332+1143410517.51608</f>
        <v>17932791217.249279</v>
      </c>
      <c r="F1350" s="45">
        <f t="shared" si="96"/>
        <v>2110770289.6293793</v>
      </c>
      <c r="H1350" s="46">
        <f t="shared" si="105"/>
        <v>2252557000</v>
      </c>
      <c r="I1350" s="50">
        <f>1950641998.43933+97473715.24311</f>
        <v>2048115713.68244</v>
      </c>
      <c r="L1350" s="44">
        <f t="shared" si="97"/>
        <v>1906329003.3118193</v>
      </c>
      <c r="M1350" s="45">
        <f t="shared" si="98"/>
        <v>-204441286.31755996</v>
      </c>
    </row>
    <row r="1351" spans="1:13" ht="12.65" customHeight="1">
      <c r="A1351" s="33">
        <f>WORKDAY(A1350,2)</f>
        <v>44950</v>
      </c>
      <c r="B1351" s="46">
        <f t="shared" si="104"/>
        <v>15822020927.6199</v>
      </c>
      <c r="C1351" s="56">
        <f>1151947594.95394+13416506919.2197</f>
        <v>14568454514.173639</v>
      </c>
      <c r="F1351" s="45">
        <f t="shared" si="96"/>
        <v>-1253566413.4462605</v>
      </c>
      <c r="H1351" s="46">
        <f t="shared" si="105"/>
        <v>2252557000</v>
      </c>
      <c r="I1351" s="50">
        <f>88440713.02082+2628846132.97215</f>
        <v>2717286845.99297</v>
      </c>
      <c r="L1351" s="44">
        <f t="shared" si="97"/>
        <v>-788836567.45329046</v>
      </c>
      <c r="M1351" s="45">
        <f t="shared" si="98"/>
        <v>464729845.99296999</v>
      </c>
    </row>
    <row r="1352" spans="1:13" ht="12.65" customHeight="1">
      <c r="A1352" s="33">
        <f t="shared" si="94"/>
        <v>44951</v>
      </c>
      <c r="B1352" s="46">
        <f t="shared" si="104"/>
        <v>15822020927.6199</v>
      </c>
      <c r="C1352" s="56">
        <f>1424931263.98678+14444411530.8201</f>
        <v>15869342794.806881</v>
      </c>
      <c r="F1352" s="45">
        <f t="shared" si="96"/>
        <v>47321867.186981201</v>
      </c>
      <c r="H1352" s="46">
        <f t="shared" si="105"/>
        <v>2252557000</v>
      </c>
      <c r="I1352" s="50">
        <f>73994497.66591+2256684518.23746</f>
        <v>2330679015.9033699</v>
      </c>
      <c r="L1352" s="44">
        <f t="shared" si="97"/>
        <v>125443883.0903511</v>
      </c>
      <c r="M1352" s="45">
        <f t="shared" si="98"/>
        <v>78122015.903369904</v>
      </c>
    </row>
    <row r="1353" spans="1:13" ht="12.65" customHeight="1">
      <c r="A1353" s="33">
        <f t="shared" si="94"/>
        <v>44952</v>
      </c>
      <c r="B1353" s="46">
        <f t="shared" si="104"/>
        <v>15822020927.6199</v>
      </c>
      <c r="C1353" s="56">
        <f>15661926496.792+1014697251.23802</f>
        <v>16676623748.03002</v>
      </c>
      <c r="F1353" s="45">
        <f t="shared" si="96"/>
        <v>854602820.41012001</v>
      </c>
      <c r="H1353" s="46">
        <f t="shared" si="105"/>
        <v>2252557000</v>
      </c>
      <c r="I1353" s="50">
        <f>2040238130.40476+72305548.21928</f>
        <v>2112543678.6240399</v>
      </c>
      <c r="L1353" s="44">
        <f t="shared" si="97"/>
        <v>714589499.0341599</v>
      </c>
      <c r="M1353" s="45">
        <f t="shared" si="98"/>
        <v>-140013321.37596011</v>
      </c>
    </row>
    <row r="1354" spans="1:13" ht="12.65" customHeight="1">
      <c r="A1354" s="33">
        <f t="shared" si="94"/>
        <v>44953</v>
      </c>
      <c r="B1354" s="46">
        <f t="shared" si="104"/>
        <v>15822020927.6199</v>
      </c>
      <c r="C1354" s="56">
        <f>14564274774.3526+934304687.56304</f>
        <v>15498579461.91564</v>
      </c>
      <c r="F1354" s="45">
        <f t="shared" si="96"/>
        <v>-323441465.70425987</v>
      </c>
      <c r="H1354" s="46">
        <f t="shared" si="105"/>
        <v>2252557000</v>
      </c>
      <c r="I1354" s="50">
        <f>2017216585.03429+91879972.54707</f>
        <v>2109096557.5813601</v>
      </c>
      <c r="L1354" s="44">
        <f t="shared" si="97"/>
        <v>-466901908.12289977</v>
      </c>
      <c r="M1354" s="45">
        <f t="shared" si="98"/>
        <v>-143460442.4186399</v>
      </c>
    </row>
    <row r="1355" spans="1:13" ht="12.65" customHeight="1">
      <c r="A1355" s="33">
        <f t="shared" si="94"/>
        <v>44956</v>
      </c>
      <c r="B1355" s="46">
        <f t="shared" si="104"/>
        <v>15822020927.6199</v>
      </c>
      <c r="C1355" s="56">
        <f>15048274864.4783+1088749581.9119</f>
        <v>16137024446.3902</v>
      </c>
      <c r="F1355" s="45">
        <f t="shared" si="96"/>
        <v>315003518.77029991</v>
      </c>
      <c r="H1355" s="46">
        <f t="shared" si="105"/>
        <v>2252557000</v>
      </c>
      <c r="I1355" s="50">
        <f>2003746352.71946+81651624.21906</f>
        <v>2085397976.93852</v>
      </c>
      <c r="L1355" s="44">
        <f t="shared" si="97"/>
        <v>147844495.70881987</v>
      </c>
      <c r="M1355" s="45">
        <f t="shared" si="98"/>
        <v>-167159023.06148005</v>
      </c>
    </row>
    <row r="1356" spans="1:13" ht="12.65" customHeight="1">
      <c r="A1356" s="33">
        <f t="shared" si="94"/>
        <v>44957</v>
      </c>
      <c r="B1356" s="46">
        <f t="shared" si="104"/>
        <v>15822020927.6199</v>
      </c>
      <c r="C1356" s="56">
        <f>7291942011.09689+937165795.8651</f>
        <v>8229107806.9619904</v>
      </c>
      <c r="F1356" s="45">
        <f t="shared" si="96"/>
        <v>-7592913120.6579094</v>
      </c>
      <c r="H1356" s="46">
        <f t="shared" si="105"/>
        <v>2252557000</v>
      </c>
      <c r="I1356" s="50">
        <f>1761683091.94823+83993444.9753</f>
        <v>1845676536.9235301</v>
      </c>
      <c r="L1356" s="44">
        <f t="shared" si="97"/>
        <v>-7999793583.7343788</v>
      </c>
      <c r="M1356" s="45">
        <f t="shared" si="98"/>
        <v>-406880463.0764699</v>
      </c>
    </row>
    <row r="1357" spans="1:13" ht="12.65" customHeight="1">
      <c r="A1357" s="33">
        <f t="shared" si="94"/>
        <v>44958</v>
      </c>
      <c r="B1357" s="46">
        <f>16396282144.5041</f>
        <v>16396282144.504101</v>
      </c>
      <c r="C1357" s="56">
        <f>14063663859.5589+1264466437.34254</f>
        <v>15328130296.901442</v>
      </c>
      <c r="F1357" s="45">
        <f t="shared" si="96"/>
        <v>-1068151847.6026592</v>
      </c>
      <c r="H1357" s="46">
        <f>2267766000</f>
        <v>2267766000</v>
      </c>
      <c r="I1357" s="50">
        <f>1971847866.27544+73428986.00926</f>
        <v>2045276852.2846999</v>
      </c>
      <c r="L1357" s="44">
        <f t="shared" si="97"/>
        <v>-1290640995.3179593</v>
      </c>
      <c r="M1357" s="45">
        <f t="shared" si="98"/>
        <v>-222489147.71530008</v>
      </c>
    </row>
    <row r="1358" spans="1:13" ht="12.65" customHeight="1">
      <c r="A1358" s="33">
        <f t="shared" si="94"/>
        <v>44959</v>
      </c>
      <c r="B1358" s="46">
        <f t="shared" ref="B1358:B1367" si="106">16396282144.5041</f>
        <v>16396282144.504101</v>
      </c>
      <c r="C1358" s="56">
        <f>14320667459.643+995380828.89915</f>
        <v>15316048288.54215</v>
      </c>
      <c r="F1358" s="45">
        <f t="shared" si="96"/>
        <v>-1080233855.9619503</v>
      </c>
      <c r="H1358" s="46">
        <f t="shared" ref="H1358:H1367" si="107">2267766000</f>
        <v>2267766000</v>
      </c>
      <c r="I1358" s="50">
        <f>2124652079.71102+66441016.66252</f>
        <v>2191093096.3735399</v>
      </c>
      <c r="L1358" s="44">
        <f t="shared" si="97"/>
        <v>-1156906759.5884104</v>
      </c>
      <c r="M1358" s="45">
        <f t="shared" si="98"/>
        <v>-76672903.626460075</v>
      </c>
    </row>
    <row r="1359" spans="1:13" ht="12.65" customHeight="1">
      <c r="A1359" s="33">
        <f t="shared" si="94"/>
        <v>44960</v>
      </c>
      <c r="B1359" s="46">
        <f t="shared" si="106"/>
        <v>16396282144.504101</v>
      </c>
      <c r="C1359" s="56">
        <f>17329173098.1911+920498909.97614</f>
        <v>18249672008.16724</v>
      </c>
      <c r="F1359" s="45">
        <f t="shared" si="96"/>
        <v>1853389863.6631393</v>
      </c>
      <c r="H1359" s="46">
        <f t="shared" si="107"/>
        <v>2267766000</v>
      </c>
      <c r="I1359" s="50">
        <f>2233407642.94388+81530184.74155</f>
        <v>2314937827.68543</v>
      </c>
      <c r="L1359" s="44">
        <f t="shared" si="97"/>
        <v>1900561691.3485694</v>
      </c>
      <c r="M1359" s="45">
        <f t="shared" si="98"/>
        <v>47171827.68543005</v>
      </c>
    </row>
    <row r="1360" spans="1:13" ht="12.65" customHeight="1">
      <c r="A1360" s="33">
        <f t="shared" si="94"/>
        <v>44963</v>
      </c>
      <c r="B1360" s="46">
        <f t="shared" si="106"/>
        <v>16396282144.504101</v>
      </c>
      <c r="C1360" s="56">
        <f>1047934639.4622+15504351769.9881</f>
        <v>16552286409.4503</v>
      </c>
      <c r="F1360" s="45">
        <f t="shared" si="96"/>
        <v>156004264.94619942</v>
      </c>
      <c r="H1360" s="46">
        <f t="shared" si="107"/>
        <v>2267766000</v>
      </c>
      <c r="I1360" s="50">
        <f>66941830.30373+2111149939.69049</f>
        <v>2178091769.9942198</v>
      </c>
      <c r="L1360" s="44">
        <f t="shared" si="97"/>
        <v>66330034.940419197</v>
      </c>
      <c r="M1360" s="45">
        <f t="shared" si="98"/>
        <v>-89674230.00578022</v>
      </c>
    </row>
    <row r="1361" spans="1:13" ht="12.65" customHeight="1">
      <c r="A1361" s="33">
        <f t="shared" si="94"/>
        <v>44964</v>
      </c>
      <c r="B1361" s="46">
        <f t="shared" si="106"/>
        <v>16396282144.504101</v>
      </c>
      <c r="C1361" s="56">
        <f>21054638734.4761+1352347215.63533</f>
        <v>22406985950.111431</v>
      </c>
      <c r="F1361" s="45">
        <f t="shared" si="96"/>
        <v>6010703805.6073303</v>
      </c>
      <c r="H1361" s="46">
        <f t="shared" si="107"/>
        <v>2267766000</v>
      </c>
      <c r="I1361" s="50">
        <f>2912902672.00754+84101199.32455</f>
        <v>2997003871.3320904</v>
      </c>
      <c r="L1361" s="44">
        <f t="shared" si="97"/>
        <v>6739941676.9394207</v>
      </c>
      <c r="M1361" s="45">
        <f t="shared" si="98"/>
        <v>729237871.33209038</v>
      </c>
    </row>
    <row r="1362" spans="1:13" ht="12.65" customHeight="1">
      <c r="A1362" s="33">
        <f t="shared" si="94"/>
        <v>44965</v>
      </c>
      <c r="B1362" s="46">
        <f t="shared" si="106"/>
        <v>16396282144.504101</v>
      </c>
      <c r="C1362" s="56">
        <f>1012922750.69793+21356529953.5946</f>
        <v>22369452704.29253</v>
      </c>
      <c r="F1362" s="45">
        <f t="shared" si="96"/>
        <v>5973170559.7884293</v>
      </c>
      <c r="H1362" s="46">
        <f t="shared" si="107"/>
        <v>2267766000</v>
      </c>
      <c r="I1362" s="50">
        <f>78439797.41405+2764718438.9422</f>
        <v>2843158236.3562503</v>
      </c>
      <c r="L1362" s="44">
        <f t="shared" si="97"/>
        <v>6548562796.14468</v>
      </c>
      <c r="M1362" s="45">
        <f t="shared" si="98"/>
        <v>575392236.35625029</v>
      </c>
    </row>
    <row r="1363" spans="1:13" ht="12.65" customHeight="1">
      <c r="A1363" s="33">
        <f t="shared" si="94"/>
        <v>44966</v>
      </c>
      <c r="B1363" s="46">
        <f t="shared" si="106"/>
        <v>16396282144.504101</v>
      </c>
      <c r="C1363" s="56">
        <f>1211542889.21287+17453390766.8604</f>
        <v>18664933656.073273</v>
      </c>
      <c r="F1363" s="45">
        <f t="shared" si="96"/>
        <v>2268651511.5691719</v>
      </c>
      <c r="H1363" s="46">
        <f t="shared" si="107"/>
        <v>2267766000</v>
      </c>
      <c r="I1363" s="50">
        <f>71317648.48222+2244449768.86844</f>
        <v>2315767417.3506603</v>
      </c>
      <c r="L1363" s="44">
        <f t="shared" si="97"/>
        <v>2316652928.9198322</v>
      </c>
      <c r="M1363" s="45">
        <f t="shared" si="98"/>
        <v>48001417.350660324</v>
      </c>
    </row>
    <row r="1364" spans="1:13" ht="12.65" customHeight="1">
      <c r="A1364" s="33">
        <f t="shared" si="94"/>
        <v>44967</v>
      </c>
      <c r="B1364" s="46">
        <f t="shared" si="106"/>
        <v>16396282144.504101</v>
      </c>
      <c r="C1364" s="56">
        <f>974470544.23679+13326766752.4128</f>
        <v>14301237296.64959</v>
      </c>
      <c r="F1364" s="45">
        <f t="shared" si="96"/>
        <v>-2095044847.8545113</v>
      </c>
      <c r="H1364" s="46">
        <f t="shared" si="107"/>
        <v>2267766000</v>
      </c>
      <c r="I1364" s="50">
        <f>89207581.08353+2137594314.91512</f>
        <v>2226801895.9986501</v>
      </c>
      <c r="L1364" s="44">
        <f t="shared" si="97"/>
        <v>-2136008951.8558612</v>
      </c>
      <c r="M1364" s="45">
        <f t="shared" si="98"/>
        <v>-40964104.001349926</v>
      </c>
    </row>
    <row r="1365" spans="1:13" ht="12.65" customHeight="1">
      <c r="A1365" s="33">
        <f t="shared" si="94"/>
        <v>44970</v>
      </c>
      <c r="B1365" s="46">
        <f t="shared" si="106"/>
        <v>16396282144.504101</v>
      </c>
      <c r="C1365" s="56">
        <f>1000310039.23507+13140958994.8837</f>
        <v>14141269034.118769</v>
      </c>
      <c r="F1365" s="45">
        <f t="shared" si="96"/>
        <v>-2255013110.3853321</v>
      </c>
      <c r="H1365" s="46">
        <f t="shared" si="107"/>
        <v>2267766000</v>
      </c>
      <c r="I1365" s="50">
        <f>79915400.43069+2059156046.51051</f>
        <v>2139071446.9412</v>
      </c>
      <c r="L1365" s="44">
        <f t="shared" si="97"/>
        <v>-2383707663.4441319</v>
      </c>
      <c r="M1365" s="45">
        <f t="shared" si="98"/>
        <v>-128694553.05879998</v>
      </c>
    </row>
    <row r="1366" spans="1:13" ht="12.65" customHeight="1">
      <c r="A1366" s="33">
        <f t="shared" si="94"/>
        <v>44971</v>
      </c>
      <c r="B1366" s="46">
        <f t="shared" si="106"/>
        <v>16396282144.504101</v>
      </c>
      <c r="C1366" s="56">
        <f>13300141180.3919+837087919.46204</f>
        <v>14137229099.853939</v>
      </c>
      <c r="F1366" s="45">
        <f t="shared" si="96"/>
        <v>-2259053044.6501617</v>
      </c>
      <c r="H1366" s="46">
        <f t="shared" si="107"/>
        <v>2267766000</v>
      </c>
      <c r="I1366" s="50">
        <f>2064291790.00829+73625388.79328</f>
        <v>2137917178.8015699</v>
      </c>
      <c r="L1366" s="44">
        <f t="shared" si="97"/>
        <v>-2388901865.8485918</v>
      </c>
      <c r="M1366" s="45">
        <f t="shared" si="98"/>
        <v>-129848821.19843006</v>
      </c>
    </row>
    <row r="1367" spans="1:13" ht="12.65" customHeight="1">
      <c r="A1367" s="33">
        <f t="shared" si="94"/>
        <v>44972</v>
      </c>
      <c r="B1367" s="46">
        <f t="shared" si="106"/>
        <v>16396282144.504101</v>
      </c>
      <c r="C1367" s="56">
        <f>9463792400.78532+1093047164.60621</f>
        <v>10556839565.391531</v>
      </c>
      <c r="F1367" s="45">
        <f t="shared" si="96"/>
        <v>-5839442579.1125698</v>
      </c>
      <c r="H1367" s="46">
        <f t="shared" si="107"/>
        <v>2267766000</v>
      </c>
      <c r="I1367" s="50">
        <f>1863545267.92209+65923598.41948</f>
        <v>1929468866.3415701</v>
      </c>
      <c r="L1367" s="44">
        <f t="shared" si="97"/>
        <v>-6177739712.7709999</v>
      </c>
      <c r="M1367" s="45">
        <f t="shared" si="98"/>
        <v>-338297133.65842986</v>
      </c>
    </row>
    <row r="1368" spans="1:13" ht="12.65" customHeight="1">
      <c r="A1368" s="33">
        <f t="shared" si="94"/>
        <v>44973</v>
      </c>
      <c r="B1368" s="46">
        <f>16477855958.3688</f>
        <v>16477855958.368799</v>
      </c>
      <c r="C1368" s="56">
        <f>953718896.19305+15878770802.7563</f>
        <v>16832489698.94935</v>
      </c>
      <c r="F1368" s="45">
        <f>C1368-B1368</f>
        <v>354633740.58055115</v>
      </c>
      <c r="H1368" s="46">
        <f>2273512000</f>
        <v>2273512000</v>
      </c>
      <c r="I1368" s="50">
        <f>83718628.0152+2274840998.73224</f>
        <v>2358559626.7474403</v>
      </c>
      <c r="L1368" s="44">
        <f t="shared" si="97"/>
        <v>439681367.32799149</v>
      </c>
      <c r="M1368" s="45">
        <f t="shared" si="98"/>
        <v>85047626.747440338</v>
      </c>
    </row>
    <row r="1369" spans="1:13" ht="12.65" customHeight="1">
      <c r="A1369" s="33">
        <f t="shared" si="94"/>
        <v>44974</v>
      </c>
      <c r="B1369" s="46">
        <f t="shared" ref="B1369:B1376" si="108">16477855958.3688</f>
        <v>16477855958.368799</v>
      </c>
      <c r="C1369" s="56">
        <f>17154602974.9889+821897678.15853</f>
        <v>17976500653.14743</v>
      </c>
      <c r="F1369" s="45">
        <f>C1369-B1369</f>
        <v>1498644694.7786312</v>
      </c>
      <c r="H1369" s="46">
        <f t="shared" ref="H1369:H1376" si="109">2273512000</f>
        <v>2273512000</v>
      </c>
      <c r="I1369" s="50">
        <f>2459973949.79567+95221389.92397</f>
        <v>2555195339.7196403</v>
      </c>
      <c r="L1369" s="44">
        <f t="shared" si="97"/>
        <v>1780328034.4982715</v>
      </c>
      <c r="M1369" s="45">
        <f t="shared" si="98"/>
        <v>281683339.71964025</v>
      </c>
    </row>
    <row r="1370" spans="1:13" ht="12.65" customHeight="1">
      <c r="A1370" s="33">
        <f t="shared" si="94"/>
        <v>44977</v>
      </c>
      <c r="B1370" s="46">
        <f t="shared" si="108"/>
        <v>16477855958.368799</v>
      </c>
      <c r="C1370" s="56">
        <f>14427899126.3082+881465624.66452</f>
        <v>15309364750.972721</v>
      </c>
      <c r="F1370" s="45">
        <f t="shared" si="96"/>
        <v>-1168491207.3960781</v>
      </c>
      <c r="H1370" s="46">
        <f t="shared" si="109"/>
        <v>2273512000</v>
      </c>
      <c r="I1370" s="50">
        <f>76529940.17982+2082393499.93634</f>
        <v>2158923440.1161599</v>
      </c>
      <c r="L1370" s="44">
        <f t="shared" si="97"/>
        <v>-1283079767.2799182</v>
      </c>
      <c r="M1370" s="45">
        <f t="shared" si="98"/>
        <v>-114588559.88384008</v>
      </c>
    </row>
    <row r="1371" spans="1:13" ht="12.65" customHeight="1">
      <c r="A1371" s="33">
        <f t="shared" si="94"/>
        <v>44978</v>
      </c>
      <c r="B1371" s="46">
        <f t="shared" si="108"/>
        <v>16477855958.368799</v>
      </c>
      <c r="C1371" s="56">
        <f>16597045375.5225+1133747865.70106</f>
        <v>17730793241.22356</v>
      </c>
      <c r="F1371" s="45">
        <f t="shared" si="96"/>
        <v>1252937282.8547611</v>
      </c>
      <c r="H1371" s="46">
        <f t="shared" si="109"/>
        <v>2273512000</v>
      </c>
      <c r="I1371" s="50">
        <f>2330453343.51953+70739154.81613</f>
        <v>2401192498.33566</v>
      </c>
      <c r="L1371" s="44">
        <f t="shared" si="97"/>
        <v>1380617781.1904211</v>
      </c>
      <c r="M1371" s="45">
        <f t="shared" si="98"/>
        <v>127680498.33565998</v>
      </c>
    </row>
    <row r="1372" spans="1:13" ht="12.65" customHeight="1">
      <c r="A1372" s="33">
        <f t="shared" si="94"/>
        <v>44979</v>
      </c>
      <c r="B1372" s="46">
        <f t="shared" si="108"/>
        <v>16477855958.368799</v>
      </c>
      <c r="C1372" s="56">
        <f>978057219.17317+19977802603.372</f>
        <v>20955859822.54517</v>
      </c>
      <c r="F1372" s="45">
        <f t="shared" si="96"/>
        <v>4478003864.1763706</v>
      </c>
      <c r="H1372" s="46">
        <f t="shared" si="109"/>
        <v>2273512000</v>
      </c>
      <c r="I1372" s="50">
        <f>91263916.06773+2418773138.65905</f>
        <v>2510037054.7267799</v>
      </c>
      <c r="L1372" s="44">
        <f t="shared" si="97"/>
        <v>4714528918.9031506</v>
      </c>
      <c r="M1372" s="45">
        <f t="shared" si="98"/>
        <v>236525054.72677994</v>
      </c>
    </row>
    <row r="1373" spans="1:13" ht="12.65" customHeight="1">
      <c r="A1373" s="33">
        <f t="shared" si="94"/>
        <v>44980</v>
      </c>
      <c r="B1373" s="46">
        <f t="shared" si="108"/>
        <v>16477855958.368799</v>
      </c>
      <c r="C1373" s="56">
        <f>14682025394.8901+1908174832.02503</f>
        <v>16590200226.915131</v>
      </c>
      <c r="F1373" s="45">
        <f t="shared" si="96"/>
        <v>112344268.54633141</v>
      </c>
      <c r="H1373" s="46">
        <f t="shared" si="109"/>
        <v>2273512000</v>
      </c>
      <c r="I1373" s="50">
        <f>2250528186.09718+73958324.25756</f>
        <v>2324486510.3547397</v>
      </c>
      <c r="L1373" s="44">
        <f t="shared" si="97"/>
        <v>163318778.90107107</v>
      </c>
      <c r="M1373" s="45">
        <f t="shared" si="98"/>
        <v>50974510.354739666</v>
      </c>
    </row>
    <row r="1374" spans="1:13" ht="12.65" customHeight="1">
      <c r="A1374" s="33">
        <f t="shared" si="94"/>
        <v>44981</v>
      </c>
      <c r="B1374" s="46">
        <f t="shared" si="108"/>
        <v>16477855958.368799</v>
      </c>
      <c r="C1374" s="56">
        <f>924438170.18509+17608695951.4665</f>
        <v>18533134121.651588</v>
      </c>
      <c r="F1374" s="45">
        <f t="shared" si="96"/>
        <v>2055278163.2827892</v>
      </c>
      <c r="H1374" s="46">
        <f t="shared" si="109"/>
        <v>2273512000</v>
      </c>
      <c r="I1374" s="50">
        <f>91301156.51496+2175363412.08062</f>
        <v>2266664568.5955796</v>
      </c>
      <c r="L1374" s="44">
        <f t="shared" si="97"/>
        <v>2048430731.8783689</v>
      </c>
      <c r="M1374" s="45">
        <f t="shared" si="98"/>
        <v>-6847431.4044203758</v>
      </c>
    </row>
    <row r="1375" spans="1:13" ht="12.65" customHeight="1">
      <c r="A1375" s="33">
        <f t="shared" si="94"/>
        <v>44984</v>
      </c>
      <c r="B1375" s="46">
        <f t="shared" si="108"/>
        <v>16477855958.368799</v>
      </c>
      <c r="C1375" s="56">
        <f>1039565810.42752+17975609451.4907</f>
        <v>19015175261.918221</v>
      </c>
      <c r="F1375" s="45">
        <f t="shared" si="96"/>
        <v>2537319303.5494213</v>
      </c>
      <c r="H1375" s="46">
        <f t="shared" si="109"/>
        <v>2273512000</v>
      </c>
      <c r="I1375" s="50">
        <f>2165158523.0622+77358438.81674</f>
        <v>2242516961.8789401</v>
      </c>
      <c r="L1375" s="44">
        <f t="shared" si="97"/>
        <v>2506324265.4283614</v>
      </c>
      <c r="M1375" s="45">
        <f t="shared" si="98"/>
        <v>-30995038.121059895</v>
      </c>
    </row>
    <row r="1376" spans="1:13" ht="12.65" customHeight="1">
      <c r="A1376" s="33">
        <f t="shared" si="94"/>
        <v>44985</v>
      </c>
      <c r="B1376" s="46">
        <f t="shared" si="108"/>
        <v>16477855958.368799</v>
      </c>
      <c r="C1376" s="56">
        <f>6049851059.70218+865021950.77647</f>
        <v>6914873010.4786501</v>
      </c>
      <c r="F1376" s="45">
        <f t="shared" si="96"/>
        <v>-9562982947.8901482</v>
      </c>
      <c r="H1376" s="46">
        <f t="shared" si="109"/>
        <v>2273512000</v>
      </c>
      <c r="I1376" s="50">
        <f>2018585833.33856+76351958.15615</f>
        <v>2094937791.4947102</v>
      </c>
      <c r="L1376" s="44">
        <f t="shared" si="97"/>
        <v>-9741557156.3954372</v>
      </c>
      <c r="M1376" s="45">
        <f t="shared" si="98"/>
        <v>-178574208.50528979</v>
      </c>
    </row>
    <row r="1377" spans="1:13" ht="12.65" customHeight="1">
      <c r="A1377" s="33">
        <f t="shared" si="94"/>
        <v>44986</v>
      </c>
      <c r="B1377" s="46">
        <f>18500466858.9795</f>
        <v>18500466858.9795</v>
      </c>
      <c r="C1377" s="56">
        <f>15883936130.7768+924622158.39992</f>
        <v>16808558289.17672</v>
      </c>
      <c r="F1377" s="45">
        <f t="shared" si="96"/>
        <v>-1691908569.8027802</v>
      </c>
      <c r="H1377" s="46">
        <f>2759141000</f>
        <v>2759141000</v>
      </c>
      <c r="I1377" s="50">
        <f>2611694804.25418+86573145.32625</f>
        <v>2698267949.58043</v>
      </c>
      <c r="L1377" s="44">
        <f t="shared" si="97"/>
        <v>-1752781620.2223501</v>
      </c>
      <c r="M1377" s="45">
        <f t="shared" si="98"/>
        <v>-60873050.419569969</v>
      </c>
    </row>
    <row r="1378" spans="1:13" ht="12.65" customHeight="1">
      <c r="A1378" s="33">
        <f t="shared" ref="A1378:A1391" si="110">WORKDAY(A1377,1)</f>
        <v>44987</v>
      </c>
      <c r="B1378" s="46">
        <f t="shared" ref="B1378:B1385" si="111">18500466858.9795</f>
        <v>18500466858.9795</v>
      </c>
      <c r="C1378" s="56">
        <f>16974768158.0499+1127436147.281</f>
        <v>18102204305.330898</v>
      </c>
      <c r="F1378" s="45">
        <f t="shared" si="96"/>
        <v>-398262553.64860153</v>
      </c>
      <c r="H1378" s="46">
        <f t="shared" ref="H1378:H1385" si="112">2759141000</f>
        <v>2759141000</v>
      </c>
      <c r="I1378" s="50">
        <f>2657047613.9732+83962173.58978</f>
        <v>2741009787.5629797</v>
      </c>
      <c r="L1378" s="44">
        <f t="shared" si="97"/>
        <v>-416393766.08562183</v>
      </c>
      <c r="M1378" s="45">
        <f t="shared" si="98"/>
        <v>-18131212.437020302</v>
      </c>
    </row>
    <row r="1379" spans="1:13" ht="12.65" customHeight="1">
      <c r="A1379" s="33">
        <f t="shared" si="110"/>
        <v>44988</v>
      </c>
      <c r="B1379" s="46">
        <f t="shared" si="111"/>
        <v>18500466858.9795</v>
      </c>
      <c r="C1379" s="56">
        <f>19238060416.2654+1003273530.13769</f>
        <v>20241333946.403091</v>
      </c>
      <c r="F1379" s="45">
        <f t="shared" si="96"/>
        <v>1740867087.4235916</v>
      </c>
      <c r="H1379" s="46">
        <f t="shared" si="112"/>
        <v>2759141000</v>
      </c>
      <c r="I1379" s="50">
        <f>2293692707.65207+101608918.09385</f>
        <v>2395301625.7459202</v>
      </c>
      <c r="L1379" s="44">
        <f t="shared" si="97"/>
        <v>1377027713.1695118</v>
      </c>
      <c r="M1379" s="45">
        <f t="shared" si="98"/>
        <v>-363839374.25407982</v>
      </c>
    </row>
    <row r="1380" spans="1:13" ht="12.65" customHeight="1">
      <c r="A1380" s="33">
        <f t="shared" si="110"/>
        <v>44991</v>
      </c>
      <c r="B1380" s="46">
        <f t="shared" si="111"/>
        <v>18500466858.9795</v>
      </c>
      <c r="C1380" s="56">
        <f>18168864959.4012+1161594595.12638</f>
        <v>19330459554.52758</v>
      </c>
      <c r="F1380" s="45">
        <f t="shared" si="96"/>
        <v>829992695.54808044</v>
      </c>
      <c r="H1380" s="46">
        <f t="shared" si="112"/>
        <v>2759141000</v>
      </c>
      <c r="I1380" s="50">
        <f>2668852798.1496+92577049.82004</f>
        <v>2761429847.9696403</v>
      </c>
      <c r="L1380" s="44">
        <f t="shared" si="97"/>
        <v>832281543.5177207</v>
      </c>
      <c r="M1380" s="45">
        <f t="shared" si="98"/>
        <v>2288847.969640255</v>
      </c>
    </row>
    <row r="1381" spans="1:13" ht="12.65" customHeight="1">
      <c r="A1381" s="33">
        <f t="shared" si="110"/>
        <v>44992</v>
      </c>
      <c r="B1381" s="46">
        <f t="shared" si="111"/>
        <v>18500466858.9795</v>
      </c>
      <c r="C1381" s="56">
        <f>19442750557.7134+1031401688.96985</f>
        <v>20474152246.68325</v>
      </c>
      <c r="F1381" s="45">
        <f t="shared" si="96"/>
        <v>1973685387.7037506</v>
      </c>
      <c r="H1381" s="46">
        <f t="shared" si="112"/>
        <v>2759141000</v>
      </c>
      <c r="I1381" s="50">
        <f>3277260026.23524+84895986.13814</f>
        <v>3362156012.3733802</v>
      </c>
      <c r="L1381" s="44">
        <f t="shared" si="97"/>
        <v>2576700400.0771308</v>
      </c>
      <c r="M1381" s="45">
        <f t="shared" si="98"/>
        <v>603015012.37338018</v>
      </c>
    </row>
    <row r="1382" spans="1:13" ht="12.65" customHeight="1">
      <c r="A1382" s="33">
        <f t="shared" si="110"/>
        <v>44993</v>
      </c>
      <c r="B1382" s="46">
        <f t="shared" si="111"/>
        <v>18500466858.9795</v>
      </c>
      <c r="C1382" s="56">
        <f>18565831554.3472+887837225.54965</f>
        <v>19453668779.896847</v>
      </c>
      <c r="F1382" s="45">
        <f t="shared" si="96"/>
        <v>953201920.91734695</v>
      </c>
      <c r="H1382" s="46">
        <f t="shared" si="112"/>
        <v>2759141000</v>
      </c>
      <c r="I1382" s="50">
        <f>3147408369.36826+80094249.62232</f>
        <v>3227502618.9905801</v>
      </c>
      <c r="L1382" s="44">
        <f t="shared" si="97"/>
        <v>1421563539.907927</v>
      </c>
      <c r="M1382" s="45">
        <f t="shared" si="98"/>
        <v>468361618.99058008</v>
      </c>
    </row>
    <row r="1383" spans="1:13" ht="12.65" customHeight="1">
      <c r="A1383" s="33">
        <f t="shared" si="110"/>
        <v>44994</v>
      </c>
      <c r="B1383" s="46">
        <f t="shared" si="111"/>
        <v>18500466858.9795</v>
      </c>
      <c r="C1383" s="56">
        <f>18942802006.3812+1215007319.17472</f>
        <v>20157809325.55592</v>
      </c>
      <c r="F1383" s="45">
        <f t="shared" si="96"/>
        <v>1657342466.5764198</v>
      </c>
      <c r="H1383" s="46">
        <f t="shared" si="112"/>
        <v>2759141000</v>
      </c>
      <c r="I1383" s="50">
        <f>3152363360.09705+88671779.45447</f>
        <v>3241035139.5515203</v>
      </c>
      <c r="L1383" s="44">
        <f t="shared" si="97"/>
        <v>2139236606.1279402</v>
      </c>
      <c r="M1383" s="45">
        <f t="shared" si="98"/>
        <v>481894139.55152035</v>
      </c>
    </row>
    <row r="1384" spans="1:13" ht="12.65" customHeight="1">
      <c r="A1384" s="33">
        <f t="shared" si="110"/>
        <v>44995</v>
      </c>
      <c r="B1384" s="46">
        <f t="shared" si="111"/>
        <v>18500466858.9795</v>
      </c>
      <c r="C1384" s="56">
        <f>18930302345.9868+1036166539.55778</f>
        <v>19966468885.544582</v>
      </c>
      <c r="F1384" s="45">
        <f t="shared" si="96"/>
        <v>1466002026.5650826</v>
      </c>
      <c r="H1384" s="46">
        <f t="shared" si="112"/>
        <v>2759141000</v>
      </c>
      <c r="I1384" s="50">
        <f>2708405566.78731+93817125.26781</f>
        <v>2802222692.05512</v>
      </c>
      <c r="L1384" s="44">
        <f t="shared" si="97"/>
        <v>1509083718.6202025</v>
      </c>
      <c r="M1384" s="45">
        <f t="shared" si="98"/>
        <v>43081692.055119991</v>
      </c>
    </row>
    <row r="1385" spans="1:13" ht="12.65" customHeight="1">
      <c r="A1385" s="33">
        <f t="shared" si="110"/>
        <v>44998</v>
      </c>
      <c r="B1385" s="46">
        <f t="shared" si="111"/>
        <v>18500466858.9795</v>
      </c>
      <c r="C1385" s="56">
        <f>1083128934.45292+16320734315.5956</f>
        <v>17403863250.048519</v>
      </c>
      <c r="F1385" s="45">
        <f t="shared" si="96"/>
        <v>-1096603608.9309807</v>
      </c>
      <c r="H1385" s="46">
        <f t="shared" si="112"/>
        <v>2759141000</v>
      </c>
      <c r="I1385" s="50">
        <f>92874666.17752+2501627321.04342</f>
        <v>2594501987.2209396</v>
      </c>
      <c r="L1385" s="44">
        <f t="shared" si="97"/>
        <v>-1261242621.710041</v>
      </c>
      <c r="M1385" s="45">
        <f t="shared" si="98"/>
        <v>-164639012.77906036</v>
      </c>
    </row>
    <row r="1386" spans="1:13" ht="12.65" customHeight="1">
      <c r="A1386" s="33">
        <f t="shared" si="110"/>
        <v>44999</v>
      </c>
      <c r="B1386" s="46">
        <v>17271385350.0056</v>
      </c>
      <c r="C1386" s="56">
        <f>12448428902.5403+860322040.64681</f>
        <v>13308750943.187111</v>
      </c>
      <c r="F1386" s="45">
        <f t="shared" si="96"/>
        <v>-3962634406.8184891</v>
      </c>
      <c r="H1386" s="46">
        <v>2133736000</v>
      </c>
      <c r="I1386" s="50">
        <f>2018721570.79404+88257555.47022</f>
        <v>2106979126.2642601</v>
      </c>
      <c r="L1386" s="44">
        <f t="shared" si="97"/>
        <v>-3989391280.5542288</v>
      </c>
      <c r="M1386" s="45">
        <f t="shared" si="98"/>
        <v>-26756873.735739946</v>
      </c>
    </row>
    <row r="1387" spans="1:13" ht="12.65" customHeight="1">
      <c r="A1387" s="33">
        <f t="shared" si="110"/>
        <v>45000</v>
      </c>
      <c r="B1387" s="46">
        <v>17271385350.0056</v>
      </c>
      <c r="C1387" s="56">
        <f>5309296694.94756+1146524156.29348</f>
        <v>6455820851.2410402</v>
      </c>
      <c r="F1387" s="45">
        <f t="shared" si="96"/>
        <v>-10815564498.764561</v>
      </c>
      <c r="H1387" s="46">
        <v>2133736000</v>
      </c>
      <c r="I1387" s="50">
        <f>1533713083.54098+82635166.1006</f>
        <v>1616348249.6415801</v>
      </c>
      <c r="L1387" s="44">
        <f t="shared" si="97"/>
        <v>-11332952249.12298</v>
      </c>
      <c r="M1387" s="45">
        <f t="shared" si="98"/>
        <v>-517387750.3584199</v>
      </c>
    </row>
    <row r="1388" spans="1:13" ht="12.65" customHeight="1">
      <c r="A1388" s="33">
        <f t="shared" si="110"/>
        <v>45001</v>
      </c>
      <c r="B1388" s="46">
        <f>17125586617.6052</f>
        <v>17125586617.6052</v>
      </c>
      <c r="C1388" s="56">
        <f>1429949457.36124+12456878463.4883</f>
        <v>13886827920.849541</v>
      </c>
      <c r="F1388" s="45">
        <f t="shared" si="96"/>
        <v>-3238758696.7556591</v>
      </c>
      <c r="H1388" s="46">
        <f>2204042000</f>
        <v>2204042000</v>
      </c>
      <c r="I1388" s="50">
        <f>75532657.45919+2147895732.16829</f>
        <v>2223428389.62748</v>
      </c>
      <c r="L1388" s="44">
        <f t="shared" si="97"/>
        <v>-3219372307.1281791</v>
      </c>
      <c r="M1388" s="45">
        <f t="shared" si="98"/>
        <v>19386389.62748003</v>
      </c>
    </row>
    <row r="1389" spans="1:13" ht="12.65" customHeight="1">
      <c r="A1389" s="33">
        <f t="shared" si="110"/>
        <v>45002</v>
      </c>
      <c r="B1389" s="46">
        <f t="shared" ref="B1389:B1397" si="113">17125586617.6052</f>
        <v>17125586617.6052</v>
      </c>
      <c r="C1389" s="56">
        <f>16480676166.3703+914168264.99844</f>
        <v>17394844431.36874</v>
      </c>
      <c r="F1389" s="45">
        <f t="shared" si="96"/>
        <v>269257813.76354027</v>
      </c>
      <c r="H1389" s="46">
        <f t="shared" ref="H1389:H1397" si="114">2204042000</f>
        <v>2204042000</v>
      </c>
      <c r="I1389" s="50">
        <f>2075511874.20863+91551462.76547</f>
        <v>2167063336.9741001</v>
      </c>
      <c r="L1389" s="44">
        <f t="shared" si="97"/>
        <v>232279150.73764038</v>
      </c>
      <c r="M1389" s="45">
        <f t="shared" si="98"/>
        <v>-36978663.025899887</v>
      </c>
    </row>
    <row r="1390" spans="1:13" ht="12.65" customHeight="1">
      <c r="A1390" s="33">
        <f t="shared" si="110"/>
        <v>45005</v>
      </c>
      <c r="B1390" s="46">
        <f t="shared" si="113"/>
        <v>17125586617.6052</v>
      </c>
      <c r="C1390" s="56">
        <f>17601262246.1783+1246713654.9226</f>
        <v>18847975901.100899</v>
      </c>
      <c r="F1390" s="45">
        <f t="shared" si="96"/>
        <v>1722389283.4956989</v>
      </c>
      <c r="H1390" s="46">
        <f t="shared" si="114"/>
        <v>2204042000</v>
      </c>
      <c r="I1390" s="50">
        <f>1607926022.72168+92663388.79557</f>
        <v>1700589411.5172498</v>
      </c>
      <c r="L1390" s="44">
        <f t="shared" si="97"/>
        <v>1218936695.0129488</v>
      </c>
      <c r="M1390" s="45">
        <f t="shared" si="98"/>
        <v>-503452588.48275018</v>
      </c>
    </row>
    <row r="1391" spans="1:13" ht="12.65" customHeight="1">
      <c r="A1391" s="33">
        <f t="shared" si="110"/>
        <v>45006</v>
      </c>
      <c r="B1391" s="46">
        <f t="shared" si="113"/>
        <v>17125586617.6052</v>
      </c>
      <c r="C1391" s="56">
        <f>16752922000.3183+913693556.54671</f>
        <v>17666615556.865009</v>
      </c>
      <c r="F1391" s="45">
        <f t="shared" si="96"/>
        <v>541028939.25980949</v>
      </c>
      <c r="H1391" s="46">
        <f t="shared" si="114"/>
        <v>2204042000</v>
      </c>
      <c r="I1391" s="50">
        <f>2648737886.88711+78259473.11861</f>
        <v>2726997360.0057201</v>
      </c>
      <c r="L1391" s="44">
        <f t="shared" si="97"/>
        <v>1063984299.2655296</v>
      </c>
      <c r="M1391" s="45">
        <f t="shared" si="98"/>
        <v>522955360.00572014</v>
      </c>
    </row>
    <row r="1392" spans="1:13" ht="12.65" customHeight="1">
      <c r="A1392" s="33">
        <f>WORKDAY(A1391,3)</f>
        <v>45009</v>
      </c>
      <c r="B1392" s="46">
        <f t="shared" si="113"/>
        <v>17125586617.6052</v>
      </c>
      <c r="C1392" s="56">
        <f>12803501954.9369+1153276940.58547</f>
        <v>13956778895.522369</v>
      </c>
      <c r="F1392" s="45">
        <f t="shared" si="96"/>
        <v>-3168807722.0828304</v>
      </c>
      <c r="H1392" s="46">
        <f t="shared" si="114"/>
        <v>2204042000</v>
      </c>
      <c r="I1392" s="50">
        <f>1764142843.32758+89149388.43534</f>
        <v>1853292231.7629199</v>
      </c>
      <c r="L1392" s="44">
        <f t="shared" si="97"/>
        <v>-3519557490.3199105</v>
      </c>
      <c r="M1392" s="45">
        <f t="shared" si="98"/>
        <v>-350749768.2370801</v>
      </c>
    </row>
    <row r="1393" spans="1:13" ht="12.65" customHeight="1">
      <c r="A1393" s="33">
        <f>WORKDAY(A1392,1)</f>
        <v>45012</v>
      </c>
      <c r="B1393" s="46">
        <f t="shared" si="113"/>
        <v>17125586617.6052</v>
      </c>
      <c r="C1393" s="56">
        <f>15917017572.3984+1082204982.36795</f>
        <v>16999222554.76635</v>
      </c>
      <c r="F1393" s="45">
        <f t="shared" si="96"/>
        <v>-126364062.83885002</v>
      </c>
      <c r="H1393" s="46">
        <f t="shared" si="114"/>
        <v>2204042000</v>
      </c>
      <c r="I1393" s="50">
        <f>2115601020.68521+76780221.56481</f>
        <v>2192381242.25002</v>
      </c>
      <c r="L1393" s="44">
        <f t="shared" si="97"/>
        <v>-138024820.58882999</v>
      </c>
      <c r="M1393" s="45">
        <f t="shared" si="98"/>
        <v>-11660757.749979973</v>
      </c>
    </row>
    <row r="1394" spans="1:13" ht="12.65" customHeight="1">
      <c r="A1394" s="33">
        <f t="shared" ref="A1394:A1458" si="115">WORKDAY(A1393,1)</f>
        <v>45013</v>
      </c>
      <c r="B1394" s="46">
        <f t="shared" si="113"/>
        <v>17125586617.6052</v>
      </c>
      <c r="C1394" s="56">
        <f>23277386534.2117+872983865.3906</f>
        <v>24150370399.602299</v>
      </c>
      <c r="F1394" s="45">
        <f t="shared" si="96"/>
        <v>7024783781.9970989</v>
      </c>
      <c r="H1394" s="46">
        <f t="shared" si="114"/>
        <v>2204042000</v>
      </c>
      <c r="I1394" s="50">
        <f>2525978122.75572+90545338.24644</f>
        <v>2616523461.0021601</v>
      </c>
      <c r="L1394" s="44">
        <f t="shared" si="97"/>
        <v>7437265242.999259</v>
      </c>
      <c r="M1394" s="45">
        <f t="shared" si="98"/>
        <v>412481461.00216007</v>
      </c>
    </row>
    <row r="1395" spans="1:13" ht="12.65" customHeight="1">
      <c r="A1395" s="33">
        <f t="shared" si="115"/>
        <v>45014</v>
      </c>
      <c r="B1395" s="46">
        <f t="shared" si="113"/>
        <v>17125586617.6052</v>
      </c>
      <c r="C1395" s="56">
        <f>19023501675.5945+890814396.22738</f>
        <v>19914316071.82188</v>
      </c>
      <c r="F1395" s="45">
        <f t="shared" si="96"/>
        <v>2788729454.2166805</v>
      </c>
      <c r="H1395" s="46">
        <f t="shared" si="114"/>
        <v>2204042000</v>
      </c>
      <c r="I1395" s="50">
        <f>2733011394.36385+83980127.57291</f>
        <v>2816991521.9367599</v>
      </c>
      <c r="L1395" s="44">
        <f t="shared" si="97"/>
        <v>3401678976.1534405</v>
      </c>
      <c r="M1395" s="45">
        <f t="shared" si="98"/>
        <v>612949521.93675995</v>
      </c>
    </row>
    <row r="1396" spans="1:13" ht="12.65" customHeight="1">
      <c r="A1396" s="33">
        <f t="shared" si="115"/>
        <v>45015</v>
      </c>
      <c r="B1396" s="46">
        <f t="shared" si="113"/>
        <v>17125586617.6052</v>
      </c>
      <c r="C1396" s="56">
        <f>18360739008.5348+770420947.11738</f>
        <v>19131159955.65218</v>
      </c>
      <c r="F1396" s="45">
        <f t="shared" si="96"/>
        <v>2005573338.0469799</v>
      </c>
      <c r="H1396" s="46">
        <f t="shared" si="114"/>
        <v>2204042000</v>
      </c>
      <c r="I1396" s="50">
        <f>2057204902.55684+90009135.02403</f>
        <v>2147214037.5808699</v>
      </c>
      <c r="L1396" s="44">
        <f t="shared" si="97"/>
        <v>1948745375.6278498</v>
      </c>
      <c r="M1396" s="45">
        <f t="shared" si="98"/>
        <v>-56827962.419130087</v>
      </c>
    </row>
    <row r="1397" spans="1:13" ht="12.65" customHeight="1">
      <c r="A1397" s="33">
        <f t="shared" si="115"/>
        <v>45016</v>
      </c>
      <c r="B1397" s="46">
        <f t="shared" si="113"/>
        <v>17125586617.6052</v>
      </c>
      <c r="C1397" s="56">
        <f>9987825404.22799+1108136458.26872</f>
        <v>11095961862.49671</v>
      </c>
      <c r="F1397" s="45">
        <f t="shared" si="96"/>
        <v>-6029624755.10849</v>
      </c>
      <c r="H1397" s="46">
        <f t="shared" si="114"/>
        <v>2204042000</v>
      </c>
      <c r="I1397" s="50">
        <f>2004064375.74338+88866336.42827</f>
        <v>2092930712.1716502</v>
      </c>
      <c r="L1397" s="44">
        <f t="shared" si="97"/>
        <v>-6140736042.9368401</v>
      </c>
      <c r="M1397" s="45">
        <f t="shared" si="98"/>
        <v>-111111287.82834983</v>
      </c>
    </row>
    <row r="1398" spans="1:13" ht="12.65" customHeight="1">
      <c r="A1398" s="33">
        <f t="shared" si="115"/>
        <v>45019</v>
      </c>
      <c r="B1398" s="46">
        <v>15859359269.9335</v>
      </c>
      <c r="C1398" s="56">
        <f>16820314363.0124+1087073090.66106</f>
        <v>17907387453.673458</v>
      </c>
      <c r="F1398" s="45">
        <f t="shared" ref="F1398:F1462" si="116">C1398-B1398</f>
        <v>2048028183.7399578</v>
      </c>
      <c r="H1398" s="46">
        <v>2402467000</v>
      </c>
      <c r="I1398" s="50">
        <f>2195523335.38011+82630638.6998</f>
        <v>2278153974.0799098</v>
      </c>
      <c r="L1398" s="44">
        <f t="shared" ref="L1398:L1462" si="117">F1398+M1398</f>
        <v>1923715157.8198676</v>
      </c>
      <c r="M1398" s="45">
        <f t="shared" ref="M1398:M1462" si="118">I1398-H1398</f>
        <v>-124313025.9200902</v>
      </c>
    </row>
    <row r="1399" spans="1:13" ht="12.65" customHeight="1">
      <c r="A1399" s="33">
        <f t="shared" si="115"/>
        <v>45020</v>
      </c>
      <c r="B1399" s="46">
        <v>15859359269.9335</v>
      </c>
      <c r="C1399" s="56">
        <f>1082054448.08981+16921248125.9229</f>
        <v>18003302574.012711</v>
      </c>
      <c r="F1399" s="45">
        <f t="shared" si="116"/>
        <v>2143943304.0792103</v>
      </c>
      <c r="H1399" s="46">
        <v>2402467000</v>
      </c>
      <c r="I1399" s="50">
        <f>81089466.01105+2897803957.68668</f>
        <v>2978893423.6977301</v>
      </c>
      <c r="L1399" s="44">
        <f t="shared" si="117"/>
        <v>2720369727.7769403</v>
      </c>
      <c r="M1399" s="45">
        <f t="shared" si="118"/>
        <v>576426423.69773006</v>
      </c>
    </row>
    <row r="1400" spans="1:13" ht="12.65" customHeight="1">
      <c r="A1400" s="33">
        <f t="shared" si="115"/>
        <v>45021</v>
      </c>
      <c r="B1400" s="46">
        <v>15859359269.9335</v>
      </c>
      <c r="C1400" s="56">
        <f>17707530999.3253+1133906853.06413</f>
        <v>18841437852.389427</v>
      </c>
      <c r="F1400" s="45">
        <f t="shared" si="116"/>
        <v>2982078582.4559269</v>
      </c>
      <c r="H1400" s="46">
        <v>2402467000</v>
      </c>
      <c r="I1400" s="50">
        <f>1964681537.45411+72096395.60182</f>
        <v>2036777933.0559299</v>
      </c>
      <c r="L1400" s="44">
        <f t="shared" si="117"/>
        <v>2616389515.511857</v>
      </c>
      <c r="M1400" s="45">
        <f t="shared" si="118"/>
        <v>-365689066.9440701</v>
      </c>
    </row>
    <row r="1401" spans="1:13" ht="12.65" customHeight="1">
      <c r="A1401" s="33">
        <f t="shared" si="115"/>
        <v>45022</v>
      </c>
      <c r="B1401" s="46">
        <v>15859359269.9335</v>
      </c>
      <c r="C1401" s="56">
        <f>14684751772.7179+1099399996.89101</f>
        <v>15784151769.60891</v>
      </c>
      <c r="F1401" s="45">
        <f t="shared" si="116"/>
        <v>-75207500.324590683</v>
      </c>
      <c r="H1401" s="46">
        <v>2402467000</v>
      </c>
      <c r="I1401" s="50">
        <f>2178123963.19624+106590054.21879</f>
        <v>2284714017.41503</v>
      </c>
      <c r="L1401" s="44">
        <f t="shared" si="117"/>
        <v>-192960482.90956068</v>
      </c>
      <c r="M1401" s="45">
        <f t="shared" si="118"/>
        <v>-117752982.58497</v>
      </c>
    </row>
    <row r="1402" spans="1:13" ht="12.65" customHeight="1">
      <c r="A1402" s="33">
        <f>WORKDAY(A1401,2)</f>
        <v>45026</v>
      </c>
      <c r="B1402" s="46">
        <v>15859359269.9335</v>
      </c>
      <c r="C1402" s="56">
        <f>1681143007.34231+15633571457.985</f>
        <v>17314714465.327309</v>
      </c>
      <c r="F1402" s="45">
        <f t="shared" si="116"/>
        <v>1455355195.3938084</v>
      </c>
      <c r="H1402" s="46">
        <v>2402467000</v>
      </c>
      <c r="I1402" s="50">
        <f>103804145.87179+2657315389.67232</f>
        <v>2761119535.5441098</v>
      </c>
      <c r="L1402" s="44">
        <f t="shared" si="117"/>
        <v>1814007730.9379182</v>
      </c>
      <c r="M1402" s="45">
        <f t="shared" si="118"/>
        <v>358652535.54410982</v>
      </c>
    </row>
    <row r="1403" spans="1:13" ht="12.65" customHeight="1">
      <c r="A1403" s="33">
        <f t="shared" si="115"/>
        <v>45027</v>
      </c>
      <c r="B1403" s="46">
        <v>15859359269.9335</v>
      </c>
      <c r="C1403" s="56">
        <f>14753352075.5945+996688462.43762</f>
        <v>15750040538.03212</v>
      </c>
      <c r="F1403" s="45">
        <f t="shared" si="116"/>
        <v>-109318731.90138054</v>
      </c>
      <c r="H1403" s="46">
        <v>2402467000</v>
      </c>
      <c r="I1403" s="50">
        <f>2379324191.79069+85444329.97397</f>
        <v>2464768521.7646599</v>
      </c>
      <c r="L1403" s="44">
        <f t="shared" si="117"/>
        <v>-47017210.136720657</v>
      </c>
      <c r="M1403" s="45">
        <f t="shared" si="118"/>
        <v>62301521.764659882</v>
      </c>
    </row>
    <row r="1404" spans="1:13" ht="12.65" customHeight="1">
      <c r="A1404" s="33">
        <f t="shared" si="115"/>
        <v>45028</v>
      </c>
      <c r="B1404" s="46">
        <v>15859359269.9335</v>
      </c>
      <c r="C1404" s="56">
        <f>15538790912.8303+996688462.43762</f>
        <v>16535479375.26792</v>
      </c>
      <c r="F1404" s="45">
        <f t="shared" si="116"/>
        <v>676120105.33441925</v>
      </c>
      <c r="H1404" s="46">
        <v>2402467000</v>
      </c>
      <c r="I1404" s="50">
        <f>2211945722.34135+85444329.97397</f>
        <v>2297390052.31532</v>
      </c>
      <c r="L1404" s="44">
        <f t="shared" si="117"/>
        <v>571043157.64973927</v>
      </c>
      <c r="M1404" s="45">
        <f t="shared" si="118"/>
        <v>-105076947.68467999</v>
      </c>
    </row>
    <row r="1405" spans="1:13" ht="12.65" customHeight="1">
      <c r="A1405" s="33">
        <f t="shared" si="115"/>
        <v>45029</v>
      </c>
      <c r="B1405" s="46">
        <v>15859359269.9335</v>
      </c>
      <c r="C1405" s="56">
        <f>12484933508.5668+1786284943.1417</f>
        <v>14271218451.7085</v>
      </c>
      <c r="F1405" s="45">
        <f t="shared" si="116"/>
        <v>-1588140818.2250004</v>
      </c>
      <c r="H1405" s="46">
        <v>2402467000</v>
      </c>
      <c r="I1405" s="50">
        <f>2203805572.55309+171094536.73716</f>
        <v>2374900109.2902503</v>
      </c>
      <c r="L1405" s="44">
        <f t="shared" si="117"/>
        <v>-1615707708.9347501</v>
      </c>
      <c r="M1405" s="45">
        <f t="shared" si="118"/>
        <v>-27566890.709749699</v>
      </c>
    </row>
    <row r="1406" spans="1:13" ht="12.65" customHeight="1">
      <c r="A1406" s="33">
        <f t="shared" si="115"/>
        <v>45030</v>
      </c>
      <c r="B1406" s="46">
        <v>15859359269.9335</v>
      </c>
      <c r="C1406" s="56">
        <f>8239830453.76238+2251022074.44111</f>
        <v>10490852528.203489</v>
      </c>
      <c r="F1406" s="45">
        <f t="shared" si="116"/>
        <v>-5368506741.730011</v>
      </c>
      <c r="H1406" s="46">
        <v>2402467000</v>
      </c>
      <c r="I1406" s="50">
        <f>2162198558.40059+146666536.38902</f>
        <v>2308865094.7896099</v>
      </c>
      <c r="L1406" s="44">
        <f t="shared" si="117"/>
        <v>-5462108646.9404011</v>
      </c>
      <c r="M1406" s="45">
        <f t="shared" si="118"/>
        <v>-93601905.210390091</v>
      </c>
    </row>
    <row r="1407" spans="1:13" ht="12.65" customHeight="1">
      <c r="A1407" s="33">
        <f t="shared" si="115"/>
        <v>45033</v>
      </c>
      <c r="B1407" s="46">
        <f>15545145287.2038</f>
        <v>15545145287.2038</v>
      </c>
      <c r="C1407" s="56">
        <f>12408670460.9368+3998924461.48165</f>
        <v>16407594922.418449</v>
      </c>
      <c r="F1407" s="45">
        <f t="shared" si="116"/>
        <v>862449635.2146492</v>
      </c>
      <c r="H1407" s="46">
        <f>2479377000</f>
        <v>2479377000</v>
      </c>
      <c r="I1407" s="50">
        <f>3214819424.79165+423854021.17499</f>
        <v>3638673445.96664</v>
      </c>
      <c r="L1407" s="44">
        <f t="shared" si="117"/>
        <v>2021746081.1812892</v>
      </c>
      <c r="M1407" s="45">
        <f t="shared" si="118"/>
        <v>1159296445.96664</v>
      </c>
    </row>
    <row r="1408" spans="1:13" ht="12.65" customHeight="1">
      <c r="A1408" s="33">
        <f t="shared" si="115"/>
        <v>45034</v>
      </c>
      <c r="B1408" s="46">
        <f t="shared" ref="B1408:B1412" si="119">15545145287.2038</f>
        <v>15545145287.2038</v>
      </c>
      <c r="C1408" s="56">
        <f>4484741705.22529+11419893305.5849</f>
        <v>15904635010.81019</v>
      </c>
      <c r="F1408" s="45">
        <f t="shared" si="116"/>
        <v>359489723.60639</v>
      </c>
      <c r="H1408" s="46">
        <f t="shared" ref="H1408:H1412" si="120">2479377000</f>
        <v>2479377000</v>
      </c>
      <c r="I1408" s="50">
        <f>507599364.16509+2648608482.35969</f>
        <v>3156207846.5247803</v>
      </c>
      <c r="L1408" s="44">
        <f t="shared" si="117"/>
        <v>1036320570.1311703</v>
      </c>
      <c r="M1408" s="45">
        <f t="shared" si="118"/>
        <v>676830846.52478027</v>
      </c>
    </row>
    <row r="1409" spans="1:15" ht="12.65" customHeight="1">
      <c r="A1409" s="33">
        <f>WORKDAY(A1408,6)</f>
        <v>45042</v>
      </c>
      <c r="B1409" s="46">
        <f t="shared" si="119"/>
        <v>15545145287.2038</v>
      </c>
      <c r="C1409" s="83">
        <f>16353874076.8075+1535862495.89498</f>
        <v>17889736572.70248</v>
      </c>
      <c r="F1409" s="45">
        <f t="shared" si="116"/>
        <v>2344591285.4986801</v>
      </c>
      <c r="H1409" s="46">
        <f t="shared" si="120"/>
        <v>2479377000</v>
      </c>
      <c r="I1409" s="82">
        <f>2101058843.45148+85298415.40825</f>
        <v>2186357258.8597298</v>
      </c>
      <c r="L1409" s="44">
        <f t="shared" si="117"/>
        <v>2051571544.3584099</v>
      </c>
      <c r="M1409" s="45">
        <f t="shared" si="118"/>
        <v>-293019741.14027023</v>
      </c>
    </row>
    <row r="1410" spans="1:15" ht="12.65" customHeight="1">
      <c r="A1410" s="33">
        <f t="shared" si="115"/>
        <v>45043</v>
      </c>
      <c r="B1410" s="46">
        <f t="shared" si="119"/>
        <v>15545145287.2038</v>
      </c>
      <c r="C1410" s="56">
        <f>18460830377.4942+1901478102.62911</f>
        <v>20362308480.12331</v>
      </c>
      <c r="F1410" s="45">
        <f t="shared" si="116"/>
        <v>4817163192.9195099</v>
      </c>
      <c r="H1410" s="46">
        <f t="shared" si="120"/>
        <v>2479377000</v>
      </c>
      <c r="I1410" s="50">
        <f>2097275432.56132+77358021.05086</f>
        <v>2174633453.6121802</v>
      </c>
      <c r="L1410" s="44">
        <f t="shared" si="117"/>
        <v>4512419646.5316906</v>
      </c>
      <c r="M1410" s="45">
        <f t="shared" si="118"/>
        <v>-304743546.38781977</v>
      </c>
    </row>
    <row r="1411" spans="1:15" ht="12.65" customHeight="1">
      <c r="A1411" s="33">
        <f t="shared" si="115"/>
        <v>45044</v>
      </c>
      <c r="B1411" s="46">
        <f t="shared" si="119"/>
        <v>15545145287.2038</v>
      </c>
      <c r="C1411" s="56">
        <f>8519587024.44942+1795698009.60316</f>
        <v>10315285034.05258</v>
      </c>
      <c r="F1411" s="45">
        <f t="shared" si="116"/>
        <v>-5229860253.1512203</v>
      </c>
      <c r="H1411" s="46">
        <f t="shared" si="120"/>
        <v>2479377000</v>
      </c>
      <c r="I1411" s="50">
        <f>2013079144.58665+127325511.19288</f>
        <v>2140404655.7795298</v>
      </c>
      <c r="L1411" s="44">
        <f t="shared" si="117"/>
        <v>-5568832597.3716908</v>
      </c>
      <c r="M1411" s="45">
        <f t="shared" si="118"/>
        <v>-338972344.22047019</v>
      </c>
    </row>
    <row r="1412" spans="1:15" ht="12.65" customHeight="1">
      <c r="A1412" s="33">
        <v>45046</v>
      </c>
      <c r="B1412" s="46">
        <f t="shared" si="119"/>
        <v>15545145287.2038</v>
      </c>
      <c r="C1412" s="56">
        <f>8519587024.44942+1795698009.60316</f>
        <v>10315285034.05258</v>
      </c>
      <c r="F1412" s="45">
        <f t="shared" ref="F1412" si="121">C1412-B1412</f>
        <v>-5229860253.1512203</v>
      </c>
      <c r="H1412" s="46">
        <f t="shared" si="120"/>
        <v>2479377000</v>
      </c>
      <c r="I1412" s="50">
        <f>2013079144.58665+127325511.19288</f>
        <v>2140404655.7795298</v>
      </c>
      <c r="L1412" s="44">
        <f t="shared" ref="L1412" si="122">F1412+M1412</f>
        <v>-5568832597.3716908</v>
      </c>
      <c r="M1412" s="45">
        <f t="shared" ref="M1412" si="123">I1412-H1412</f>
        <v>-338972344.22047019</v>
      </c>
    </row>
    <row r="1413" spans="1:15" ht="12.65" customHeight="1">
      <c r="A1413" s="1377">
        <f>WORKDAY(A1411,1)</f>
        <v>45047</v>
      </c>
      <c r="B1413" s="1378">
        <v>16150520727.104601</v>
      </c>
      <c r="C1413" s="1379">
        <f>8519587024.44942+1795698009.60316</f>
        <v>10315285034.05258</v>
      </c>
      <c r="D1413" s="1380"/>
      <c r="E1413" s="1380"/>
      <c r="F1413" s="1381">
        <f t="shared" ref="F1413" si="124">C1413-B1413</f>
        <v>-5835235693.052021</v>
      </c>
      <c r="G1413" s="1382"/>
      <c r="H1413" s="1378">
        <v>2506882000</v>
      </c>
      <c r="I1413" s="1383">
        <f>2013079144.58665+127325511.19288</f>
        <v>2140404655.7795298</v>
      </c>
      <c r="J1413" s="1380"/>
      <c r="K1413" s="1380"/>
      <c r="L1413" s="1384">
        <f t="shared" ref="L1413" si="125">F1413+M1413</f>
        <v>-6201713037.2724915</v>
      </c>
      <c r="M1413" s="1381">
        <f t="shared" ref="M1413" si="126">I1413-H1413</f>
        <v>-366477344.22047019</v>
      </c>
      <c r="N1413" s="1538" t="s">
        <v>240</v>
      </c>
    </row>
    <row r="1414" spans="1:15" ht="12.65" customHeight="1">
      <c r="A1414" s="33">
        <f>WORKDAY(A1411,2)</f>
        <v>45048</v>
      </c>
      <c r="B1414" s="46">
        <f>16150520727.1046</f>
        <v>16150520727.104601</v>
      </c>
      <c r="C1414" s="56">
        <f>19921519140.2733+1401758165.23146</f>
        <v>21323277305.504761</v>
      </c>
      <c r="F1414" s="45">
        <f t="shared" si="116"/>
        <v>5172756578.4001598</v>
      </c>
      <c r="H1414" s="46">
        <v>2506882000</v>
      </c>
      <c r="I1414" s="50">
        <f>2922712070.89062+100203197.75878</f>
        <v>3022915268.6494002</v>
      </c>
      <c r="L1414" s="44">
        <f t="shared" si="117"/>
        <v>5688789847.0495605</v>
      </c>
      <c r="M1414" s="45">
        <f t="shared" si="118"/>
        <v>516033268.64940023</v>
      </c>
      <c r="O1414" s="44">
        <f>C1414+I1414</f>
        <v>24346192574.15416</v>
      </c>
    </row>
    <row r="1415" spans="1:15" ht="12.65" customHeight="1">
      <c r="A1415" s="33">
        <f t="shared" si="115"/>
        <v>45049</v>
      </c>
      <c r="B1415" s="46">
        <f t="shared" ref="B1415:B1423" si="127">16150520727.1046</f>
        <v>16150520727.104601</v>
      </c>
      <c r="C1415" s="56">
        <f>18682780520.0636+1190169221.91394</f>
        <v>19872949741.977539</v>
      </c>
      <c r="F1415" s="45">
        <f t="shared" si="116"/>
        <v>3722429014.8729382</v>
      </c>
      <c r="H1415" s="46">
        <v>2506882000</v>
      </c>
      <c r="I1415" s="50">
        <f>3810149655.25824+96355380.26629</f>
        <v>3906505035.5245304</v>
      </c>
      <c r="L1415" s="44">
        <f t="shared" si="117"/>
        <v>5122052050.3974686</v>
      </c>
      <c r="M1415" s="45">
        <f t="shared" si="118"/>
        <v>1399623035.5245304</v>
      </c>
      <c r="O1415" s="44">
        <f t="shared" ref="O1415:O1423" si="128">C1415+I1415</f>
        <v>23779454777.502068</v>
      </c>
    </row>
    <row r="1416" spans="1:15" ht="12.65" customHeight="1">
      <c r="A1416" s="33">
        <f t="shared" si="115"/>
        <v>45050</v>
      </c>
      <c r="B1416" s="46">
        <f t="shared" si="127"/>
        <v>16150520727.104601</v>
      </c>
      <c r="C1416" s="56">
        <f>17534172652.7969+1093251368.29219</f>
        <v>18627424021.089092</v>
      </c>
      <c r="F1416" s="45">
        <f t="shared" si="116"/>
        <v>2476903293.9844913</v>
      </c>
      <c r="H1416" s="46">
        <v>2506882000</v>
      </c>
      <c r="I1416" s="50">
        <f>2533765690.98606+92447027.22081</f>
        <v>2626212718.2068701</v>
      </c>
      <c r="L1416" s="44">
        <f t="shared" si="117"/>
        <v>2596234012.1913614</v>
      </c>
      <c r="M1416" s="45">
        <f t="shared" si="118"/>
        <v>119330718.20687008</v>
      </c>
      <c r="O1416" s="44">
        <f t="shared" si="128"/>
        <v>21253636739.295963</v>
      </c>
    </row>
    <row r="1417" spans="1:15" ht="12.65" customHeight="1">
      <c r="A1417" s="33">
        <f t="shared" si="115"/>
        <v>45051</v>
      </c>
      <c r="B1417" s="46">
        <f t="shared" si="127"/>
        <v>16150520727.104601</v>
      </c>
      <c r="C1417" s="56">
        <f>17945519098.6716+1010791796.11399</f>
        <v>18956310894.785591</v>
      </c>
      <c r="F1417" s="45">
        <f t="shared" si="116"/>
        <v>2805790167.6809902</v>
      </c>
      <c r="H1417" s="46">
        <v>2506882000</v>
      </c>
      <c r="I1417" s="50">
        <f>2286320342.86387+78611608.5508</f>
        <v>2364931951.41467</v>
      </c>
      <c r="L1417" s="44">
        <f t="shared" si="117"/>
        <v>2663840119.0956602</v>
      </c>
      <c r="M1417" s="45">
        <f t="shared" si="118"/>
        <v>-141950048.58533001</v>
      </c>
      <c r="O1417" s="44">
        <f t="shared" si="128"/>
        <v>21321242846.20026</v>
      </c>
    </row>
    <row r="1418" spans="1:15" ht="12.65" customHeight="1">
      <c r="A1418" s="33">
        <f t="shared" si="115"/>
        <v>45054</v>
      </c>
      <c r="B1418" s="46">
        <f t="shared" si="127"/>
        <v>16150520727.104601</v>
      </c>
      <c r="C1418" s="56">
        <f>1115359240.97325+17198758853.1819</f>
        <v>18314118094.155151</v>
      </c>
      <c r="F1418" s="45">
        <f t="shared" si="116"/>
        <v>2163597367.0505505</v>
      </c>
      <c r="H1418" s="46">
        <v>2506882000</v>
      </c>
      <c r="I1418" s="50">
        <f>77128293.2411+2272542134.43621</f>
        <v>2349670427.67731</v>
      </c>
      <c r="L1418" s="44">
        <f t="shared" si="117"/>
        <v>2006385794.7278605</v>
      </c>
      <c r="M1418" s="45">
        <f t="shared" si="118"/>
        <v>-157211572.32269001</v>
      </c>
      <c r="O1418" s="44">
        <f t="shared" si="128"/>
        <v>20663788521.832462</v>
      </c>
    </row>
    <row r="1419" spans="1:15" ht="12.65" customHeight="1">
      <c r="A1419" s="33">
        <f t="shared" si="115"/>
        <v>45055</v>
      </c>
      <c r="B1419" s="46">
        <f t="shared" si="127"/>
        <v>16150520727.104601</v>
      </c>
      <c r="C1419" s="56">
        <f>15588608470.9765+1035700699.82709</f>
        <v>16624309170.803589</v>
      </c>
      <c r="F1419" s="45">
        <f t="shared" si="116"/>
        <v>473788443.69898796</v>
      </c>
      <c r="H1419" s="46">
        <v>2506882000</v>
      </c>
      <c r="I1419" s="50">
        <f>2204548584.69665+84005180.41268</f>
        <v>2288553765.1093302</v>
      </c>
      <c r="L1419" s="44">
        <f t="shared" si="117"/>
        <v>255460208.80831814</v>
      </c>
      <c r="M1419" s="45">
        <f t="shared" si="118"/>
        <v>-218328234.89066982</v>
      </c>
      <c r="O1419" s="44">
        <f t="shared" si="128"/>
        <v>18912862935.912918</v>
      </c>
    </row>
    <row r="1420" spans="1:15" ht="12.65" customHeight="1">
      <c r="A1420" s="33">
        <f t="shared" si="115"/>
        <v>45056</v>
      </c>
      <c r="B1420" s="46">
        <f t="shared" si="127"/>
        <v>16150520727.104601</v>
      </c>
      <c r="C1420" s="56">
        <f>950018732.68417+13978927977.4573</f>
        <v>14928946710.14147</v>
      </c>
      <c r="F1420" s="45">
        <f t="shared" si="116"/>
        <v>-1221574016.963131</v>
      </c>
      <c r="H1420" s="46">
        <v>2506882000</v>
      </c>
      <c r="I1420" s="50">
        <f>89103412.72644+2209422758.26287</f>
        <v>2298526170.9893098</v>
      </c>
      <c r="L1420" s="44">
        <f t="shared" si="117"/>
        <v>-1429929845.9738212</v>
      </c>
      <c r="M1420" s="45">
        <f t="shared" si="118"/>
        <v>-208355829.01069021</v>
      </c>
      <c r="O1420" s="44">
        <f t="shared" si="128"/>
        <v>17227472881.130779</v>
      </c>
    </row>
    <row r="1421" spans="1:15" ht="12.65" customHeight="1">
      <c r="A1421" s="33">
        <f t="shared" si="115"/>
        <v>45057</v>
      </c>
      <c r="B1421" s="46">
        <f t="shared" si="127"/>
        <v>16150520727.104601</v>
      </c>
      <c r="C1421" s="56">
        <f>15460614857.0676+886813589.73176</f>
        <v>16347428446.79936</v>
      </c>
      <c r="F1421" s="45">
        <f t="shared" si="116"/>
        <v>196907719.69475937</v>
      </c>
      <c r="H1421" s="46">
        <v>2506882000</v>
      </c>
      <c r="I1421" s="50">
        <f>2179812543.99417+80136605.5865</f>
        <v>2259949149.5806704</v>
      </c>
      <c r="L1421" s="44">
        <f t="shared" si="117"/>
        <v>-50025130.724570274</v>
      </c>
      <c r="M1421" s="45">
        <f t="shared" si="118"/>
        <v>-246932850.41932964</v>
      </c>
      <c r="O1421" s="44">
        <f t="shared" si="128"/>
        <v>18607377596.380032</v>
      </c>
    </row>
    <row r="1422" spans="1:15" ht="12.65" customHeight="1">
      <c r="A1422" s="33">
        <f t="shared" si="115"/>
        <v>45058</v>
      </c>
      <c r="B1422" s="46">
        <f t="shared" si="127"/>
        <v>16150520727.104601</v>
      </c>
      <c r="C1422" s="56">
        <f>8411391011.79943+1235053045.80385</f>
        <v>9646444057.6032791</v>
      </c>
      <c r="F1422" s="45">
        <f t="shared" si="116"/>
        <v>-6504076669.5013218</v>
      </c>
      <c r="H1422" s="46">
        <v>2506882000</v>
      </c>
      <c r="I1422" s="50">
        <f>2181623617.34802+98216082.87652</f>
        <v>2279839700.2245402</v>
      </c>
      <c r="L1422" s="44">
        <f t="shared" si="117"/>
        <v>-6731118969.2767811</v>
      </c>
      <c r="M1422" s="45">
        <f t="shared" si="118"/>
        <v>-227042299.77545977</v>
      </c>
      <c r="O1422" s="44">
        <f t="shared" si="128"/>
        <v>11926283757.82782</v>
      </c>
    </row>
    <row r="1423" spans="1:15" ht="12.65" customHeight="1">
      <c r="A1423" s="33">
        <f t="shared" si="115"/>
        <v>45061</v>
      </c>
      <c r="B1423" s="46">
        <f t="shared" si="127"/>
        <v>16150520727.104601</v>
      </c>
      <c r="C1423" s="56">
        <f>8346495831.76461+1175184944.87643</f>
        <v>9521680776.6410408</v>
      </c>
      <c r="F1423" s="45">
        <f t="shared" si="116"/>
        <v>-6628839950.4635601</v>
      </c>
      <c r="H1423" s="46">
        <v>2506882000</v>
      </c>
      <c r="I1423" s="50">
        <f>104570451.80695+1940002722.07371</f>
        <v>2044573173.8806601</v>
      </c>
      <c r="L1423" s="44">
        <f t="shared" si="117"/>
        <v>-7091148776.5829</v>
      </c>
      <c r="M1423" s="45">
        <f t="shared" si="118"/>
        <v>-462308826.11933994</v>
      </c>
      <c r="O1423" s="44">
        <f t="shared" si="128"/>
        <v>11566253950.521702</v>
      </c>
    </row>
    <row r="1424" spans="1:15" ht="12.65" customHeight="1">
      <c r="A1424" s="33">
        <f t="shared" si="115"/>
        <v>45062</v>
      </c>
      <c r="B1424" s="46">
        <f>16529678286.2119</f>
        <v>16529678286.211901</v>
      </c>
      <c r="C1424" s="56">
        <f>16033156661.0742+1175034162.23601</f>
        <v>17208190823.310211</v>
      </c>
      <c r="F1424" s="45">
        <f t="shared" si="116"/>
        <v>678512537.09831047</v>
      </c>
      <c r="H1424" s="46">
        <f>2475562000</f>
        <v>2475562000</v>
      </c>
      <c r="I1424" s="50">
        <f>104496025.12509+3875399950.0723</f>
        <v>3979895975.1973901</v>
      </c>
      <c r="L1424" s="44">
        <f t="shared" si="117"/>
        <v>2182846512.2957006</v>
      </c>
      <c r="M1424" s="45">
        <f t="shared" si="118"/>
        <v>1504333975.1973901</v>
      </c>
      <c r="O1424" s="44"/>
    </row>
    <row r="1425" spans="1:14" ht="12.65" customHeight="1">
      <c r="A1425" s="33">
        <f t="shared" si="115"/>
        <v>45063</v>
      </c>
      <c r="B1425" s="46">
        <f t="shared" ref="B1425:B1434" si="129">16529678286.2119</f>
        <v>16529678286.211901</v>
      </c>
      <c r="C1425" s="56">
        <f>1034101029.39799+15545052748.006</f>
        <v>16579153777.40399</v>
      </c>
      <c r="F1425" s="45">
        <f t="shared" si="116"/>
        <v>49475491.192089081</v>
      </c>
      <c r="H1425" s="46">
        <f t="shared" ref="H1425:H1435" si="130">2475562000</f>
        <v>2475562000</v>
      </c>
      <c r="I1425" s="50">
        <f>98565505.72225+2462434768.3933</f>
        <v>2561000274.11555</v>
      </c>
      <c r="L1425" s="44">
        <f t="shared" si="117"/>
        <v>134913765.30763912</v>
      </c>
      <c r="M1425" s="45">
        <f t="shared" si="118"/>
        <v>85438274.115550041</v>
      </c>
    </row>
    <row r="1426" spans="1:14" ht="12.65" customHeight="1">
      <c r="A1426" s="33">
        <f t="shared" si="115"/>
        <v>45064</v>
      </c>
      <c r="B1426" s="46">
        <f t="shared" si="129"/>
        <v>16529678286.211901</v>
      </c>
      <c r="C1426" s="56">
        <f>1034101029.39799+15545052748.006</f>
        <v>16579153777.40399</v>
      </c>
      <c r="F1426" s="45">
        <f t="shared" si="116"/>
        <v>49475491.192089081</v>
      </c>
      <c r="H1426" s="46">
        <f t="shared" si="130"/>
        <v>2475562000</v>
      </c>
      <c r="I1426" s="50">
        <f>98565505.72225+2462434768.3933</f>
        <v>2561000274.11555</v>
      </c>
      <c r="L1426" s="44">
        <f t="shared" si="117"/>
        <v>134913765.30763912</v>
      </c>
      <c r="M1426" s="45">
        <f t="shared" si="118"/>
        <v>85438274.115550041</v>
      </c>
    </row>
    <row r="1427" spans="1:14" ht="12.65" customHeight="1">
      <c r="A1427" s="33">
        <f t="shared" si="115"/>
        <v>45065</v>
      </c>
      <c r="B1427" s="46">
        <f t="shared" si="129"/>
        <v>16529678286.211901</v>
      </c>
      <c r="C1427" s="56">
        <f>13102264236.8852+1032496232.4953</f>
        <v>14134760469.380501</v>
      </c>
      <c r="F1427" s="45">
        <f t="shared" si="116"/>
        <v>-2394917816.8313999</v>
      </c>
      <c r="H1427" s="46">
        <f t="shared" si="130"/>
        <v>2475562000</v>
      </c>
      <c r="I1427" s="50">
        <f>2308902362.88597+115910107.87183</f>
        <v>2424812470.7578001</v>
      </c>
      <c r="L1427" s="44">
        <f t="shared" si="117"/>
        <v>-2445667346.0735998</v>
      </c>
      <c r="M1427" s="45">
        <f t="shared" si="118"/>
        <v>-50749529.242199898</v>
      </c>
    </row>
    <row r="1428" spans="1:14" ht="12.65" customHeight="1">
      <c r="A1428" s="33">
        <f t="shared" si="115"/>
        <v>45068</v>
      </c>
      <c r="B1428" s="46">
        <f t="shared" si="129"/>
        <v>16529678286.211901</v>
      </c>
      <c r="C1428" s="56">
        <f>18415716443.014+1054961159.58965</f>
        <v>19470677602.603649</v>
      </c>
      <c r="F1428" s="45">
        <f t="shared" si="116"/>
        <v>2940999316.3917484</v>
      </c>
      <c r="H1428" s="46">
        <f t="shared" si="130"/>
        <v>2475562000</v>
      </c>
      <c r="I1428" s="50">
        <f>2337537968.42151+100595789.70411</f>
        <v>2438133758.1256204</v>
      </c>
      <c r="L1428" s="44">
        <f t="shared" si="117"/>
        <v>2903571074.5173688</v>
      </c>
      <c r="M1428" s="45">
        <f t="shared" si="118"/>
        <v>-37428241.874379635</v>
      </c>
    </row>
    <row r="1429" spans="1:14" ht="12.65" customHeight="1">
      <c r="A1429" s="33">
        <f t="shared" si="115"/>
        <v>45069</v>
      </c>
      <c r="B1429" s="46">
        <f t="shared" si="129"/>
        <v>16529678286.211901</v>
      </c>
      <c r="C1429" s="56">
        <f>880631767.06421+18902285241.3425</f>
        <v>19782917008.406708</v>
      </c>
      <c r="F1429" s="45">
        <f t="shared" si="116"/>
        <v>3253238722.1948071</v>
      </c>
      <c r="H1429" s="46">
        <f t="shared" si="130"/>
        <v>2475562000</v>
      </c>
      <c r="I1429" s="50">
        <f>89007060.62722+2338284221.43796</f>
        <v>2427291282.0651803</v>
      </c>
      <c r="L1429" s="44">
        <f t="shared" si="117"/>
        <v>3204968004.2599874</v>
      </c>
      <c r="M1429" s="45">
        <f t="shared" si="118"/>
        <v>-48270717.934819698</v>
      </c>
    </row>
    <row r="1430" spans="1:14" ht="12.65" customHeight="1">
      <c r="A1430" s="33">
        <f t="shared" si="115"/>
        <v>45070</v>
      </c>
      <c r="B1430" s="46">
        <f t="shared" si="129"/>
        <v>16529678286.211901</v>
      </c>
      <c r="C1430" s="56">
        <f>16249708800.6925+996143305.84218</f>
        <v>17245852106.534679</v>
      </c>
      <c r="F1430" s="45">
        <f t="shared" si="116"/>
        <v>716173820.3227787</v>
      </c>
      <c r="H1430" s="46">
        <f t="shared" si="130"/>
        <v>2475562000</v>
      </c>
      <c r="I1430" s="50">
        <f>2272313981.1915+113105408.04492</f>
        <v>2385419389.2364202</v>
      </c>
      <c r="L1430" s="44">
        <f t="shared" si="117"/>
        <v>626031209.55919886</v>
      </c>
      <c r="M1430" s="45">
        <f t="shared" si="118"/>
        <v>-90142610.763579845</v>
      </c>
    </row>
    <row r="1431" spans="1:14" ht="12.65" customHeight="1">
      <c r="A1431" s="33">
        <f t="shared" si="115"/>
        <v>45071</v>
      </c>
      <c r="B1431" s="46">
        <f t="shared" si="129"/>
        <v>16529678286.211901</v>
      </c>
      <c r="C1431" s="56">
        <f>1366577653.69972+19124069840.6163</f>
        <v>20490647494.316017</v>
      </c>
      <c r="F1431" s="45">
        <f t="shared" si="116"/>
        <v>3960969208.1041164</v>
      </c>
      <c r="H1431" s="46">
        <f t="shared" si="130"/>
        <v>2475562000</v>
      </c>
      <c r="I1431" s="50">
        <f>98157222.53362+2247569395.18459</f>
        <v>2345726617.7182097</v>
      </c>
      <c r="L1431" s="44">
        <f t="shared" si="117"/>
        <v>3831133825.8223262</v>
      </c>
      <c r="M1431" s="45">
        <f t="shared" si="118"/>
        <v>-129835382.28179026</v>
      </c>
    </row>
    <row r="1432" spans="1:14" ht="12.65" customHeight="1">
      <c r="A1432" s="33">
        <f t="shared" si="115"/>
        <v>45072</v>
      </c>
      <c r="B1432" s="46">
        <f t="shared" si="129"/>
        <v>16529678286.211901</v>
      </c>
      <c r="C1432" s="56">
        <f>16786306349.2586+1055225507.5246</f>
        <v>17841531856.783199</v>
      </c>
      <c r="F1432" s="45">
        <f t="shared" si="116"/>
        <v>1311853570.5712986</v>
      </c>
      <c r="H1432" s="46">
        <f t="shared" si="130"/>
        <v>2475562000</v>
      </c>
      <c r="I1432" s="50">
        <f>2227312399.02392+104241018.25616</f>
        <v>2331553417.2800798</v>
      </c>
      <c r="L1432" s="44">
        <f t="shared" si="117"/>
        <v>1167844987.8513784</v>
      </c>
      <c r="M1432" s="45">
        <f t="shared" si="118"/>
        <v>-144008582.71992016</v>
      </c>
    </row>
    <row r="1433" spans="1:14" ht="12.65" customHeight="1">
      <c r="A1433" s="33">
        <f t="shared" si="115"/>
        <v>45075</v>
      </c>
      <c r="B1433" s="46">
        <f t="shared" si="129"/>
        <v>16529678286.211901</v>
      </c>
      <c r="C1433" s="56">
        <f>17730332567.0733+1089502297.40184</f>
        <v>18819834864.47514</v>
      </c>
      <c r="F1433" s="45">
        <f t="shared" si="116"/>
        <v>2290156578.2632389</v>
      </c>
      <c r="H1433" s="46">
        <f t="shared" si="130"/>
        <v>2475562000</v>
      </c>
      <c r="I1433" s="50">
        <f>2166726131.43058+92460304.82187</f>
        <v>2259186436.25245</v>
      </c>
      <c r="L1433" s="44">
        <f t="shared" si="117"/>
        <v>2073781014.5156889</v>
      </c>
      <c r="M1433" s="45">
        <f t="shared" si="118"/>
        <v>-216375563.74755001</v>
      </c>
    </row>
    <row r="1434" spans="1:14" ht="12.65" customHeight="1">
      <c r="A1434" s="33">
        <f t="shared" si="115"/>
        <v>45076</v>
      </c>
      <c r="B1434" s="46">
        <f t="shared" si="129"/>
        <v>16529678286.211901</v>
      </c>
      <c r="C1434" s="56">
        <f>14250315330.5511+811628194.23873</f>
        <v>15061943524.789829</v>
      </c>
      <c r="F1434" s="45">
        <f t="shared" si="116"/>
        <v>-1467734761.4220715</v>
      </c>
      <c r="H1434" s="46">
        <f t="shared" si="130"/>
        <v>2475562000</v>
      </c>
      <c r="I1434" s="50">
        <f>2133183230.93523+135036886.5047</f>
        <v>2268220117.43993</v>
      </c>
      <c r="L1434" s="44">
        <f t="shared" si="117"/>
        <v>-1675076643.9821415</v>
      </c>
      <c r="M1434" s="45">
        <f t="shared" si="118"/>
        <v>-207341882.56007004</v>
      </c>
    </row>
    <row r="1435" spans="1:14" ht="12.65" customHeight="1">
      <c r="A1435" s="33">
        <f t="shared" si="115"/>
        <v>45077</v>
      </c>
      <c r="B1435" s="46">
        <f>16529678286.2119</f>
        <v>16529678286.211901</v>
      </c>
      <c r="C1435" s="56">
        <f>5776510286.73695+1197079151.83266</f>
        <v>6973589438.5696096</v>
      </c>
      <c r="F1435" s="45">
        <f t="shared" si="116"/>
        <v>-9556088847.642292</v>
      </c>
      <c r="H1435" s="46">
        <f t="shared" si="130"/>
        <v>2475562000</v>
      </c>
      <c r="I1435" s="50">
        <f>2138405702.48725+160940768.09396</f>
        <v>2299346470.5812101</v>
      </c>
      <c r="L1435" s="44">
        <f t="shared" si="117"/>
        <v>-9732304377.0610809</v>
      </c>
      <c r="M1435" s="45">
        <f t="shared" si="118"/>
        <v>-176215529.41878986</v>
      </c>
    </row>
    <row r="1436" spans="1:14" s="1380" customFormat="1" ht="12.65" customHeight="1">
      <c r="A1436" s="1377">
        <f>WORKDAY(A1435,2)</f>
        <v>45079</v>
      </c>
      <c r="B1436" s="1378">
        <f t="shared" ref="B1436:B1445" si="131">16542111079.8625</f>
        <v>16542111079.862499</v>
      </c>
      <c r="C1436" s="1379">
        <f>5776510286.73695+1197079151.83266</f>
        <v>6973589438.5696096</v>
      </c>
      <c r="F1436" s="1381">
        <f t="shared" si="116"/>
        <v>-9568521641.2928886</v>
      </c>
      <c r="G1436" s="1382"/>
      <c r="H1436" s="1378">
        <f t="shared" ref="H1436:H1445" si="132">2589607000</f>
        <v>2589607000</v>
      </c>
      <c r="I1436" s="1383">
        <f>2138405702.48725+160940768.09396</f>
        <v>2299346470.5812101</v>
      </c>
      <c r="L1436" s="1384">
        <f t="shared" si="117"/>
        <v>-9858782170.7116776</v>
      </c>
      <c r="M1436" s="1381">
        <f t="shared" si="118"/>
        <v>-290260529.41878986</v>
      </c>
      <c r="N1436" s="1538" t="s">
        <v>240</v>
      </c>
    </row>
    <row r="1437" spans="1:14" ht="12.65" customHeight="1">
      <c r="A1437" s="33">
        <f t="shared" si="115"/>
        <v>45082</v>
      </c>
      <c r="B1437" s="46">
        <f t="shared" si="131"/>
        <v>16542111079.862499</v>
      </c>
      <c r="C1437" s="56">
        <f>1123033831.3698+14291498307.3644</f>
        <v>15414532138.734201</v>
      </c>
      <c r="F1437" s="45">
        <f t="shared" si="116"/>
        <v>-1127578941.1282978</v>
      </c>
      <c r="H1437" s="46">
        <f t="shared" si="132"/>
        <v>2589607000</v>
      </c>
      <c r="I1437" s="50">
        <f>127234281.11489+2274280193.83547</f>
        <v>2401514474.9503603</v>
      </c>
      <c r="L1437" s="44">
        <f t="shared" si="117"/>
        <v>-1315671466.1779375</v>
      </c>
      <c r="M1437" s="45">
        <f t="shared" si="118"/>
        <v>-188092525.0496397</v>
      </c>
    </row>
    <row r="1438" spans="1:14" ht="12.65" customHeight="1">
      <c r="A1438" s="33">
        <f t="shared" si="115"/>
        <v>45083</v>
      </c>
      <c r="B1438" s="46">
        <f t="shared" si="131"/>
        <v>16542111079.862499</v>
      </c>
      <c r="C1438" s="56">
        <f>945737159.62432+16446941748.2152</f>
        <v>17392678907.83952</v>
      </c>
      <c r="F1438" s="45">
        <f t="shared" si="116"/>
        <v>850567827.97702026</v>
      </c>
      <c r="H1438" s="46">
        <f t="shared" si="132"/>
        <v>2589607000</v>
      </c>
      <c r="I1438" s="50">
        <f>114787690.3211+2637363355.97104</f>
        <v>2752151046.29214</v>
      </c>
      <c r="L1438" s="44">
        <f t="shared" si="117"/>
        <v>1013111874.2691603</v>
      </c>
      <c r="M1438" s="45">
        <f t="shared" si="118"/>
        <v>162544046.29214001</v>
      </c>
    </row>
    <row r="1439" spans="1:14" ht="12.65" customHeight="1">
      <c r="A1439" s="33">
        <f t="shared" si="115"/>
        <v>45084</v>
      </c>
      <c r="B1439" s="46">
        <f t="shared" si="131"/>
        <v>16542111079.862499</v>
      </c>
      <c r="C1439" s="56">
        <f>1331087091.3629+18631456332.7764</f>
        <v>19962543424.139301</v>
      </c>
      <c r="F1439" s="45">
        <f t="shared" si="116"/>
        <v>3420432344.2768021</v>
      </c>
      <c r="H1439" s="46">
        <f t="shared" si="132"/>
        <v>2589607000</v>
      </c>
      <c r="I1439" s="50">
        <f>104638140.42307+2593884410.37587</f>
        <v>2698522550.7989402</v>
      </c>
      <c r="L1439" s="44">
        <f t="shared" si="117"/>
        <v>3529347895.0757422</v>
      </c>
      <c r="M1439" s="45">
        <f t="shared" si="118"/>
        <v>108915550.79894018</v>
      </c>
    </row>
    <row r="1440" spans="1:14" ht="12.65" customHeight="1">
      <c r="A1440" s="33">
        <f t="shared" si="115"/>
        <v>45085</v>
      </c>
      <c r="B1440" s="46">
        <f t="shared" si="131"/>
        <v>16542111079.862499</v>
      </c>
      <c r="C1440" s="56">
        <f>15687055089.5463+1081803909.5121</f>
        <v>16768858999.058401</v>
      </c>
      <c r="F1440" s="45">
        <f t="shared" si="116"/>
        <v>226747919.19590187</v>
      </c>
      <c r="H1440" s="46">
        <f t="shared" si="132"/>
        <v>2589607000</v>
      </c>
      <c r="I1440" s="50">
        <f>2615130210.3596+87621537.27118</f>
        <v>2702751747.6307802</v>
      </c>
      <c r="L1440" s="44">
        <f t="shared" si="117"/>
        <v>339892666.82668209</v>
      </c>
      <c r="M1440" s="45">
        <f t="shared" si="118"/>
        <v>113144747.63078022</v>
      </c>
    </row>
    <row r="1441" spans="1:13" ht="12.65" customHeight="1">
      <c r="A1441" s="33">
        <f>WORKDAY(A1440,1)</f>
        <v>45086</v>
      </c>
      <c r="B1441" s="46">
        <f t="shared" si="131"/>
        <v>16542111079.862499</v>
      </c>
      <c r="C1441" s="56">
        <f>11285985262.4797+994980316.6892</f>
        <v>12280965579.1689</v>
      </c>
      <c r="F1441" s="45">
        <f t="shared" si="116"/>
        <v>-4261145500.6935997</v>
      </c>
      <c r="H1441" s="46">
        <f t="shared" si="132"/>
        <v>2589607000</v>
      </c>
      <c r="I1441" s="50">
        <f>2400755408.90189+120722538.36487</f>
        <v>2521477947.2667599</v>
      </c>
      <c r="L1441" s="44">
        <f t="shared" si="117"/>
        <v>-4329274553.4268398</v>
      </c>
      <c r="M1441" s="45">
        <f t="shared" si="118"/>
        <v>-68129052.733240128</v>
      </c>
    </row>
    <row r="1442" spans="1:13" ht="12.65" customHeight="1">
      <c r="A1442" s="33">
        <f t="shared" si="115"/>
        <v>45089</v>
      </c>
      <c r="B1442" s="46">
        <f t="shared" si="131"/>
        <v>16542111079.862499</v>
      </c>
      <c r="C1442" s="56">
        <f>14424916754.6+1095740737.2164</f>
        <v>15520657491.816401</v>
      </c>
      <c r="F1442" s="45">
        <f t="shared" si="116"/>
        <v>-1021453588.0460987</v>
      </c>
      <c r="H1442" s="46">
        <f t="shared" si="132"/>
        <v>2589607000</v>
      </c>
      <c r="I1442" s="50">
        <f>2016946713.93262+106733733.11818</f>
        <v>2123680447.0508001</v>
      </c>
      <c r="L1442" s="44">
        <f t="shared" si="117"/>
        <v>-1487380140.9952986</v>
      </c>
      <c r="M1442" s="45">
        <f t="shared" si="118"/>
        <v>-465926552.94919991</v>
      </c>
    </row>
    <row r="1443" spans="1:13" ht="12.65" customHeight="1">
      <c r="A1443" s="33">
        <f t="shared" si="115"/>
        <v>45090</v>
      </c>
      <c r="B1443" s="46">
        <f t="shared" si="131"/>
        <v>16542111079.862499</v>
      </c>
      <c r="C1443" s="56">
        <f>15575885928.653+1038596179.28073</f>
        <v>16614482107.933729</v>
      </c>
      <c r="F1443" s="45">
        <f t="shared" si="116"/>
        <v>72371028.071229935</v>
      </c>
      <c r="H1443" s="46">
        <f t="shared" si="132"/>
        <v>2589607000</v>
      </c>
      <c r="I1443" s="50">
        <f>2787392105.47176+89885074.62893</f>
        <v>2877277180.1006899</v>
      </c>
      <c r="L1443" s="44">
        <f t="shared" si="117"/>
        <v>360041208.17191982</v>
      </c>
      <c r="M1443" s="45">
        <f t="shared" si="118"/>
        <v>287670180.10068989</v>
      </c>
    </row>
    <row r="1444" spans="1:13" ht="12.65" customHeight="1">
      <c r="A1444" s="33">
        <f t="shared" si="115"/>
        <v>45091</v>
      </c>
      <c r="B1444" s="46">
        <f t="shared" si="131"/>
        <v>16542111079.862499</v>
      </c>
      <c r="C1444" s="56">
        <f>929693215.72924+20252314839.0678</f>
        <v>21182008054.797039</v>
      </c>
      <c r="F1444" s="45">
        <f t="shared" si="116"/>
        <v>4639896974.9345398</v>
      </c>
      <c r="H1444" s="46">
        <f t="shared" si="132"/>
        <v>2589607000</v>
      </c>
      <c r="I1444" s="50">
        <f>98003271.64808+2806797987.02682</f>
        <v>2904801258.6749001</v>
      </c>
      <c r="L1444" s="44">
        <f t="shared" si="117"/>
        <v>4955091233.6094398</v>
      </c>
      <c r="M1444" s="45">
        <f t="shared" si="118"/>
        <v>315194258.67490005</v>
      </c>
    </row>
    <row r="1445" spans="1:13" ht="12.65" customHeight="1">
      <c r="A1445" s="33">
        <f t="shared" si="115"/>
        <v>45092</v>
      </c>
      <c r="B1445" s="46">
        <f t="shared" si="131"/>
        <v>16542111079.862499</v>
      </c>
      <c r="C1445" s="56">
        <f>14005928340.4075+1303857458.90911</f>
        <v>15309785799.316608</v>
      </c>
      <c r="F1445" s="45">
        <f t="shared" si="116"/>
        <v>-1232325280.5458908</v>
      </c>
      <c r="H1445" s="46">
        <f t="shared" si="132"/>
        <v>2589607000</v>
      </c>
      <c r="I1445" s="50">
        <f>2542070618.26891+90525135.09001</f>
        <v>2632595753.3589201</v>
      </c>
      <c r="L1445" s="44">
        <f t="shared" si="117"/>
        <v>-1189336527.1869707</v>
      </c>
      <c r="M1445" s="45">
        <f t="shared" si="118"/>
        <v>42988753.358920097</v>
      </c>
    </row>
    <row r="1446" spans="1:13" ht="12.65" customHeight="1">
      <c r="A1446" s="33">
        <f t="shared" si="115"/>
        <v>45093</v>
      </c>
      <c r="B1446" s="46">
        <f>15406461498.3456</f>
        <v>15406461498.3456</v>
      </c>
      <c r="C1446" s="56">
        <f>16784537614.508+1074141767.35002</f>
        <v>17858679381.858021</v>
      </c>
      <c r="F1446" s="45">
        <f t="shared" si="116"/>
        <v>2452217883.5124207</v>
      </c>
      <c r="H1446" s="46">
        <f>2738239000</f>
        <v>2738239000</v>
      </c>
      <c r="I1446" s="50">
        <f>2766459128.26848+115774720.73576</f>
        <v>2882233849.00424</v>
      </c>
      <c r="L1446" s="44">
        <f t="shared" si="117"/>
        <v>2596212732.5166607</v>
      </c>
      <c r="M1446" s="45">
        <f t="shared" si="118"/>
        <v>143994849.00424004</v>
      </c>
    </row>
    <row r="1447" spans="1:13" ht="12.65" customHeight="1">
      <c r="A1447" s="33">
        <f t="shared" si="115"/>
        <v>45096</v>
      </c>
      <c r="B1447" s="46">
        <f t="shared" ref="B1447:B1457" si="133">15406461498.3456</f>
        <v>15406461498.3456</v>
      </c>
      <c r="C1447" s="56">
        <f>16585987944.558+1106772776.71337</f>
        <v>17692760721.27137</v>
      </c>
      <c r="F1447" s="45">
        <f t="shared" si="116"/>
        <v>2286299222.9257698</v>
      </c>
      <c r="H1447" s="46">
        <f t="shared" ref="H1447:H1457" si="134">2738239000</f>
        <v>2738239000</v>
      </c>
      <c r="I1447" s="50">
        <f>3112586804.21656+108105346.67766</f>
        <v>3220692150.8942199</v>
      </c>
      <c r="L1447" s="44">
        <f t="shared" si="117"/>
        <v>2768752373.8199897</v>
      </c>
      <c r="M1447" s="45">
        <f t="shared" si="118"/>
        <v>482453150.89421988</v>
      </c>
    </row>
    <row r="1448" spans="1:13" ht="12.65" customHeight="1">
      <c r="A1448" s="33">
        <f t="shared" si="115"/>
        <v>45097</v>
      </c>
      <c r="B1448" s="46">
        <f t="shared" si="133"/>
        <v>15406461498.3456</v>
      </c>
      <c r="C1448" s="56">
        <f>12669295429.2061+1021492402.55866</f>
        <v>13690787831.764761</v>
      </c>
      <c r="F1448" s="45">
        <f>C1448-B1448</f>
        <v>-1715673666.5808392</v>
      </c>
      <c r="H1448" s="46">
        <f t="shared" si="134"/>
        <v>2738239000</v>
      </c>
      <c r="I1448" s="50">
        <f>2815544490.84877+107256746.64963</f>
        <v>2922801237.4984002</v>
      </c>
      <c r="L1448" s="44">
        <f t="shared" si="117"/>
        <v>-1531111429.0824389</v>
      </c>
      <c r="M1448" s="45">
        <f>I1448-H1448</f>
        <v>184562237.49840021</v>
      </c>
    </row>
    <row r="1449" spans="1:13" ht="12.65" customHeight="1">
      <c r="A1449" s="33">
        <f t="shared" si="115"/>
        <v>45098</v>
      </c>
      <c r="B1449" s="46">
        <f t="shared" si="133"/>
        <v>15406461498.3456</v>
      </c>
      <c r="C1449" s="56">
        <f>11186391013.8989+1057222933.24038</f>
        <v>12243613947.139278</v>
      </c>
      <c r="F1449" s="45">
        <f t="shared" si="116"/>
        <v>-3162847551.2063217</v>
      </c>
      <c r="H1449" s="46">
        <f t="shared" si="134"/>
        <v>2738239000</v>
      </c>
      <c r="I1449" s="50">
        <f>2702625835.90226+107068458.26276</f>
        <v>2809694294.16502</v>
      </c>
      <c r="L1449" s="44">
        <f t="shared" si="117"/>
        <v>-3091392257.0413017</v>
      </c>
      <c r="M1449" s="45">
        <f t="shared" si="118"/>
        <v>71455294.165019989</v>
      </c>
    </row>
    <row r="1450" spans="1:13" ht="12.65" customHeight="1">
      <c r="A1450" s="33">
        <f t="shared" si="115"/>
        <v>45099</v>
      </c>
      <c r="B1450" s="46">
        <f t="shared" si="133"/>
        <v>15406461498.3456</v>
      </c>
      <c r="C1450" s="56">
        <f>16252175718.0711+1307850288.63021</f>
        <v>17560026006.701309</v>
      </c>
      <c r="F1450" s="45">
        <f t="shared" si="116"/>
        <v>2153564508.3557091</v>
      </c>
      <c r="H1450" s="46">
        <f t="shared" si="134"/>
        <v>2738239000</v>
      </c>
      <c r="I1450" s="50">
        <f>2639979423.01113+99295215.94888</f>
        <v>2739274638.9600101</v>
      </c>
      <c r="L1450" s="44">
        <f t="shared" si="117"/>
        <v>2154600147.3157191</v>
      </c>
      <c r="M1450" s="45">
        <f t="shared" si="118"/>
        <v>1035638.9600100517</v>
      </c>
    </row>
    <row r="1451" spans="1:13" ht="12.65" customHeight="1">
      <c r="A1451" s="33">
        <f t="shared" si="115"/>
        <v>45100</v>
      </c>
      <c r="B1451" s="46">
        <f t="shared" si="133"/>
        <v>15406461498.3456</v>
      </c>
      <c r="C1451" s="56">
        <f>15995510242.0986+1137011030.44902</f>
        <v>17132521272.547621</v>
      </c>
      <c r="F1451" s="45">
        <f t="shared" si="116"/>
        <v>1726059774.2020206</v>
      </c>
      <c r="H1451" s="46">
        <f t="shared" si="134"/>
        <v>2738239000</v>
      </c>
      <c r="I1451" s="50">
        <f>2602771358.76761+121446653.22774</f>
        <v>2724218011.9953499</v>
      </c>
      <c r="L1451" s="44">
        <f t="shared" si="117"/>
        <v>1712038786.1973705</v>
      </c>
      <c r="M1451" s="45">
        <f t="shared" si="118"/>
        <v>-14020988.004650116</v>
      </c>
    </row>
    <row r="1452" spans="1:13" ht="12.65" customHeight="1">
      <c r="A1452" s="33">
        <f t="shared" si="115"/>
        <v>45103</v>
      </c>
      <c r="B1452" s="46">
        <f t="shared" si="133"/>
        <v>15406461498.3456</v>
      </c>
      <c r="C1452" s="56">
        <f>18205352199.2145+1103648424.62184</f>
        <v>19309000623.836342</v>
      </c>
      <c r="F1452" s="45">
        <f t="shared" si="116"/>
        <v>3902539125.4907417</v>
      </c>
      <c r="H1452" s="46">
        <f t="shared" si="134"/>
        <v>2738239000</v>
      </c>
      <c r="I1452" s="50">
        <f>2449066701.97116+94422019.14073</f>
        <v>2543488721.1118898</v>
      </c>
      <c r="L1452" s="44">
        <f t="shared" si="117"/>
        <v>3707788846.6026316</v>
      </c>
      <c r="M1452" s="45">
        <f t="shared" si="118"/>
        <v>-194750278.88811016</v>
      </c>
    </row>
    <row r="1453" spans="1:13" ht="12.65" customHeight="1">
      <c r="A1453" s="33">
        <f t="shared" si="115"/>
        <v>45104</v>
      </c>
      <c r="B1453" s="46">
        <f t="shared" si="133"/>
        <v>15406461498.3456</v>
      </c>
      <c r="C1453" s="56">
        <f>9148095078.35711+2213893773.29279</f>
        <v>11361988851.649899</v>
      </c>
      <c r="F1453" s="45">
        <f t="shared" si="116"/>
        <v>-4044472646.6957016</v>
      </c>
      <c r="H1453" s="46">
        <f t="shared" si="134"/>
        <v>2738239000</v>
      </c>
      <c r="I1453" s="50">
        <f>2025589096.47446+340985929.01729</f>
        <v>2366575025.4917498</v>
      </c>
      <c r="L1453" s="44">
        <f t="shared" si="117"/>
        <v>-4416136621.2039518</v>
      </c>
      <c r="M1453" s="45">
        <f t="shared" si="118"/>
        <v>-371663974.50825024</v>
      </c>
    </row>
    <row r="1454" spans="1:13" ht="12.65" customHeight="1">
      <c r="A1454" s="1377">
        <f>WORKDAY(A1453,3)</f>
        <v>45107</v>
      </c>
      <c r="B1454" s="1378">
        <f t="shared" si="133"/>
        <v>15406461498.3456</v>
      </c>
      <c r="C1454" s="1379">
        <f>9148095078.35711+2213893773.29279</f>
        <v>11361988851.649899</v>
      </c>
      <c r="D1454" s="1380"/>
      <c r="E1454" s="1380"/>
      <c r="F1454" s="1381">
        <f t="shared" ref="F1454" si="135">C1454-B1454</f>
        <v>-4044472646.6957016</v>
      </c>
      <c r="G1454" s="1382"/>
      <c r="H1454" s="1378">
        <f t="shared" si="134"/>
        <v>2738239000</v>
      </c>
      <c r="I1454" s="1383">
        <f>2025589096.47446+340985929.01729</f>
        <v>2366575025.4917498</v>
      </c>
      <c r="J1454" s="1380"/>
      <c r="K1454" s="1380"/>
      <c r="L1454" s="1384">
        <f t="shared" ref="L1454" si="136">F1454+M1454</f>
        <v>-4416136621.2039518</v>
      </c>
      <c r="M1454" s="1381">
        <f t="shared" ref="M1454" si="137">I1454-H1454</f>
        <v>-371663974.50825024</v>
      </c>
    </row>
    <row r="1455" spans="1:13" ht="12.65" customHeight="1">
      <c r="A1455" s="33">
        <f>WORKDAY(A1454,1)</f>
        <v>45110</v>
      </c>
      <c r="B1455" s="46">
        <f t="shared" si="133"/>
        <v>15406461498.3456</v>
      </c>
      <c r="C1455" s="56">
        <f>12936965692.9144+979922471.18463</f>
        <v>13916888164.09903</v>
      </c>
      <c r="F1455" s="45">
        <f t="shared" si="116"/>
        <v>-1489573334.2465706</v>
      </c>
      <c r="H1455" s="46">
        <f t="shared" si="134"/>
        <v>2738239000</v>
      </c>
      <c r="I1455" s="50">
        <f>2392146885.2945+133336947.15792</f>
        <v>2525483832.4524198</v>
      </c>
      <c r="L1455" s="44">
        <f t="shared" si="117"/>
        <v>-1702328501.7941508</v>
      </c>
      <c r="M1455" s="45">
        <f t="shared" si="118"/>
        <v>-212755167.54758024</v>
      </c>
    </row>
    <row r="1456" spans="1:13" ht="12.65" customHeight="1">
      <c r="A1456" s="33">
        <f t="shared" si="115"/>
        <v>45111</v>
      </c>
      <c r="B1456" s="46">
        <f t="shared" si="133"/>
        <v>15406461498.3456</v>
      </c>
      <c r="C1456" s="56">
        <f>13713854604.7536+1348417217.41355</f>
        <v>15062271822.167149</v>
      </c>
      <c r="F1456" s="45">
        <f t="shared" si="116"/>
        <v>-344189676.17845154</v>
      </c>
      <c r="H1456" s="46">
        <f t="shared" si="134"/>
        <v>2738239000</v>
      </c>
      <c r="I1456" s="50">
        <f>2470132523.91841+94430973.33806</f>
        <v>2564563497.2564697</v>
      </c>
      <c r="L1456" s="44">
        <f t="shared" si="117"/>
        <v>-517865178.92198181</v>
      </c>
      <c r="M1456" s="45">
        <f t="shared" si="118"/>
        <v>-173675502.74353027</v>
      </c>
    </row>
    <row r="1457" spans="1:14" ht="12.65" customHeight="1">
      <c r="A1457" s="33">
        <f t="shared" si="115"/>
        <v>45112</v>
      </c>
      <c r="B1457" s="46">
        <f t="shared" si="133"/>
        <v>15406461498.3456</v>
      </c>
      <c r="C1457" s="56">
        <f>16734648421.0242+1113975947.4736</f>
        <v>17848624368.497799</v>
      </c>
      <c r="F1457" s="45">
        <f t="shared" si="116"/>
        <v>2442162870.1521988</v>
      </c>
      <c r="H1457" s="46">
        <f t="shared" si="134"/>
        <v>2738239000</v>
      </c>
      <c r="I1457" s="50">
        <f>2444637434.95939+121402038.45528</f>
        <v>2566039473.41467</v>
      </c>
      <c r="L1457" s="44">
        <f t="shared" si="117"/>
        <v>2269963343.5668688</v>
      </c>
      <c r="M1457" s="45">
        <f t="shared" si="118"/>
        <v>-172199526.58533001</v>
      </c>
    </row>
    <row r="1458" spans="1:14" ht="12.65" customHeight="1">
      <c r="A1458" s="33">
        <f t="shared" si="115"/>
        <v>45113</v>
      </c>
      <c r="B1458" s="46">
        <f>15445168606.3712</f>
        <v>15445168606.371201</v>
      </c>
      <c r="C1458" s="56">
        <f>982029693.16711+15809419756.8884</f>
        <v>16791449450.05551</v>
      </c>
      <c r="F1458" s="45">
        <f t="shared" si="116"/>
        <v>1346280843.684309</v>
      </c>
      <c r="H1458" s="46">
        <f>2614127000</f>
        <v>2614127000</v>
      </c>
      <c r="I1458" s="50">
        <f>132270016.31416+2728341619.87019</f>
        <v>2860611636.18435</v>
      </c>
      <c r="L1458" s="44">
        <f t="shared" si="117"/>
        <v>1592765479.868659</v>
      </c>
      <c r="M1458" s="45">
        <f t="shared" si="118"/>
        <v>246484636.18435001</v>
      </c>
    </row>
    <row r="1459" spans="1:14" ht="12.65" customHeight="1">
      <c r="A1459" s="33">
        <f t="shared" ref="A1459:A1523" si="138">WORKDAY(A1458,1)</f>
        <v>45114</v>
      </c>
      <c r="B1459" s="46">
        <f t="shared" ref="B1459:B1464" si="139">15445168606.3712</f>
        <v>15445168606.371201</v>
      </c>
      <c r="C1459" s="56">
        <f>14918730512.8273+1257165659.49032</f>
        <v>16175896172.317619</v>
      </c>
      <c r="F1459" s="45">
        <f t="shared" si="116"/>
        <v>730727565.94641876</v>
      </c>
      <c r="H1459" s="46">
        <f t="shared" ref="H1459:H1464" si="140">2614127000</f>
        <v>2614127000</v>
      </c>
      <c r="I1459" s="50">
        <f>2428538405.57533+191643349.10941</f>
        <v>2620181754.6847396</v>
      </c>
      <c r="L1459" s="44">
        <f t="shared" si="117"/>
        <v>736782320.63115835</v>
      </c>
      <c r="M1459" s="45">
        <f t="shared" si="118"/>
        <v>6054754.6847395897</v>
      </c>
    </row>
    <row r="1460" spans="1:14" ht="12.65" customHeight="1">
      <c r="A1460" s="33">
        <f t="shared" si="138"/>
        <v>45117</v>
      </c>
      <c r="B1460" s="46">
        <f t="shared" si="139"/>
        <v>15445168606.371201</v>
      </c>
      <c r="C1460" s="56">
        <f>1147422016.53354+13701316825.3394</f>
        <v>14848738841.87294</v>
      </c>
      <c r="F1460" s="45">
        <f t="shared" si="116"/>
        <v>-596429764.4982605</v>
      </c>
      <c r="H1460" s="46">
        <f t="shared" si="140"/>
        <v>2614127000</v>
      </c>
      <c r="I1460" s="50">
        <f>135746679.79574+2476599224.77827</f>
        <v>2612345904.5740099</v>
      </c>
      <c r="L1460" s="44">
        <f t="shared" si="117"/>
        <v>-598210859.9242506</v>
      </c>
      <c r="M1460" s="45">
        <f t="shared" si="118"/>
        <v>-1781095.4259901047</v>
      </c>
    </row>
    <row r="1461" spans="1:14" ht="12.65" customHeight="1">
      <c r="A1461" s="33">
        <f t="shared" si="138"/>
        <v>45118</v>
      </c>
      <c r="B1461" s="46">
        <f t="shared" si="139"/>
        <v>15445168606.371201</v>
      </c>
      <c r="C1461" s="56">
        <f>13194318629.9137+968580651.33232</f>
        <v>14162899281.246019</v>
      </c>
      <c r="F1461" s="45">
        <f t="shared" si="116"/>
        <v>-1282269325.1251812</v>
      </c>
      <c r="H1461" s="46">
        <f t="shared" si="140"/>
        <v>2614127000</v>
      </c>
      <c r="I1461" s="50">
        <f>2545922372.07465+133754464.99462</f>
        <v>2679676837.0692697</v>
      </c>
      <c r="L1461" s="44">
        <f t="shared" si="117"/>
        <v>-1216719488.0559115</v>
      </c>
      <c r="M1461" s="45">
        <f t="shared" si="118"/>
        <v>65549837.069269657</v>
      </c>
    </row>
    <row r="1462" spans="1:14" ht="12.65" customHeight="1">
      <c r="A1462" s="33">
        <f t="shared" si="138"/>
        <v>45119</v>
      </c>
      <c r="B1462" s="46">
        <f t="shared" si="139"/>
        <v>15445168606.371201</v>
      </c>
      <c r="C1462" s="56">
        <f>16109325205.3969+1230074495.40497</f>
        <v>17339399700.801868</v>
      </c>
      <c r="F1462" s="45">
        <f t="shared" si="116"/>
        <v>1894231094.4306679</v>
      </c>
      <c r="H1462" s="46">
        <f t="shared" si="140"/>
        <v>2614127000</v>
      </c>
      <c r="I1462" s="50">
        <f>2659928114.4761+127447491.46529</f>
        <v>2787375605.94139</v>
      </c>
      <c r="L1462" s="44">
        <f t="shared" si="117"/>
        <v>2067479700.3720579</v>
      </c>
      <c r="M1462" s="45">
        <f t="shared" si="118"/>
        <v>173248605.94139004</v>
      </c>
    </row>
    <row r="1463" spans="1:14" ht="12.65" customHeight="1">
      <c r="A1463" s="33">
        <f t="shared" si="138"/>
        <v>45120</v>
      </c>
      <c r="B1463" s="46">
        <f t="shared" si="139"/>
        <v>15445168606.371201</v>
      </c>
      <c r="C1463" s="56">
        <f>15125103439.6192+1071944883.24865</f>
        <v>16197048322.867849</v>
      </c>
      <c r="F1463" s="45">
        <f t="shared" ref="F1463:F1527" si="141">C1463-B1463</f>
        <v>751879716.49664879</v>
      </c>
      <c r="H1463" s="46">
        <f t="shared" si="140"/>
        <v>2614127000</v>
      </c>
      <c r="I1463" s="50">
        <f>2505498178.81958+137645461.84841</f>
        <v>2643143640.6679902</v>
      </c>
      <c r="L1463" s="44">
        <f t="shared" ref="L1463:L1527" si="142">F1463+M1463</f>
        <v>780896357.164639</v>
      </c>
      <c r="M1463" s="45">
        <f t="shared" ref="M1463:M1527" si="143">I1463-H1463</f>
        <v>29016640.667990208</v>
      </c>
    </row>
    <row r="1464" spans="1:14" ht="12.65" customHeight="1">
      <c r="A1464" s="33">
        <f t="shared" si="138"/>
        <v>45121</v>
      </c>
      <c r="B1464" s="46">
        <f t="shared" si="139"/>
        <v>15445168606.371201</v>
      </c>
      <c r="C1464" s="56">
        <f>13425818631.6423+1061935780.59483</f>
        <v>14487754412.237129</v>
      </c>
      <c r="F1464" s="45">
        <f t="shared" si="141"/>
        <v>-957414194.13407135</v>
      </c>
      <c r="H1464" s="46">
        <f t="shared" si="140"/>
        <v>2614127000</v>
      </c>
      <c r="I1464" s="50">
        <f>2338062383.61178+191992207.35531</f>
        <v>2530054590.9670901</v>
      </c>
      <c r="L1464" s="44">
        <f t="shared" si="142"/>
        <v>-1041486603.1669812</v>
      </c>
      <c r="M1464" s="45">
        <f t="shared" si="143"/>
        <v>-84072409.03290987</v>
      </c>
    </row>
    <row r="1465" spans="1:14" ht="12.65" customHeight="1">
      <c r="A1465" s="33">
        <f t="shared" si="138"/>
        <v>45124</v>
      </c>
      <c r="B1465" s="46">
        <f>15491907279.0964</f>
        <v>15491907279.096399</v>
      </c>
      <c r="C1465" s="56">
        <f>15392594085.7569+1097945594.44811</f>
        <v>16490539680.205011</v>
      </c>
      <c r="F1465" s="45">
        <f t="shared" si="141"/>
        <v>998632401.10861206</v>
      </c>
      <c r="H1465" s="46">
        <f>2474163194.437</f>
        <v>2474163194.4369998</v>
      </c>
      <c r="I1465" s="50">
        <f>2662991745.22575+125858631.70219</f>
        <v>2788850376.9279399</v>
      </c>
      <c r="L1465" s="44">
        <f t="shared" si="142"/>
        <v>1313319583.5995522</v>
      </c>
      <c r="M1465" s="45">
        <f t="shared" si="143"/>
        <v>314687182.49094009</v>
      </c>
    </row>
    <row r="1466" spans="1:14" ht="12.65" customHeight="1">
      <c r="A1466" s="33">
        <f t="shared" si="138"/>
        <v>45125</v>
      </c>
      <c r="B1466" s="46">
        <f t="shared" ref="B1466:B1475" si="144">15491907279.0964</f>
        <v>15491907279.096399</v>
      </c>
      <c r="C1466" s="56">
        <f>15809376214.6196+943059966.09889</f>
        <v>16752436180.718491</v>
      </c>
      <c r="F1466" s="45">
        <f t="shared" si="141"/>
        <v>1260528901.6220913</v>
      </c>
      <c r="H1466" s="46">
        <f t="shared" ref="H1466:H1475" si="145">2474163194.437</f>
        <v>2474163194.4369998</v>
      </c>
      <c r="I1466" s="50">
        <f>2313786018.31551+178719006.29143</f>
        <v>2492505024.6069398</v>
      </c>
      <c r="L1466" s="44">
        <f t="shared" si="142"/>
        <v>1278870731.7920313</v>
      </c>
      <c r="M1466" s="45">
        <f t="shared" si="143"/>
        <v>18341830.169939995</v>
      </c>
    </row>
    <row r="1467" spans="1:14" s="1380" customFormat="1" ht="12.65" customHeight="1">
      <c r="A1467" s="1377">
        <f t="shared" si="138"/>
        <v>45126</v>
      </c>
      <c r="B1467" s="1378">
        <f t="shared" si="144"/>
        <v>15491907279.096399</v>
      </c>
      <c r="C1467" s="1379">
        <f>15809376214.6196+1087388781.00205</f>
        <v>16896764995.621651</v>
      </c>
      <c r="F1467" s="1381">
        <f t="shared" si="141"/>
        <v>1404857716.5252514</v>
      </c>
      <c r="G1467" s="1382"/>
      <c r="H1467" s="1378">
        <f t="shared" si="145"/>
        <v>2474163194.4369998</v>
      </c>
      <c r="I1467" s="1383">
        <f>2313786018.31551+151679289.63443</f>
        <v>2465465307.9499397</v>
      </c>
      <c r="L1467" s="1384">
        <f t="shared" si="142"/>
        <v>1396159830.0381913</v>
      </c>
      <c r="M1467" s="1381">
        <f t="shared" si="143"/>
        <v>-8697886.48706007</v>
      </c>
      <c r="N1467" s="1538"/>
    </row>
    <row r="1468" spans="1:14" ht="12.65" customHeight="1">
      <c r="A1468" s="33">
        <f t="shared" si="138"/>
        <v>45127</v>
      </c>
      <c r="B1468" s="46">
        <f t="shared" si="144"/>
        <v>15491907279.096399</v>
      </c>
      <c r="C1468" s="56">
        <f>15205739417.5451+1064640478.36054</f>
        <v>16270379895.90564</v>
      </c>
      <c r="F1468" s="45">
        <f t="shared" si="141"/>
        <v>778472616.80924034</v>
      </c>
      <c r="H1468" s="46">
        <f t="shared" si="145"/>
        <v>2474163194.4369998</v>
      </c>
      <c r="I1468" s="50">
        <f>135844243.80501+2320853274.59134</f>
        <v>2456697518.3963499</v>
      </c>
      <c r="L1468" s="44">
        <f t="shared" si="142"/>
        <v>761006940.76859045</v>
      </c>
      <c r="M1468" s="45">
        <f t="shared" si="143"/>
        <v>-17465676.040649891</v>
      </c>
    </row>
    <row r="1469" spans="1:14" ht="12.65" customHeight="1">
      <c r="A1469" s="33">
        <f t="shared" si="138"/>
        <v>45128</v>
      </c>
      <c r="B1469" s="46">
        <f t="shared" si="144"/>
        <v>15491907279.096399</v>
      </c>
      <c r="C1469" s="56">
        <f>970277342.99306+11966664081.0357</f>
        <v>12936941424.028759</v>
      </c>
      <c r="F1469" s="45">
        <f t="shared" si="141"/>
        <v>-2554965855.0676403</v>
      </c>
      <c r="H1469" s="46">
        <f t="shared" si="145"/>
        <v>2474163194.4369998</v>
      </c>
      <c r="I1469" s="50">
        <f>339813156.89646+2460143868.19667</f>
        <v>2799957025.0931301</v>
      </c>
      <c r="L1469" s="44">
        <f t="shared" si="142"/>
        <v>-2229172024.41151</v>
      </c>
      <c r="M1469" s="45">
        <f t="shared" si="143"/>
        <v>325793830.65613031</v>
      </c>
    </row>
    <row r="1470" spans="1:14" ht="12.65" customHeight="1">
      <c r="A1470" s="33">
        <f t="shared" si="138"/>
        <v>45131</v>
      </c>
      <c r="B1470" s="46">
        <f t="shared" si="144"/>
        <v>15491907279.096399</v>
      </c>
      <c r="C1470" s="56">
        <f>14950391563.5254+1106061654.8017</f>
        <v>16056453218.327101</v>
      </c>
      <c r="F1470" s="45">
        <f t="shared" si="141"/>
        <v>564545939.23070145</v>
      </c>
      <c r="H1470" s="46">
        <f t="shared" si="145"/>
        <v>2474163194.4369998</v>
      </c>
      <c r="I1470" s="50">
        <f>2260362547.73429+240983187.01459</f>
        <v>2501345734.7488799</v>
      </c>
      <c r="L1470" s="44">
        <f t="shared" si="142"/>
        <v>591728479.54258156</v>
      </c>
      <c r="M1470" s="45">
        <f t="shared" si="143"/>
        <v>27182540.311880112</v>
      </c>
    </row>
    <row r="1471" spans="1:14" ht="12.65" customHeight="1">
      <c r="A1471" s="33">
        <f t="shared" si="138"/>
        <v>45132</v>
      </c>
      <c r="B1471" s="46">
        <f t="shared" si="144"/>
        <v>15491907279.096399</v>
      </c>
      <c r="C1471" s="56">
        <f>15973814163.6686+981853297.23163</f>
        <v>16955667460.90023</v>
      </c>
      <c r="F1471" s="45">
        <f t="shared" si="141"/>
        <v>1463760181.8038311</v>
      </c>
      <c r="H1471" s="46">
        <f t="shared" si="145"/>
        <v>2474163194.4369998</v>
      </c>
      <c r="I1471" s="50">
        <f>2362450365.69838+169620590.84468</f>
        <v>2532070956.5430598</v>
      </c>
      <c r="L1471" s="44">
        <f t="shared" si="142"/>
        <v>1521667943.9098911</v>
      </c>
      <c r="M1471" s="45">
        <f t="shared" si="143"/>
        <v>57907762.106060028</v>
      </c>
    </row>
    <row r="1472" spans="1:14" ht="12.65" customHeight="1">
      <c r="A1472" s="33">
        <f t="shared" si="138"/>
        <v>45133</v>
      </c>
      <c r="B1472" s="46">
        <f t="shared" si="144"/>
        <v>15491907279.096399</v>
      </c>
      <c r="C1472" s="56">
        <f>16017411034.125+910974716.92392</f>
        <v>16928385751.04892</v>
      </c>
      <c r="F1472" s="45">
        <f t="shared" si="141"/>
        <v>1436478471.9525204</v>
      </c>
      <c r="H1472" s="46">
        <f t="shared" si="145"/>
        <v>2474163194.4369998</v>
      </c>
      <c r="I1472" s="50">
        <f>2426231657.15674+139386922.25298</f>
        <v>2565618579.4097204</v>
      </c>
      <c r="L1472" s="44">
        <f t="shared" si="142"/>
        <v>1527933856.925241</v>
      </c>
      <c r="M1472" s="45">
        <f t="shared" si="143"/>
        <v>91455384.972720623</v>
      </c>
    </row>
    <row r="1473" spans="1:14" ht="12.65" customHeight="1">
      <c r="A1473" s="33">
        <f t="shared" si="138"/>
        <v>45134</v>
      </c>
      <c r="B1473" s="46">
        <f t="shared" si="144"/>
        <v>15491907279.096399</v>
      </c>
      <c r="C1473" s="56">
        <f>14947264940.2322+1166741340.03792</f>
        <v>16114006280.270121</v>
      </c>
      <c r="F1473" s="45">
        <f t="shared" si="141"/>
        <v>622099001.17372131</v>
      </c>
      <c r="H1473" s="46">
        <f t="shared" si="145"/>
        <v>2474163194.4369998</v>
      </c>
      <c r="I1473" s="50">
        <f>2246731370.75959+185122178.9996</f>
        <v>2431853549.7591901</v>
      </c>
      <c r="L1473" s="44">
        <f t="shared" si="142"/>
        <v>579789356.4959116</v>
      </c>
      <c r="M1473" s="45">
        <f t="shared" si="143"/>
        <v>-42309644.677809715</v>
      </c>
    </row>
    <row r="1474" spans="1:14" ht="12.65" customHeight="1">
      <c r="A1474" s="33">
        <f t="shared" si="138"/>
        <v>45135</v>
      </c>
      <c r="B1474" s="46">
        <f t="shared" si="144"/>
        <v>15491907279.096399</v>
      </c>
      <c r="C1474" s="56">
        <f>14366285687.9001+1201872354.00891</f>
        <v>15568158041.90901</v>
      </c>
      <c r="F1474" s="45">
        <f t="shared" si="141"/>
        <v>76250762.812610626</v>
      </c>
      <c r="H1474" s="46">
        <f t="shared" si="145"/>
        <v>2474163194.4369998</v>
      </c>
      <c r="I1474" s="50">
        <f>2022887086.0494+223938828.52946</f>
        <v>2246825914.5788603</v>
      </c>
      <c r="L1474" s="44">
        <f t="shared" si="142"/>
        <v>-151086517.04552889</v>
      </c>
      <c r="M1474" s="45">
        <f t="shared" si="143"/>
        <v>-227337279.85813951</v>
      </c>
    </row>
    <row r="1475" spans="1:14" ht="12.65" customHeight="1">
      <c r="A1475" s="33">
        <f t="shared" si="138"/>
        <v>45138</v>
      </c>
      <c r="B1475" s="46">
        <f t="shared" si="144"/>
        <v>15491907279.096399</v>
      </c>
      <c r="C1475" s="56">
        <f>11482438839.0721+1187472917.98217</f>
        <v>12669911757.05427</v>
      </c>
      <c r="F1475" s="45">
        <f t="shared" si="141"/>
        <v>-2821995522.0421295</v>
      </c>
      <c r="H1475" s="46">
        <f t="shared" si="145"/>
        <v>2474163194.4369998</v>
      </c>
      <c r="I1475" s="50">
        <f>1890521414.4079+117757149.78975</f>
        <v>2008278564.1976502</v>
      </c>
      <c r="L1475" s="44">
        <f t="shared" si="142"/>
        <v>-3287880152.2814789</v>
      </c>
      <c r="M1475" s="45">
        <f t="shared" si="143"/>
        <v>-465884630.2393496</v>
      </c>
    </row>
    <row r="1476" spans="1:14" ht="12.65" customHeight="1">
      <c r="A1476" s="33">
        <f t="shared" si="138"/>
        <v>45139</v>
      </c>
      <c r="B1476" s="46">
        <f>15902214660.9145</f>
        <v>15902214660.914499</v>
      </c>
      <c r="C1476" s="1697">
        <f>13695732168.5972+976365698.38276</f>
        <v>14672097866.979961</v>
      </c>
      <c r="F1476" s="45">
        <f t="shared" si="141"/>
        <v>-1230116793.9345379</v>
      </c>
      <c r="H1476" s="46">
        <f>2309651210.60633</f>
        <v>2309651210.6063299</v>
      </c>
      <c r="I1476" s="50">
        <f>2113226890.70373+148056706.4755</f>
        <v>2261283597.1792302</v>
      </c>
      <c r="L1476" s="44">
        <f t="shared" si="142"/>
        <v>-1278484407.3616376</v>
      </c>
      <c r="M1476" s="45">
        <f t="shared" si="143"/>
        <v>-48367613.427099705</v>
      </c>
    </row>
    <row r="1477" spans="1:14" ht="12.65" customHeight="1">
      <c r="A1477" s="33">
        <f t="shared" si="138"/>
        <v>45140</v>
      </c>
      <c r="B1477" s="46">
        <f t="shared" ref="B1477:B1486" si="146">15902214660.9145</f>
        <v>15902214660.914499</v>
      </c>
      <c r="C1477" s="56">
        <f>18782230645.1015+1272753235.32622</f>
        <v>20054983880.427723</v>
      </c>
      <c r="F1477" s="45">
        <f t="shared" si="141"/>
        <v>4152769219.5132236</v>
      </c>
      <c r="H1477" s="46">
        <f t="shared" ref="H1477:H1486" si="147">2309651210.60633</f>
        <v>2309651210.6063299</v>
      </c>
      <c r="I1477" s="50">
        <f>142669594.13535+2298552709.4637</f>
        <v>2441222303.5990496</v>
      </c>
      <c r="L1477" s="44">
        <f t="shared" si="142"/>
        <v>4284340312.5059433</v>
      </c>
      <c r="M1477" s="45">
        <f t="shared" si="143"/>
        <v>131571092.99271965</v>
      </c>
    </row>
    <row r="1478" spans="1:14" ht="12.65" customHeight="1">
      <c r="A1478" s="33">
        <f t="shared" si="138"/>
        <v>45141</v>
      </c>
      <c r="B1478" s="46">
        <f t="shared" si="146"/>
        <v>15902214660.914499</v>
      </c>
      <c r="C1478" s="56">
        <f>1063299066.0039+16311704711.4531</f>
        <v>17375003777.457001</v>
      </c>
      <c r="F1478" s="45">
        <f t="shared" si="141"/>
        <v>1472789116.5425014</v>
      </c>
      <c r="H1478" s="46">
        <f t="shared" si="147"/>
        <v>2309651210.6063299</v>
      </c>
      <c r="I1478" s="50">
        <f>2252245773.81428+140645438.06285</f>
        <v>2392891211.87713</v>
      </c>
      <c r="L1478" s="44">
        <f t="shared" si="142"/>
        <v>1556029117.8133016</v>
      </c>
      <c r="M1478" s="45">
        <f t="shared" si="143"/>
        <v>83240001.270800114</v>
      </c>
    </row>
    <row r="1479" spans="1:14" ht="12.65" customHeight="1">
      <c r="A1479" s="33">
        <f t="shared" si="138"/>
        <v>45142</v>
      </c>
      <c r="B1479" s="46">
        <f t="shared" si="146"/>
        <v>15902214660.914499</v>
      </c>
      <c r="C1479" s="56">
        <f>10610072260.8354+1320186574.96558</f>
        <v>11930258835.80098</v>
      </c>
      <c r="F1479" s="45">
        <f t="shared" si="141"/>
        <v>-3971955825.1135197</v>
      </c>
      <c r="H1479" s="46">
        <f t="shared" si="147"/>
        <v>2309651210.6063299</v>
      </c>
      <c r="I1479" s="50">
        <f>2022416523.90165+190374541.32249</f>
        <v>2212791065.2241402</v>
      </c>
      <c r="L1479" s="44">
        <f t="shared" si="142"/>
        <v>-4068815970.4957094</v>
      </c>
      <c r="M1479" s="45">
        <f t="shared" si="143"/>
        <v>-96860145.382189751</v>
      </c>
    </row>
    <row r="1480" spans="1:14" ht="12.65" customHeight="1">
      <c r="A1480" s="33">
        <f t="shared" si="138"/>
        <v>45145</v>
      </c>
      <c r="B1480" s="46">
        <f t="shared" si="146"/>
        <v>15902214660.914499</v>
      </c>
      <c r="C1480" s="56">
        <f>1067302221.82733+13756798795.6874</f>
        <v>14824101017.51473</v>
      </c>
      <c r="F1480" s="45">
        <f t="shared" si="141"/>
        <v>-1078113643.3997688</v>
      </c>
      <c r="H1480" s="46">
        <f t="shared" si="147"/>
        <v>2309651210.6063299</v>
      </c>
      <c r="I1480" s="50">
        <f>141663098.71296+2099875888.73135</f>
        <v>2241538987.4443102</v>
      </c>
      <c r="L1480" s="44">
        <f t="shared" si="142"/>
        <v>-1146225866.5617886</v>
      </c>
      <c r="M1480" s="45">
        <f t="shared" si="143"/>
        <v>-68112223.16201973</v>
      </c>
    </row>
    <row r="1481" spans="1:14" ht="12.65" customHeight="1">
      <c r="A1481" s="33">
        <f t="shared" si="138"/>
        <v>45146</v>
      </c>
      <c r="B1481" s="46">
        <f t="shared" si="146"/>
        <v>15902214660.914499</v>
      </c>
      <c r="C1481" s="56">
        <f>18472597914.4715+1291762888.05455</f>
        <v>19764360802.526051</v>
      </c>
      <c r="F1481" s="45">
        <f t="shared" si="141"/>
        <v>3862146141.6115513</v>
      </c>
      <c r="H1481" s="46">
        <f t="shared" si="147"/>
        <v>2309651210.6063299</v>
      </c>
      <c r="I1481" s="50">
        <f>2238540616.81665+141463593.39424</f>
        <v>2380004210.2108898</v>
      </c>
      <c r="L1481" s="44">
        <f t="shared" si="142"/>
        <v>3932499141.2161112</v>
      </c>
      <c r="M1481" s="45">
        <f t="shared" si="143"/>
        <v>70352999.604559898</v>
      </c>
    </row>
    <row r="1482" spans="1:14" ht="12.65" customHeight="1">
      <c r="A1482" s="33">
        <f t="shared" si="138"/>
        <v>45147</v>
      </c>
      <c r="B1482" s="46">
        <f t="shared" si="146"/>
        <v>15902214660.914499</v>
      </c>
      <c r="C1482" s="56">
        <f>16910189521.1485+1014203708.43779</f>
        <v>17924393229.586292</v>
      </c>
      <c r="F1482" s="45">
        <f t="shared" si="141"/>
        <v>2022178568.671793</v>
      </c>
      <c r="H1482" s="46">
        <f t="shared" si="147"/>
        <v>2309651210.6063299</v>
      </c>
      <c r="I1482" s="50">
        <f>2263837052.61605+146058660.42252</f>
        <v>2409895713.0385699</v>
      </c>
      <c r="L1482" s="44">
        <f t="shared" si="142"/>
        <v>2122423071.104033</v>
      </c>
      <c r="M1482" s="45">
        <f t="shared" si="143"/>
        <v>100244502.43224001</v>
      </c>
    </row>
    <row r="1483" spans="1:14" ht="12.65" customHeight="1">
      <c r="A1483" s="33">
        <f t="shared" si="138"/>
        <v>45148</v>
      </c>
      <c r="B1483" s="46">
        <f t="shared" si="146"/>
        <v>15902214660.914499</v>
      </c>
      <c r="C1483" s="56">
        <f>16056362724.8678+1230273506.15667</f>
        <v>17286636231.024471</v>
      </c>
      <c r="F1483" s="45">
        <f t="shared" si="141"/>
        <v>1384421570.109972</v>
      </c>
      <c r="H1483" s="46">
        <f t="shared" si="147"/>
        <v>2309651210.6063299</v>
      </c>
      <c r="I1483" s="50">
        <f>2338649362.14501+148879925.67436</f>
        <v>2487529287.8193698</v>
      </c>
      <c r="L1483" s="44">
        <f t="shared" si="142"/>
        <v>1562299647.3230119</v>
      </c>
      <c r="M1483" s="45">
        <f t="shared" si="143"/>
        <v>177878077.21303988</v>
      </c>
    </row>
    <row r="1484" spans="1:14" ht="12.65" customHeight="1">
      <c r="A1484" s="33">
        <f t="shared" si="138"/>
        <v>45149</v>
      </c>
      <c r="B1484" s="46">
        <f t="shared" si="146"/>
        <v>15902214660.914499</v>
      </c>
      <c r="C1484" s="56">
        <f>12953612846.9381+1101161015.4423</f>
        <v>14054773862.380402</v>
      </c>
      <c r="F1484" s="45">
        <f t="shared" si="141"/>
        <v>-1847440798.5340977</v>
      </c>
      <c r="H1484" s="46">
        <f t="shared" si="147"/>
        <v>2309651210.6063299</v>
      </c>
      <c r="I1484" s="50">
        <f>2184898842.63573+243010561.9492</f>
        <v>2427909404.5849299</v>
      </c>
      <c r="L1484" s="44">
        <f t="shared" si="142"/>
        <v>-1729182604.5554976</v>
      </c>
      <c r="M1484" s="45">
        <f t="shared" si="143"/>
        <v>118258193.97860003</v>
      </c>
    </row>
    <row r="1485" spans="1:14" ht="12.65" customHeight="1">
      <c r="A1485" s="33">
        <f t="shared" si="138"/>
        <v>45152</v>
      </c>
      <c r="B1485" s="46">
        <f t="shared" si="146"/>
        <v>15902214660.914499</v>
      </c>
      <c r="C1485" s="56">
        <f>1071846486.64407+13741283079.2024</f>
        <v>14813129565.84647</v>
      </c>
      <c r="F1485" s="45">
        <f t="shared" si="141"/>
        <v>-1089085095.0680294</v>
      </c>
      <c r="H1485" s="46">
        <f t="shared" si="147"/>
        <v>2309651210.6063299</v>
      </c>
      <c r="I1485" s="50">
        <f>141770445.37306+2096581515.22371</f>
        <v>2238351960.5967703</v>
      </c>
      <c r="L1485" s="44">
        <f t="shared" si="142"/>
        <v>-1160384345.077589</v>
      </c>
      <c r="M1485" s="45">
        <f t="shared" si="143"/>
        <v>-71299250.009559631</v>
      </c>
    </row>
    <row r="1486" spans="1:14" ht="12.65" customHeight="1">
      <c r="A1486" s="33">
        <f t="shared" si="138"/>
        <v>45153</v>
      </c>
      <c r="B1486" s="46">
        <f t="shared" si="146"/>
        <v>15902214660.914499</v>
      </c>
      <c r="C1486" s="56">
        <f>13445551814.5759+1283439717.34197</f>
        <v>14728991531.91787</v>
      </c>
      <c r="F1486" s="45">
        <f t="shared" si="141"/>
        <v>-1173223128.9966297</v>
      </c>
      <c r="H1486" s="46">
        <f t="shared" si="147"/>
        <v>2309651210.6063299</v>
      </c>
      <c r="I1486" s="50">
        <f>2276384813.09503+141528122.89801</f>
        <v>2417912935.9930396</v>
      </c>
      <c r="L1486" s="44">
        <f t="shared" si="142"/>
        <v>-1064961403.60992</v>
      </c>
      <c r="M1486" s="45">
        <f t="shared" si="143"/>
        <v>108261725.38670969</v>
      </c>
    </row>
    <row r="1487" spans="1:14" ht="12.65" customHeight="1">
      <c r="A1487" s="33">
        <f t="shared" si="138"/>
        <v>45154</v>
      </c>
      <c r="B1487" s="46">
        <f>15861876659.2298</f>
        <v>15861876659.229799</v>
      </c>
      <c r="C1487" s="56">
        <f>15566047361.1166+978513764.76696</f>
        <v>16544561125.88356</v>
      </c>
      <c r="F1487" s="45">
        <f t="shared" si="141"/>
        <v>682684466.65376091</v>
      </c>
      <c r="H1487" s="46">
        <f>2365001923.38504</f>
        <v>2365001923.3850398</v>
      </c>
      <c r="I1487" s="50">
        <f>2264729645.13913+182120790.4516</f>
        <v>2446850435.5907302</v>
      </c>
      <c r="L1487" s="44">
        <f t="shared" si="142"/>
        <v>764532978.85945129</v>
      </c>
      <c r="M1487" s="45">
        <f t="shared" si="143"/>
        <v>81848512.205690384</v>
      </c>
    </row>
    <row r="1488" spans="1:14" s="1380" customFormat="1" ht="12.65" customHeight="1">
      <c r="A1488" s="1377">
        <f t="shared" si="138"/>
        <v>45155</v>
      </c>
      <c r="B1488" s="1378">
        <f>15861876659.2298</f>
        <v>15861876659.229799</v>
      </c>
      <c r="C1488" s="1379">
        <f>15566047361.1166+978513764.76696</f>
        <v>16544561125.88356</v>
      </c>
      <c r="F1488" s="1381">
        <f t="shared" ref="F1488" si="148">C1488-B1488</f>
        <v>682684466.65376091</v>
      </c>
      <c r="G1488" s="1382"/>
      <c r="H1488" s="1378">
        <f>2365001923.38504</f>
        <v>2365001923.3850398</v>
      </c>
      <c r="I1488" s="1383">
        <f>2264729645.13913+182120790.4516</f>
        <v>2446850435.5907302</v>
      </c>
      <c r="L1488" s="1384">
        <f t="shared" ref="L1488" si="149">F1488+M1488</f>
        <v>764532978.85945129</v>
      </c>
      <c r="M1488" s="1381">
        <f t="shared" ref="M1488" si="150">I1488-H1488</f>
        <v>81848512.205690384</v>
      </c>
      <c r="N1488" s="1538"/>
    </row>
    <row r="1489" spans="1:13" ht="12.65" customHeight="1">
      <c r="A1489" s="33">
        <f>WORKDAY(A1488,1)</f>
        <v>45156</v>
      </c>
      <c r="B1489" s="46">
        <f t="shared" ref="B1489:B1498" si="151">15861876659.2298</f>
        <v>15861876659.229799</v>
      </c>
      <c r="C1489" s="56">
        <f>13637426567.6814+1280940163.92508</f>
        <v>14918366731.60648</v>
      </c>
      <c r="F1489" s="45">
        <f t="shared" si="141"/>
        <v>-943509927.62331963</v>
      </c>
      <c r="H1489" s="46">
        <f t="shared" ref="H1489:H1498" si="152">2365001923.38504</f>
        <v>2365001923.3850398</v>
      </c>
      <c r="I1489" s="50">
        <f>2059080437.04155+260915181.2519</f>
        <v>2319995618.2934499</v>
      </c>
      <c r="L1489" s="44">
        <f t="shared" si="142"/>
        <v>-988516232.71490955</v>
      </c>
      <c r="M1489" s="45">
        <f t="shared" si="143"/>
        <v>-45006305.091589928</v>
      </c>
    </row>
    <row r="1490" spans="1:13" ht="12.65" customHeight="1">
      <c r="A1490" s="33">
        <f t="shared" si="138"/>
        <v>45159</v>
      </c>
      <c r="B1490" s="46">
        <f t="shared" si="151"/>
        <v>15861876659.229799</v>
      </c>
      <c r="C1490" s="56">
        <f>1174890125.01364+14501094621.7036</f>
        <v>15675984746.717239</v>
      </c>
      <c r="F1490" s="45">
        <f t="shared" si="141"/>
        <v>-185891912.51255989</v>
      </c>
      <c r="H1490" s="46">
        <f t="shared" si="152"/>
        <v>2365001923.3850398</v>
      </c>
      <c r="I1490" s="50">
        <f>161677551.9687+2345977265.65561</f>
        <v>2507654817.62431</v>
      </c>
      <c r="L1490" s="44">
        <f t="shared" si="142"/>
        <v>-43239018.27328968</v>
      </c>
      <c r="M1490" s="45">
        <f t="shared" si="143"/>
        <v>142652894.23927021</v>
      </c>
    </row>
    <row r="1491" spans="1:13" ht="12.65" customHeight="1">
      <c r="A1491" s="33">
        <f t="shared" si="138"/>
        <v>45160</v>
      </c>
      <c r="B1491" s="46">
        <f t="shared" si="151"/>
        <v>15861876659.229799</v>
      </c>
      <c r="C1491" s="56">
        <f>982290975.45773+15640580391.602</f>
        <v>16622871367.059729</v>
      </c>
      <c r="F1491" s="45">
        <f t="shared" si="141"/>
        <v>760994707.82992935</v>
      </c>
      <c r="H1491" s="46">
        <f t="shared" si="152"/>
        <v>2365001923.3850398</v>
      </c>
      <c r="I1491" s="50">
        <f>165400591.72574+2295173174.66613</f>
        <v>2460573766.39187</v>
      </c>
      <c r="L1491" s="44">
        <f t="shared" si="142"/>
        <v>856566550.83675957</v>
      </c>
      <c r="M1491" s="45">
        <f t="shared" si="143"/>
        <v>95571843.006830215</v>
      </c>
    </row>
    <row r="1492" spans="1:13" ht="12.65" customHeight="1">
      <c r="A1492" s="33">
        <f t="shared" si="138"/>
        <v>45161</v>
      </c>
      <c r="B1492" s="46">
        <f t="shared" si="151"/>
        <v>15861876659.229799</v>
      </c>
      <c r="C1492" s="56">
        <f>1147719577.76678+15955817583.4862</f>
        <v>17103537161.252979</v>
      </c>
      <c r="F1492" s="45">
        <f t="shared" si="141"/>
        <v>1241660502.02318</v>
      </c>
      <c r="H1492" s="46">
        <f t="shared" si="152"/>
        <v>2365001923.3850398</v>
      </c>
      <c r="I1492" s="50">
        <f>148014231.55063+2329545359.90183</f>
        <v>2477559591.4524603</v>
      </c>
      <c r="L1492" s="44">
        <f t="shared" si="142"/>
        <v>1354218170.0906005</v>
      </c>
      <c r="M1492" s="45">
        <f t="shared" si="143"/>
        <v>112557668.06742048</v>
      </c>
    </row>
    <row r="1493" spans="1:13" ht="12.65" customHeight="1">
      <c r="A1493" s="33">
        <f t="shared" si="138"/>
        <v>45162</v>
      </c>
      <c r="B1493" s="46">
        <f t="shared" si="151"/>
        <v>15861876659.229799</v>
      </c>
      <c r="C1493" s="56">
        <f>946169976.21832+14709115828.4065</f>
        <v>15655285804.624821</v>
      </c>
      <c r="F1493" s="45">
        <f t="shared" si="141"/>
        <v>-206590854.60497856</v>
      </c>
      <c r="H1493" s="46">
        <f t="shared" si="152"/>
        <v>2365001923.3850398</v>
      </c>
      <c r="I1493" s="50">
        <f>150461020.79619+2481610450.03415</f>
        <v>2632071470.8303399</v>
      </c>
      <c r="L1493" s="44">
        <f t="shared" si="142"/>
        <v>60478692.840321541</v>
      </c>
      <c r="M1493" s="45">
        <f t="shared" si="143"/>
        <v>267069547.4453001</v>
      </c>
    </row>
    <row r="1494" spans="1:13" ht="12.65" customHeight="1">
      <c r="A1494" s="33">
        <f t="shared" si="138"/>
        <v>45163</v>
      </c>
      <c r="B1494" s="46">
        <f t="shared" si="151"/>
        <v>15861876659.229799</v>
      </c>
      <c r="C1494" s="56">
        <f>1244698246.87937+14398408000.1825</f>
        <v>15643106247.061871</v>
      </c>
      <c r="F1494" s="45">
        <f t="shared" si="141"/>
        <v>-218770412.1679287</v>
      </c>
      <c r="H1494" s="46">
        <f t="shared" si="152"/>
        <v>2365001923.3850398</v>
      </c>
      <c r="I1494" s="50">
        <f>245830267.5882+2174522957.1281</f>
        <v>2420353224.7163</v>
      </c>
      <c r="L1494" s="44">
        <f t="shared" si="142"/>
        <v>-163419110.83666849</v>
      </c>
      <c r="M1494" s="45">
        <f t="shared" si="143"/>
        <v>55351301.331260204</v>
      </c>
    </row>
    <row r="1495" spans="1:13" ht="12.65" customHeight="1">
      <c r="A1495" s="33">
        <f t="shared" si="138"/>
        <v>45166</v>
      </c>
      <c r="B1495" s="46">
        <f t="shared" si="151"/>
        <v>15861876659.229799</v>
      </c>
      <c r="C1495" s="56">
        <f>1092576727.26018+15367557856.4951</f>
        <v>16460134583.75528</v>
      </c>
      <c r="F1495" s="45">
        <f t="shared" si="141"/>
        <v>598257924.52548027</v>
      </c>
      <c r="H1495" s="46">
        <f t="shared" si="152"/>
        <v>2365001923.3850398</v>
      </c>
      <c r="I1495" s="50">
        <f>150101844.66983+2005128728.8461</f>
        <v>2155230573.5159302</v>
      </c>
      <c r="L1495" s="44">
        <f t="shared" si="142"/>
        <v>388486574.65637064</v>
      </c>
      <c r="M1495" s="45">
        <f t="shared" si="143"/>
        <v>-209771349.86910963</v>
      </c>
    </row>
    <row r="1496" spans="1:13" ht="12.65" customHeight="1">
      <c r="A1496" s="33">
        <f t="shared" si="138"/>
        <v>45167</v>
      </c>
      <c r="B1496" s="46">
        <f t="shared" si="151"/>
        <v>15861876659.229799</v>
      </c>
      <c r="C1496" s="56">
        <f>15396361635.3234+1328917584.87314</f>
        <v>16725279220.196541</v>
      </c>
      <c r="F1496" s="45">
        <f t="shared" si="141"/>
        <v>863402560.96674156</v>
      </c>
      <c r="H1496" s="46">
        <f t="shared" si="152"/>
        <v>2365001923.3850398</v>
      </c>
      <c r="I1496" s="50">
        <f>2324808254.6771+144042591.73358</f>
        <v>2468850846.4106803</v>
      </c>
      <c r="L1496" s="44">
        <f t="shared" si="142"/>
        <v>967251483.99238205</v>
      </c>
      <c r="M1496" s="45">
        <f t="shared" si="143"/>
        <v>103848923.02564049</v>
      </c>
    </row>
    <row r="1497" spans="1:13" ht="12.65" customHeight="1">
      <c r="A1497" s="33">
        <f t="shared" si="138"/>
        <v>45168</v>
      </c>
      <c r="B1497" s="46">
        <f t="shared" si="151"/>
        <v>15861876659.229799</v>
      </c>
      <c r="C1497" s="56">
        <f>1020353283.59744+18080985316.0669</f>
        <v>19101338599.664337</v>
      </c>
      <c r="F1497" s="45">
        <f t="shared" si="141"/>
        <v>3239461940.4345379</v>
      </c>
      <c r="H1497" s="46">
        <f t="shared" si="152"/>
        <v>2365001923.3850398</v>
      </c>
      <c r="I1497" s="50">
        <f>146247958.76461+2055722839.87193</f>
        <v>2201970798.6365399</v>
      </c>
      <c r="L1497" s="44">
        <f t="shared" si="142"/>
        <v>3076430815.686038</v>
      </c>
      <c r="M1497" s="45">
        <f t="shared" si="143"/>
        <v>-163031124.74849987</v>
      </c>
    </row>
    <row r="1498" spans="1:13" ht="12.65" customHeight="1">
      <c r="A1498" s="33">
        <f t="shared" si="138"/>
        <v>45169</v>
      </c>
      <c r="B1498" s="46">
        <f t="shared" si="151"/>
        <v>15861876659.229799</v>
      </c>
      <c r="C1498" s="56">
        <f>1252924568.15417+11083039673.1495</f>
        <v>12335964241.303669</v>
      </c>
      <c r="F1498" s="45">
        <f t="shared" si="141"/>
        <v>-3525912417.9261303</v>
      </c>
      <c r="H1498" s="46">
        <f t="shared" si="152"/>
        <v>2365001923.3850398</v>
      </c>
      <c r="I1498" s="50">
        <f>126983335.85525+2127930616.57745</f>
        <v>2254913952.4327002</v>
      </c>
      <c r="L1498" s="44">
        <f t="shared" si="142"/>
        <v>-3636000388.8784699</v>
      </c>
      <c r="M1498" s="45">
        <f t="shared" si="143"/>
        <v>-110087970.95233965</v>
      </c>
    </row>
    <row r="1499" spans="1:13" ht="12.65" customHeight="1">
      <c r="A1499" s="33">
        <f t="shared" si="138"/>
        <v>45170</v>
      </c>
      <c r="B1499" s="46">
        <f>17084628543.078</f>
        <v>17084628543.077999</v>
      </c>
      <c r="C1499" s="56">
        <f>1061808598.82393+18048061426.9154</f>
        <v>19109870025.73933</v>
      </c>
      <c r="F1499" s="45">
        <f t="shared" si="141"/>
        <v>2025241482.6613312</v>
      </c>
      <c r="H1499" s="46">
        <f>2372322691.41983</f>
        <v>2372322691.4198298</v>
      </c>
      <c r="I1499" s="50">
        <f>248537654.65147+2137654689.95927</f>
        <v>2386192344.6107402</v>
      </c>
      <c r="L1499" s="44">
        <f t="shared" si="142"/>
        <v>2039111135.8522415</v>
      </c>
      <c r="M1499" s="45">
        <f t="shared" si="143"/>
        <v>13869653.190910339</v>
      </c>
    </row>
    <row r="1500" spans="1:13" ht="12.65" customHeight="1">
      <c r="A1500" s="33">
        <f t="shared" si="138"/>
        <v>45173</v>
      </c>
      <c r="B1500" s="46">
        <f t="shared" ref="B1500:B1509" si="153">17084628543.078</f>
        <v>17084628543.077999</v>
      </c>
      <c r="C1500" s="56">
        <f>1150430668.5741+16780943190.4265</f>
        <v>17931373859.000599</v>
      </c>
      <c r="F1500" s="45">
        <f t="shared" si="141"/>
        <v>846745315.92259979</v>
      </c>
      <c r="H1500" s="46">
        <f t="shared" ref="H1500:H1509" si="154">2372322691.41983</f>
        <v>2372322691.4198298</v>
      </c>
      <c r="I1500" s="50">
        <f>142000073.21742+2416555392.4032</f>
        <v>2558555465.6206203</v>
      </c>
      <c r="L1500" s="44">
        <f t="shared" si="142"/>
        <v>1032978090.1233902</v>
      </c>
      <c r="M1500" s="45">
        <f t="shared" si="143"/>
        <v>186232774.20079041</v>
      </c>
    </row>
    <row r="1501" spans="1:13" ht="12.65" customHeight="1">
      <c r="A1501" s="33">
        <f t="shared" si="138"/>
        <v>45174</v>
      </c>
      <c r="B1501" s="46">
        <f t="shared" si="153"/>
        <v>17084628543.077999</v>
      </c>
      <c r="C1501" s="56">
        <f>16409294941.9373+1011962421.90541</f>
        <v>17421257363.842709</v>
      </c>
      <c r="F1501" s="45">
        <f t="shared" si="141"/>
        <v>336628820.76470947</v>
      </c>
      <c r="H1501" s="46">
        <f t="shared" si="154"/>
        <v>2372322691.4198298</v>
      </c>
      <c r="I1501" s="50">
        <f>2587243857.17767+47491781.73633</f>
        <v>2634735638.914</v>
      </c>
      <c r="L1501" s="44">
        <f t="shared" si="142"/>
        <v>599041768.25887966</v>
      </c>
      <c r="M1501" s="45">
        <f t="shared" si="143"/>
        <v>262412947.49417019</v>
      </c>
    </row>
    <row r="1502" spans="1:13" ht="12.65" customHeight="1">
      <c r="A1502" s="33">
        <f t="shared" si="138"/>
        <v>45175</v>
      </c>
      <c r="B1502" s="46">
        <f t="shared" si="153"/>
        <v>17084628543.077999</v>
      </c>
      <c r="C1502" s="56">
        <f>17699189113.0037+1245811161.4513</f>
        <v>18945000274.455002</v>
      </c>
      <c r="F1502" s="45">
        <f t="shared" si="141"/>
        <v>1860371731.3770027</v>
      </c>
      <c r="H1502" s="46">
        <f t="shared" si="154"/>
        <v>2372322691.4198298</v>
      </c>
      <c r="I1502" s="50">
        <f>2537737119.21836+251564775.68023</f>
        <v>2789301894.8985901</v>
      </c>
      <c r="L1502" s="44">
        <f t="shared" si="142"/>
        <v>2277350934.855763</v>
      </c>
      <c r="M1502" s="45">
        <f t="shared" si="143"/>
        <v>416979203.47876024</v>
      </c>
    </row>
    <row r="1503" spans="1:13" ht="12.65" customHeight="1">
      <c r="A1503" s="33">
        <f t="shared" si="138"/>
        <v>45176</v>
      </c>
      <c r="B1503" s="46">
        <f t="shared" si="153"/>
        <v>17084628543.077999</v>
      </c>
      <c r="C1503" s="56">
        <f>973413678.78786+17310358195.7927</f>
        <v>18283771874.580563</v>
      </c>
      <c r="F1503" s="45">
        <f t="shared" si="141"/>
        <v>1199143331.5025635</v>
      </c>
      <c r="H1503" s="46">
        <f t="shared" si="154"/>
        <v>2372322691.4198298</v>
      </c>
      <c r="I1503" s="50">
        <f>194747580.55855+2363453711.57917</f>
        <v>2558201292.1377201</v>
      </c>
      <c r="L1503" s="44">
        <f t="shared" si="142"/>
        <v>1385021932.2204537</v>
      </c>
      <c r="M1503" s="45">
        <f t="shared" si="143"/>
        <v>185878600.71789026</v>
      </c>
    </row>
    <row r="1504" spans="1:13" ht="12.65" customHeight="1">
      <c r="A1504" s="33">
        <f t="shared" si="138"/>
        <v>45177</v>
      </c>
      <c r="B1504" s="46">
        <f t="shared" si="153"/>
        <v>17084628543.077999</v>
      </c>
      <c r="C1504" s="56">
        <f>1270074303.97594+15135703627.1646</f>
        <v>16405777931.140541</v>
      </c>
      <c r="F1504" s="45">
        <f t="shared" si="141"/>
        <v>-678850611.93745804</v>
      </c>
      <c r="H1504" s="46">
        <f t="shared" si="154"/>
        <v>2372322691.4198298</v>
      </c>
      <c r="I1504" s="50">
        <f>342516538.29409+1933010134.77417</f>
        <v>2275526673.0682597</v>
      </c>
      <c r="L1504" s="44">
        <f t="shared" si="142"/>
        <v>-775646630.28902817</v>
      </c>
      <c r="M1504" s="45">
        <f t="shared" si="143"/>
        <v>-96796018.351570129</v>
      </c>
    </row>
    <row r="1505" spans="1:14" ht="12.65" customHeight="1">
      <c r="A1505" s="33">
        <f t="shared" si="138"/>
        <v>45180</v>
      </c>
      <c r="B1505" s="46">
        <f t="shared" si="153"/>
        <v>17084628543.077999</v>
      </c>
      <c r="C1505" s="56">
        <f>1045522081.93959+14512365838.4171</f>
        <v>15557887920.356691</v>
      </c>
      <c r="F1505" s="45">
        <f t="shared" si="141"/>
        <v>-1526740622.7213078</v>
      </c>
      <c r="H1505" s="46">
        <f t="shared" si="154"/>
        <v>2372322691.4198298</v>
      </c>
      <c r="I1505" s="50">
        <f>288501703.24335+1900936399.59083</f>
        <v>2189438102.8341799</v>
      </c>
      <c r="L1505" s="44">
        <f t="shared" si="142"/>
        <v>-1709625211.3069577</v>
      </c>
      <c r="M1505" s="45">
        <f t="shared" si="143"/>
        <v>-182884588.58564997</v>
      </c>
    </row>
    <row r="1506" spans="1:14" ht="12.65" customHeight="1">
      <c r="A1506" s="33">
        <f t="shared" si="138"/>
        <v>45181</v>
      </c>
      <c r="B1506" s="46">
        <f t="shared" si="153"/>
        <v>17084628543.077999</v>
      </c>
      <c r="C1506" s="56">
        <f>1233342001.88562+15686424953.6452</f>
        <v>16919766955.530821</v>
      </c>
      <c r="F1506" s="45">
        <f t="shared" si="141"/>
        <v>-164861587.54717827</v>
      </c>
      <c r="H1506" s="46">
        <f t="shared" si="154"/>
        <v>2372322691.4198298</v>
      </c>
      <c r="I1506" s="50">
        <f>287660930.35518+1993459251.88925</f>
        <v>2281120182.2444301</v>
      </c>
      <c r="L1506" s="44">
        <f t="shared" si="142"/>
        <v>-256064096.72257805</v>
      </c>
      <c r="M1506" s="45">
        <f t="shared" si="143"/>
        <v>-91202509.17539978</v>
      </c>
    </row>
    <row r="1507" spans="1:14" ht="12.65" customHeight="1">
      <c r="A1507" s="33">
        <f t="shared" si="138"/>
        <v>45182</v>
      </c>
      <c r="B1507" s="46">
        <f t="shared" si="153"/>
        <v>17084628543.077999</v>
      </c>
      <c r="C1507" s="56">
        <f>15915190414.9977+1017982926.23239</f>
        <v>16933173341.230089</v>
      </c>
      <c r="F1507" s="45">
        <f t="shared" si="141"/>
        <v>-151455201.84790993</v>
      </c>
      <c r="H1507" s="46">
        <f t="shared" si="154"/>
        <v>2372322691.4198298</v>
      </c>
      <c r="I1507" s="50">
        <f>2020834436.37608+310266407.77249</f>
        <v>2331100844.1485701</v>
      </c>
      <c r="L1507" s="44">
        <f t="shared" si="142"/>
        <v>-192677049.11916971</v>
      </c>
      <c r="M1507" s="45">
        <f t="shared" si="143"/>
        <v>-41221847.271259785</v>
      </c>
    </row>
    <row r="1508" spans="1:14" ht="12.65" customHeight="1">
      <c r="A1508" s="33">
        <f t="shared" si="138"/>
        <v>45183</v>
      </c>
      <c r="B1508" s="46">
        <f t="shared" si="153"/>
        <v>17084628543.077999</v>
      </c>
      <c r="C1508" s="56">
        <f>1179851832.62547+16173510573.4191</f>
        <v>17353362406.044571</v>
      </c>
      <c r="F1508" s="45">
        <f t="shared" si="141"/>
        <v>268733862.96657181</v>
      </c>
      <c r="H1508" s="46">
        <f t="shared" si="154"/>
        <v>2372322691.4198298</v>
      </c>
      <c r="I1508" s="50">
        <f>311180419.37521+1896186256.28472</f>
        <v>2207366675.6599298</v>
      </c>
      <c r="L1508" s="44">
        <f t="shared" si="142"/>
        <v>103777847.20667171</v>
      </c>
      <c r="M1508" s="45">
        <f t="shared" si="143"/>
        <v>-164956015.75990009</v>
      </c>
    </row>
    <row r="1509" spans="1:14" ht="12.65" customHeight="1">
      <c r="A1509" s="33">
        <f t="shared" si="138"/>
        <v>45184</v>
      </c>
      <c r="B1509" s="46">
        <f t="shared" si="153"/>
        <v>17084628543.077999</v>
      </c>
      <c r="C1509" s="56">
        <f>1330193196.73397+13617859032.9167</f>
        <v>14948052229.650671</v>
      </c>
      <c r="F1509" s="45">
        <f t="shared" si="141"/>
        <v>-2136576313.4273281</v>
      </c>
      <c r="H1509" s="46">
        <f t="shared" si="154"/>
        <v>2372322691.4198298</v>
      </c>
      <c r="I1509" s="50">
        <f>326830063.73368+1749167128.64642</f>
        <v>2075997192.3801</v>
      </c>
      <c r="L1509" s="44">
        <f t="shared" si="142"/>
        <v>-2432901812.4670582</v>
      </c>
      <c r="M1509" s="45">
        <f t="shared" si="143"/>
        <v>-296325499.03972983</v>
      </c>
    </row>
    <row r="1510" spans="1:14" ht="12.65" customHeight="1">
      <c r="A1510" s="33">
        <f t="shared" si="138"/>
        <v>45187</v>
      </c>
      <c r="B1510" s="46">
        <f>15495307785.7688</f>
        <v>15495307785.768801</v>
      </c>
      <c r="C1510" s="56">
        <f>1087825017.16596+14493460159.9332</f>
        <v>15581285177.099161</v>
      </c>
      <c r="F1510" s="45">
        <f t="shared" si="141"/>
        <v>85977391.330360413</v>
      </c>
      <c r="H1510" s="46">
        <f>2317732910.88876</f>
        <v>2317732910.8887601</v>
      </c>
      <c r="I1510" s="50">
        <f>305642267.61109+2039035392.06758</f>
        <v>2344677659.6786699</v>
      </c>
      <c r="L1510" s="44">
        <f t="shared" si="142"/>
        <v>112922140.12027025</v>
      </c>
      <c r="M1510" s="45">
        <f t="shared" si="143"/>
        <v>26944748.78990984</v>
      </c>
    </row>
    <row r="1511" spans="1:14" ht="12.65" customHeight="1">
      <c r="A1511" s="33">
        <f t="shared" si="138"/>
        <v>45188</v>
      </c>
      <c r="B1511" s="46">
        <f t="shared" ref="B1511:B1520" si="155">15495307785.7688</f>
        <v>15495307785.768801</v>
      </c>
      <c r="C1511" s="56">
        <f>1252267225.38616+15395735319.9254</f>
        <v>16648002545.31156</v>
      </c>
      <c r="F1511" s="45">
        <f t="shared" si="141"/>
        <v>1152694759.5427589</v>
      </c>
      <c r="H1511" s="46">
        <f t="shared" ref="H1511:H1520" si="156">2317732910.88876</f>
        <v>2317732910.8887601</v>
      </c>
      <c r="I1511" s="50">
        <f>316699100.44673+2084138767.02656</f>
        <v>2400837867.47329</v>
      </c>
      <c r="L1511" s="44">
        <f t="shared" si="142"/>
        <v>1235799716.1272888</v>
      </c>
      <c r="M1511" s="45">
        <f t="shared" si="143"/>
        <v>83104956.584529877</v>
      </c>
    </row>
    <row r="1512" spans="1:14" ht="12.65" customHeight="1">
      <c r="A1512" s="33">
        <f t="shared" si="138"/>
        <v>45189</v>
      </c>
      <c r="B1512" s="46">
        <f t="shared" si="155"/>
        <v>15495307785.768801</v>
      </c>
      <c r="C1512" s="56">
        <f>960805315.05876+15287872693.734</f>
        <v>16248678008.792759</v>
      </c>
      <c r="F1512" s="45">
        <f t="shared" si="141"/>
        <v>753370223.02395821</v>
      </c>
      <c r="H1512" s="46">
        <f t="shared" si="156"/>
        <v>2317732910.8887601</v>
      </c>
      <c r="I1512" s="50">
        <f>299033317.79451+2089495485.51416</f>
        <v>2388528803.30867</v>
      </c>
      <c r="L1512" s="44">
        <f t="shared" si="142"/>
        <v>824166115.44386816</v>
      </c>
      <c r="M1512" s="45">
        <f t="shared" si="143"/>
        <v>70795892.419909954</v>
      </c>
    </row>
    <row r="1513" spans="1:14" ht="12.65" customHeight="1">
      <c r="A1513" s="33">
        <f t="shared" si="138"/>
        <v>45190</v>
      </c>
      <c r="B1513" s="46">
        <f t="shared" si="155"/>
        <v>15495307785.768801</v>
      </c>
      <c r="C1513" s="56">
        <f>17481186759.7898+1104537527.94235</f>
        <v>18585724287.732147</v>
      </c>
      <c r="F1513" s="45">
        <f t="shared" si="141"/>
        <v>3090416501.9633465</v>
      </c>
      <c r="H1513" s="46">
        <f t="shared" si="156"/>
        <v>2317732910.8887601</v>
      </c>
      <c r="I1513" s="50">
        <f>2463529662.19914+312129511.45517</f>
        <v>2775659173.6543102</v>
      </c>
      <c r="L1513" s="44">
        <f t="shared" si="142"/>
        <v>3548342764.7288966</v>
      </c>
      <c r="M1513" s="45">
        <f>I1513-H1513</f>
        <v>457926262.76555014</v>
      </c>
    </row>
    <row r="1514" spans="1:14" ht="12.65" customHeight="1">
      <c r="A1514" s="33">
        <f t="shared" si="138"/>
        <v>45191</v>
      </c>
      <c r="B1514" s="46">
        <f t="shared" si="155"/>
        <v>15495307785.768801</v>
      </c>
      <c r="C1514" s="56">
        <f>15346222294.8603+1006213522.09473</f>
        <v>16352435816.95503</v>
      </c>
      <c r="F1514" s="45">
        <f t="shared" si="141"/>
        <v>857128031.18622971</v>
      </c>
      <c r="H1514" s="46">
        <f t="shared" si="156"/>
        <v>2317732910.8887601</v>
      </c>
      <c r="I1514" s="50">
        <f>2044192715.23597+334850454.61166</f>
        <v>2379043169.84763</v>
      </c>
      <c r="L1514" s="44">
        <f t="shared" si="142"/>
        <v>918438290.14509964</v>
      </c>
      <c r="M1514" s="45">
        <f>I1514-H1514</f>
        <v>61310258.958869934</v>
      </c>
    </row>
    <row r="1515" spans="1:14" ht="12.65" customHeight="1">
      <c r="A1515" s="33">
        <f t="shared" si="138"/>
        <v>45194</v>
      </c>
      <c r="B1515" s="46">
        <f t="shared" si="155"/>
        <v>15495307785.768801</v>
      </c>
      <c r="C1515" s="56">
        <f>12534222673.496+1187874213.3235</f>
        <v>13722096886.8195</v>
      </c>
      <c r="F1515" s="45">
        <f t="shared" si="141"/>
        <v>-1773210898.9493008</v>
      </c>
      <c r="H1515" s="46">
        <f t="shared" si="156"/>
        <v>2317732910.8887601</v>
      </c>
      <c r="I1515" s="50">
        <f>1889234336.82607+265989342.68774</f>
        <v>2155223679.5138102</v>
      </c>
      <c r="L1515" s="44">
        <f t="shared" si="142"/>
        <v>-1935720130.3242507</v>
      </c>
      <c r="M1515" s="45">
        <f t="shared" si="143"/>
        <v>-162509231.37494993</v>
      </c>
    </row>
    <row r="1516" spans="1:14" ht="12.65" customHeight="1">
      <c r="A1516" s="33">
        <f t="shared" si="138"/>
        <v>45195</v>
      </c>
      <c r="B1516" s="46">
        <f t="shared" si="155"/>
        <v>15495307785.768801</v>
      </c>
      <c r="C1516" s="56">
        <f>1005484286.66417+14279732946.6571</f>
        <v>15285217233.32127</v>
      </c>
      <c r="F1516" s="45">
        <f t="shared" si="141"/>
        <v>-210090552.44753075</v>
      </c>
      <c r="H1516" s="46">
        <f t="shared" si="156"/>
        <v>2317732910.8887601</v>
      </c>
      <c r="I1516" s="50">
        <f>277348141.78042+1978311414.90401</f>
        <v>2255659556.6844301</v>
      </c>
      <c r="L1516" s="44">
        <f t="shared" si="142"/>
        <v>-272163906.65186071</v>
      </c>
      <c r="M1516" s="45">
        <f t="shared" si="143"/>
        <v>-62073354.204329967</v>
      </c>
    </row>
    <row r="1517" spans="1:14" ht="12.65" customHeight="1">
      <c r="A1517" s="33">
        <f t="shared" si="138"/>
        <v>45196</v>
      </c>
      <c r="B1517" s="46">
        <f t="shared" si="155"/>
        <v>15495307785.768801</v>
      </c>
      <c r="C1517" s="56">
        <f>1215764071.84815+15338786396.185</f>
        <v>16554550468.03315</v>
      </c>
      <c r="F1517" s="45">
        <f t="shared" si="141"/>
        <v>1059242682.264349</v>
      </c>
      <c r="H1517" s="46">
        <f t="shared" si="156"/>
        <v>2317732910.8887601</v>
      </c>
      <c r="I1517" s="50">
        <f>331755215.41619+1820629361.78712</f>
        <v>2152384577.20331</v>
      </c>
      <c r="L1517" s="44">
        <f t="shared" si="142"/>
        <v>893894348.57889891</v>
      </c>
      <c r="M1517" s="45">
        <f t="shared" si="143"/>
        <v>-165348333.68545008</v>
      </c>
    </row>
    <row r="1518" spans="1:14" s="1380" customFormat="1" ht="12.65" customHeight="1">
      <c r="A1518" s="1377">
        <f t="shared" si="138"/>
        <v>45197</v>
      </c>
      <c r="B1518" s="1378">
        <f t="shared" si="155"/>
        <v>15495307785.768801</v>
      </c>
      <c r="C1518" s="1379">
        <f>1321577101.93098+15338786396.185</f>
        <v>16660363498.11598</v>
      </c>
      <c r="F1518" s="1381">
        <f t="shared" si="141"/>
        <v>1165055712.3471794</v>
      </c>
      <c r="G1518" s="1382"/>
      <c r="H1518" s="1378">
        <f t="shared" si="156"/>
        <v>2317732910.8887601</v>
      </c>
      <c r="I1518" s="1383">
        <f>288569348.15319+1820629361.78712</f>
        <v>2109198709.94031</v>
      </c>
      <c r="L1518" s="1384">
        <f t="shared" si="142"/>
        <v>956521511.39872932</v>
      </c>
      <c r="M1518" s="1381">
        <f t="shared" si="143"/>
        <v>-208534200.94845009</v>
      </c>
      <c r="N1518" s="1538"/>
    </row>
    <row r="1519" spans="1:14" ht="12.65" customHeight="1">
      <c r="A1519" s="33">
        <f t="shared" si="138"/>
        <v>45198</v>
      </c>
      <c r="B1519" s="46">
        <f t="shared" si="155"/>
        <v>15495307785.768801</v>
      </c>
      <c r="C1519" s="56">
        <f>1077281729.50727+10903708488.2997</f>
        <v>11980990217.806971</v>
      </c>
      <c r="F1519" s="45">
        <f t="shared" si="141"/>
        <v>-3514317567.9618301</v>
      </c>
      <c r="H1519" s="46">
        <f t="shared" si="156"/>
        <v>2317732910.8887601</v>
      </c>
      <c r="I1519" s="50">
        <f>359417398.71452+1968662604.0047</f>
        <v>2328080002.7192202</v>
      </c>
      <c r="L1519" s="44">
        <f t="shared" si="142"/>
        <v>-3503970476.1313701</v>
      </c>
      <c r="M1519" s="45">
        <f t="shared" si="143"/>
        <v>10347091.830460072</v>
      </c>
    </row>
    <row r="1520" spans="1:14" s="1380" customFormat="1" ht="12.65" customHeight="1">
      <c r="A1520" s="1377">
        <v>45199</v>
      </c>
      <c r="B1520" s="1378">
        <f t="shared" si="155"/>
        <v>15495307785.768801</v>
      </c>
      <c r="C1520" s="1379">
        <f>1077281729.50727+10903708488.2997</f>
        <v>11980990217.806971</v>
      </c>
      <c r="F1520" s="1381">
        <f t="shared" ref="F1520" si="157">C1520-B1520</f>
        <v>-3514317567.9618301</v>
      </c>
      <c r="G1520" s="1382"/>
      <c r="H1520" s="1378">
        <f t="shared" si="156"/>
        <v>2317732910.8887601</v>
      </c>
      <c r="I1520" s="1383">
        <f>359417398.71452+1968662604.0047</f>
        <v>2328080002.7192202</v>
      </c>
      <c r="L1520" s="1384">
        <f t="shared" ref="L1520" si="158">F1520+M1520</f>
        <v>-3503970476.1313701</v>
      </c>
      <c r="M1520" s="1381">
        <f t="shared" ref="M1520" si="159">I1520-H1520</f>
        <v>10347091.830460072</v>
      </c>
      <c r="N1520" s="1538"/>
    </row>
    <row r="1521" spans="1:13" ht="12.65" customHeight="1">
      <c r="A1521" s="33">
        <f>WORKDAY(A1519,1)</f>
        <v>45201</v>
      </c>
      <c r="B1521" s="46">
        <f>15765313880.5234</f>
        <v>15765313880.523399</v>
      </c>
      <c r="C1521" s="56">
        <f>16798602841.6034+1078546564.25385</f>
        <v>17877149405.85725</v>
      </c>
      <c r="F1521" s="45">
        <f t="shared" si="141"/>
        <v>2111835525.3338509</v>
      </c>
      <c r="H1521" s="46">
        <f>1829568922.70665</f>
        <v>1829568922.70665</v>
      </c>
      <c r="I1521" s="50">
        <f>2496058794.11078+284727621.81382</f>
        <v>2780786415.9245996</v>
      </c>
      <c r="L1521" s="44">
        <f t="shared" si="142"/>
        <v>3063053018.5518007</v>
      </c>
      <c r="M1521" s="45">
        <f t="shared" si="143"/>
        <v>951217493.21794963</v>
      </c>
    </row>
    <row r="1522" spans="1:13" ht="12.65" customHeight="1">
      <c r="A1522" s="33">
        <f t="shared" si="138"/>
        <v>45202</v>
      </c>
      <c r="B1522" s="46">
        <f t="shared" ref="B1522:B1530" si="160">15765313880.5234</f>
        <v>15765313880.523399</v>
      </c>
      <c r="C1522" s="56">
        <f>1310492113.54275+17138218732.6942</f>
        <v>18448710846.23695</v>
      </c>
      <c r="F1522" s="45">
        <f t="shared" si="141"/>
        <v>2683396965.7135506</v>
      </c>
      <c r="H1522" s="46">
        <f t="shared" ref="H1522:H1530" si="161">1829568922.70665</f>
        <v>1829568922.70665</v>
      </c>
      <c r="I1522" s="50">
        <f>298604942.29101+2970635882.69209</f>
        <v>3269240824.9830999</v>
      </c>
      <c r="L1522" s="44">
        <f t="shared" si="142"/>
        <v>4123068867.9900007</v>
      </c>
      <c r="M1522" s="45">
        <f t="shared" si="143"/>
        <v>1439671902.2764499</v>
      </c>
    </row>
    <row r="1523" spans="1:13" ht="12.65" customHeight="1">
      <c r="A1523" s="33">
        <f t="shared" si="138"/>
        <v>45203</v>
      </c>
      <c r="B1523" s="46">
        <f t="shared" si="160"/>
        <v>15765313880.523399</v>
      </c>
      <c r="C1523" s="56">
        <f>16752573051.514+1044702225.65656</f>
        <v>17797275277.170559</v>
      </c>
      <c r="F1523" s="45">
        <f t="shared" si="141"/>
        <v>2031961396.6471596</v>
      </c>
      <c r="H1523" s="46">
        <f t="shared" si="161"/>
        <v>1829568922.70665</v>
      </c>
      <c r="I1523" s="50">
        <f>2858345405.84987+314457586.68374</f>
        <v>3172802992.5336103</v>
      </c>
      <c r="L1523" s="44">
        <f t="shared" si="142"/>
        <v>3375195466.4741201</v>
      </c>
      <c r="M1523" s="45">
        <f t="shared" si="143"/>
        <v>1343234069.8269603</v>
      </c>
    </row>
    <row r="1524" spans="1:13" ht="12.65" customHeight="1">
      <c r="A1524" s="33">
        <f t="shared" ref="A1524:A1587" si="162">WORKDAY(A1523,1)</f>
        <v>45204</v>
      </c>
      <c r="B1524" s="46">
        <f t="shared" si="160"/>
        <v>15765313880.523399</v>
      </c>
      <c r="C1524" s="56">
        <f>1315091479.74381+12225979330.8695</f>
        <v>13541070810.61331</v>
      </c>
      <c r="F1524" s="45">
        <f t="shared" si="141"/>
        <v>-2224243069.9100895</v>
      </c>
      <c r="H1524" s="46">
        <f t="shared" si="161"/>
        <v>1829568922.70665</v>
      </c>
      <c r="I1524" s="50">
        <f>288976481.32937+2448707046.67749</f>
        <v>2737683528.0068603</v>
      </c>
      <c r="L1524" s="44">
        <f t="shared" si="142"/>
        <v>-1316128464.6098793</v>
      </c>
      <c r="M1524" s="45">
        <f>I1524-H1524</f>
        <v>908114605.30021024</v>
      </c>
    </row>
    <row r="1525" spans="1:13" ht="12.65" customHeight="1">
      <c r="A1525" s="33">
        <f t="shared" si="162"/>
        <v>45205</v>
      </c>
      <c r="B1525" s="46">
        <f t="shared" si="160"/>
        <v>15765313880.523399</v>
      </c>
      <c r="C1525" s="56">
        <f>1040899455.10271+13811087527.1403</f>
        <v>14851986982.243011</v>
      </c>
      <c r="F1525" s="45">
        <f>C1525-B1525</f>
        <v>-913326898.28038788</v>
      </c>
      <c r="H1525" s="46">
        <f t="shared" si="161"/>
        <v>1829568922.70665</v>
      </c>
      <c r="I1525" s="50">
        <f>342097533.74036+2601995044.88766</f>
        <v>2944092578.6280203</v>
      </c>
      <c r="L1525" s="44">
        <f t="shared" si="142"/>
        <v>201196757.64098239</v>
      </c>
      <c r="M1525" s="45">
        <f t="shared" si="143"/>
        <v>1114523655.9213703</v>
      </c>
    </row>
    <row r="1526" spans="1:13" ht="12.65" customHeight="1">
      <c r="A1526" s="33">
        <f t="shared" si="162"/>
        <v>45208</v>
      </c>
      <c r="B1526" s="46">
        <f t="shared" si="160"/>
        <v>15765313880.523399</v>
      </c>
      <c r="C1526" s="56">
        <f>15805670759.7472+914130771.12706</f>
        <v>16719801530.87426</v>
      </c>
      <c r="F1526" s="45">
        <f t="shared" si="141"/>
        <v>954487650.3508606</v>
      </c>
      <c r="H1526" s="46">
        <f t="shared" si="161"/>
        <v>1829568922.70665</v>
      </c>
      <c r="I1526" s="50">
        <f>2629806472.68545+297311142.34806</f>
        <v>2927117615.0335102</v>
      </c>
      <c r="L1526" s="44">
        <f t="shared" si="142"/>
        <v>2052036342.6777208</v>
      </c>
      <c r="M1526" s="45">
        <f t="shared" si="143"/>
        <v>1097548692.3268602</v>
      </c>
    </row>
    <row r="1527" spans="1:13" ht="12.65" customHeight="1">
      <c r="A1527" s="33">
        <f t="shared" si="162"/>
        <v>45209</v>
      </c>
      <c r="B1527" s="46">
        <f t="shared" si="160"/>
        <v>15765313880.523399</v>
      </c>
      <c r="C1527" s="56">
        <f>16614270700.86+1115684183.71187</f>
        <v>17729954884.571869</v>
      </c>
      <c r="F1527" s="45">
        <f t="shared" si="141"/>
        <v>1964641004.0484695</v>
      </c>
      <c r="H1527" s="46">
        <f t="shared" si="161"/>
        <v>1829568922.70665</v>
      </c>
      <c r="I1527" s="50">
        <f>1442060885.72469+297805536.38454</f>
        <v>1739866422.10923</v>
      </c>
      <c r="L1527" s="44">
        <f t="shared" si="142"/>
        <v>1874938503.4510496</v>
      </c>
      <c r="M1527" s="45">
        <f t="shared" si="143"/>
        <v>-89702500.597419977</v>
      </c>
    </row>
    <row r="1528" spans="1:13" ht="12.65" customHeight="1">
      <c r="A1528" s="33">
        <f t="shared" si="162"/>
        <v>45210</v>
      </c>
      <c r="B1528" s="46">
        <f t="shared" si="160"/>
        <v>15765313880.523399</v>
      </c>
      <c r="C1528" s="56">
        <f>12812221653.9719+873825041.98011</f>
        <v>13686046695.952011</v>
      </c>
      <c r="F1528" s="45">
        <f t="shared" ref="F1528:F1591" si="163">C1528-B1528</f>
        <v>-2079267184.5713882</v>
      </c>
      <c r="H1528" s="46">
        <f t="shared" si="161"/>
        <v>1829568922.70665</v>
      </c>
      <c r="I1528" s="50">
        <f>1513201858.76044+290332145.91543</f>
        <v>1803534004.6758702</v>
      </c>
      <c r="L1528" s="44">
        <f t="shared" ref="L1528:L1564" si="164">F1528+M1528</f>
        <v>-2105302102.6021681</v>
      </c>
      <c r="M1528" s="45">
        <f t="shared" ref="M1528:M1564" si="165">I1528-H1528</f>
        <v>-26034918.030779839</v>
      </c>
    </row>
    <row r="1529" spans="1:13" ht="12.65" customHeight="1">
      <c r="A1529" s="33">
        <f t="shared" si="162"/>
        <v>45211</v>
      </c>
      <c r="B1529" s="46">
        <f t="shared" si="160"/>
        <v>15765313880.523399</v>
      </c>
      <c r="C1529" s="56">
        <f>14773195837.3252+1011457438.23403</f>
        <v>15784653275.559229</v>
      </c>
      <c r="F1529" s="45">
        <f t="shared" si="163"/>
        <v>19339395.035829544</v>
      </c>
      <c r="H1529" s="46">
        <f t="shared" si="161"/>
        <v>1829568922.70665</v>
      </c>
      <c r="I1529" s="50">
        <f>898810893.22846+295357343.84952</f>
        <v>1194168237.07798</v>
      </c>
      <c r="L1529" s="44">
        <f t="shared" si="164"/>
        <v>-616061290.59284043</v>
      </c>
      <c r="M1529" s="45">
        <f t="shared" si="165"/>
        <v>-635400685.62866998</v>
      </c>
    </row>
    <row r="1530" spans="1:13" ht="12.65" customHeight="1">
      <c r="A1530" s="33">
        <f t="shared" si="162"/>
        <v>45212</v>
      </c>
      <c r="B1530" s="46">
        <f t="shared" si="160"/>
        <v>15765313880.523399</v>
      </c>
      <c r="C1530" s="56">
        <f>1178511105.71381+11896014212.804</f>
        <v>13074525318.517811</v>
      </c>
      <c r="F1530" s="45">
        <f t="shared" si="163"/>
        <v>-2690788562.0055885</v>
      </c>
      <c r="H1530" s="46">
        <f t="shared" si="161"/>
        <v>1829568922.70665</v>
      </c>
      <c r="I1530" s="50">
        <f>349403077.08496+825278845.8908</f>
        <v>1174681922.97576</v>
      </c>
      <c r="L1530" s="44">
        <f t="shared" si="164"/>
        <v>-3345675561.7364788</v>
      </c>
      <c r="M1530" s="45">
        <f t="shared" si="165"/>
        <v>-654886999.73089004</v>
      </c>
    </row>
    <row r="1531" spans="1:13" ht="12.65" customHeight="1">
      <c r="A1531" s="33">
        <f t="shared" si="162"/>
        <v>45215</v>
      </c>
      <c r="B1531" s="46">
        <f>15600463695.6686</f>
        <v>15600463695.6686</v>
      </c>
      <c r="C1531" s="56">
        <f>12325546568.3465+979456073.02231</f>
        <v>13305002641.368811</v>
      </c>
      <c r="F1531" s="45">
        <f t="shared" si="163"/>
        <v>-2295461054.2997894</v>
      </c>
      <c r="H1531" s="46">
        <f>1836783439.35272</f>
        <v>1836783439.35272</v>
      </c>
      <c r="I1531" s="50">
        <f>1444035093.0853+299815657.35293</f>
        <v>1743850750.43823</v>
      </c>
      <c r="L1531" s="44">
        <f t="shared" si="164"/>
        <v>-2388393743.2142792</v>
      </c>
      <c r="M1531" s="45">
        <f t="shared" si="165"/>
        <v>-92932688.914489985</v>
      </c>
    </row>
    <row r="1532" spans="1:13" ht="12.65" customHeight="1">
      <c r="A1532" s="33">
        <f t="shared" si="162"/>
        <v>45216</v>
      </c>
      <c r="B1532" s="46">
        <f t="shared" ref="B1532:B1542" si="166">15600463695.6686</f>
        <v>15600463695.6686</v>
      </c>
      <c r="C1532" s="56">
        <f>14208350033.8465+1112597261.92299</f>
        <v>15320947295.769491</v>
      </c>
      <c r="F1532" s="45">
        <f t="shared" si="163"/>
        <v>-279516399.89910889</v>
      </c>
      <c r="H1532" s="46">
        <f t="shared" ref="H1532:H1542" si="167">1836783439.35272</f>
        <v>1836783439.35272</v>
      </c>
      <c r="I1532" s="50">
        <f>1476830864.29841+309553258.20005</f>
        <v>1786384122.4984598</v>
      </c>
      <c r="L1532" s="44">
        <f t="shared" si="164"/>
        <v>-329915716.75336909</v>
      </c>
      <c r="M1532" s="45">
        <f t="shared" si="165"/>
        <v>-50399316.854260206</v>
      </c>
    </row>
    <row r="1533" spans="1:13" ht="12.65" customHeight="1">
      <c r="A1533" s="33">
        <f t="shared" si="162"/>
        <v>45217</v>
      </c>
      <c r="B1533" s="46">
        <f t="shared" si="166"/>
        <v>15600463695.6686</v>
      </c>
      <c r="C1533" s="56">
        <f>1246316013.91274+16063891190.6879</f>
        <v>17310207204.600639</v>
      </c>
      <c r="F1533" s="45">
        <f t="shared" si="163"/>
        <v>1709743508.9320393</v>
      </c>
      <c r="H1533" s="46">
        <f t="shared" si="167"/>
        <v>1836783439.35272</v>
      </c>
      <c r="I1533" s="50">
        <f>260387437.08744+2402106554.39141</f>
        <v>2662493991.4788499</v>
      </c>
      <c r="L1533" s="44">
        <f t="shared" si="164"/>
        <v>2535454061.0581694</v>
      </c>
      <c r="M1533" s="45">
        <f t="shared" si="165"/>
        <v>825710552.12612987</v>
      </c>
    </row>
    <row r="1534" spans="1:13" ht="12.65" customHeight="1">
      <c r="A1534" s="33">
        <f t="shared" si="162"/>
        <v>45218</v>
      </c>
      <c r="B1534" s="46">
        <f t="shared" si="166"/>
        <v>15600463695.6686</v>
      </c>
      <c r="C1534" s="56">
        <f>868660490.15021+16256841122.1866</f>
        <v>17125501612.336809</v>
      </c>
      <c r="F1534" s="45">
        <f t="shared" si="163"/>
        <v>1525037916.6682091</v>
      </c>
      <c r="H1534" s="46">
        <f t="shared" si="167"/>
        <v>1836783439.35272</v>
      </c>
      <c r="I1534" s="50">
        <f>297681411.78657+2077307287.43334</f>
        <v>2374988699.2199101</v>
      </c>
      <c r="L1534" s="44">
        <f t="shared" si="164"/>
        <v>2063243176.5353992</v>
      </c>
      <c r="M1534" s="45">
        <f t="shared" si="165"/>
        <v>538205259.86719012</v>
      </c>
    </row>
    <row r="1535" spans="1:13" ht="12.65" customHeight="1">
      <c r="A1535" s="33">
        <f t="shared" si="162"/>
        <v>45219</v>
      </c>
      <c r="B1535" s="46">
        <f t="shared" si="166"/>
        <v>15600463695.6686</v>
      </c>
      <c r="C1535" s="56">
        <f>1022011481.47968+16992805276.4305</f>
        <v>18014816757.910179</v>
      </c>
      <c r="F1535" s="45">
        <f t="shared" si="163"/>
        <v>2414353062.2415791</v>
      </c>
      <c r="H1535" s="46">
        <f t="shared" si="167"/>
        <v>1836783439.35272</v>
      </c>
      <c r="I1535" s="50">
        <f>384264060.46949+1569133034.76567</f>
        <v>1953397095.2351601</v>
      </c>
      <c r="L1535" s="44">
        <f t="shared" si="164"/>
        <v>2530966718.1240191</v>
      </c>
      <c r="M1535" s="45">
        <f t="shared" si="165"/>
        <v>116613655.88244009</v>
      </c>
    </row>
    <row r="1536" spans="1:13" ht="12.65" customHeight="1">
      <c r="A1536" s="33">
        <f t="shared" si="162"/>
        <v>45222</v>
      </c>
      <c r="B1536" s="46">
        <f t="shared" si="166"/>
        <v>15600463695.6686</v>
      </c>
      <c r="C1536" s="56">
        <f>15463672886.0916+950659975.43681</f>
        <v>16414332861.52841</v>
      </c>
      <c r="F1536" s="45">
        <f t="shared" si="163"/>
        <v>813869165.85980988</v>
      </c>
      <c r="H1536" s="46">
        <f t="shared" si="167"/>
        <v>1836783439.35272</v>
      </c>
      <c r="I1536" s="50">
        <f>1605550184.49405+267742467.56087</f>
        <v>1873292652.05492</v>
      </c>
      <c r="L1536" s="44">
        <f t="shared" si="164"/>
        <v>850378378.56200981</v>
      </c>
      <c r="M1536" s="45">
        <f t="shared" si="165"/>
        <v>36509212.702199936</v>
      </c>
    </row>
    <row r="1537" spans="1:13" ht="12.65" customHeight="1">
      <c r="A1537" s="33">
        <f t="shared" si="162"/>
        <v>45223</v>
      </c>
      <c r="B1537" s="46">
        <f t="shared" si="166"/>
        <v>15600463695.6686</v>
      </c>
      <c r="C1537" s="56">
        <f>16157004091.2447+1129046208.79782</f>
        <v>17286050300.042519</v>
      </c>
      <c r="F1537" s="45">
        <f t="shared" si="163"/>
        <v>1685586604.3739185</v>
      </c>
      <c r="H1537" s="46">
        <f t="shared" si="167"/>
        <v>1836783439.35272</v>
      </c>
      <c r="I1537" s="50">
        <f>1481786732.68558+298567482.50884</f>
        <v>1780354215.1944201</v>
      </c>
      <c r="L1537" s="44">
        <f t="shared" si="164"/>
        <v>1629157380.2156186</v>
      </c>
      <c r="M1537" s="45">
        <f t="shared" si="165"/>
        <v>-56429224.158299923</v>
      </c>
    </row>
    <row r="1538" spans="1:13" ht="12.65" customHeight="1">
      <c r="A1538" s="33">
        <f t="shared" si="162"/>
        <v>45224</v>
      </c>
      <c r="B1538" s="46">
        <f t="shared" si="166"/>
        <v>15600463695.6686</v>
      </c>
      <c r="C1538" s="56">
        <f>949303989.87842+15334076696.0577</f>
        <v>16283380685.936119</v>
      </c>
      <c r="F1538" s="45">
        <f t="shared" si="163"/>
        <v>682916990.267519</v>
      </c>
      <c r="H1538" s="46">
        <f t="shared" si="167"/>
        <v>1836783439.35272</v>
      </c>
      <c r="I1538" s="50">
        <f>349057486.62883+1438182245.91375</f>
        <v>1787239732.5425799</v>
      </c>
      <c r="L1538" s="44">
        <f t="shared" si="164"/>
        <v>633373283.45737886</v>
      </c>
      <c r="M1538" s="45">
        <f t="shared" si="165"/>
        <v>-49543706.810140133</v>
      </c>
    </row>
    <row r="1539" spans="1:13" ht="12.65" customHeight="1">
      <c r="A1539" s="33">
        <f t="shared" si="162"/>
        <v>45225</v>
      </c>
      <c r="B1539" s="46">
        <f t="shared" si="166"/>
        <v>15600463695.6686</v>
      </c>
      <c r="C1539" s="56">
        <f>1214169328.24581+14707482605.963</f>
        <v>15921651934.208809</v>
      </c>
      <c r="F1539" s="45">
        <f t="shared" si="163"/>
        <v>321188238.54020882</v>
      </c>
      <c r="H1539" s="46">
        <f t="shared" si="167"/>
        <v>1836783439.35272</v>
      </c>
      <c r="I1539" s="50">
        <f>295347024.00007+1507843975.66668</f>
        <v>1803190999.66675</v>
      </c>
      <c r="L1539" s="44">
        <f t="shared" si="164"/>
        <v>287595798.85423875</v>
      </c>
      <c r="M1539" s="45">
        <f t="shared" si="165"/>
        <v>-33592439.685970068</v>
      </c>
    </row>
    <row r="1540" spans="1:13" ht="12.65" customHeight="1">
      <c r="A1540" s="33">
        <f t="shared" si="162"/>
        <v>45226</v>
      </c>
      <c r="B1540" s="46">
        <f t="shared" si="166"/>
        <v>15600463695.6686</v>
      </c>
      <c r="C1540" s="56">
        <f>1048975625.59226+14061770878.2407</f>
        <v>15110746503.83296</v>
      </c>
      <c r="F1540" s="45">
        <f t="shared" si="163"/>
        <v>-489717191.83563995</v>
      </c>
      <c r="H1540" s="46">
        <f t="shared" si="167"/>
        <v>1836783439.35272</v>
      </c>
      <c r="I1540" s="50">
        <f>364455062.02006+1200237753.61851</f>
        <v>1564692815.6385701</v>
      </c>
      <c r="L1540" s="44">
        <f t="shared" si="164"/>
        <v>-761807815.54978991</v>
      </c>
      <c r="M1540" s="45">
        <f t="shared" si="165"/>
        <v>-272090623.71414995</v>
      </c>
    </row>
    <row r="1541" spans="1:13" ht="12.65" customHeight="1">
      <c r="A1541" s="33">
        <f t="shared" si="162"/>
        <v>45229</v>
      </c>
      <c r="B1541" s="46">
        <f t="shared" si="166"/>
        <v>15600463695.6686</v>
      </c>
      <c r="C1541" s="56">
        <f>1049526774.8085+14380261363.5313</f>
        <v>15429788138.3398</v>
      </c>
      <c r="F1541" s="45">
        <f t="shared" si="163"/>
        <v>-170675557.3288002</v>
      </c>
      <c r="H1541" s="46">
        <f t="shared" si="167"/>
        <v>1836783439.35272</v>
      </c>
      <c r="I1541" s="50">
        <f>288900760.13787+1483595645.71471</f>
        <v>1772496405.8525801</v>
      </c>
      <c r="L1541" s="44">
        <f t="shared" si="164"/>
        <v>-234962590.82894015</v>
      </c>
      <c r="M1541" s="45">
        <f t="shared" si="165"/>
        <v>-64287033.500139952</v>
      </c>
    </row>
    <row r="1542" spans="1:13" ht="12.65" customHeight="1">
      <c r="A1542" s="33">
        <f t="shared" si="162"/>
        <v>45230</v>
      </c>
      <c r="B1542" s="46">
        <f t="shared" si="166"/>
        <v>15600463695.6686</v>
      </c>
      <c r="C1542" s="56">
        <f>826256983.4775+10605717234.4908</f>
        <v>11431974217.9683</v>
      </c>
      <c r="F1542" s="45">
        <f t="shared" si="163"/>
        <v>-4168489477.7003002</v>
      </c>
      <c r="H1542" s="46">
        <f t="shared" si="167"/>
        <v>1836783439.35272</v>
      </c>
      <c r="I1542" s="50">
        <f>272593675.90837+1069226860.28765</f>
        <v>1341820536.1960201</v>
      </c>
      <c r="L1542" s="44">
        <f t="shared" si="164"/>
        <v>-4663452380.8570004</v>
      </c>
      <c r="M1542" s="45">
        <f t="shared" si="165"/>
        <v>-494962903.1566999</v>
      </c>
    </row>
    <row r="1543" spans="1:13" ht="12.65" customHeight="1">
      <c r="A1543" s="33">
        <f t="shared" si="162"/>
        <v>45231</v>
      </c>
      <c r="B1543" s="46">
        <f>15371804171.1153</f>
        <v>15371804171.115299</v>
      </c>
      <c r="C1543" s="57">
        <f>782578388.15355+15058735139.6333</f>
        <v>15841313527.78685</v>
      </c>
      <c r="F1543" s="45">
        <f t="shared" si="163"/>
        <v>469509356.67155075</v>
      </c>
      <c r="H1543" s="46">
        <f>1740813253.75223</f>
        <v>1740813253.7522299</v>
      </c>
      <c r="I1543" s="2017">
        <f>277061934.525+1717948881.94252</f>
        <v>1995010816.4675198</v>
      </c>
      <c r="L1543" s="44">
        <f t="shared" si="164"/>
        <v>723706919.38684058</v>
      </c>
      <c r="M1543" s="45">
        <f t="shared" si="165"/>
        <v>254197562.71528983</v>
      </c>
    </row>
    <row r="1544" spans="1:13" ht="12.65" customHeight="1">
      <c r="A1544" s="33">
        <f t="shared" si="162"/>
        <v>45232</v>
      </c>
      <c r="B1544" s="46">
        <f t="shared" ref="B1544:B1553" si="168">15371804171.1153</f>
        <v>15371804171.115299</v>
      </c>
      <c r="C1544" s="56">
        <f>1057703477.18702+15674541080.1236</f>
        <v>16732244557.310619</v>
      </c>
      <c r="F1544" s="45">
        <f t="shared" si="163"/>
        <v>1360440386.1953201</v>
      </c>
      <c r="H1544" s="46">
        <f t="shared" ref="H1544:H1553" si="169">1740813253.75223</f>
        <v>1740813253.7522299</v>
      </c>
      <c r="I1544" s="50">
        <f>289410285.08075+1853889233.6629</f>
        <v>2143299518.74365</v>
      </c>
      <c r="L1544" s="44">
        <f t="shared" si="164"/>
        <v>1762926651.1867402</v>
      </c>
      <c r="M1544" s="45">
        <f t="shared" si="165"/>
        <v>402486264.99142003</v>
      </c>
    </row>
    <row r="1545" spans="1:13" ht="12.65" customHeight="1">
      <c r="A1545" s="33">
        <f t="shared" si="162"/>
        <v>45233</v>
      </c>
      <c r="B1545" s="46">
        <f t="shared" si="168"/>
        <v>15371804171.115299</v>
      </c>
      <c r="C1545" s="56">
        <f>1006765549.22379+13922032092.3756</f>
        <v>14928797641.59939</v>
      </c>
      <c r="F1545" s="45">
        <f t="shared" si="163"/>
        <v>-443006529.51590919</v>
      </c>
      <c r="H1545" s="46">
        <f t="shared" si="169"/>
        <v>1740813253.7522299</v>
      </c>
      <c r="I1545" s="50">
        <f>356650958.66667+1120789532.27515</f>
        <v>1477440490.9418201</v>
      </c>
      <c r="L1545" s="44">
        <f t="shared" si="164"/>
        <v>-706379292.32631898</v>
      </c>
      <c r="M1545" s="45">
        <f t="shared" si="165"/>
        <v>-263372762.81040978</v>
      </c>
    </row>
    <row r="1546" spans="1:13" ht="12.65" customHeight="1">
      <c r="A1546" s="33">
        <f t="shared" si="162"/>
        <v>45236</v>
      </c>
      <c r="B1546" s="46">
        <f t="shared" si="168"/>
        <v>15371804171.115299</v>
      </c>
      <c r="C1546" s="56">
        <f>15295618783.6299+1128593209.58852</f>
        <v>16424211993.21842</v>
      </c>
      <c r="F1546" s="45">
        <f t="shared" si="163"/>
        <v>1052407822.1031208</v>
      </c>
      <c r="H1546" s="46">
        <f t="shared" si="169"/>
        <v>1740813253.7522299</v>
      </c>
      <c r="I1546" s="50">
        <f>1769202551.7356+302073755.26365</f>
        <v>2071276306.9992499</v>
      </c>
      <c r="L1546" s="44">
        <f t="shared" si="164"/>
        <v>1382870875.3501408</v>
      </c>
      <c r="M1546" s="45">
        <f t="shared" si="165"/>
        <v>330463053.24702001</v>
      </c>
    </row>
    <row r="1547" spans="1:13" ht="12.65" customHeight="1">
      <c r="A1547" s="33">
        <f t="shared" si="162"/>
        <v>45237</v>
      </c>
      <c r="B1547" s="46">
        <f t="shared" si="168"/>
        <v>15371804171.115299</v>
      </c>
      <c r="C1547" s="56">
        <f>14872781586.3117+969039749.74516</f>
        <v>15841821336.05686</v>
      </c>
      <c r="F1547" s="45">
        <f t="shared" si="163"/>
        <v>470017164.94156075</v>
      </c>
      <c r="H1547" s="46">
        <f t="shared" si="169"/>
        <v>1740813253.7522299</v>
      </c>
      <c r="I1547" s="50">
        <f>1774969207.02061+305759697.1672</f>
        <v>2080728904.1878102</v>
      </c>
      <c r="L1547" s="44">
        <f t="shared" si="164"/>
        <v>809932815.377141</v>
      </c>
      <c r="M1547" s="45">
        <f t="shared" si="165"/>
        <v>339915650.43558025</v>
      </c>
    </row>
    <row r="1548" spans="1:13" ht="12.65" customHeight="1">
      <c r="A1548" s="33">
        <f t="shared" si="162"/>
        <v>45238</v>
      </c>
      <c r="B1548" s="46">
        <f t="shared" si="168"/>
        <v>15371804171.115299</v>
      </c>
      <c r="C1548" s="56">
        <f>14400282241.1579+1200175647.27497</f>
        <v>15600457888.432869</v>
      </c>
      <c r="F1548" s="45">
        <f t="shared" si="163"/>
        <v>228653717.31756973</v>
      </c>
      <c r="H1548" s="46">
        <f t="shared" si="169"/>
        <v>1740813253.7522299</v>
      </c>
      <c r="I1548" s="50">
        <f>1786834388.86953+314783684.40173</f>
        <v>2101618073.27126</v>
      </c>
      <c r="L1548" s="44">
        <f t="shared" si="164"/>
        <v>589458536.83659983</v>
      </c>
      <c r="M1548" s="45">
        <f t="shared" si="165"/>
        <v>360804819.51903009</v>
      </c>
    </row>
    <row r="1549" spans="1:13" ht="12.65" customHeight="1">
      <c r="A1549" s="33">
        <f t="shared" si="162"/>
        <v>45239</v>
      </c>
      <c r="B1549" s="46">
        <f t="shared" si="168"/>
        <v>15371804171.115299</v>
      </c>
      <c r="C1549" s="56">
        <f>13675076517.3716+1013634025.43313</f>
        <v>14688710542.804729</v>
      </c>
      <c r="F1549" s="45">
        <f t="shared" si="163"/>
        <v>-683093628.31056976</v>
      </c>
      <c r="H1549" s="46">
        <f t="shared" si="169"/>
        <v>1740813253.7522299</v>
      </c>
      <c r="I1549" s="50">
        <f>1433640121.20495+315880628.50375</f>
        <v>1749520749.7087002</v>
      </c>
      <c r="L1549" s="44">
        <f t="shared" si="164"/>
        <v>-674386132.35409951</v>
      </c>
      <c r="M1549" s="45">
        <f t="shared" si="165"/>
        <v>8707495.9564702511</v>
      </c>
    </row>
    <row r="1550" spans="1:13" ht="12.65" customHeight="1">
      <c r="A1550" s="33">
        <f t="shared" si="162"/>
        <v>45240</v>
      </c>
      <c r="B1550" s="46">
        <f t="shared" si="168"/>
        <v>15371804171.115299</v>
      </c>
      <c r="C1550" s="56">
        <f>13483145974.2945+1243833783.32573</f>
        <v>14726979757.62023</v>
      </c>
      <c r="F1550" s="45">
        <f t="shared" si="163"/>
        <v>-644824413.4950695</v>
      </c>
      <c r="H1550" s="46">
        <f t="shared" si="169"/>
        <v>1740813253.7522299</v>
      </c>
      <c r="I1550" s="50">
        <f>1141814720.33649+360851730.45934</f>
        <v>1502666450.7958298</v>
      </c>
      <c r="L1550" s="44">
        <f t="shared" si="164"/>
        <v>-882971216.45146966</v>
      </c>
      <c r="M1550" s="45">
        <f t="shared" si="165"/>
        <v>-238146802.95640016</v>
      </c>
    </row>
    <row r="1551" spans="1:13" ht="12.65" customHeight="1">
      <c r="A1551" s="33">
        <f t="shared" si="162"/>
        <v>45243</v>
      </c>
      <c r="B1551" s="46">
        <f t="shared" si="168"/>
        <v>15371804171.115299</v>
      </c>
      <c r="C1551" s="56">
        <f>1033025850.6094+16393534528.6003</f>
        <v>17426560379.209702</v>
      </c>
      <c r="F1551" s="45">
        <f t="shared" si="163"/>
        <v>2054756208.0944023</v>
      </c>
      <c r="H1551" s="46">
        <f t="shared" si="169"/>
        <v>1740813253.7522299</v>
      </c>
      <c r="I1551" s="50">
        <f>274849222.72081+1138191110.85364</f>
        <v>1413040333.57445</v>
      </c>
      <c r="L1551" s="44">
        <f t="shared" si="164"/>
        <v>1726983287.9166224</v>
      </c>
      <c r="M1551" s="45">
        <f t="shared" si="165"/>
        <v>-327772920.17777991</v>
      </c>
    </row>
    <row r="1552" spans="1:13" ht="12.65" customHeight="1">
      <c r="A1552" s="33">
        <f t="shared" si="162"/>
        <v>45244</v>
      </c>
      <c r="B1552" s="46">
        <f t="shared" si="168"/>
        <v>15371804171.115299</v>
      </c>
      <c r="C1552" s="56">
        <f>941288503.19207+13090790314.545</f>
        <v>14032078817.73707</v>
      </c>
      <c r="F1552" s="45">
        <f t="shared" si="163"/>
        <v>-1339725353.3782291</v>
      </c>
      <c r="H1552" s="46">
        <f t="shared" si="169"/>
        <v>1740813253.7522299</v>
      </c>
      <c r="I1552" s="50">
        <f>306016636.41894+1107004275.42004</f>
        <v>1413020911.83898</v>
      </c>
      <c r="L1552" s="44">
        <f t="shared" si="164"/>
        <v>-1667517695.2914791</v>
      </c>
      <c r="M1552" s="45">
        <f t="shared" si="165"/>
        <v>-327792341.91324997</v>
      </c>
    </row>
    <row r="1553" spans="1:13" ht="12.65" customHeight="1">
      <c r="A1553" s="33">
        <f t="shared" si="162"/>
        <v>45245</v>
      </c>
      <c r="B1553" s="46">
        <f t="shared" si="168"/>
        <v>15371804171.115299</v>
      </c>
      <c r="C1553" s="56">
        <f>13229084643.9387+1131526879.44069</f>
        <v>14360611523.379391</v>
      </c>
      <c r="F1553" s="45">
        <f t="shared" si="163"/>
        <v>-1011192647.7359085</v>
      </c>
      <c r="H1553" s="46">
        <f t="shared" si="169"/>
        <v>1740813253.7522299</v>
      </c>
      <c r="I1553" s="50">
        <f>1199753407.7189+302613513.67368</f>
        <v>1502366921.39258</v>
      </c>
      <c r="L1553" s="44">
        <f t="shared" si="164"/>
        <v>-1249638980.0955584</v>
      </c>
      <c r="M1553" s="45">
        <f t="shared" si="165"/>
        <v>-238446332.3596499</v>
      </c>
    </row>
    <row r="1554" spans="1:13" ht="12.65" customHeight="1">
      <c r="A1554" s="33">
        <f t="shared" si="162"/>
        <v>45246</v>
      </c>
      <c r="B1554" s="46">
        <f>15285755872.3704</f>
        <v>15285755872.370399</v>
      </c>
      <c r="C1554" s="56">
        <f>16954649538.7536+979590111.69182</f>
        <v>17934239650.445419</v>
      </c>
      <c r="F1554" s="45">
        <f t="shared" si="163"/>
        <v>2648483778.0750198</v>
      </c>
      <c r="H1554" s="46">
        <f>1744144448.16945</f>
        <v>1744144448.16945</v>
      </c>
      <c r="I1554" s="50">
        <f>1741777728.16732+317429536.062</f>
        <v>2059207264.22932</v>
      </c>
      <c r="L1554" s="44">
        <f t="shared" si="164"/>
        <v>2963546594.1348896</v>
      </c>
      <c r="M1554" s="45">
        <f t="shared" si="165"/>
        <v>315062816.05987</v>
      </c>
    </row>
    <row r="1555" spans="1:13" ht="12.65" customHeight="1">
      <c r="A1555" s="33">
        <f t="shared" si="162"/>
        <v>45247</v>
      </c>
      <c r="B1555" s="46">
        <f t="shared" ref="B1555:B1564" si="170">15285755872.3704</f>
        <v>15285755872.370399</v>
      </c>
      <c r="C1555" s="56">
        <f>1206270900.43555+12194432435.9543</f>
        <v>13400703336.389851</v>
      </c>
      <c r="F1555" s="45">
        <f t="shared" si="163"/>
        <v>-1885052535.9805489</v>
      </c>
      <c r="H1555" s="46">
        <f t="shared" ref="H1555:H1564" si="171">1744144448.16945</f>
        <v>1744144448.16945</v>
      </c>
      <c r="I1555" s="50">
        <f>360493965.05134+1355173627.82569</f>
        <v>1715667592.8770299</v>
      </c>
      <c r="L1555" s="44">
        <f t="shared" si="164"/>
        <v>-1913529391.272969</v>
      </c>
      <c r="M1555" s="45">
        <f t="shared" si="165"/>
        <v>-28476855.292420149</v>
      </c>
    </row>
    <row r="1556" spans="1:13" ht="12.65" customHeight="1">
      <c r="A1556" s="33">
        <f t="shared" si="162"/>
        <v>45250</v>
      </c>
      <c r="B1556" s="46">
        <f t="shared" si="170"/>
        <v>15285755872.370399</v>
      </c>
      <c r="C1556" s="56">
        <f>13641102486.0968+787236786.04354</f>
        <v>14428339272.140339</v>
      </c>
      <c r="F1556" s="45">
        <f t="shared" si="163"/>
        <v>-857416600.23006058</v>
      </c>
      <c r="H1556" s="46">
        <f t="shared" si="171"/>
        <v>1744144448.16945</v>
      </c>
      <c r="I1556" s="50">
        <f>1232404339.29544+312661767.52142</f>
        <v>1545066106.81686</v>
      </c>
      <c r="L1556" s="44">
        <f t="shared" si="164"/>
        <v>-1056494941.5826507</v>
      </c>
      <c r="M1556" s="45">
        <f t="shared" si="165"/>
        <v>-199078341.35259008</v>
      </c>
    </row>
    <row r="1557" spans="1:13" ht="12.65" customHeight="1">
      <c r="A1557" s="33">
        <f t="shared" si="162"/>
        <v>45251</v>
      </c>
      <c r="B1557" s="46">
        <f t="shared" si="170"/>
        <v>15285755872.370399</v>
      </c>
      <c r="C1557" s="56">
        <f>15698238204.8431+778755525.07531</f>
        <v>16476993729.918409</v>
      </c>
      <c r="F1557" s="45">
        <f t="shared" si="163"/>
        <v>1191237857.5480099</v>
      </c>
      <c r="H1557" s="46">
        <f t="shared" si="171"/>
        <v>1744144448.16945</v>
      </c>
      <c r="I1557" s="50">
        <f>1549196570.74388+297446862.79103</f>
        <v>1846643433.53491</v>
      </c>
      <c r="L1557" s="44">
        <f t="shared" si="164"/>
        <v>1293736842.9134698</v>
      </c>
      <c r="M1557" s="45">
        <f t="shared" si="165"/>
        <v>102498985.36545992</v>
      </c>
    </row>
    <row r="1558" spans="1:13" ht="12.65" customHeight="1">
      <c r="A1558" s="33">
        <f t="shared" si="162"/>
        <v>45252</v>
      </c>
      <c r="B1558" s="46">
        <f t="shared" si="170"/>
        <v>15285755872.370399</v>
      </c>
      <c r="C1558" s="56">
        <f>839999324.22167+17581584670.6102</f>
        <v>18421583994.831867</v>
      </c>
      <c r="F1558" s="45">
        <f t="shared" si="163"/>
        <v>3135828122.4614677</v>
      </c>
      <c r="H1558" s="46">
        <f t="shared" si="171"/>
        <v>1744144448.16945</v>
      </c>
      <c r="I1558" s="50">
        <f>346080818.12303+1647654733.45919</f>
        <v>1993735551.5822198</v>
      </c>
      <c r="L1558" s="44">
        <f t="shared" si="164"/>
        <v>3385419225.8742375</v>
      </c>
      <c r="M1558" s="45">
        <f t="shared" si="165"/>
        <v>249591103.41276979</v>
      </c>
    </row>
    <row r="1559" spans="1:13" ht="12.65" customHeight="1">
      <c r="A1559" s="33">
        <f t="shared" si="162"/>
        <v>45253</v>
      </c>
      <c r="B1559" s="46">
        <f t="shared" si="170"/>
        <v>15285755872.370399</v>
      </c>
      <c r="C1559" s="56">
        <f>1072249025.44494+16562744242.9035</f>
        <v>17634993268.348438</v>
      </c>
      <c r="F1559" s="45">
        <f t="shared" si="163"/>
        <v>2349237395.9780388</v>
      </c>
      <c r="H1559" s="46">
        <f t="shared" si="171"/>
        <v>1744144448.16945</v>
      </c>
      <c r="I1559" s="50">
        <f>306153237.20715+1520106747.42773</f>
        <v>1826259984.6348801</v>
      </c>
      <c r="L1559" s="44">
        <f t="shared" si="164"/>
        <v>2431352932.443469</v>
      </c>
      <c r="M1559" s="45">
        <f t="shared" si="165"/>
        <v>82115536.465430021</v>
      </c>
    </row>
    <row r="1560" spans="1:13" ht="12.65" customHeight="1">
      <c r="A1560" s="33">
        <f t="shared" si="162"/>
        <v>45254</v>
      </c>
      <c r="B1560" s="46">
        <f t="shared" si="170"/>
        <v>15285755872.370399</v>
      </c>
      <c r="C1560" s="56">
        <f>12910238043.2215+1362831593.8539</f>
        <v>14273069637.075401</v>
      </c>
      <c r="F1560" s="45">
        <f t="shared" si="163"/>
        <v>-1012686235.2949982</v>
      </c>
      <c r="H1560" s="46">
        <f t="shared" si="171"/>
        <v>1744144448.16945</v>
      </c>
      <c r="I1560" s="50">
        <f>1252364205.51611+361372546.47741</f>
        <v>1613736751.99352</v>
      </c>
      <c r="L1560" s="44">
        <f t="shared" si="164"/>
        <v>-1143093931.4709282</v>
      </c>
      <c r="M1560" s="45">
        <f t="shared" si="165"/>
        <v>-130407696.17593002</v>
      </c>
    </row>
    <row r="1561" spans="1:13" ht="12.65" customHeight="1">
      <c r="A1561" s="33">
        <f t="shared" si="162"/>
        <v>45257</v>
      </c>
      <c r="B1561" s="46">
        <f t="shared" si="170"/>
        <v>15285755872.370399</v>
      </c>
      <c r="C1561" s="56">
        <f>14779690777.7855+1183951004.69499</f>
        <v>15963641782.48049</v>
      </c>
      <c r="F1561" s="45">
        <f t="shared" si="163"/>
        <v>677885910.11009026</v>
      </c>
      <c r="H1561" s="46">
        <f t="shared" si="171"/>
        <v>1744144448.16945</v>
      </c>
      <c r="I1561" s="50">
        <f>1350900453.77196+309403937.14154</f>
        <v>1660304390.9135001</v>
      </c>
      <c r="L1561" s="44">
        <f t="shared" si="164"/>
        <v>594045852.85414028</v>
      </c>
      <c r="M1561" s="45">
        <f t="shared" si="165"/>
        <v>-83840057.255949974</v>
      </c>
    </row>
    <row r="1562" spans="1:13" ht="12.65" customHeight="1">
      <c r="A1562" s="33">
        <f t="shared" si="162"/>
        <v>45258</v>
      </c>
      <c r="B1562" s="46">
        <f t="shared" si="170"/>
        <v>15285755872.370399</v>
      </c>
      <c r="C1562" s="56">
        <f>11920430679.3552+924273879.93652</f>
        <v>12844704559.291719</v>
      </c>
      <c r="F1562" s="45">
        <f t="shared" si="163"/>
        <v>-2441051313.07868</v>
      </c>
      <c r="H1562" s="46">
        <f t="shared" si="171"/>
        <v>1744144448.16945</v>
      </c>
      <c r="I1562" s="50">
        <f>1364088911.56028+324408641.04055</f>
        <v>1688497552.6008301</v>
      </c>
      <c r="L1562" s="44">
        <f t="shared" si="164"/>
        <v>-2496698208.6472998</v>
      </c>
      <c r="M1562" s="45">
        <f t="shared" si="165"/>
        <v>-55646895.568619967</v>
      </c>
    </row>
    <row r="1563" spans="1:13" ht="12.65" customHeight="1">
      <c r="A1563" s="33">
        <f t="shared" si="162"/>
        <v>45259</v>
      </c>
      <c r="B1563" s="46">
        <f t="shared" si="170"/>
        <v>15285755872.370399</v>
      </c>
      <c r="C1563" s="56">
        <f>16398103546.0213+1129041104.23342</f>
        <v>17527144650.254719</v>
      </c>
      <c r="F1563" s="45">
        <f t="shared" si="163"/>
        <v>2241388777.8843193</v>
      </c>
      <c r="H1563" s="46">
        <f t="shared" si="171"/>
        <v>1744144448.16945</v>
      </c>
      <c r="I1563" s="50">
        <f>1389780254.21995+317555085.29671</f>
        <v>1707335339.51666</v>
      </c>
      <c r="L1563" s="44">
        <f t="shared" si="164"/>
        <v>2204579669.2315292</v>
      </c>
      <c r="M1563" s="45">
        <f t="shared" si="165"/>
        <v>-36809108.65279007</v>
      </c>
    </row>
    <row r="1564" spans="1:13" ht="12.65" customHeight="1">
      <c r="A1564" s="33">
        <f t="shared" si="162"/>
        <v>45260</v>
      </c>
      <c r="B1564" s="46">
        <f t="shared" si="170"/>
        <v>15285755872.370399</v>
      </c>
      <c r="C1564" s="56">
        <f>9963846358.89473+953679915.89501</f>
        <v>10917526274.78974</v>
      </c>
      <c r="F1564" s="45">
        <f t="shared" si="163"/>
        <v>-4368229597.5806599</v>
      </c>
      <c r="H1564" s="46">
        <f t="shared" si="171"/>
        <v>1744144448.16945</v>
      </c>
      <c r="I1564" s="50">
        <f>1672862685.57528+309752016.94799</f>
        <v>1982614702.5232699</v>
      </c>
      <c r="L1564" s="44">
        <f t="shared" si="164"/>
        <v>-4129759343.22684</v>
      </c>
      <c r="M1564" s="45">
        <f t="shared" si="165"/>
        <v>238470254.35381985</v>
      </c>
    </row>
    <row r="1565" spans="1:13" ht="12.65" customHeight="1">
      <c r="A1565" s="33">
        <f t="shared" si="162"/>
        <v>45261</v>
      </c>
      <c r="B1565" s="46">
        <f>17039717189.5841</f>
        <v>17039717189.584101</v>
      </c>
      <c r="C1565" s="56">
        <f>13922256583.6411+1332654822.62418</f>
        <v>15254911406.26528</v>
      </c>
      <c r="F1565" s="45">
        <f t="shared" si="163"/>
        <v>-1784805783.318821</v>
      </c>
      <c r="H1565" s="46">
        <f>2774271530.24193</f>
        <v>2774271530.24193</v>
      </c>
      <c r="I1565" s="50">
        <f>1328829214.94907+367685145.9213</f>
        <v>1696514360.8703699</v>
      </c>
      <c r="L1565" s="44">
        <f t="shared" ref="L1565:L1629" si="172">F1565+M1565</f>
        <v>-2862562952.6903811</v>
      </c>
      <c r="M1565" s="45">
        <f t="shared" ref="M1565:M1629" si="173">I1565-H1565</f>
        <v>-1077757169.3715601</v>
      </c>
    </row>
    <row r="1566" spans="1:13" ht="12.65" customHeight="1">
      <c r="A1566" s="33">
        <f t="shared" si="162"/>
        <v>45264</v>
      </c>
      <c r="B1566" s="46">
        <f t="shared" ref="B1566:B1567" si="174">17039717189.5841</f>
        <v>17039717189.584101</v>
      </c>
      <c r="C1566" s="56">
        <f>1039541214.97306+16019373811.633</f>
        <v>17058915026.60606</v>
      </c>
      <c r="F1566" s="45">
        <f t="shared" si="163"/>
        <v>19197837.021959305</v>
      </c>
      <c r="H1566" s="46">
        <f t="shared" ref="H1566:H1567" si="175">2774271530.24193</f>
        <v>2774271530.24193</v>
      </c>
      <c r="I1566" s="50">
        <f>309816004.11449+2040835774.78939</f>
        <v>2350651778.9038801</v>
      </c>
      <c r="L1566" s="44">
        <f t="shared" si="172"/>
        <v>-404421914.31609058</v>
      </c>
      <c r="M1566" s="45">
        <f t="shared" si="173"/>
        <v>-423619751.33804989</v>
      </c>
    </row>
    <row r="1567" spans="1:13" ht="12.65" customHeight="1">
      <c r="A1567" s="33">
        <f t="shared" si="162"/>
        <v>45265</v>
      </c>
      <c r="B1567" s="46">
        <f t="shared" si="174"/>
        <v>17039717189.584101</v>
      </c>
      <c r="C1567" s="56">
        <f>974594906.75113+15371902368.411</f>
        <v>16346497275.162128</v>
      </c>
      <c r="F1567" s="45">
        <f t="shared" si="163"/>
        <v>-693219914.42197227</v>
      </c>
      <c r="H1567" s="46">
        <f t="shared" si="175"/>
        <v>2774271530.24193</v>
      </c>
      <c r="I1567" s="50">
        <f>306210008.83292+1310355916.83609</f>
        <v>1616565925.6690102</v>
      </c>
      <c r="L1567" s="44">
        <f t="shared" si="172"/>
        <v>-1850925518.9948921</v>
      </c>
      <c r="M1567" s="45">
        <f t="shared" si="173"/>
        <v>-1157705604.5729198</v>
      </c>
    </row>
    <row r="1568" spans="1:13" ht="12.65" customHeight="1">
      <c r="A1568" s="33">
        <f t="shared" si="162"/>
        <v>45266</v>
      </c>
      <c r="B1568" s="46">
        <f>15347532041.9408</f>
        <v>15347532041.9408</v>
      </c>
      <c r="C1568" s="56">
        <f>17646336729.9535+1203484498.43786</f>
        <v>18849821228.391357</v>
      </c>
      <c r="F1568" s="45">
        <f t="shared" si="163"/>
        <v>3502289186.4505577</v>
      </c>
      <c r="H1568" s="46">
        <f t="shared" ref="H1568:H1575" si="176">1775533779.35484</f>
        <v>1775533779.35484</v>
      </c>
      <c r="I1568" s="50">
        <f>1588092015.18155+320843853.80884</f>
        <v>1908935868.9903901</v>
      </c>
      <c r="L1568" s="44">
        <f t="shared" si="172"/>
        <v>3635691276.0861077</v>
      </c>
      <c r="M1568" s="45">
        <f t="shared" si="173"/>
        <v>133402089.63555002</v>
      </c>
    </row>
    <row r="1569" spans="1:14" ht="12.65" customHeight="1">
      <c r="A1569" s="33">
        <f t="shared" si="162"/>
        <v>45267</v>
      </c>
      <c r="B1569" s="46">
        <f t="shared" ref="B1569:B1575" si="177">15347532041.9408</f>
        <v>15347532041.9408</v>
      </c>
      <c r="C1569" s="56">
        <f>945939405.09061+15520425454.3877</f>
        <v>16466364859.47831</v>
      </c>
      <c r="F1569" s="45">
        <f t="shared" si="163"/>
        <v>1118832817.5375099</v>
      </c>
      <c r="H1569" s="46">
        <f t="shared" si="176"/>
        <v>1775533779.35484</v>
      </c>
      <c r="I1569" s="50">
        <f>312184378.57773+1532588884.70716</f>
        <v>1844773263.2848899</v>
      </c>
      <c r="L1569" s="44">
        <f t="shared" si="172"/>
        <v>1188072301.4675598</v>
      </c>
      <c r="M1569" s="45">
        <f t="shared" si="173"/>
        <v>69239483.930049896</v>
      </c>
    </row>
    <row r="1570" spans="1:14" ht="12.65" customHeight="1">
      <c r="A1570" s="33">
        <f t="shared" si="162"/>
        <v>45268</v>
      </c>
      <c r="B1570" s="46">
        <f t="shared" si="177"/>
        <v>15347532041.9408</v>
      </c>
      <c r="C1570" s="56">
        <f>20573949651.3803+1213738415.36135</f>
        <v>21787688066.74165</v>
      </c>
      <c r="F1570" s="45">
        <f t="shared" si="163"/>
        <v>6440156024.8008499</v>
      </c>
      <c r="H1570" s="46">
        <f t="shared" si="176"/>
        <v>1775533779.35484</v>
      </c>
      <c r="I1570" s="50">
        <f>1596795392.73717+404299410.67439</f>
        <v>2001094803.4115601</v>
      </c>
      <c r="L1570" s="44">
        <f t="shared" si="172"/>
        <v>6665717048.8575697</v>
      </c>
      <c r="M1570" s="45">
        <f t="shared" si="173"/>
        <v>225561024.05672002</v>
      </c>
    </row>
    <row r="1571" spans="1:14" ht="12.75" customHeight="1">
      <c r="A1571" s="33">
        <f t="shared" si="162"/>
        <v>45271</v>
      </c>
      <c r="B1571" s="46">
        <f t="shared" si="177"/>
        <v>15347532041.9408</v>
      </c>
      <c r="C1571" s="56">
        <f>1061367459.78226+12942721809.4902</f>
        <v>14004089269.272461</v>
      </c>
      <c r="F1571" s="45">
        <f t="shared" si="163"/>
        <v>-1343442772.6683388</v>
      </c>
      <c r="H1571" s="46">
        <f t="shared" si="176"/>
        <v>1775533779.35484</v>
      </c>
      <c r="I1571" s="50">
        <f>296802263.35026+1425787184.58633</f>
        <v>1722589447.93659</v>
      </c>
      <c r="L1571" s="44">
        <f t="shared" si="172"/>
        <v>-1396387104.0865889</v>
      </c>
      <c r="M1571" s="45">
        <f t="shared" si="173"/>
        <v>-52944331.418250084</v>
      </c>
    </row>
    <row r="1572" spans="1:14" ht="12.65" customHeight="1">
      <c r="A1572" s="33">
        <f t="shared" si="162"/>
        <v>45272</v>
      </c>
      <c r="B1572" s="46">
        <f t="shared" si="177"/>
        <v>15347532041.9408</v>
      </c>
      <c r="C1572" s="56">
        <f>986399656.97952+13710020100.2949</f>
        <v>14696419757.274422</v>
      </c>
      <c r="F1572" s="45">
        <f t="shared" si="163"/>
        <v>-651112284.66637802</v>
      </c>
      <c r="H1572" s="46">
        <f t="shared" si="176"/>
        <v>1775533779.35484</v>
      </c>
      <c r="I1572" s="50">
        <f>306121202.98016+1429835893.83965</f>
        <v>1735957096.8198099</v>
      </c>
      <c r="L1572" s="44">
        <f t="shared" si="172"/>
        <v>-690688967.20140815</v>
      </c>
      <c r="M1572" s="45">
        <f t="shared" si="173"/>
        <v>-39576682.535030127</v>
      </c>
    </row>
    <row r="1573" spans="1:14" ht="12.65" customHeight="1">
      <c r="A1573" s="33">
        <f t="shared" si="162"/>
        <v>45273</v>
      </c>
      <c r="B1573" s="46">
        <f t="shared" si="177"/>
        <v>15347532041.9408</v>
      </c>
      <c r="C1573" s="56">
        <f>885194442.36819+14062706710.1757</f>
        <v>14947901152.54389</v>
      </c>
      <c r="F1573" s="45">
        <f t="shared" si="163"/>
        <v>-399630889.39690971</v>
      </c>
      <c r="H1573" s="46">
        <f t="shared" si="176"/>
        <v>1775533779.35484</v>
      </c>
      <c r="I1573" s="50">
        <f>317660524.02711+1406479579.89215</f>
        <v>1724140103.91926</v>
      </c>
      <c r="L1573" s="44">
        <f t="shared" si="172"/>
        <v>-451024564.83248973</v>
      </c>
      <c r="M1573" s="45">
        <f t="shared" si="173"/>
        <v>-51393675.435580015</v>
      </c>
    </row>
    <row r="1574" spans="1:14" ht="12.65" customHeight="1">
      <c r="A1574" s="33">
        <f t="shared" si="162"/>
        <v>45274</v>
      </c>
      <c r="B1574" s="46">
        <f t="shared" si="177"/>
        <v>15347532041.9408</v>
      </c>
      <c r="C1574" s="56">
        <f>12336328035.2271+1141365241.62112</f>
        <v>13477693276.848221</v>
      </c>
      <c r="F1574" s="45">
        <f t="shared" si="163"/>
        <v>-1869838765.0925789</v>
      </c>
      <c r="H1574" s="46">
        <f t="shared" si="176"/>
        <v>1775533779.35484</v>
      </c>
      <c r="I1574" s="50">
        <f>1446617002.59888+309807185.80157</f>
        <v>1756424188.40045</v>
      </c>
      <c r="L1574" s="44">
        <f t="shared" si="172"/>
        <v>-1888948356.0469689</v>
      </c>
      <c r="M1574" s="45">
        <f t="shared" si="173"/>
        <v>-19109590.954390049</v>
      </c>
    </row>
    <row r="1575" spans="1:14" ht="12.65" customHeight="1">
      <c r="A1575" s="33">
        <f t="shared" si="162"/>
        <v>45275</v>
      </c>
      <c r="B1575" s="46">
        <f t="shared" si="177"/>
        <v>15347532041.9408</v>
      </c>
      <c r="C1575" s="56">
        <f>1013366103.78343+6661870158.8141</f>
        <v>7675236262.5975304</v>
      </c>
      <c r="F1575" s="45">
        <f t="shared" si="163"/>
        <v>-7672295779.3432693</v>
      </c>
      <c r="H1575" s="46">
        <f t="shared" si="176"/>
        <v>1775533779.35484</v>
      </c>
      <c r="I1575" s="50">
        <f>372701140.09935+1198859300.08449</f>
        <v>1571560440.18384</v>
      </c>
      <c r="L1575" s="44">
        <f t="shared" si="172"/>
        <v>-7876269118.5142689</v>
      </c>
      <c r="M1575" s="45">
        <f t="shared" si="173"/>
        <v>-203973339.171</v>
      </c>
    </row>
    <row r="1576" spans="1:14" ht="12.65" customHeight="1">
      <c r="A1576" s="33">
        <f t="shared" si="162"/>
        <v>45278</v>
      </c>
      <c r="B1576" s="46">
        <f>15121337260.6337</f>
        <v>15121337260.633699</v>
      </c>
      <c r="C1576" s="56">
        <f>13367050746.6495+1012531432.004</f>
        <v>14379582178.6535</v>
      </c>
      <c r="F1576" s="45">
        <f t="shared" si="163"/>
        <v>-741755081.98019981</v>
      </c>
      <c r="H1576" s="46">
        <f>1887142297.22711</f>
        <v>1887142297.2271099</v>
      </c>
      <c r="I1576" s="50">
        <f>1480536255.89847+318601927.46437</f>
        <v>1799138183.3628399</v>
      </c>
      <c r="L1576" s="44">
        <f t="shared" si="172"/>
        <v>-829759195.84446979</v>
      </c>
      <c r="M1576" s="45">
        <f t="shared" si="173"/>
        <v>-88004113.864269972</v>
      </c>
    </row>
    <row r="1577" spans="1:14" ht="12.65" customHeight="1">
      <c r="A1577" s="33">
        <f t="shared" si="162"/>
        <v>45279</v>
      </c>
      <c r="B1577" s="46">
        <f t="shared" ref="B1577:B1585" si="178">15121337260.6337</f>
        <v>15121337260.633699</v>
      </c>
      <c r="C1577" s="56">
        <f>1296925715.93509+15702745407.473</f>
        <v>16999671123.408089</v>
      </c>
      <c r="F1577" s="45">
        <f t="shared" si="163"/>
        <v>1878333862.7743893</v>
      </c>
      <c r="H1577" s="46">
        <f t="shared" ref="H1577:H1583" si="179">1887142297.22711</f>
        <v>1887142297.2271099</v>
      </c>
      <c r="I1577" s="50">
        <f>264167254.29721+1915958721.71179</f>
        <v>2180125976.0090003</v>
      </c>
      <c r="L1577" s="44">
        <f t="shared" si="172"/>
        <v>2171317541.5562797</v>
      </c>
      <c r="M1577" s="45">
        <f t="shared" si="173"/>
        <v>292983678.78189039</v>
      </c>
    </row>
    <row r="1578" spans="1:14" ht="12.65" customHeight="1">
      <c r="A1578" s="33">
        <f t="shared" si="162"/>
        <v>45280</v>
      </c>
      <c r="B1578" s="46">
        <f t="shared" si="178"/>
        <v>15121337260.633699</v>
      </c>
      <c r="C1578" s="56">
        <f>22627621109.8202+1037042507.05079</f>
        <v>23664663616.870991</v>
      </c>
      <c r="F1578" s="45">
        <f t="shared" si="163"/>
        <v>8543326356.2372913</v>
      </c>
      <c r="H1578" s="46">
        <f t="shared" si="179"/>
        <v>1887142297.2271099</v>
      </c>
      <c r="I1578" s="50">
        <f>2097963005.61354+294549882.72786</f>
        <v>2392512888.3414001</v>
      </c>
      <c r="L1578" s="44">
        <f t="shared" si="172"/>
        <v>9048696947.3515816</v>
      </c>
      <c r="M1578" s="45">
        <f t="shared" si="173"/>
        <v>505370591.11429024</v>
      </c>
    </row>
    <row r="1579" spans="1:14" ht="12.65" customHeight="1">
      <c r="A1579" s="33">
        <f t="shared" si="162"/>
        <v>45281</v>
      </c>
      <c r="B1579" s="46">
        <f t="shared" si="178"/>
        <v>15121337260.633699</v>
      </c>
      <c r="C1579" s="56">
        <f>1303196693.33481+20150700102.6396</f>
        <v>21453896795.974407</v>
      </c>
      <c r="F1579" s="45">
        <f t="shared" si="163"/>
        <v>6332559535.3407078</v>
      </c>
      <c r="H1579" s="46">
        <f t="shared" si="179"/>
        <v>1887142297.2271099</v>
      </c>
      <c r="I1579" s="50">
        <f>281745928.36312+1740678457.65092</f>
        <v>2022424386.01404</v>
      </c>
      <c r="L1579" s="44">
        <f t="shared" si="172"/>
        <v>6467841624.1276379</v>
      </c>
      <c r="M1579" s="45">
        <f t="shared" si="173"/>
        <v>135282088.78693008</v>
      </c>
    </row>
    <row r="1580" spans="1:14" ht="12.65" customHeight="1">
      <c r="A1580" s="33">
        <f t="shared" si="162"/>
        <v>45282</v>
      </c>
      <c r="B1580" s="46">
        <f t="shared" si="178"/>
        <v>15121337260.633699</v>
      </c>
      <c r="C1580" s="56">
        <f>2348540793.18125+12037511312.5938</f>
        <v>14386052105.775049</v>
      </c>
      <c r="F1580" s="45">
        <f t="shared" si="163"/>
        <v>-735285154.85865021</v>
      </c>
      <c r="H1580" s="46">
        <f t="shared" si="179"/>
        <v>1887142297.2271099</v>
      </c>
      <c r="I1580" s="50">
        <f>983644053.50782+706976816.88254</f>
        <v>1690620870.3903599</v>
      </c>
      <c r="L1580" s="44">
        <f t="shared" si="172"/>
        <v>-931806581.69540024</v>
      </c>
      <c r="M1580" s="45">
        <f t="shared" si="173"/>
        <v>-196521426.83675003</v>
      </c>
    </row>
    <row r="1581" spans="1:14" s="1380" customFormat="1" ht="12.65" customHeight="1">
      <c r="A1581" s="1377">
        <f>WORKDAY(A1580,2)</f>
        <v>45286</v>
      </c>
      <c r="B1581" s="1378">
        <f t="shared" si="178"/>
        <v>15121337260.633699</v>
      </c>
      <c r="C1581" s="1379">
        <f>2348540793.18125+12037511312.5938</f>
        <v>14386052105.775049</v>
      </c>
      <c r="F1581" s="1381">
        <f t="shared" si="163"/>
        <v>-735285154.85865021</v>
      </c>
      <c r="G1581" s="1382"/>
      <c r="H1581" s="1378">
        <f t="shared" si="179"/>
        <v>1887142297.2271099</v>
      </c>
      <c r="I1581" s="1383">
        <f>983644053.50782+706976816.88254</f>
        <v>1690620870.3903599</v>
      </c>
      <c r="L1581" s="1384">
        <f t="shared" si="172"/>
        <v>-931806581.69540024</v>
      </c>
      <c r="M1581" s="1381">
        <f t="shared" si="173"/>
        <v>-196521426.83675003</v>
      </c>
      <c r="N1581" s="1538"/>
    </row>
    <row r="1582" spans="1:14" ht="12.65" customHeight="1">
      <c r="A1582" s="33">
        <f t="shared" si="162"/>
        <v>45287</v>
      </c>
      <c r="B1582" s="46">
        <f t="shared" si="178"/>
        <v>15121337260.633699</v>
      </c>
      <c r="C1582" s="56">
        <f>11553027137.8939+1036177982.9204</f>
        <v>12589205120.814301</v>
      </c>
      <c r="F1582" s="45">
        <f t="shared" si="163"/>
        <v>-2532132139.8193989</v>
      </c>
      <c r="H1582" s="46">
        <f t="shared" si="179"/>
        <v>1887142297.2271099</v>
      </c>
      <c r="I1582" s="50">
        <f>1539874844.23167+296251896.09905</f>
        <v>1836126740.3307199</v>
      </c>
      <c r="L1582" s="44">
        <f t="shared" si="172"/>
        <v>-2583147696.7157888</v>
      </c>
      <c r="M1582" s="45">
        <f t="shared" si="173"/>
        <v>-51015556.896389961</v>
      </c>
    </row>
    <row r="1583" spans="1:14" ht="12.65" customHeight="1">
      <c r="A1583" s="33">
        <f t="shared" si="162"/>
        <v>45288</v>
      </c>
      <c r="B1583" s="46">
        <f t="shared" si="178"/>
        <v>15121337260.633699</v>
      </c>
      <c r="C1583" s="56">
        <f>967566796.67092+8407377752.08369</f>
        <v>9374944548.7546101</v>
      </c>
      <c r="F1583" s="45">
        <f t="shared" si="163"/>
        <v>-5746392711.8790894</v>
      </c>
      <c r="H1583" s="46">
        <f t="shared" si="179"/>
        <v>1887142297.2271099</v>
      </c>
      <c r="I1583" s="50">
        <f>301376164.25781+1368400440.69425</f>
        <v>1669776604.9520602</v>
      </c>
      <c r="L1583" s="44">
        <f t="shared" si="172"/>
        <v>-5963758404.1541386</v>
      </c>
      <c r="M1583" s="45">
        <f t="shared" si="173"/>
        <v>-217365692.27504969</v>
      </c>
    </row>
    <row r="1584" spans="1:14" ht="12.65" customHeight="1">
      <c r="A1584" s="33">
        <f t="shared" si="162"/>
        <v>45289</v>
      </c>
      <c r="B1584" s="46">
        <f t="shared" si="178"/>
        <v>15121337260.633699</v>
      </c>
      <c r="C1584" s="56">
        <f>1294972955.99421+8424312826.0089</f>
        <v>9719285782.003109</v>
      </c>
      <c r="F1584" s="45">
        <f t="shared" si="163"/>
        <v>-5402051478.6305904</v>
      </c>
      <c r="H1584" s="46">
        <f>1887142297.22711</f>
        <v>1887142297.2271099</v>
      </c>
      <c r="I1584" s="50">
        <f>612667195.82075+1105708685.02151</f>
        <v>1718375880.8422599</v>
      </c>
      <c r="L1584" s="44">
        <f t="shared" si="172"/>
        <v>-5570817895.01544</v>
      </c>
      <c r="M1584" s="45">
        <f t="shared" si="173"/>
        <v>-168766416.38485003</v>
      </c>
    </row>
    <row r="1585" spans="1:14" s="1380" customFormat="1" ht="12.65" customHeight="1">
      <c r="A1585" s="1377">
        <f>WORKDAY(A1584,1)-1</f>
        <v>45291</v>
      </c>
      <c r="B1585" s="1378">
        <f t="shared" si="178"/>
        <v>15121337260.633699</v>
      </c>
      <c r="C1585" s="1379">
        <f>1294972955.99421+8424312826.0089</f>
        <v>9719285782.003109</v>
      </c>
      <c r="F1585" s="1381">
        <f t="shared" ref="F1585" si="180">C1585-B1585</f>
        <v>-5402051478.6305904</v>
      </c>
      <c r="G1585" s="1382"/>
      <c r="H1585" s="1378">
        <f>1887142297.22711</f>
        <v>1887142297.2271099</v>
      </c>
      <c r="I1585" s="1383">
        <f>612667195.82075+1105708685.02151</f>
        <v>1718375880.8422599</v>
      </c>
      <c r="L1585" s="1384">
        <f t="shared" ref="L1585" si="181">F1585+M1585</f>
        <v>-5570817895.01544</v>
      </c>
      <c r="M1585" s="1381">
        <f t="shared" ref="M1585" si="182">I1585-H1585</f>
        <v>-168766416.38485003</v>
      </c>
      <c r="N1585" s="1538"/>
    </row>
    <row r="1586" spans="1:14" ht="12.65" customHeight="1">
      <c r="A1586" s="1377">
        <f>WORKDAY(A1584,1)</f>
        <v>45292</v>
      </c>
      <c r="B1586" s="1378">
        <v>15758735340.171801</v>
      </c>
      <c r="C1586" s="1379">
        <f>1294972955.99421+8424312826.0089</f>
        <v>9719285782.003109</v>
      </c>
      <c r="D1586" s="1380"/>
      <c r="E1586" s="1380"/>
      <c r="F1586" s="1381">
        <f t="shared" si="163"/>
        <v>-6039449558.1686916</v>
      </c>
      <c r="G1586" s="1382"/>
      <c r="H1586" s="1378">
        <v>1905109963.89042</v>
      </c>
      <c r="I1586" s="1383">
        <f>612667195.82075+1105708685.02151</f>
        <v>1718375880.8422599</v>
      </c>
      <c r="J1586" s="1380"/>
      <c r="K1586" s="1380"/>
      <c r="L1586" s="1384">
        <f t="shared" si="172"/>
        <v>-6226183641.2168522</v>
      </c>
      <c r="M1586" s="1381">
        <f t="shared" si="173"/>
        <v>-186734083.04816008</v>
      </c>
    </row>
    <row r="1587" spans="1:14" ht="12.65" customHeight="1">
      <c r="A1587" s="33">
        <f t="shared" si="162"/>
        <v>45293</v>
      </c>
      <c r="B1587" s="46">
        <f t="shared" ref="B1587:B1596" si="183">15758735340.1718</f>
        <v>15758735340.171801</v>
      </c>
      <c r="C1587" s="56">
        <f>1208251753.5072+13853648833.5201</f>
        <v>15061900587.0273</v>
      </c>
      <c r="F1587" s="45">
        <f t="shared" si="163"/>
        <v>-696834753.14450073</v>
      </c>
      <c r="H1587" s="46">
        <f t="shared" ref="H1587:H1596" si="184">1905109963.89042</f>
        <v>1905109963.89042</v>
      </c>
      <c r="I1587" s="50">
        <f>453807113.67741+1307124251.29899</f>
        <v>1760931364.9763999</v>
      </c>
      <c r="L1587" s="44">
        <f t="shared" si="172"/>
        <v>-841013352.05852079</v>
      </c>
      <c r="M1587" s="45">
        <f t="shared" si="173"/>
        <v>-144178598.91402006</v>
      </c>
    </row>
    <row r="1588" spans="1:14" ht="12.65" customHeight="1">
      <c r="A1588" s="33">
        <f t="shared" ref="A1588:A1653" si="185">WORKDAY(A1587,1)</f>
        <v>45294</v>
      </c>
      <c r="B1588" s="46">
        <f t="shared" si="183"/>
        <v>15758735340.171801</v>
      </c>
      <c r="C1588" s="56">
        <f>1089201325.90979+13883364510.2403</f>
        <v>14972565836.150089</v>
      </c>
      <c r="F1588" s="45">
        <f t="shared" si="163"/>
        <v>-786169504.02171135</v>
      </c>
      <c r="H1588" s="46">
        <f t="shared" si="184"/>
        <v>1905109963.89042</v>
      </c>
      <c r="I1588" s="50">
        <f>402126870.70446+1453068570.39826</f>
        <v>1855195441.1027203</v>
      </c>
      <c r="L1588" s="44">
        <f t="shared" si="172"/>
        <v>-836084026.80941105</v>
      </c>
      <c r="M1588" s="45">
        <f t="shared" si="173"/>
        <v>-49914522.787699699</v>
      </c>
    </row>
    <row r="1589" spans="1:14" ht="12.65" customHeight="1">
      <c r="A1589" s="33">
        <f t="shared" si="185"/>
        <v>45295</v>
      </c>
      <c r="B1589" s="46">
        <f t="shared" si="183"/>
        <v>15758735340.171801</v>
      </c>
      <c r="C1589" s="56">
        <f>1030065505.23922+19932388096.7422</f>
        <v>20962453601.981419</v>
      </c>
      <c r="F1589" s="45">
        <f t="shared" si="163"/>
        <v>5203718261.809618</v>
      </c>
      <c r="H1589" s="46">
        <f t="shared" si="184"/>
        <v>1905109963.89042</v>
      </c>
      <c r="I1589" s="50">
        <f>354188290.09578+1834671650.50689</f>
        <v>2188859940.6026702</v>
      </c>
      <c r="L1589" s="44">
        <f t="shared" si="172"/>
        <v>5487468238.5218678</v>
      </c>
      <c r="M1589" s="45">
        <f t="shared" si="173"/>
        <v>283749976.71225023</v>
      </c>
    </row>
    <row r="1590" spans="1:14" ht="12.65" customHeight="1">
      <c r="A1590" s="33">
        <f t="shared" si="185"/>
        <v>45296</v>
      </c>
      <c r="B1590" s="46">
        <f t="shared" si="183"/>
        <v>15758735340.171801</v>
      </c>
      <c r="C1590" s="56">
        <f>1054730537.58979+17212388480.4489</f>
        <v>18267119018.038689</v>
      </c>
      <c r="F1590" s="45">
        <f t="shared" si="163"/>
        <v>2508383677.866888</v>
      </c>
      <c r="H1590" s="46">
        <f t="shared" si="184"/>
        <v>1905109963.89042</v>
      </c>
      <c r="I1590" s="50">
        <f>391307703.90594+1584322317.46952</f>
        <v>1975630021.3754601</v>
      </c>
      <c r="L1590" s="44">
        <f t="shared" si="172"/>
        <v>2578903735.3519282</v>
      </c>
      <c r="M1590" s="45">
        <f t="shared" si="173"/>
        <v>70520057.485040188</v>
      </c>
    </row>
    <row r="1591" spans="1:14" ht="12.65" customHeight="1">
      <c r="A1591" s="33">
        <f t="shared" si="185"/>
        <v>45299</v>
      </c>
      <c r="B1591" s="46">
        <f t="shared" si="183"/>
        <v>15758735340.171801</v>
      </c>
      <c r="C1591" s="56">
        <f>15530815644.3709+1049297748.74123</f>
        <v>16580113393.112129</v>
      </c>
      <c r="F1591" s="45">
        <f t="shared" si="163"/>
        <v>821378052.9403286</v>
      </c>
      <c r="H1591" s="46">
        <f t="shared" si="184"/>
        <v>1905109963.89042</v>
      </c>
      <c r="I1591" s="50">
        <f>1960768118.94378+318473856.13426</f>
        <v>2279241975.0780401</v>
      </c>
      <c r="L1591" s="44">
        <f t="shared" si="172"/>
        <v>1195510064.1279488</v>
      </c>
      <c r="M1591" s="45">
        <f t="shared" si="173"/>
        <v>374132011.18762016</v>
      </c>
    </row>
    <row r="1592" spans="1:14" ht="12.65" customHeight="1">
      <c r="A1592" s="33">
        <f t="shared" si="185"/>
        <v>45300</v>
      </c>
      <c r="B1592" s="46">
        <f t="shared" si="183"/>
        <v>15758735340.171801</v>
      </c>
      <c r="C1592" s="56">
        <f>887601479.90647+12908809439.1515</f>
        <v>13796410919.05797</v>
      </c>
      <c r="F1592" s="45">
        <f t="shared" ref="F1592:F1657" si="186">C1592-B1592</f>
        <v>-1962324421.1138306</v>
      </c>
      <c r="H1592" s="46">
        <f t="shared" si="184"/>
        <v>1905109963.89042</v>
      </c>
      <c r="I1592" s="50">
        <f>318475583.28334+1966845423.767</f>
        <v>2285321007.0503397</v>
      </c>
      <c r="L1592" s="44">
        <f t="shared" si="172"/>
        <v>-1582113377.9539108</v>
      </c>
      <c r="M1592" s="45">
        <f t="shared" si="173"/>
        <v>380211043.15991974</v>
      </c>
    </row>
    <row r="1593" spans="1:14" ht="12.65" customHeight="1">
      <c r="A1593" s="33">
        <f t="shared" si="185"/>
        <v>45301</v>
      </c>
      <c r="B1593" s="46">
        <f t="shared" si="183"/>
        <v>15758735340.171801</v>
      </c>
      <c r="C1593" s="56">
        <f>12271762830.258+1131287349.69672</f>
        <v>13403050179.95472</v>
      </c>
      <c r="F1593" s="45">
        <f t="shared" si="186"/>
        <v>-2355685160.2170811</v>
      </c>
      <c r="H1593" s="46">
        <f t="shared" si="184"/>
        <v>1905109963.89042</v>
      </c>
      <c r="I1593" s="50">
        <f>1545629353.23039+324900497.21919</f>
        <v>1870529850.4495802</v>
      </c>
      <c r="L1593" s="44">
        <f t="shared" si="172"/>
        <v>-2390265273.6579208</v>
      </c>
      <c r="M1593" s="45">
        <f t="shared" si="173"/>
        <v>-34580113.440839767</v>
      </c>
    </row>
    <row r="1594" spans="1:14" ht="12.65" customHeight="1">
      <c r="A1594" s="33">
        <f t="shared" si="185"/>
        <v>45302</v>
      </c>
      <c r="B1594" s="46">
        <f t="shared" si="183"/>
        <v>15758735340.171801</v>
      </c>
      <c r="C1594" s="56">
        <f>946787342.33175+21702554460.7355</f>
        <v>22649341803.067249</v>
      </c>
      <c r="F1594" s="45">
        <f t="shared" si="186"/>
        <v>6890606462.8954487</v>
      </c>
      <c r="H1594" s="46">
        <f t="shared" si="184"/>
        <v>1905109963.89042</v>
      </c>
      <c r="I1594" s="50">
        <f>321726562.87273+1410283435.5794</f>
        <v>1732009998.4521301</v>
      </c>
      <c r="L1594" s="44">
        <f t="shared" si="172"/>
        <v>6717506497.457159</v>
      </c>
      <c r="M1594" s="45">
        <f t="shared" si="173"/>
        <v>-173099965.43828988</v>
      </c>
    </row>
    <row r="1595" spans="1:14" ht="12.65" customHeight="1">
      <c r="A1595" s="33">
        <f t="shared" si="185"/>
        <v>45303</v>
      </c>
      <c r="B1595" s="46">
        <f t="shared" si="183"/>
        <v>15758735340.171801</v>
      </c>
      <c r="C1595" s="56">
        <f>12780584109.5112+1155495496.09255</f>
        <v>13936079605.60375</v>
      </c>
      <c r="F1595" s="45">
        <f t="shared" si="186"/>
        <v>-1822655734.5680504</v>
      </c>
      <c r="H1595" s="46">
        <f t="shared" si="184"/>
        <v>1905109963.89042</v>
      </c>
      <c r="I1595" s="50">
        <f>1235794394.52456+419968131.90034</f>
        <v>1655762526.4249001</v>
      </c>
      <c r="L1595" s="44">
        <f t="shared" si="172"/>
        <v>-2072003172.0335703</v>
      </c>
      <c r="M1595" s="45">
        <f t="shared" si="173"/>
        <v>-249347437.46551991</v>
      </c>
    </row>
    <row r="1596" spans="1:14" ht="12.65" customHeight="1">
      <c r="A1596" s="33">
        <f t="shared" si="185"/>
        <v>45306</v>
      </c>
      <c r="B1596" s="46">
        <f t="shared" si="183"/>
        <v>15758735340.171801</v>
      </c>
      <c r="C1596" s="56">
        <f>1038450993.57611+8449016312.60841</f>
        <v>9487467306.1845207</v>
      </c>
      <c r="F1596" s="45">
        <f t="shared" si="186"/>
        <v>-6271268033.9872799</v>
      </c>
      <c r="H1596" s="46">
        <f t="shared" si="184"/>
        <v>1905109963.89042</v>
      </c>
      <c r="I1596" s="50">
        <f>318784556.84124+1510336130.74936</f>
        <v>1829120687.5906</v>
      </c>
      <c r="L1596" s="44">
        <f t="shared" si="172"/>
        <v>-6347257310.2870998</v>
      </c>
      <c r="M1596" s="45">
        <f t="shared" si="173"/>
        <v>-75989276.299819946</v>
      </c>
    </row>
    <row r="1597" spans="1:14" ht="12.65" customHeight="1">
      <c r="A1597" s="33">
        <f t="shared" si="185"/>
        <v>45307</v>
      </c>
      <c r="B1597" s="46">
        <f>14813752244.2235</f>
        <v>14813752244.223499</v>
      </c>
      <c r="C1597" s="56">
        <f>925118484.28235+15747157304.8225</f>
        <v>16672275789.104851</v>
      </c>
      <c r="F1597" s="45">
        <f t="shared" si="186"/>
        <v>1858523544.8813515</v>
      </c>
      <c r="H1597" s="46">
        <f>1940559224.70622</f>
        <v>1940559224.7062199</v>
      </c>
      <c r="I1597" s="50">
        <f>366557341.26931+1857082753.6101</f>
        <v>2223640094.8794098</v>
      </c>
      <c r="L1597" s="44">
        <f t="shared" si="172"/>
        <v>2141604415.0545413</v>
      </c>
      <c r="M1597" s="45">
        <f t="shared" si="173"/>
        <v>283080870.17318988</v>
      </c>
    </row>
    <row r="1598" spans="1:14" ht="12.65" customHeight="1">
      <c r="A1598" s="33">
        <f t="shared" si="185"/>
        <v>45308</v>
      </c>
      <c r="B1598" s="46">
        <f t="shared" ref="B1598:B1608" si="187">14813752244.2235</f>
        <v>14813752244.223499</v>
      </c>
      <c r="C1598" s="56">
        <f>17203378927.5814+1137091056.31866</f>
        <v>18340469983.900063</v>
      </c>
      <c r="F1598" s="45">
        <f t="shared" si="186"/>
        <v>3526717739.6765633</v>
      </c>
      <c r="H1598" s="46">
        <f t="shared" ref="H1598:H1608" si="188">1940559224.70622</f>
        <v>1940559224.7062199</v>
      </c>
      <c r="I1598" s="50">
        <f>1812510634.6538+314253556.94303</f>
        <v>2126764191.5968299</v>
      </c>
      <c r="L1598" s="44">
        <f t="shared" si="172"/>
        <v>3712922706.567173</v>
      </c>
      <c r="M1598" s="45">
        <f t="shared" si="173"/>
        <v>186204966.89060998</v>
      </c>
    </row>
    <row r="1599" spans="1:14" ht="12.65" customHeight="1">
      <c r="A1599" s="33">
        <f t="shared" si="185"/>
        <v>45309</v>
      </c>
      <c r="B1599" s="46">
        <f t="shared" si="187"/>
        <v>14813752244.223499</v>
      </c>
      <c r="C1599" s="56">
        <f>955613346.72251+16071322163.2301</f>
        <v>17026935509.95261</v>
      </c>
      <c r="F1599" s="45">
        <f t="shared" si="186"/>
        <v>2213183265.7291107</v>
      </c>
      <c r="H1599" s="46">
        <f t="shared" si="188"/>
        <v>1940559224.7062199</v>
      </c>
      <c r="I1599" s="50">
        <f>326158340.76886+1833259308.42062</f>
        <v>2159417649.1894798</v>
      </c>
      <c r="L1599" s="44">
        <f t="shared" si="172"/>
        <v>2432041690.2123709</v>
      </c>
      <c r="M1599" s="45">
        <f t="shared" si="173"/>
        <v>218858424.48325992</v>
      </c>
    </row>
    <row r="1600" spans="1:14" ht="12.65" customHeight="1">
      <c r="A1600" s="33">
        <f t="shared" si="185"/>
        <v>45310</v>
      </c>
      <c r="B1600" s="46">
        <f t="shared" si="187"/>
        <v>14813752244.223499</v>
      </c>
      <c r="C1600" s="56">
        <f>18526665359.1286+1134611394.84116</f>
        <v>19661276753.969761</v>
      </c>
      <c r="F1600" s="45">
        <f t="shared" si="186"/>
        <v>4847524509.7462616</v>
      </c>
      <c r="H1600" s="46">
        <f t="shared" si="188"/>
        <v>1940559224.7062199</v>
      </c>
      <c r="I1600" s="50">
        <f>1853393130.9448+394117892.65943</f>
        <v>2247511023.6042299</v>
      </c>
      <c r="L1600" s="44">
        <f t="shared" si="172"/>
        <v>5154476308.6442719</v>
      </c>
      <c r="M1600" s="45">
        <f t="shared" si="173"/>
        <v>306951798.89801002</v>
      </c>
    </row>
    <row r="1601" spans="1:13" ht="12.65" customHeight="1">
      <c r="A1601" s="33">
        <f t="shared" si="185"/>
        <v>45313</v>
      </c>
      <c r="B1601" s="46">
        <f t="shared" si="187"/>
        <v>14813752244.223499</v>
      </c>
      <c r="C1601" s="56">
        <f>18367748257.214+1045210866.32136</f>
        <v>19412959123.535362</v>
      </c>
      <c r="F1601" s="45">
        <f t="shared" si="186"/>
        <v>4599206879.3118629</v>
      </c>
      <c r="H1601" s="46">
        <f t="shared" si="188"/>
        <v>1940559224.7062199</v>
      </c>
      <c r="I1601" s="50">
        <f>1660620055.67591+296047424.70865</f>
        <v>1956667480.3845601</v>
      </c>
      <c r="L1601" s="44">
        <f t="shared" si="172"/>
        <v>4615315134.9902029</v>
      </c>
      <c r="M1601" s="45">
        <f t="shared" si="173"/>
        <v>16108255.678340197</v>
      </c>
    </row>
    <row r="1602" spans="1:13" ht="12.65" customHeight="1">
      <c r="A1602" s="33">
        <f t="shared" si="185"/>
        <v>45314</v>
      </c>
      <c r="B1602" s="46">
        <f t="shared" si="187"/>
        <v>14813752244.223499</v>
      </c>
      <c r="C1602" s="56">
        <f>964059553.20305+13081524596.223</f>
        <v>14045584149.42605</v>
      </c>
      <c r="F1602" s="45">
        <f t="shared" si="186"/>
        <v>-768168094.79744911</v>
      </c>
      <c r="H1602" s="46">
        <f t="shared" si="188"/>
        <v>1940559224.7062199</v>
      </c>
      <c r="I1602" s="50">
        <f>348029116.58352+1599261444.46727</f>
        <v>1947290561.0507898</v>
      </c>
      <c r="L1602" s="44">
        <f t="shared" si="172"/>
        <v>-761436758.45287919</v>
      </c>
      <c r="M1602" s="45">
        <f t="shared" si="173"/>
        <v>6731336.3445699215</v>
      </c>
    </row>
    <row r="1603" spans="1:13" ht="12.65" customHeight="1">
      <c r="A1603" s="33">
        <f t="shared" si="185"/>
        <v>45315</v>
      </c>
      <c r="B1603" s="46">
        <f t="shared" si="187"/>
        <v>14813752244.223499</v>
      </c>
      <c r="C1603" s="56">
        <f>914286436.12263+17754897437.3492</f>
        <v>18669183873.471832</v>
      </c>
      <c r="F1603" s="45">
        <f t="shared" si="186"/>
        <v>3855431629.248333</v>
      </c>
      <c r="H1603" s="46">
        <f t="shared" si="188"/>
        <v>1940559224.7062199</v>
      </c>
      <c r="I1603" s="50">
        <f>294243805.47949+1670013614.39234</f>
        <v>1964257419.87183</v>
      </c>
      <c r="L1603" s="44">
        <f t="shared" si="172"/>
        <v>3879129824.4139433</v>
      </c>
      <c r="M1603" s="45">
        <f t="shared" si="173"/>
        <v>23698195.165610075</v>
      </c>
    </row>
    <row r="1604" spans="1:13" ht="12.65" customHeight="1">
      <c r="A1604" s="33">
        <f t="shared" si="185"/>
        <v>45316</v>
      </c>
      <c r="B1604" s="46">
        <f t="shared" si="187"/>
        <v>14813752244.223499</v>
      </c>
      <c r="C1604" s="56">
        <f>987566889.30664+12064493464.4488</f>
        <v>13052060353.75544</v>
      </c>
      <c r="F1604" s="45">
        <f t="shared" si="186"/>
        <v>-1761691890.4680595</v>
      </c>
      <c r="H1604" s="46">
        <f t="shared" si="188"/>
        <v>1940559224.7062199</v>
      </c>
      <c r="I1604" s="50">
        <f>338627569.62168+1537036884.45825</f>
        <v>1875664454.0799301</v>
      </c>
      <c r="L1604" s="44">
        <f t="shared" si="172"/>
        <v>-1826586661.0943494</v>
      </c>
      <c r="M1604" s="45">
        <f t="shared" si="173"/>
        <v>-64894770.626289845</v>
      </c>
    </row>
    <row r="1605" spans="1:13" ht="12.65" customHeight="1">
      <c r="A1605" s="33">
        <f t="shared" si="185"/>
        <v>45317</v>
      </c>
      <c r="B1605" s="46">
        <f t="shared" si="187"/>
        <v>14813752244.223499</v>
      </c>
      <c r="C1605" s="56">
        <f>930272384.22958+11218521694.1444</f>
        <v>12148794078.37398</v>
      </c>
      <c r="F1605" s="45">
        <f t="shared" si="186"/>
        <v>-2664958165.8495197</v>
      </c>
      <c r="H1605" s="46">
        <f t="shared" si="188"/>
        <v>1940559224.7062199</v>
      </c>
      <c r="I1605" s="50">
        <f>432510004.86272+1447582402.0168</f>
        <v>1880092406.8795199</v>
      </c>
      <c r="L1605" s="44">
        <f t="shared" si="172"/>
        <v>-2725424983.6762199</v>
      </c>
      <c r="M1605" s="45">
        <f t="shared" si="173"/>
        <v>-60466817.826699972</v>
      </c>
    </row>
    <row r="1606" spans="1:13" ht="12.65" customHeight="1">
      <c r="A1606" s="33">
        <f t="shared" si="185"/>
        <v>45320</v>
      </c>
      <c r="B1606" s="46">
        <f t="shared" si="187"/>
        <v>14813752244.223499</v>
      </c>
      <c r="C1606" s="56">
        <f>11636031898.7346+1046182826.80264</f>
        <v>12682214725.537239</v>
      </c>
      <c r="F1606" s="45">
        <f t="shared" si="186"/>
        <v>-2131537518.6862602</v>
      </c>
      <c r="H1606" s="46">
        <f t="shared" si="188"/>
        <v>1940559224.7062199</v>
      </c>
      <c r="I1606" s="50">
        <f>1580290296.32721+305852858.21445</f>
        <v>1886143154.5416598</v>
      </c>
      <c r="L1606" s="44">
        <f t="shared" si="172"/>
        <v>-2185953588.8508205</v>
      </c>
      <c r="M1606" s="45">
        <f t="shared" si="173"/>
        <v>-54416070.16456008</v>
      </c>
    </row>
    <row r="1607" spans="1:13" ht="12.65" customHeight="1">
      <c r="A1607" s="33">
        <f t="shared" si="185"/>
        <v>45321</v>
      </c>
      <c r="B1607" s="46">
        <f t="shared" si="187"/>
        <v>14813752244.223499</v>
      </c>
      <c r="C1607" s="56">
        <f>10335805942.4275+995092747.10006</f>
        <v>11330898689.527559</v>
      </c>
      <c r="F1607" s="45">
        <f t="shared" si="186"/>
        <v>-3482853554.69594</v>
      </c>
      <c r="H1607" s="46">
        <f t="shared" si="188"/>
        <v>1940559224.7062199</v>
      </c>
      <c r="I1607" s="50">
        <f>1338863677.45356+335359076.56626</f>
        <v>1674222754.0198202</v>
      </c>
      <c r="L1607" s="44">
        <f t="shared" si="172"/>
        <v>-3749190025.3823395</v>
      </c>
      <c r="M1607" s="45">
        <f t="shared" si="173"/>
        <v>-266336470.6863997</v>
      </c>
    </row>
    <row r="1608" spans="1:13" ht="12.65" customHeight="1">
      <c r="A1608" s="33">
        <f t="shared" si="185"/>
        <v>45322</v>
      </c>
      <c r="B1608" s="46">
        <f t="shared" si="187"/>
        <v>14813752244.223499</v>
      </c>
      <c r="C1608" s="56">
        <f>6787336708.8183+941522535.30297</f>
        <v>7728859244.1212702</v>
      </c>
      <c r="F1608" s="45">
        <f t="shared" si="186"/>
        <v>-7084893000.1022291</v>
      </c>
      <c r="H1608" s="46">
        <f t="shared" si="188"/>
        <v>1940559224.7062199</v>
      </c>
      <c r="I1608" s="50">
        <f>1217192877.53237+329971743.59333</f>
        <v>1547164621.1257</v>
      </c>
      <c r="L1608" s="44">
        <f t="shared" si="172"/>
        <v>-7478287603.6827488</v>
      </c>
      <c r="M1608" s="45">
        <f t="shared" si="173"/>
        <v>-393394603.58051991</v>
      </c>
    </row>
    <row r="1609" spans="1:13" ht="12.65" customHeight="1">
      <c r="A1609" s="33">
        <f t="shared" si="185"/>
        <v>45323</v>
      </c>
      <c r="B1609" s="46">
        <f>15203872814.3231</f>
        <v>15203872814.323099</v>
      </c>
      <c r="C1609" s="56">
        <f>978559692.84579+8222617194.79422</f>
        <v>9201176887.6400108</v>
      </c>
      <c r="F1609" s="45">
        <f t="shared" si="186"/>
        <v>-6002695926.6830883</v>
      </c>
      <c r="H1609" s="46">
        <f>1998200209.99807</f>
        <v>1998200209.99807</v>
      </c>
      <c r="I1609" s="50">
        <f>331395925.61548+1595380615.50953</f>
        <v>1926776541.12501</v>
      </c>
      <c r="L1609" s="44">
        <f t="shared" si="172"/>
        <v>-6074119595.5561485</v>
      </c>
      <c r="M1609" s="45">
        <f t="shared" si="173"/>
        <v>-71423668.873059988</v>
      </c>
    </row>
    <row r="1610" spans="1:13" ht="12.65" customHeight="1">
      <c r="A1610" s="33">
        <f t="shared" si="185"/>
        <v>45324</v>
      </c>
      <c r="B1610" s="46">
        <f t="shared" ref="B1610:B1618" si="189">15203872814.3231</f>
        <v>15203872814.323099</v>
      </c>
      <c r="C1610" s="56">
        <f>1088275739.69361+12806420008.0684</f>
        <v>13894695747.762009</v>
      </c>
      <c r="F1610" s="45">
        <f t="shared" si="186"/>
        <v>-1309177066.5610905</v>
      </c>
      <c r="H1610" s="46">
        <f t="shared" ref="H1610:H1618" si="190">1998200209.99807</f>
        <v>1998200209.99807</v>
      </c>
      <c r="I1610" s="50">
        <f>375623963.69206+1735397610.46297</f>
        <v>2111021574.15503</v>
      </c>
      <c r="L1610" s="44">
        <f t="shared" si="172"/>
        <v>-1196355702.4041305</v>
      </c>
      <c r="M1610" s="45">
        <f t="shared" si="173"/>
        <v>112821364.15696001</v>
      </c>
    </row>
    <row r="1611" spans="1:13" ht="12.65" customHeight="1">
      <c r="A1611" s="33">
        <f t="shared" si="185"/>
        <v>45327</v>
      </c>
      <c r="B1611" s="46">
        <f t="shared" si="189"/>
        <v>15203872814.323099</v>
      </c>
      <c r="C1611" s="56">
        <f>987959947.70526+13578839839.3249</f>
        <v>14566799787.030159</v>
      </c>
      <c r="F1611" s="45">
        <f t="shared" si="186"/>
        <v>-637073027.29294014</v>
      </c>
      <c r="H1611" s="46">
        <f t="shared" si="190"/>
        <v>1998200209.99807</v>
      </c>
      <c r="I1611" s="50">
        <f>320093855.12148+1508458848.55422</f>
        <v>1828552703.6756999</v>
      </c>
      <c r="L1611" s="44">
        <f t="shared" si="172"/>
        <v>-806720533.61531019</v>
      </c>
      <c r="M1611" s="45">
        <f t="shared" si="173"/>
        <v>-169647506.32237005</v>
      </c>
    </row>
    <row r="1612" spans="1:13" ht="12.65" customHeight="1">
      <c r="A1612" s="33">
        <f t="shared" si="185"/>
        <v>45328</v>
      </c>
      <c r="B1612" s="46">
        <f t="shared" si="189"/>
        <v>15203872814.323099</v>
      </c>
      <c r="C1612" s="56">
        <f>1200241863.58568+13031232330.4381</f>
        <v>14231474194.023781</v>
      </c>
      <c r="F1612" s="45">
        <f t="shared" si="186"/>
        <v>-972398620.29931831</v>
      </c>
      <c r="H1612" s="46">
        <f t="shared" si="190"/>
        <v>1998200209.99807</v>
      </c>
      <c r="I1612" s="50">
        <f>326167652.14965+1517786247.83809</f>
        <v>1843953899.98774</v>
      </c>
      <c r="L1612" s="44">
        <f t="shared" si="172"/>
        <v>-1126644930.3096483</v>
      </c>
      <c r="M1612" s="45">
        <f t="shared" si="173"/>
        <v>-154246310.01032996</v>
      </c>
    </row>
    <row r="1613" spans="1:13" ht="12.65" customHeight="1">
      <c r="A1613" s="33">
        <f t="shared" si="185"/>
        <v>45329</v>
      </c>
      <c r="B1613" s="46">
        <f t="shared" si="189"/>
        <v>15203872814.323099</v>
      </c>
      <c r="C1613" s="56">
        <f>1114361798.70815+22572034683.1903</f>
        <v>23686396481.898449</v>
      </c>
      <c r="F1613" s="45">
        <f t="shared" si="186"/>
        <v>8482523667.5753498</v>
      </c>
      <c r="H1613" s="46">
        <f t="shared" si="190"/>
        <v>1998200209.99807</v>
      </c>
      <c r="I1613" s="50">
        <f>499438724.978+1570401096.45678</f>
        <v>2069839821.4347799</v>
      </c>
      <c r="L1613" s="44">
        <f t="shared" si="172"/>
        <v>8554163279.0120602</v>
      </c>
      <c r="M1613" s="45">
        <f t="shared" si="173"/>
        <v>71639611.436709881</v>
      </c>
    </row>
    <row r="1614" spans="1:13" ht="12.65" customHeight="1">
      <c r="A1614" s="1377">
        <f>WORKDAY(A1613,2)</f>
        <v>45331</v>
      </c>
      <c r="B1614" s="1378">
        <f t="shared" si="189"/>
        <v>15203872814.323099</v>
      </c>
      <c r="C1614" s="1379">
        <f>1114361798.70815+22572034683.1903</f>
        <v>23686396481.898449</v>
      </c>
      <c r="D1614" s="1380"/>
      <c r="E1614" s="1380"/>
      <c r="F1614" s="1381">
        <f t="shared" si="186"/>
        <v>8482523667.5753498</v>
      </c>
      <c r="G1614" s="1382"/>
      <c r="H1614" s="1378">
        <f t="shared" si="190"/>
        <v>1998200209.99807</v>
      </c>
      <c r="I1614" s="1383">
        <f>499438724.978+1570401096.45678</f>
        <v>2069839821.4347799</v>
      </c>
      <c r="J1614" s="1380"/>
      <c r="K1614" s="1380"/>
      <c r="L1614" s="1384">
        <f t="shared" si="172"/>
        <v>8554163279.0120602</v>
      </c>
      <c r="M1614" s="1381">
        <f t="shared" si="173"/>
        <v>71639611.436709881</v>
      </c>
    </row>
    <row r="1615" spans="1:13" ht="12.65" customHeight="1">
      <c r="A1615" s="33">
        <f t="shared" si="185"/>
        <v>45334</v>
      </c>
      <c r="B1615" s="46">
        <f t="shared" si="189"/>
        <v>15203872814.323099</v>
      </c>
      <c r="C1615" s="56">
        <f>1013527725.79751+17445645850.8475</f>
        <v>18459173576.645008</v>
      </c>
      <c r="F1615" s="45">
        <f t="shared" si="186"/>
        <v>3255300762.321909</v>
      </c>
      <c r="H1615" s="46">
        <f t="shared" si="190"/>
        <v>1998200209.99807</v>
      </c>
      <c r="I1615" s="50">
        <f>346455255.58288+2240759674.27221</f>
        <v>2587214929.8550901</v>
      </c>
      <c r="L1615" s="44">
        <f t="shared" si="172"/>
        <v>3844315482.1789293</v>
      </c>
      <c r="M1615" s="45">
        <f t="shared" si="173"/>
        <v>589014719.85702014</v>
      </c>
    </row>
    <row r="1616" spans="1:13" ht="12.65" customHeight="1">
      <c r="A1616" s="33">
        <f t="shared" si="185"/>
        <v>45335</v>
      </c>
      <c r="B1616" s="46">
        <f t="shared" si="189"/>
        <v>15203872814.323099</v>
      </c>
      <c r="C1616" s="56">
        <f>929089093.58178+19069810615.3376</f>
        <v>19998899708.91938</v>
      </c>
      <c r="F1616" s="45">
        <f t="shared" si="186"/>
        <v>4795026894.5962811</v>
      </c>
      <c r="H1616" s="46">
        <f t="shared" si="190"/>
        <v>1998200209.99807</v>
      </c>
      <c r="I1616" s="50">
        <f>440795872.62536+1603198528.14851</f>
        <v>2043994400.77387</v>
      </c>
      <c r="L1616" s="44">
        <f t="shared" si="172"/>
        <v>4840821085.3720808</v>
      </c>
      <c r="M1616" s="45">
        <f t="shared" si="173"/>
        <v>45794190.77579999</v>
      </c>
    </row>
    <row r="1617" spans="1:13" ht="12.65" customHeight="1">
      <c r="A1617" s="1377">
        <f t="shared" si="185"/>
        <v>45336</v>
      </c>
      <c r="B1617" s="1378">
        <f t="shared" si="189"/>
        <v>15203872814.323099</v>
      </c>
      <c r="C1617" s="1379">
        <f>929089093.58178+19069810615.3376</f>
        <v>19998899708.91938</v>
      </c>
      <c r="D1617" s="1380"/>
      <c r="E1617" s="1380"/>
      <c r="F1617" s="1381">
        <f t="shared" si="186"/>
        <v>4795026894.5962811</v>
      </c>
      <c r="G1617" s="1382"/>
      <c r="H1617" s="1378">
        <f t="shared" si="190"/>
        <v>1998200209.99807</v>
      </c>
      <c r="I1617" s="1383">
        <f>440795872.62536+1603198528.14851</f>
        <v>2043994400.77387</v>
      </c>
      <c r="J1617" s="1380"/>
      <c r="K1617" s="1380"/>
      <c r="L1617" s="1384">
        <f t="shared" si="172"/>
        <v>4840821085.3720808</v>
      </c>
      <c r="M1617" s="1381">
        <f t="shared" si="173"/>
        <v>45794190.77579999</v>
      </c>
    </row>
    <row r="1618" spans="1:13" ht="12.65" customHeight="1">
      <c r="A1618" s="33">
        <f t="shared" si="185"/>
        <v>45337</v>
      </c>
      <c r="B1618" s="46">
        <f t="shared" si="189"/>
        <v>15203872814.323099</v>
      </c>
      <c r="C1618" s="57">
        <f>1013084375.60196+8609437657.72975</f>
        <v>9622522033.3317089</v>
      </c>
      <c r="F1618" s="45">
        <f t="shared" si="186"/>
        <v>-5581350780.9913902</v>
      </c>
      <c r="H1618" s="46">
        <f t="shared" si="190"/>
        <v>1998200209.99807</v>
      </c>
      <c r="I1618" s="50">
        <f>357428344.00058+1661090865.00177</f>
        <v>2018519209.0023501</v>
      </c>
      <c r="L1618" s="44">
        <f t="shared" si="172"/>
        <v>-5561031781.9871101</v>
      </c>
      <c r="M1618" s="45">
        <f t="shared" si="173"/>
        <v>20318999.00428009</v>
      </c>
    </row>
    <row r="1619" spans="1:13" ht="12.65" customHeight="1">
      <c r="A1619" s="33">
        <f t="shared" si="185"/>
        <v>45338</v>
      </c>
      <c r="B1619" s="46">
        <f>15705263587.0851</f>
        <v>15705263587.0851</v>
      </c>
      <c r="C1619" s="57">
        <f>911409704.04667+14084990139.09</f>
        <v>14996399843.136669</v>
      </c>
      <c r="F1619" s="45">
        <f t="shared" si="186"/>
        <v>-708863743.94843102</v>
      </c>
      <c r="H1619" s="46">
        <f>2050399313.28545</f>
        <v>2050399313.28545</v>
      </c>
      <c r="I1619" s="50">
        <f>464797908.47417+1485648354.51522</f>
        <v>1950446262.9893899</v>
      </c>
      <c r="L1619" s="44">
        <f t="shared" si="172"/>
        <v>-808816794.2444911</v>
      </c>
      <c r="M1619" s="45">
        <f t="shared" si="173"/>
        <v>-99953050.296060085</v>
      </c>
    </row>
    <row r="1620" spans="1:13" ht="12.65" customHeight="1">
      <c r="A1620" s="33">
        <f t="shared" si="185"/>
        <v>45341</v>
      </c>
      <c r="B1620" s="46">
        <f t="shared" ref="B1620:B1628" si="191">15705263587.0851</f>
        <v>15705263587.0851</v>
      </c>
      <c r="C1620" s="57">
        <f>15541664202.4359+929142213.43482</f>
        <v>16470806415.87072</v>
      </c>
      <c r="F1620" s="45">
        <f t="shared" si="186"/>
        <v>765542828.78561974</v>
      </c>
      <c r="H1620" s="46">
        <f t="shared" ref="H1620:H1628" si="192">2050399313.28545</f>
        <v>2050399313.28545</v>
      </c>
      <c r="I1620" s="50">
        <f>1659945829.06128+334784462.9985</f>
        <v>1994730292.0597801</v>
      </c>
      <c r="L1620" s="44">
        <f t="shared" si="172"/>
        <v>709873807.55994987</v>
      </c>
      <c r="M1620" s="45">
        <f t="shared" si="173"/>
        <v>-55669021.225669861</v>
      </c>
    </row>
    <row r="1621" spans="1:13" ht="12.65" customHeight="1">
      <c r="A1621" s="33">
        <f t="shared" si="185"/>
        <v>45342</v>
      </c>
      <c r="B1621" s="46">
        <f t="shared" si="191"/>
        <v>15705263587.0851</v>
      </c>
      <c r="C1621" s="56">
        <f>1091062690.60068+15419757092.6021</f>
        <v>16510819783.20278</v>
      </c>
      <c r="F1621" s="45">
        <f t="shared" si="186"/>
        <v>805556196.1176796</v>
      </c>
      <c r="H1621" s="46">
        <f t="shared" si="192"/>
        <v>2050399313.28545</v>
      </c>
      <c r="I1621" s="50">
        <f>338777592.0788+1954553940.24781</f>
        <v>2293331532.3266101</v>
      </c>
      <c r="L1621" s="44">
        <f t="shared" si="172"/>
        <v>1048488415.1588397</v>
      </c>
      <c r="M1621" s="45">
        <f t="shared" si="173"/>
        <v>242932219.04116011</v>
      </c>
    </row>
    <row r="1622" spans="1:13" ht="12.65" customHeight="1">
      <c r="A1622" s="33">
        <f t="shared" si="185"/>
        <v>45343</v>
      </c>
      <c r="B1622" s="46">
        <f t="shared" si="191"/>
        <v>15705263587.0851</v>
      </c>
      <c r="C1622" s="56">
        <f>866007087.72449+17523901410.0513</f>
        <v>18389908497.775791</v>
      </c>
      <c r="F1622" s="45">
        <f t="shared" si="186"/>
        <v>2684644910.690691</v>
      </c>
      <c r="H1622" s="46">
        <f t="shared" si="192"/>
        <v>2050399313.28545</v>
      </c>
      <c r="I1622" s="50">
        <f>351659408.9092+2034285848.58911</f>
        <v>2385945257.4983101</v>
      </c>
      <c r="L1622" s="44">
        <f t="shared" si="172"/>
        <v>3020190854.9035511</v>
      </c>
      <c r="M1622" s="45">
        <f t="shared" si="173"/>
        <v>335545944.21286011</v>
      </c>
    </row>
    <row r="1623" spans="1:13" ht="12.65" customHeight="1">
      <c r="A1623" s="33">
        <f t="shared" si="185"/>
        <v>45344</v>
      </c>
      <c r="B1623" s="46">
        <f t="shared" si="191"/>
        <v>15705263587.0851</v>
      </c>
      <c r="C1623" s="56">
        <f>1104440511.16605+20061823884.8517</f>
        <v>21166264396.01775</v>
      </c>
      <c r="F1623" s="45">
        <f t="shared" si="186"/>
        <v>5461000808.9326496</v>
      </c>
      <c r="H1623" s="46">
        <f t="shared" si="192"/>
        <v>2050399313.28545</v>
      </c>
      <c r="I1623" s="50">
        <f>354040952.15875+1871265304.92713</f>
        <v>2225306257.0858798</v>
      </c>
      <c r="L1623" s="44">
        <f t="shared" si="172"/>
        <v>5635907752.7330799</v>
      </c>
      <c r="M1623" s="45">
        <f t="shared" si="173"/>
        <v>174906943.80042982</v>
      </c>
    </row>
    <row r="1624" spans="1:13" ht="12.65" customHeight="1">
      <c r="A1624" s="33">
        <f t="shared" si="185"/>
        <v>45345</v>
      </c>
      <c r="B1624" s="46">
        <f t="shared" si="191"/>
        <v>15705263587.0851</v>
      </c>
      <c r="C1624" s="56">
        <f>972727273.34559+16719827076.3455</f>
        <v>17692554349.69109</v>
      </c>
      <c r="F1624" s="45">
        <f t="shared" si="186"/>
        <v>1987290762.6059895</v>
      </c>
      <c r="H1624" s="46">
        <f t="shared" si="192"/>
        <v>2050399313.28545</v>
      </c>
      <c r="I1624" s="50">
        <f>446994729.94094+1767420477.12207</f>
        <v>2214415207.0630102</v>
      </c>
      <c r="L1624" s="44">
        <f t="shared" si="172"/>
        <v>2151306656.3835497</v>
      </c>
      <c r="M1624" s="45">
        <f t="shared" si="173"/>
        <v>164015893.77756023</v>
      </c>
    </row>
    <row r="1625" spans="1:13" ht="12.65" customHeight="1">
      <c r="A1625" s="33">
        <f t="shared" si="185"/>
        <v>45348</v>
      </c>
      <c r="B1625" s="46">
        <f t="shared" si="191"/>
        <v>15705263587.0851</v>
      </c>
      <c r="C1625" s="56">
        <f>984829895.01536+16658055611.3976</f>
        <v>17642885506.41296</v>
      </c>
      <c r="F1625" s="45">
        <f t="shared" si="186"/>
        <v>1937621919.3278599</v>
      </c>
      <c r="H1625" s="46">
        <f t="shared" si="192"/>
        <v>2050399313.28545</v>
      </c>
      <c r="I1625" s="50">
        <f>300604821.01627+1595534490.42454</f>
        <v>1896139311.44081</v>
      </c>
      <c r="L1625" s="44">
        <f t="shared" si="172"/>
        <v>1783361917.4832199</v>
      </c>
      <c r="M1625" s="45">
        <f t="shared" si="173"/>
        <v>-154260001.84464002</v>
      </c>
    </row>
    <row r="1626" spans="1:13" ht="12.65" customHeight="1">
      <c r="A1626" s="33">
        <f t="shared" si="185"/>
        <v>45349</v>
      </c>
      <c r="B1626" s="46">
        <f t="shared" si="191"/>
        <v>15705263587.0851</v>
      </c>
      <c r="C1626" s="56">
        <f>1021248350.70104+18611283747.0656</f>
        <v>19632532097.76664</v>
      </c>
      <c r="F1626" s="45">
        <f t="shared" si="186"/>
        <v>3927268510.6815395</v>
      </c>
      <c r="H1626" s="46">
        <f t="shared" si="192"/>
        <v>2050399313.28545</v>
      </c>
      <c r="I1626" s="50">
        <f>306597189.77386+1609649752.08568</f>
        <v>1916246941.85954</v>
      </c>
      <c r="L1626" s="44">
        <f t="shared" si="172"/>
        <v>3793116139.2556295</v>
      </c>
      <c r="M1626" s="45">
        <f t="shared" si="173"/>
        <v>-134152371.42591</v>
      </c>
    </row>
    <row r="1627" spans="1:13" ht="12.65" customHeight="1">
      <c r="A1627" s="33">
        <f t="shared" si="185"/>
        <v>45350</v>
      </c>
      <c r="B1627" s="46">
        <f t="shared" si="191"/>
        <v>15705263587.0851</v>
      </c>
      <c r="C1627" s="56">
        <f>9106176434.11055+1089862600.10996</f>
        <v>10196039034.22051</v>
      </c>
      <c r="F1627" s="45">
        <f t="shared" si="186"/>
        <v>-5509224552.8645897</v>
      </c>
      <c r="H1627" s="46">
        <f t="shared" si="192"/>
        <v>2050399313.28545</v>
      </c>
      <c r="I1627" s="50">
        <f>1705811820.09731+307142619.57919</f>
        <v>2012954439.6765001</v>
      </c>
      <c r="L1627" s="44">
        <f t="shared" si="172"/>
        <v>-5546669426.4735394</v>
      </c>
      <c r="M1627" s="45">
        <f t="shared" si="173"/>
        <v>-37444873.6089499</v>
      </c>
    </row>
    <row r="1628" spans="1:13" ht="12.65" customHeight="1">
      <c r="A1628" s="33">
        <f t="shared" si="185"/>
        <v>45351</v>
      </c>
      <c r="B1628" s="46">
        <f t="shared" si="191"/>
        <v>15705263587.0851</v>
      </c>
      <c r="C1628" s="56">
        <f>904339805.9022+5553836822.47605</f>
        <v>6458176628.3782501</v>
      </c>
      <c r="F1628" s="45">
        <f t="shared" si="186"/>
        <v>-9247086958.7068501</v>
      </c>
      <c r="H1628" s="46">
        <f t="shared" si="192"/>
        <v>2050399313.28545</v>
      </c>
      <c r="I1628" s="50">
        <f>284879064.60694+1694484426.49983</f>
        <v>1979363491.10677</v>
      </c>
      <c r="L1628" s="44">
        <f t="shared" si="172"/>
        <v>-9318122780.8855305</v>
      </c>
      <c r="M1628" s="45">
        <f t="shared" si="173"/>
        <v>-71035822.178679943</v>
      </c>
    </row>
    <row r="1629" spans="1:13" ht="12.65" customHeight="1">
      <c r="A1629" s="33">
        <f t="shared" si="185"/>
        <v>45352</v>
      </c>
      <c r="B1629" s="46">
        <f>16330216756.1846</f>
        <v>16330216756.184601</v>
      </c>
      <c r="C1629" s="56">
        <f>1319063948.68009+15515620431.4708</f>
        <v>16834684380.15089</v>
      </c>
      <c r="F1629" s="45">
        <f t="shared" si="186"/>
        <v>504467623.96628952</v>
      </c>
      <c r="H1629" s="46">
        <f>2023710573.36586</f>
        <v>2023710573.36586</v>
      </c>
      <c r="I1629" s="50">
        <f>449224790.8936+1767709999.49415</f>
        <v>2216934790.3877497</v>
      </c>
      <c r="L1629" s="44">
        <f t="shared" si="172"/>
        <v>697691840.98817921</v>
      </c>
      <c r="M1629" s="45">
        <f t="shared" si="173"/>
        <v>193224217.02188969</v>
      </c>
    </row>
    <row r="1630" spans="1:13" ht="12.65" customHeight="1">
      <c r="A1630" s="33">
        <f t="shared" si="185"/>
        <v>45355</v>
      </c>
      <c r="B1630" s="46">
        <f t="shared" ref="B1630:B1638" si="193">16330216756.1846</f>
        <v>16330216756.184601</v>
      </c>
      <c r="C1630" s="56">
        <f>1362818969.01525+17875197277.5624</f>
        <v>19238016246.577652</v>
      </c>
      <c r="F1630" s="45">
        <f t="shared" si="186"/>
        <v>2907799490.3930511</v>
      </c>
      <c r="H1630" s="46">
        <f t="shared" ref="H1630:H1638" si="194">2023710573.36586</f>
        <v>2023710573.36586</v>
      </c>
      <c r="I1630" s="50">
        <f>322017285.81259+2146581634.2504</f>
        <v>2468598920.0629902</v>
      </c>
      <c r="L1630" s="44">
        <f t="shared" ref="L1630:L1693" si="195">F1630+M1630</f>
        <v>3352687837.0901814</v>
      </c>
      <c r="M1630" s="45">
        <f t="shared" ref="M1630:M1693" si="196">I1630-H1630</f>
        <v>444888346.6971302</v>
      </c>
    </row>
    <row r="1631" spans="1:13" ht="12.65" customHeight="1">
      <c r="A1631" s="33">
        <f t="shared" si="185"/>
        <v>45356</v>
      </c>
      <c r="B1631" s="46">
        <f t="shared" si="193"/>
        <v>16330216756.184601</v>
      </c>
      <c r="C1631" s="56">
        <f>1107018906.9708+14972157906.3777</f>
        <v>16079176813.348501</v>
      </c>
      <c r="F1631" s="45">
        <f t="shared" si="186"/>
        <v>-251039942.83609962</v>
      </c>
      <c r="H1631" s="46">
        <f t="shared" si="194"/>
        <v>2023710573.36586</v>
      </c>
      <c r="I1631" s="50">
        <f>348592699.313+1904017528.14245</f>
        <v>2252610227.4554501</v>
      </c>
      <c r="L1631" s="44">
        <f t="shared" si="195"/>
        <v>-22140288.746509552</v>
      </c>
      <c r="M1631" s="45">
        <f t="shared" si="196"/>
        <v>228899654.08959007</v>
      </c>
    </row>
    <row r="1632" spans="1:13" ht="12.65" customHeight="1">
      <c r="A1632" s="33">
        <f t="shared" si="185"/>
        <v>45357</v>
      </c>
      <c r="B1632" s="46">
        <f t="shared" si="193"/>
        <v>16330216756.184601</v>
      </c>
      <c r="C1632" s="56">
        <f>1406918527.55158+15232301320.0715</f>
        <v>16639219847.623081</v>
      </c>
      <c r="F1632" s="45">
        <f t="shared" si="186"/>
        <v>309003091.43848038</v>
      </c>
      <c r="H1632" s="46">
        <f t="shared" si="194"/>
        <v>2023710573.36586</v>
      </c>
      <c r="I1632" s="50">
        <f>331726636.97211+1741694793.38874</f>
        <v>2073421430.3608501</v>
      </c>
      <c r="L1632" s="44">
        <f t="shared" si="195"/>
        <v>358713948.43347049</v>
      </c>
      <c r="M1632" s="45">
        <f t="shared" si="196"/>
        <v>49710856.99499011</v>
      </c>
    </row>
    <row r="1633" spans="1:14" ht="12.65" customHeight="1">
      <c r="A1633" s="33">
        <f t="shared" si="185"/>
        <v>45358</v>
      </c>
      <c r="B1633" s="46">
        <f t="shared" si="193"/>
        <v>16330216756.184601</v>
      </c>
      <c r="C1633" s="56">
        <f>1094514604.17798+17110039390.008</f>
        <v>18204553994.185978</v>
      </c>
      <c r="F1633" s="45">
        <f t="shared" si="186"/>
        <v>1874337238.0013771</v>
      </c>
      <c r="H1633" s="46">
        <f t="shared" si="194"/>
        <v>2023710573.36586</v>
      </c>
      <c r="I1633" s="50">
        <f>332944681.97044+1848810552.01823</f>
        <v>2181755233.9886699</v>
      </c>
      <c r="L1633" s="44">
        <f t="shared" si="195"/>
        <v>2032381898.624187</v>
      </c>
      <c r="M1633" s="45">
        <f t="shared" si="196"/>
        <v>158044660.62280989</v>
      </c>
    </row>
    <row r="1634" spans="1:14" ht="12.65" customHeight="1">
      <c r="A1634" s="33">
        <f t="shared" si="185"/>
        <v>45359</v>
      </c>
      <c r="B1634" s="46">
        <f t="shared" si="193"/>
        <v>16330216756.184601</v>
      </c>
      <c r="C1634" s="56">
        <f>16157777718.7622+1397599621.76241</f>
        <v>17555377340.524609</v>
      </c>
      <c r="F1634" s="45">
        <f t="shared" si="186"/>
        <v>1225160584.3400078</v>
      </c>
      <c r="H1634" s="46">
        <f t="shared" si="194"/>
        <v>2023710573.36586</v>
      </c>
      <c r="I1634" s="50">
        <f>1449424368.69901+536603668.74837</f>
        <v>1986028037.4473798</v>
      </c>
      <c r="L1634" s="44">
        <f t="shared" si="195"/>
        <v>1187478048.4215276</v>
      </c>
      <c r="M1634" s="45">
        <f t="shared" si="196"/>
        <v>-37682535.918480158</v>
      </c>
    </row>
    <row r="1635" spans="1:14" s="1380" customFormat="1" ht="12.65" customHeight="1">
      <c r="A1635" s="1377">
        <f>WORKDAY(A1634,2)</f>
        <v>45363</v>
      </c>
      <c r="B1635" s="1378">
        <f t="shared" si="193"/>
        <v>16330216756.184601</v>
      </c>
      <c r="C1635" s="1379">
        <f>16157777718.7622+1397599621.76241</f>
        <v>17555377340.524609</v>
      </c>
      <c r="F1635" s="1381">
        <f t="shared" si="186"/>
        <v>1225160584.3400078</v>
      </c>
      <c r="G1635" s="1382"/>
      <c r="H1635" s="1378">
        <f t="shared" si="194"/>
        <v>2023710573.36586</v>
      </c>
      <c r="I1635" s="1383">
        <f>1449424368.69901+536603668.74837</f>
        <v>1986028037.4473798</v>
      </c>
      <c r="L1635" s="1384">
        <f t="shared" si="195"/>
        <v>1187478048.4215276</v>
      </c>
      <c r="M1635" s="1381">
        <f t="shared" si="196"/>
        <v>-37682535.918480158</v>
      </c>
      <c r="N1635" s="1538"/>
    </row>
    <row r="1636" spans="1:14" ht="12.65" customHeight="1">
      <c r="A1636" s="33">
        <f t="shared" si="185"/>
        <v>45364</v>
      </c>
      <c r="B1636" s="46">
        <f t="shared" si="193"/>
        <v>16330216756.184601</v>
      </c>
      <c r="C1636" s="56">
        <f>15120436581.9207+1107262296.35479</f>
        <v>16227698878.27549</v>
      </c>
      <c r="F1636" s="45">
        <f t="shared" si="186"/>
        <v>-102517877.90911102</v>
      </c>
      <c r="H1636" s="46">
        <f t="shared" si="194"/>
        <v>2023710573.36586</v>
      </c>
      <c r="I1636" s="50">
        <f>1497964555.81014+377028975.01206</f>
        <v>1874993530.8221998</v>
      </c>
      <c r="L1636" s="44">
        <f t="shared" si="195"/>
        <v>-251234920.45277119</v>
      </c>
      <c r="M1636" s="45">
        <f t="shared" si="196"/>
        <v>-148717042.54366016</v>
      </c>
    </row>
    <row r="1637" spans="1:14" ht="12.65" customHeight="1">
      <c r="A1637" s="33">
        <f t="shared" si="185"/>
        <v>45365</v>
      </c>
      <c r="B1637" s="46">
        <f t="shared" si="193"/>
        <v>16330216756.184601</v>
      </c>
      <c r="C1637" s="56">
        <f>1047882979.55925+14083399740.0662</f>
        <v>15131282719.62545</v>
      </c>
      <c r="F1637" s="45">
        <f t="shared" si="186"/>
        <v>-1198934036.5591507</v>
      </c>
      <c r="H1637" s="46">
        <f t="shared" si="194"/>
        <v>2023710573.36586</v>
      </c>
      <c r="I1637" s="50">
        <f>325974707.20276+1556116992.56015</f>
        <v>1882091699.7629099</v>
      </c>
      <c r="L1637" s="44">
        <f t="shared" si="195"/>
        <v>-1340552910.1621008</v>
      </c>
      <c r="M1637" s="45">
        <f t="shared" si="196"/>
        <v>-141618873.6029501</v>
      </c>
    </row>
    <row r="1638" spans="1:14" ht="12.65" customHeight="1">
      <c r="A1638" s="33">
        <f t="shared" si="185"/>
        <v>45366</v>
      </c>
      <c r="B1638" s="46">
        <f t="shared" si="193"/>
        <v>16330216756.184601</v>
      </c>
      <c r="C1638" s="56">
        <f>1069544967.83337+11860197164.4134</f>
        <v>12929742132.246771</v>
      </c>
      <c r="F1638" s="45">
        <f t="shared" si="186"/>
        <v>-3400474623.93783</v>
      </c>
      <c r="H1638" s="46">
        <f t="shared" si="194"/>
        <v>2023710573.36586</v>
      </c>
      <c r="I1638" s="50">
        <f>425393602.88255+1266063638.50798</f>
        <v>1691457241.3905301</v>
      </c>
      <c r="L1638" s="44">
        <f t="shared" si="195"/>
        <v>-3732727955.9131598</v>
      </c>
      <c r="M1638" s="45">
        <f t="shared" si="196"/>
        <v>-332253331.97532988</v>
      </c>
    </row>
    <row r="1639" spans="1:14" ht="12.65" customHeight="1">
      <c r="A1639" s="33">
        <f t="shared" si="185"/>
        <v>45369</v>
      </c>
      <c r="B1639" s="46">
        <f>16350994247.6544</f>
        <v>16350994247.6544</v>
      </c>
      <c r="C1639" s="56">
        <f>1032579332.70764+17932389603.2157</f>
        <v>18964968935.92334</v>
      </c>
      <c r="F1639" s="45">
        <f t="shared" si="186"/>
        <v>2613974688.26894</v>
      </c>
      <c r="H1639" s="46">
        <f>1997539716.46102</f>
        <v>1997539716.46102</v>
      </c>
      <c r="I1639" s="50">
        <f>318939792.95989+2077928982.09193</f>
        <v>2396868775.0518198</v>
      </c>
      <c r="L1639" s="44">
        <f t="shared" si="195"/>
        <v>3013303746.8597398</v>
      </c>
      <c r="M1639" s="45">
        <f t="shared" si="196"/>
        <v>399329058.59079981</v>
      </c>
    </row>
    <row r="1640" spans="1:14" ht="12.65" customHeight="1">
      <c r="A1640" s="33">
        <f t="shared" si="185"/>
        <v>45370</v>
      </c>
      <c r="B1640" s="46">
        <f t="shared" ref="B1640:B1650" si="197">16350994247.6544</f>
        <v>16350994247.6544</v>
      </c>
      <c r="C1640" s="56">
        <f>1289918866.93856+16980725151.8597</f>
        <v>18270644018.79826</v>
      </c>
      <c r="F1640" s="45">
        <f t="shared" si="186"/>
        <v>1919649771.1438599</v>
      </c>
      <c r="H1640" s="46">
        <f t="shared" ref="H1640:H1650" si="198">1997539716.46102</f>
        <v>1997539716.46102</v>
      </c>
      <c r="I1640" s="50">
        <f>325293231.2452+2068801874.12385</f>
        <v>2394095105.36905</v>
      </c>
      <c r="L1640" s="44">
        <f t="shared" si="195"/>
        <v>2316205160.0518899</v>
      </c>
      <c r="M1640" s="45">
        <f t="shared" si="196"/>
        <v>396555388.90803003</v>
      </c>
    </row>
    <row r="1641" spans="1:14" ht="12.65" customHeight="1">
      <c r="A1641" s="33">
        <f t="shared" si="185"/>
        <v>45371</v>
      </c>
      <c r="B1641" s="46">
        <f t="shared" si="197"/>
        <v>16350994247.6544</v>
      </c>
      <c r="C1641" s="56">
        <f>1072475259.17669+18141163775.4578</f>
        <v>19213639034.634491</v>
      </c>
      <c r="F1641" s="45">
        <f t="shared" si="186"/>
        <v>2862644786.9800911</v>
      </c>
      <c r="H1641" s="46">
        <f t="shared" si="198"/>
        <v>1997539716.46102</v>
      </c>
      <c r="I1641" s="50">
        <f>316290022.22813+1841081307.34155</f>
        <v>2157371329.5696802</v>
      </c>
      <c r="L1641" s="44">
        <f t="shared" si="195"/>
        <v>3022476400.0887513</v>
      </c>
      <c r="M1641" s="45">
        <f t="shared" si="196"/>
        <v>159831613.10866022</v>
      </c>
    </row>
    <row r="1642" spans="1:14" ht="12.65" customHeight="1">
      <c r="A1642" s="33">
        <f t="shared" si="185"/>
        <v>45372</v>
      </c>
      <c r="B1642" s="46">
        <f t="shared" si="197"/>
        <v>16350994247.6544</v>
      </c>
      <c r="C1642" s="56">
        <f>1034013927.6697+18265950189.1247</f>
        <v>19299964116.794399</v>
      </c>
      <c r="F1642" s="45">
        <f t="shared" si="186"/>
        <v>2948969869.1399994</v>
      </c>
      <c r="H1642" s="46">
        <f t="shared" si="198"/>
        <v>1997539716.46102</v>
      </c>
      <c r="I1642" s="50">
        <f>321849775.75131+1663721703.36876</f>
        <v>1985571479.12007</v>
      </c>
      <c r="L1642" s="44">
        <f t="shared" si="195"/>
        <v>2937001631.7990494</v>
      </c>
      <c r="M1642" s="45">
        <f t="shared" si="196"/>
        <v>-11968237.340950012</v>
      </c>
    </row>
    <row r="1643" spans="1:14" ht="12.65" customHeight="1">
      <c r="A1643" s="33">
        <f t="shared" si="185"/>
        <v>45373</v>
      </c>
      <c r="B1643" s="46">
        <f t="shared" si="197"/>
        <v>16350994247.6544</v>
      </c>
      <c r="C1643" s="56">
        <f>1356653929.94652+20907293971.1437</f>
        <v>22263947901.090221</v>
      </c>
      <c r="F1643" s="45">
        <f t="shared" si="186"/>
        <v>5912953653.4358215</v>
      </c>
      <c r="H1643" s="46">
        <f t="shared" si="198"/>
        <v>1997539716.46102</v>
      </c>
      <c r="I1643" s="50">
        <f>461280379.07962+1589292797.87269</f>
        <v>2050573176.9523101</v>
      </c>
      <c r="L1643" s="44">
        <f t="shared" si="195"/>
        <v>5965987113.9271116</v>
      </c>
      <c r="M1643" s="45">
        <f t="shared" si="196"/>
        <v>53033460.491290092</v>
      </c>
    </row>
    <row r="1644" spans="1:14" ht="12.65" customHeight="1">
      <c r="A1644" s="33">
        <f t="shared" si="185"/>
        <v>45376</v>
      </c>
      <c r="B1644" s="46">
        <f t="shared" si="197"/>
        <v>16350994247.6544</v>
      </c>
      <c r="C1644" s="56">
        <f>15934736284.0175+1343556188.68653</f>
        <v>17278292472.704029</v>
      </c>
      <c r="F1644" s="45">
        <f t="shared" si="186"/>
        <v>927298225.04962921</v>
      </c>
      <c r="H1644" s="46">
        <f t="shared" si="198"/>
        <v>1997539716.46102</v>
      </c>
      <c r="I1644" s="50">
        <f>1615827725.69189+297477465.49989</f>
        <v>1913305191.1917801</v>
      </c>
      <c r="L1644" s="44">
        <f t="shared" si="195"/>
        <v>843063699.78038931</v>
      </c>
      <c r="M1644" s="45">
        <f t="shared" si="196"/>
        <v>-84234525.269239902</v>
      </c>
    </row>
    <row r="1645" spans="1:14" ht="12.65" customHeight="1">
      <c r="A1645" s="33">
        <f t="shared" si="185"/>
        <v>45377</v>
      </c>
      <c r="B1645" s="46">
        <f t="shared" si="197"/>
        <v>16350994247.6544</v>
      </c>
      <c r="C1645" s="56">
        <f>1172777018.50283+13952371020.2435</f>
        <v>15125148038.74633</v>
      </c>
      <c r="F1645" s="45">
        <f t="shared" si="186"/>
        <v>-1225846208.9080696</v>
      </c>
      <c r="H1645" s="46">
        <f t="shared" si="198"/>
        <v>1997539716.46102</v>
      </c>
      <c r="I1645" s="50">
        <f>302850447.6544+1598279469.15586</f>
        <v>1901129916.8102598</v>
      </c>
      <c r="L1645" s="44">
        <f t="shared" si="195"/>
        <v>-1322256008.5588298</v>
      </c>
      <c r="M1645" s="45">
        <f t="shared" si="196"/>
        <v>-96409799.650760174</v>
      </c>
    </row>
    <row r="1646" spans="1:14" ht="12.65" customHeight="1">
      <c r="A1646" s="33">
        <f t="shared" si="185"/>
        <v>45378</v>
      </c>
      <c r="B1646" s="46">
        <f t="shared" si="197"/>
        <v>16350994247.6544</v>
      </c>
      <c r="C1646" s="56">
        <f>1173043494.65416+12858859406.3598</f>
        <v>14031902901.01396</v>
      </c>
      <c r="F1646" s="45">
        <f t="shared" si="186"/>
        <v>-2319091346.64044</v>
      </c>
      <c r="H1646" s="46">
        <f t="shared" si="198"/>
        <v>1997539716.46102</v>
      </c>
      <c r="I1646" s="50">
        <f>281127612.34457+1378159472.57813</f>
        <v>1659287084.9226999</v>
      </c>
      <c r="L1646" s="44">
        <f t="shared" si="195"/>
        <v>-2657343978.1787601</v>
      </c>
      <c r="M1646" s="45">
        <f t="shared" si="196"/>
        <v>-338252631.53832006</v>
      </c>
    </row>
    <row r="1647" spans="1:14" ht="12.65" customHeight="1">
      <c r="A1647" s="33">
        <f t="shared" si="185"/>
        <v>45379</v>
      </c>
      <c r="B1647" s="46">
        <f t="shared" si="197"/>
        <v>16350994247.6544</v>
      </c>
      <c r="C1647" s="56">
        <f>1277864223.69233+4391273510.61935</f>
        <v>5669137734.3116798</v>
      </c>
      <c r="F1647" s="45">
        <f t="shared" si="186"/>
        <v>-10681856513.34272</v>
      </c>
      <c r="H1647" s="46">
        <f t="shared" si="198"/>
        <v>1997539716.46102</v>
      </c>
      <c r="I1647" s="50">
        <f>497208042.56522+1144298315.20314</f>
        <v>1641506357.7683601</v>
      </c>
      <c r="L1647" s="44">
        <f t="shared" si="195"/>
        <v>-11037889872.035379</v>
      </c>
      <c r="M1647" s="45">
        <f t="shared" si="196"/>
        <v>-356033358.69265985</v>
      </c>
    </row>
    <row r="1648" spans="1:14" s="1380" customFormat="1" ht="12.65" customHeight="1">
      <c r="A1648" s="1377">
        <f t="shared" si="185"/>
        <v>45380</v>
      </c>
      <c r="B1648" s="1378">
        <f t="shared" si="197"/>
        <v>16350994247.6544</v>
      </c>
      <c r="C1648" s="1379">
        <f>1277864223.69233+4391273510.61935</f>
        <v>5669137734.3116798</v>
      </c>
      <c r="F1648" s="1381">
        <f t="shared" ref="F1648" si="199">C1648-B1648</f>
        <v>-10681856513.34272</v>
      </c>
      <c r="G1648" s="1382"/>
      <c r="H1648" s="1378">
        <f t="shared" si="198"/>
        <v>1997539716.46102</v>
      </c>
      <c r="I1648" s="1383">
        <f>497208042.56522+1144298315.20314</f>
        <v>1641506357.7683601</v>
      </c>
      <c r="L1648" s="1384">
        <f t="shared" ref="L1648" si="200">F1648+M1648</f>
        <v>-11037889872.035379</v>
      </c>
      <c r="M1648" s="1381">
        <f t="shared" ref="M1648" si="201">I1648-H1648</f>
        <v>-356033358.69265985</v>
      </c>
      <c r="N1648" s="1538"/>
    </row>
    <row r="1649" spans="1:14" s="1380" customFormat="1" ht="12.65" customHeight="1">
      <c r="A1649" s="1377">
        <f>WORKDAY(A1648,1)-1</f>
        <v>45382</v>
      </c>
      <c r="B1649" s="1378">
        <f t="shared" si="197"/>
        <v>16350994247.6544</v>
      </c>
      <c r="C1649" s="1379">
        <f>1277864223.69233+4391273510.61935</f>
        <v>5669137734.3116798</v>
      </c>
      <c r="F1649" s="1381">
        <f t="shared" ref="F1649" si="202">C1649-B1649</f>
        <v>-10681856513.34272</v>
      </c>
      <c r="G1649" s="1382"/>
      <c r="H1649" s="1378">
        <f t="shared" si="198"/>
        <v>1997539716.46102</v>
      </c>
      <c r="I1649" s="1383">
        <f>497208042.56522+1144298315.20314</f>
        <v>1641506357.7683601</v>
      </c>
      <c r="L1649" s="1384">
        <f t="shared" ref="L1649" si="203">F1649+M1649</f>
        <v>-11037889872.035379</v>
      </c>
      <c r="M1649" s="1381">
        <f t="shared" ref="M1649" si="204">I1649-H1649</f>
        <v>-356033358.69265985</v>
      </c>
      <c r="N1649" s="1538"/>
    </row>
    <row r="1650" spans="1:14" ht="12.65" customHeight="1">
      <c r="A1650" s="33">
        <f>WORKDAY(A1647,2)</f>
        <v>45383</v>
      </c>
      <c r="B1650" s="46">
        <f t="shared" si="197"/>
        <v>16350994247.6544</v>
      </c>
      <c r="C1650" s="56">
        <f>1452087095.94907+16973329440.9672</f>
        <v>18425416536.916267</v>
      </c>
      <c r="F1650" s="45">
        <f t="shared" si="186"/>
        <v>2074422289.2618675</v>
      </c>
      <c r="H1650" s="46">
        <f t="shared" si="198"/>
        <v>1997539716.46102</v>
      </c>
      <c r="I1650" s="50">
        <f>311886839.64353+1773000200.4825</f>
        <v>2084887040.12603</v>
      </c>
      <c r="L1650" s="44">
        <f t="shared" si="195"/>
        <v>2161769612.9268775</v>
      </c>
      <c r="M1650" s="45">
        <f t="shared" si="196"/>
        <v>87347323.665009975</v>
      </c>
    </row>
    <row r="1651" spans="1:14" ht="12.65" customHeight="1">
      <c r="A1651" s="33">
        <f t="shared" si="185"/>
        <v>45384</v>
      </c>
      <c r="B1651" s="46">
        <f>16806732071.9142</f>
        <v>16806732071.9142</v>
      </c>
      <c r="C1651" s="56">
        <f>1229497290.07674+19371085589.1818</f>
        <v>20600582879.258541</v>
      </c>
      <c r="F1651" s="45">
        <f t="shared" si="186"/>
        <v>3793850807.3443413</v>
      </c>
      <c r="H1651" s="46">
        <f>2095391788.90486</f>
        <v>2095391788.90486</v>
      </c>
      <c r="I1651" s="50">
        <f>269278910.16433+2149746701.66111</f>
        <v>2419025611.8254399</v>
      </c>
      <c r="L1651" s="44">
        <f t="shared" si="195"/>
        <v>4117484630.2649212</v>
      </c>
      <c r="M1651" s="45">
        <f t="shared" si="196"/>
        <v>323633822.92057991</v>
      </c>
    </row>
    <row r="1652" spans="1:14" ht="12.65" customHeight="1">
      <c r="A1652" s="33">
        <f t="shared" si="185"/>
        <v>45385</v>
      </c>
      <c r="B1652" s="46">
        <f t="shared" ref="B1652:B1660" si="205">16806732071.9142</f>
        <v>16806732071.9142</v>
      </c>
      <c r="C1652" s="56">
        <f>1693966126.31279+18748225250.5073</f>
        <v>20442191376.820091</v>
      </c>
      <c r="F1652" s="45">
        <f t="shared" si="186"/>
        <v>3635459304.9058914</v>
      </c>
      <c r="H1652" s="46">
        <f t="shared" ref="H1652:H1660" si="206">2095391788.90486</f>
        <v>2095391788.90486</v>
      </c>
      <c r="I1652" s="50">
        <f>306891435.79648+1816294339.96059</f>
        <v>2123185775.7570698</v>
      </c>
      <c r="L1652" s="44">
        <f t="shared" si="195"/>
        <v>3663253291.7581015</v>
      </c>
      <c r="M1652" s="45">
        <f t="shared" si="196"/>
        <v>27793986.852209806</v>
      </c>
    </row>
    <row r="1653" spans="1:14" ht="12.65" customHeight="1">
      <c r="A1653" s="33">
        <f t="shared" si="185"/>
        <v>45386</v>
      </c>
      <c r="B1653" s="46">
        <f t="shared" si="205"/>
        <v>16806732071.9142</v>
      </c>
      <c r="C1653" s="56">
        <f>14893344278.9904+2138830712.03181</f>
        <v>17032174991.022211</v>
      </c>
      <c r="F1653" s="45">
        <f t="shared" si="186"/>
        <v>225442919.10801125</v>
      </c>
      <c r="H1653" s="46">
        <f t="shared" si="206"/>
        <v>2095391788.90486</v>
      </c>
      <c r="I1653" s="50">
        <f>1457634536.99661+317712984.28555</f>
        <v>1775347521.2821598</v>
      </c>
      <c r="L1653" s="44">
        <f t="shared" si="195"/>
        <v>-94601348.514688969</v>
      </c>
      <c r="M1653" s="45">
        <f t="shared" si="196"/>
        <v>-320044267.62270021</v>
      </c>
    </row>
    <row r="1654" spans="1:14" ht="12.65" customHeight="1">
      <c r="A1654" s="33">
        <f t="shared" ref="A1654:A1718" si="207">WORKDAY(A1653,1)</f>
        <v>45387</v>
      </c>
      <c r="B1654" s="46">
        <f t="shared" si="205"/>
        <v>16806732071.9142</v>
      </c>
      <c r="C1654" s="56">
        <f>2645790809.87807+6972435184.95127</f>
        <v>9618225994.82934</v>
      </c>
      <c r="F1654" s="45">
        <f t="shared" si="186"/>
        <v>-7188506077.0848598</v>
      </c>
      <c r="H1654" s="46">
        <f t="shared" si="206"/>
        <v>2095391788.90486</v>
      </c>
      <c r="I1654" s="50">
        <f>1491684134.39808+1436637177.24736</f>
        <v>2928321311.6454401</v>
      </c>
      <c r="L1654" s="44">
        <f t="shared" si="195"/>
        <v>-6355576554.3442802</v>
      </c>
      <c r="M1654" s="45">
        <f t="shared" si="196"/>
        <v>832929522.74058008</v>
      </c>
    </row>
    <row r="1655" spans="1:14" ht="12.65" customHeight="1">
      <c r="A1655" s="33">
        <f>WORKDAY(A1654,7)</f>
        <v>45398</v>
      </c>
      <c r="B1655" s="46">
        <f t="shared" si="205"/>
        <v>16806732071.9142</v>
      </c>
      <c r="C1655" s="56">
        <f>1468067989.02132+16799790699.812</f>
        <v>18267858688.833321</v>
      </c>
      <c r="F1655" s="45">
        <f t="shared" si="186"/>
        <v>1461126616.9191208</v>
      </c>
      <c r="H1655" s="46">
        <f t="shared" si="206"/>
        <v>2095391788.90486</v>
      </c>
      <c r="I1655" s="50">
        <f>309858616.79501+1915760012.72697</f>
        <v>2225618629.5219798</v>
      </c>
      <c r="L1655" s="44">
        <f t="shared" si="195"/>
        <v>1591353457.5362406</v>
      </c>
      <c r="M1655" s="45">
        <f t="shared" si="196"/>
        <v>130226840.61711979</v>
      </c>
    </row>
    <row r="1656" spans="1:14" ht="12.65" customHeight="1">
      <c r="A1656" s="33">
        <f t="shared" si="207"/>
        <v>45399</v>
      </c>
      <c r="B1656" s="46">
        <f t="shared" si="205"/>
        <v>16806732071.9142</v>
      </c>
      <c r="C1656" s="56">
        <f>1115776253.42612+16757693623.9365</f>
        <v>17873469877.362621</v>
      </c>
      <c r="F1656" s="45">
        <f t="shared" si="186"/>
        <v>1066737805.4484215</v>
      </c>
      <c r="H1656" s="46">
        <f t="shared" si="206"/>
        <v>2095391788.90486</v>
      </c>
      <c r="I1656" s="50">
        <f>324658669.07995+1853882551.9889</f>
        <v>2178541221.06885</v>
      </c>
      <c r="L1656" s="44">
        <f t="shared" si="195"/>
        <v>1149887237.6124115</v>
      </c>
      <c r="M1656" s="45">
        <f t="shared" si="196"/>
        <v>83149432.163990021</v>
      </c>
    </row>
    <row r="1657" spans="1:14" ht="12.65" customHeight="1">
      <c r="A1657" s="33">
        <f t="shared" si="207"/>
        <v>45400</v>
      </c>
      <c r="B1657" s="46">
        <f t="shared" si="205"/>
        <v>16806732071.9142</v>
      </c>
      <c r="C1657" s="56">
        <f>1418281744.3298+16820512830.179</f>
        <v>18238794574.508801</v>
      </c>
      <c r="F1657" s="45">
        <f t="shared" si="186"/>
        <v>1432062502.5946007</v>
      </c>
      <c r="H1657" s="46">
        <f t="shared" si="206"/>
        <v>2095391788.90486</v>
      </c>
      <c r="I1657" s="50">
        <f>370725083.59868+1978980626.10185</f>
        <v>2349705709.7005301</v>
      </c>
      <c r="L1657" s="44">
        <f t="shared" si="195"/>
        <v>1686376423.3902707</v>
      </c>
      <c r="M1657" s="45">
        <f t="shared" si="196"/>
        <v>254313920.79567003</v>
      </c>
    </row>
    <row r="1658" spans="1:14" ht="12.65" customHeight="1">
      <c r="A1658" s="33">
        <f t="shared" si="207"/>
        <v>45401</v>
      </c>
      <c r="B1658" s="46">
        <f t="shared" si="205"/>
        <v>16806732071.9142</v>
      </c>
      <c r="C1658" s="56">
        <f>15590685017.6469+1126257127.85142</f>
        <v>16716942145.49832</v>
      </c>
      <c r="F1658" s="45">
        <f t="shared" ref="F1658:F1721" si="208">C1658-B1658</f>
        <v>-89789926.415880203</v>
      </c>
      <c r="H1658" s="46">
        <f t="shared" si="206"/>
        <v>2095391788.90486</v>
      </c>
      <c r="I1658" s="50">
        <f>1958278300.96202+420240121.10013</f>
        <v>2378518422.06215</v>
      </c>
      <c r="L1658" s="44">
        <f t="shared" si="195"/>
        <v>193336706.74140978</v>
      </c>
      <c r="M1658" s="45">
        <f t="shared" si="196"/>
        <v>283126633.15728998</v>
      </c>
    </row>
    <row r="1659" spans="1:14" ht="12.65" customHeight="1">
      <c r="A1659" s="33">
        <f t="shared" si="207"/>
        <v>45404</v>
      </c>
      <c r="B1659" s="46">
        <f t="shared" si="205"/>
        <v>16806732071.9142</v>
      </c>
      <c r="C1659" s="56">
        <f>1243309514.23206+19339048808.064</f>
        <v>20582358322.296059</v>
      </c>
      <c r="F1659" s="45">
        <f t="shared" si="208"/>
        <v>3775626250.3818588</v>
      </c>
      <c r="H1659" s="46">
        <f t="shared" si="206"/>
        <v>2095391788.90486</v>
      </c>
      <c r="I1659" s="50">
        <f>300912853.68829+1997602239.58916</f>
        <v>2298515093.2774501</v>
      </c>
      <c r="L1659" s="44">
        <f t="shared" si="195"/>
        <v>3978749554.7544489</v>
      </c>
      <c r="M1659" s="45">
        <f t="shared" si="196"/>
        <v>203123304.37259007</v>
      </c>
    </row>
    <row r="1660" spans="1:14" ht="12.65" customHeight="1">
      <c r="A1660" s="33">
        <f t="shared" si="207"/>
        <v>45405</v>
      </c>
      <c r="B1660" s="46">
        <f t="shared" si="205"/>
        <v>16806732071.9142</v>
      </c>
      <c r="C1660" s="56">
        <f>1179991834.70462+18282463289.6559</f>
        <v>19462455124.360519</v>
      </c>
      <c r="F1660" s="45">
        <f t="shared" si="208"/>
        <v>2655723052.4463196</v>
      </c>
      <c r="H1660" s="46">
        <f t="shared" si="206"/>
        <v>2095391788.90486</v>
      </c>
      <c r="I1660" s="50">
        <f>323272603.89119+1876395582.23661</f>
        <v>2199668186.1278</v>
      </c>
      <c r="L1660" s="44">
        <f t="shared" si="195"/>
        <v>2759999449.6692595</v>
      </c>
      <c r="M1660" s="45">
        <f t="shared" si="196"/>
        <v>104276397.22293997</v>
      </c>
    </row>
    <row r="1661" spans="1:14" ht="12.65" customHeight="1">
      <c r="A1661" s="33">
        <f t="shared" si="207"/>
        <v>45406</v>
      </c>
      <c r="B1661" s="46">
        <f>16535402822.8429</f>
        <v>16535402822.842899</v>
      </c>
      <c r="C1661" s="56">
        <f>19931015593.8617+1201723490.95203</f>
        <v>21132739084.813728</v>
      </c>
      <c r="F1661" s="45">
        <f t="shared" si="208"/>
        <v>4597336261.970829</v>
      </c>
      <c r="H1661" s="46">
        <f>2167605639.46761</f>
        <v>2167605639.4676099</v>
      </c>
      <c r="I1661" s="50">
        <f>1878191087.43242+319409387.80011</f>
        <v>2197600475.2325301</v>
      </c>
      <c r="L1661" s="44">
        <f t="shared" si="195"/>
        <v>4627331097.7357492</v>
      </c>
      <c r="M1661" s="45">
        <f t="shared" si="196"/>
        <v>29994835.764920235</v>
      </c>
    </row>
    <row r="1662" spans="1:14" ht="12.65" customHeight="1">
      <c r="A1662" s="33">
        <f t="shared" si="207"/>
        <v>45407</v>
      </c>
      <c r="B1662" s="46">
        <f t="shared" ref="B1662:B1665" si="209">16535402822.8429</f>
        <v>16535402822.842899</v>
      </c>
      <c r="C1662" s="56">
        <f>15201690198.8394+1062005400.58723</f>
        <v>16263695599.42663</v>
      </c>
      <c r="F1662" s="45">
        <f t="shared" si="208"/>
        <v>-271707223.4162693</v>
      </c>
      <c r="H1662" s="46">
        <f t="shared" ref="H1662:H1675" si="210">2167605639.46761</f>
        <v>2167605639.4676099</v>
      </c>
      <c r="I1662" s="50">
        <f>1871633436.59504+291460403.44465</f>
        <v>2163093840.03969</v>
      </c>
      <c r="L1662" s="44">
        <f t="shared" si="195"/>
        <v>-276219022.84418917</v>
      </c>
      <c r="M1662" s="45">
        <f t="shared" si="196"/>
        <v>-4511799.4279198647</v>
      </c>
    </row>
    <row r="1663" spans="1:14" ht="12.65" customHeight="1">
      <c r="A1663" s="33">
        <f t="shared" si="207"/>
        <v>45408</v>
      </c>
      <c r="B1663" s="46">
        <f t="shared" si="209"/>
        <v>16535402822.842899</v>
      </c>
      <c r="C1663" s="56">
        <f>1156576514.32114+14161222636.0276</f>
        <v>15317799150.34874</v>
      </c>
      <c r="F1663" s="45">
        <f t="shared" si="208"/>
        <v>-1217603672.4941597</v>
      </c>
      <c r="H1663" s="46">
        <f t="shared" si="210"/>
        <v>2167605639.4676099</v>
      </c>
      <c r="I1663" s="50">
        <f>475946632.42734+1786760769.74917</f>
        <v>2262707402.1765099</v>
      </c>
      <c r="L1663" s="44">
        <f t="shared" si="195"/>
        <v>-1122501909.7852597</v>
      </c>
      <c r="M1663" s="45">
        <f t="shared" si="196"/>
        <v>95101762.708899975</v>
      </c>
    </row>
    <row r="1664" spans="1:14" ht="12.65" customHeight="1">
      <c r="A1664" s="33">
        <f t="shared" si="207"/>
        <v>45411</v>
      </c>
      <c r="B1664" s="46">
        <f t="shared" si="209"/>
        <v>16535402822.842899</v>
      </c>
      <c r="C1664" s="56">
        <f>1251050928.2268+12866076451.2478</f>
        <v>14117127379.474602</v>
      </c>
      <c r="F1664" s="45">
        <f t="shared" si="208"/>
        <v>-2418275443.3682976</v>
      </c>
      <c r="H1664" s="46">
        <f t="shared" si="210"/>
        <v>2167605639.4676099</v>
      </c>
      <c r="I1664" s="50">
        <f>338939622.72227+1732689387.61719</f>
        <v>2071629010.3394599</v>
      </c>
      <c r="L1664" s="44">
        <f t="shared" si="195"/>
        <v>-2514252072.4964476</v>
      </c>
      <c r="M1664" s="45">
        <f t="shared" si="196"/>
        <v>-95976629.128149986</v>
      </c>
    </row>
    <row r="1665" spans="1:14" ht="12.65" customHeight="1">
      <c r="A1665" s="33">
        <f t="shared" si="207"/>
        <v>45412</v>
      </c>
      <c r="B1665" s="46">
        <f t="shared" si="209"/>
        <v>16535402822.842899</v>
      </c>
      <c r="C1665" s="56">
        <f>1284313172.93192+4676109828.79622</f>
        <v>5960423001.7281399</v>
      </c>
      <c r="F1665" s="45">
        <f t="shared" si="208"/>
        <v>-10574979821.114759</v>
      </c>
      <c r="H1665" s="46">
        <f t="shared" si="210"/>
        <v>2167605639.4676099</v>
      </c>
      <c r="I1665" s="50">
        <f>426826995.13459+1340110007.02002</f>
        <v>1766937002.1546102</v>
      </c>
      <c r="L1665" s="44">
        <f t="shared" si="195"/>
        <v>-10975648458.427759</v>
      </c>
      <c r="M1665" s="45">
        <f t="shared" si="196"/>
        <v>-400668637.31299973</v>
      </c>
    </row>
    <row r="1666" spans="1:14" s="1380" customFormat="1" ht="12.65" customHeight="1">
      <c r="A1666" s="1377">
        <f t="shared" si="207"/>
        <v>45413</v>
      </c>
      <c r="B1666" s="1378">
        <f>16687531900.3395</f>
        <v>16687531900.3395</v>
      </c>
      <c r="C1666" s="1379">
        <v>5960423001.7281399</v>
      </c>
      <c r="F1666" s="1381">
        <f t="shared" si="208"/>
        <v>-10727108898.611361</v>
      </c>
      <c r="G1666" s="1382"/>
      <c r="H1666" s="1378">
        <f t="shared" si="210"/>
        <v>2167605639.4676099</v>
      </c>
      <c r="I1666" s="1383">
        <v>1766937002.1546102</v>
      </c>
      <c r="L1666" s="1384">
        <f t="shared" si="195"/>
        <v>-11127777535.92436</v>
      </c>
      <c r="M1666" s="1381">
        <f t="shared" si="196"/>
        <v>-400668637.31299973</v>
      </c>
      <c r="N1666" s="1538"/>
    </row>
    <row r="1667" spans="1:14" ht="12.65" customHeight="1">
      <c r="A1667" s="33">
        <f t="shared" si="207"/>
        <v>45414</v>
      </c>
      <c r="B1667" s="46">
        <f t="shared" ref="B1667:B1675" si="211">16687531900.3395</f>
        <v>16687531900.3395</v>
      </c>
      <c r="C1667" s="56">
        <f>14187374589.369+1274844920.65829</f>
        <v>15462219510.02729</v>
      </c>
      <c r="F1667" s="45">
        <f t="shared" si="208"/>
        <v>-1225312390.3122101</v>
      </c>
      <c r="H1667" s="46">
        <f t="shared" si="210"/>
        <v>2167605639.4676099</v>
      </c>
      <c r="I1667" s="50">
        <f>303568325.95847+1784590367.20785</f>
        <v>2088158693.1663198</v>
      </c>
      <c r="L1667" s="44">
        <f t="shared" si="195"/>
        <v>-1304759336.6135001</v>
      </c>
      <c r="M1667" s="45">
        <f t="shared" si="196"/>
        <v>-79446946.301290035</v>
      </c>
    </row>
    <row r="1668" spans="1:14" ht="12.65" customHeight="1">
      <c r="A1668" s="33">
        <f t="shared" si="207"/>
        <v>45415</v>
      </c>
      <c r="B1668" s="46">
        <f t="shared" si="211"/>
        <v>16687531900.3395</v>
      </c>
      <c r="C1668" s="56">
        <f>1063227964.65045+19052964798.4023</f>
        <v>20116192763.052753</v>
      </c>
      <c r="F1668" s="45">
        <f t="shared" si="208"/>
        <v>3428660862.713253</v>
      </c>
      <c r="H1668" s="46">
        <f t="shared" si="210"/>
        <v>2167605639.4676099</v>
      </c>
      <c r="I1668" s="50">
        <f>527079092.84011+1913806190.98667</f>
        <v>2440885283.8267798</v>
      </c>
      <c r="L1668" s="44">
        <f t="shared" si="195"/>
        <v>3701940507.072423</v>
      </c>
      <c r="M1668" s="45">
        <f t="shared" si="196"/>
        <v>273279644.35916996</v>
      </c>
    </row>
    <row r="1669" spans="1:14" ht="12.65" customHeight="1">
      <c r="A1669" s="33">
        <f t="shared" si="207"/>
        <v>45418</v>
      </c>
      <c r="B1669" s="46">
        <f t="shared" si="211"/>
        <v>16687531900.3395</v>
      </c>
      <c r="C1669" s="56">
        <f>1281813988.81156+19276905917.4507</f>
        <v>20558719906.26226</v>
      </c>
      <c r="F1669" s="45">
        <f t="shared" si="208"/>
        <v>3871188005.92276</v>
      </c>
      <c r="H1669" s="46">
        <f t="shared" si="210"/>
        <v>2167605639.4676099</v>
      </c>
      <c r="I1669" s="50">
        <f>405081941.6493+2142481384.18689</f>
        <v>2547563325.8361897</v>
      </c>
      <c r="L1669" s="44">
        <f t="shared" si="195"/>
        <v>4251145692.2913399</v>
      </c>
      <c r="M1669" s="45">
        <f t="shared" si="196"/>
        <v>379957686.36857986</v>
      </c>
    </row>
    <row r="1670" spans="1:14" ht="12.65" customHeight="1">
      <c r="A1670" s="33">
        <f t="shared" si="207"/>
        <v>45419</v>
      </c>
      <c r="B1670" s="46">
        <f t="shared" si="211"/>
        <v>16687531900.3395</v>
      </c>
      <c r="C1670" s="56">
        <f>19815324932.002+1149430811.74533</f>
        <v>20964755743.74733</v>
      </c>
      <c r="F1670" s="45">
        <f t="shared" si="208"/>
        <v>4277223843.4078293</v>
      </c>
      <c r="H1670" s="46">
        <f t="shared" si="210"/>
        <v>2167605639.4676099</v>
      </c>
      <c r="I1670" s="50">
        <f>1870863994.0939+354194883.19537</f>
        <v>2225058877.2892699</v>
      </c>
      <c r="L1670" s="44">
        <f t="shared" si="195"/>
        <v>4334677081.2294893</v>
      </c>
      <c r="M1670" s="45">
        <f t="shared" si="196"/>
        <v>57453237.821660042</v>
      </c>
    </row>
    <row r="1671" spans="1:14" ht="12.65" customHeight="1">
      <c r="A1671" s="33">
        <f t="shared" si="207"/>
        <v>45420</v>
      </c>
      <c r="B1671" s="46">
        <f t="shared" si="211"/>
        <v>16687531900.3395</v>
      </c>
      <c r="C1671" s="56">
        <f>1124994188.69486+16388659927.6376</f>
        <v>17513654116.332458</v>
      </c>
      <c r="F1671" s="45">
        <f t="shared" si="208"/>
        <v>826122215.99295807</v>
      </c>
      <c r="H1671" s="46">
        <f t="shared" si="210"/>
        <v>2167605639.4676099</v>
      </c>
      <c r="I1671" s="50">
        <f>790588997.4622+1774487900.3344</f>
        <v>2565076897.7965999</v>
      </c>
      <c r="L1671" s="44">
        <f t="shared" si="195"/>
        <v>1223593474.3219481</v>
      </c>
      <c r="M1671" s="45">
        <f t="shared" si="196"/>
        <v>397471258.32898998</v>
      </c>
    </row>
    <row r="1672" spans="1:14" s="1380" customFormat="1" ht="12.65" customHeight="1">
      <c r="A1672" s="1377">
        <f>WORKDAY(A1671,2)</f>
        <v>45422</v>
      </c>
      <c r="B1672" s="1378">
        <f t="shared" si="211"/>
        <v>16687531900.3395</v>
      </c>
      <c r="C1672" s="1379">
        <v>17513654116.332458</v>
      </c>
      <c r="F1672" s="1381">
        <f t="shared" si="208"/>
        <v>826122215.99295807</v>
      </c>
      <c r="G1672" s="1382"/>
      <c r="H1672" s="1378">
        <f t="shared" si="210"/>
        <v>2167605639.4676099</v>
      </c>
      <c r="I1672" s="1383">
        <v>2565076897.7965999</v>
      </c>
      <c r="L1672" s="1384">
        <f t="shared" si="195"/>
        <v>1223593474.3219481</v>
      </c>
      <c r="M1672" s="1381">
        <f t="shared" si="196"/>
        <v>397471258.32898998</v>
      </c>
      <c r="N1672" s="1538"/>
    </row>
    <row r="1673" spans="1:14" ht="12.65" customHeight="1">
      <c r="A1673" s="33">
        <f>WORKDAY(A1672,1)</f>
        <v>45425</v>
      </c>
      <c r="B1673" s="46">
        <f t="shared" si="211"/>
        <v>16687531900.3395</v>
      </c>
      <c r="C1673" s="56">
        <f>15094546505.5197+1219893539.07291</f>
        <v>16314440044.592609</v>
      </c>
      <c r="F1673" s="45">
        <f t="shared" si="208"/>
        <v>-373091855.74689102</v>
      </c>
      <c r="H1673" s="46">
        <f t="shared" si="210"/>
        <v>2167605639.4676099</v>
      </c>
      <c r="I1673" s="50">
        <f>1739890178.33912+346919446.7632</f>
        <v>2086809625.10232</v>
      </c>
      <c r="L1673" s="44">
        <f t="shared" si="195"/>
        <v>-453887870.11218095</v>
      </c>
      <c r="M1673" s="45">
        <f t="shared" si="196"/>
        <v>-80796014.365289927</v>
      </c>
    </row>
    <row r="1674" spans="1:14" ht="12.65" customHeight="1">
      <c r="A1674" s="33">
        <f t="shared" si="207"/>
        <v>45426</v>
      </c>
      <c r="B1674" s="46">
        <f t="shared" si="211"/>
        <v>16687531900.3395</v>
      </c>
      <c r="C1674" s="56">
        <f>1156868607.16551+13472286319.0731</f>
        <v>14629154926.238609</v>
      </c>
      <c r="F1674" s="45">
        <f t="shared" si="208"/>
        <v>-2058376974.1008911</v>
      </c>
      <c r="H1674" s="46">
        <f t="shared" si="210"/>
        <v>2167605639.4676099</v>
      </c>
      <c r="I1674" s="50">
        <f>329436873.70275+1722256578.37803</f>
        <v>2051693452.08078</v>
      </c>
      <c r="L1674" s="44">
        <f t="shared" si="195"/>
        <v>-2174289161.487721</v>
      </c>
      <c r="M1674" s="45">
        <f t="shared" si="196"/>
        <v>-115912187.38682985</v>
      </c>
    </row>
    <row r="1675" spans="1:14" ht="12.65" customHeight="1">
      <c r="A1675" s="33">
        <f t="shared" si="207"/>
        <v>45427</v>
      </c>
      <c r="B1675" s="46">
        <f t="shared" si="211"/>
        <v>16687531900.3395</v>
      </c>
      <c r="C1675" s="56">
        <f>1036462693.70973+8519524608.52145</f>
        <v>9555987302.2311802</v>
      </c>
      <c r="F1675" s="45">
        <f t="shared" si="208"/>
        <v>-7131544598.1083202</v>
      </c>
      <c r="H1675" s="46">
        <f t="shared" si="210"/>
        <v>2167605639.4676099</v>
      </c>
      <c r="I1675" s="50">
        <f>348622770.75875+1574134426.77098</f>
        <v>1922757197.5297298</v>
      </c>
      <c r="L1675" s="44">
        <f t="shared" si="195"/>
        <v>-7376393040.0461998</v>
      </c>
      <c r="M1675" s="45">
        <f t="shared" si="196"/>
        <v>-244848441.93788004</v>
      </c>
    </row>
    <row r="1676" spans="1:14" ht="12.65" customHeight="1">
      <c r="A1676" s="33">
        <f t="shared" si="207"/>
        <v>45428</v>
      </c>
      <c r="B1676" s="46">
        <f>17745470140.0249</f>
        <v>17745470140.024899</v>
      </c>
      <c r="C1676" s="56">
        <f>936215861.27549+15245309537.9617</f>
        <v>16181525399.23719</v>
      </c>
      <c r="F1676" s="45">
        <f t="shared" si="208"/>
        <v>-1563944740.7877083</v>
      </c>
      <c r="H1676" s="46">
        <v>2210192567.6494298</v>
      </c>
      <c r="I1676" s="50">
        <f>333196112.70967+1818307363.8387</f>
        <v>2151503476.5483699</v>
      </c>
      <c r="L1676" s="44">
        <f t="shared" si="195"/>
        <v>-1622633831.8887682</v>
      </c>
      <c r="M1676" s="45">
        <f t="shared" si="196"/>
        <v>-58689091.101059914</v>
      </c>
    </row>
    <row r="1677" spans="1:14" ht="12.65" customHeight="1">
      <c r="A1677" s="33">
        <f t="shared" si="207"/>
        <v>45429</v>
      </c>
      <c r="B1677" s="46">
        <f t="shared" ref="B1677:B1686" si="212">17745470140.0249</f>
        <v>17745470140.024899</v>
      </c>
      <c r="C1677" s="56">
        <f>1244407042.9398+16410391258.1646</f>
        <v>17654798301.104401</v>
      </c>
      <c r="F1677" s="45">
        <f t="shared" si="208"/>
        <v>-90671838.920497894</v>
      </c>
      <c r="H1677" s="46">
        <f>2210192567.64943</f>
        <v>2210192567.6494298</v>
      </c>
      <c r="I1677" s="50">
        <f>511916178.24357+1774073990.01884</f>
        <v>2285990168.2624102</v>
      </c>
      <c r="L1677" s="44">
        <f t="shared" si="195"/>
        <v>-14874238.307517529</v>
      </c>
      <c r="M1677" s="45">
        <f t="shared" si="196"/>
        <v>75797600.612980366</v>
      </c>
    </row>
    <row r="1678" spans="1:14" ht="12.65" customHeight="1">
      <c r="A1678" s="33">
        <f t="shared" si="207"/>
        <v>45432</v>
      </c>
      <c r="B1678" s="46">
        <f t="shared" si="212"/>
        <v>17745470140.024899</v>
      </c>
      <c r="C1678" s="56">
        <f>18329014590.9898+1057570393.2325</f>
        <v>19386584984.222298</v>
      </c>
      <c r="F1678" s="45">
        <f t="shared" si="208"/>
        <v>1641114844.1973991</v>
      </c>
      <c r="H1678" s="46">
        <f t="shared" ref="H1678:H1686" si="213">2210192567.64943</f>
        <v>2210192567.6494298</v>
      </c>
      <c r="I1678" s="50">
        <f>1950445016.03868+391146439.67357</f>
        <v>2341591455.7122502</v>
      </c>
      <c r="L1678" s="44">
        <f t="shared" si="195"/>
        <v>1772513732.2602196</v>
      </c>
      <c r="M1678" s="45">
        <f t="shared" si="196"/>
        <v>131398888.06282043</v>
      </c>
    </row>
    <row r="1679" spans="1:14" ht="12.65" customHeight="1">
      <c r="A1679" s="33">
        <f t="shared" si="207"/>
        <v>45433</v>
      </c>
      <c r="B1679" s="46">
        <f t="shared" si="212"/>
        <v>17745470140.024899</v>
      </c>
      <c r="C1679" s="56">
        <f>1387875237.76278+20353049178.9696</f>
        <v>21740924416.73238</v>
      </c>
      <c r="F1679" s="45">
        <f t="shared" si="208"/>
        <v>3995454276.7074814</v>
      </c>
      <c r="H1679" s="46">
        <f t="shared" si="213"/>
        <v>2210192567.6494298</v>
      </c>
      <c r="I1679" s="50">
        <f>310540153.28802+2118973041.27007</f>
        <v>2429513194.5580902</v>
      </c>
      <c r="L1679" s="44">
        <f t="shared" si="195"/>
        <v>4214774903.6161418</v>
      </c>
      <c r="M1679" s="45">
        <f t="shared" si="196"/>
        <v>219320626.90866041</v>
      </c>
    </row>
    <row r="1680" spans="1:14" ht="12.65" customHeight="1">
      <c r="A1680" s="33">
        <f t="shared" si="207"/>
        <v>45434</v>
      </c>
      <c r="B1680" s="46">
        <f t="shared" si="212"/>
        <v>17745470140.024899</v>
      </c>
      <c r="C1680" s="56">
        <f>1821312614.11057+17781211051.646</f>
        <v>19602523665.756569</v>
      </c>
      <c r="F1680" s="45">
        <f t="shared" si="208"/>
        <v>1857053525.7316704</v>
      </c>
      <c r="H1680" s="46">
        <f t="shared" si="213"/>
        <v>2210192567.6494298</v>
      </c>
      <c r="I1680" s="50">
        <f>683546746.08845+1714355141.57927</f>
        <v>2397901887.6677198</v>
      </c>
      <c r="L1680" s="44">
        <f t="shared" si="195"/>
        <v>2044762845.7499604</v>
      </c>
      <c r="M1680" s="45">
        <f t="shared" si="196"/>
        <v>187709320.01829004</v>
      </c>
    </row>
    <row r="1681" spans="1:14" s="1380" customFormat="1" ht="12.65" customHeight="1">
      <c r="A1681" s="1377">
        <f>WORKDAY(A1680,2)</f>
        <v>45436</v>
      </c>
      <c r="B1681" s="1378">
        <v>17745470140.024899</v>
      </c>
      <c r="C1681" s="1379">
        <v>19602523665.756569</v>
      </c>
      <c r="F1681" s="1381">
        <v>1857053525.7316704</v>
      </c>
      <c r="G1681" s="1382"/>
      <c r="H1681" s="1378">
        <v>2210192567.6494298</v>
      </c>
      <c r="I1681" s="1383">
        <v>2397901887.6677198</v>
      </c>
      <c r="L1681" s="1384">
        <v>1857053525.7316704</v>
      </c>
      <c r="M1681" s="1381">
        <f t="shared" si="196"/>
        <v>187709320.01829004</v>
      </c>
      <c r="N1681" s="1538"/>
    </row>
    <row r="1682" spans="1:14" ht="12.65" customHeight="1">
      <c r="A1682" s="33">
        <f t="shared" si="207"/>
        <v>45439</v>
      </c>
      <c r="B1682" s="46">
        <f t="shared" si="212"/>
        <v>17745470140.024899</v>
      </c>
      <c r="C1682" s="56">
        <f>1344758898.88761+19500650801.7392</f>
        <v>20845409700.626812</v>
      </c>
      <c r="F1682" s="45">
        <f t="shared" si="208"/>
        <v>3099939560.6019135</v>
      </c>
      <c r="H1682" s="46">
        <f t="shared" si="213"/>
        <v>2210192567.6494298</v>
      </c>
      <c r="I1682" s="50">
        <f>448661965.33234+1923243801.05035</f>
        <v>2371905766.38269</v>
      </c>
      <c r="L1682" s="44">
        <f t="shared" si="195"/>
        <v>3261652759.3351736</v>
      </c>
      <c r="M1682" s="45">
        <f t="shared" si="196"/>
        <v>161713198.73326015</v>
      </c>
    </row>
    <row r="1683" spans="1:14" ht="12.65" customHeight="1">
      <c r="A1683" s="33">
        <f t="shared" si="207"/>
        <v>45440</v>
      </c>
      <c r="B1683" s="46">
        <f t="shared" si="212"/>
        <v>17745470140.024899</v>
      </c>
      <c r="C1683" s="56">
        <f>1190662464.88349+19089702332.3365</f>
        <v>20280364797.21999</v>
      </c>
      <c r="F1683" s="45">
        <f t="shared" si="208"/>
        <v>2534894657.1950912</v>
      </c>
      <c r="H1683" s="46">
        <f t="shared" si="213"/>
        <v>2210192567.6494298</v>
      </c>
      <c r="I1683" s="50">
        <f>366296626.32787+1999663847.18931</f>
        <v>2365960473.51718</v>
      </c>
      <c r="L1683" s="44">
        <f t="shared" si="195"/>
        <v>2690662563.0628414</v>
      </c>
      <c r="M1683" s="45">
        <f t="shared" si="196"/>
        <v>155767905.86775017</v>
      </c>
    </row>
    <row r="1684" spans="1:14" ht="12.65" customHeight="1">
      <c r="A1684" s="33">
        <f t="shared" si="207"/>
        <v>45441</v>
      </c>
      <c r="B1684" s="46">
        <f t="shared" si="212"/>
        <v>17745470140.024899</v>
      </c>
      <c r="C1684" s="56">
        <f>18217554151.8275+1148589692.92168</f>
        <v>19366143844.74918</v>
      </c>
      <c r="F1684" s="45">
        <f t="shared" si="208"/>
        <v>1620673704.7242813</v>
      </c>
      <c r="H1684" s="46">
        <f t="shared" si="213"/>
        <v>2210192567.6494298</v>
      </c>
      <c r="I1684" s="50">
        <f>1781205300.35574+307208596.96453</f>
        <v>2088413897.3202701</v>
      </c>
      <c r="L1684" s="44">
        <f t="shared" si="195"/>
        <v>1498895034.3951216</v>
      </c>
      <c r="M1684" s="45">
        <f t="shared" si="196"/>
        <v>-121778670.32915974</v>
      </c>
    </row>
    <row r="1685" spans="1:14" ht="12.65" customHeight="1">
      <c r="A1685" s="33">
        <f t="shared" si="207"/>
        <v>45442</v>
      </c>
      <c r="B1685" s="46">
        <f t="shared" si="212"/>
        <v>17745470140.024899</v>
      </c>
      <c r="C1685" s="56">
        <f>1181656917.49861+15543169580.2815</f>
        <v>16724826497.780109</v>
      </c>
      <c r="F1685" s="45">
        <f t="shared" si="208"/>
        <v>-1020643642.2447891</v>
      </c>
      <c r="H1685" s="46">
        <f t="shared" si="213"/>
        <v>2210192567.6494298</v>
      </c>
      <c r="I1685" s="50">
        <f>302076350.49225+1660172447.51909</f>
        <v>1962248798.0113399</v>
      </c>
      <c r="L1685" s="44">
        <f t="shared" si="195"/>
        <v>-1268587411.882879</v>
      </c>
      <c r="M1685" s="45">
        <f t="shared" si="196"/>
        <v>-247943769.6380899</v>
      </c>
    </row>
    <row r="1686" spans="1:14" ht="12.65" customHeight="1">
      <c r="A1686" s="33">
        <f t="shared" si="207"/>
        <v>45443</v>
      </c>
      <c r="B1686" s="46">
        <f t="shared" si="212"/>
        <v>17745470140.024899</v>
      </c>
      <c r="C1686" s="56">
        <f>1178462397.47177+6335750356.8104</f>
        <v>7514212754.2821703</v>
      </c>
      <c r="F1686" s="45">
        <f t="shared" si="208"/>
        <v>-10231257385.742729</v>
      </c>
      <c r="H1686" s="46">
        <f t="shared" si="213"/>
        <v>2210192567.6494298</v>
      </c>
      <c r="I1686" s="50">
        <f>596880054.25822+1442219247.7622</f>
        <v>2039099302.0204201</v>
      </c>
      <c r="L1686" s="44">
        <f t="shared" si="195"/>
        <v>-10402350651.371738</v>
      </c>
      <c r="M1686" s="45">
        <f t="shared" si="196"/>
        <v>-171093265.62900972</v>
      </c>
    </row>
    <row r="1687" spans="1:14" ht="12.65" customHeight="1">
      <c r="A1687" s="33">
        <f t="shared" si="207"/>
        <v>45446</v>
      </c>
      <c r="B1687" s="46">
        <f>14467821376.3368</f>
        <v>14467821376.3368</v>
      </c>
      <c r="C1687" s="56">
        <f>1304042863.59256+14087156862.2035</f>
        <v>15391199725.796061</v>
      </c>
      <c r="F1687" s="45">
        <f t="shared" si="208"/>
        <v>923378349.45926094</v>
      </c>
      <c r="H1687" s="46">
        <f>1615800051.37122</f>
        <v>1615800051.3712201</v>
      </c>
      <c r="I1687" s="50">
        <f>294826804.45837+2478080919.5966</f>
        <v>2772907724.0549698</v>
      </c>
      <c r="L1687" s="44">
        <f t="shared" si="195"/>
        <v>2080486022.1430106</v>
      </c>
      <c r="M1687" s="45">
        <f t="shared" si="196"/>
        <v>1157107672.6837497</v>
      </c>
    </row>
    <row r="1688" spans="1:14" ht="12.65" customHeight="1">
      <c r="A1688" s="33">
        <f t="shared" si="207"/>
        <v>45447</v>
      </c>
      <c r="B1688" s="46">
        <f t="shared" ref="B1688:B1696" si="214">14467821376.3368</f>
        <v>14467821376.3368</v>
      </c>
      <c r="C1688" s="56">
        <f>1227667178.58038+27854622282.3871</f>
        <v>29082289460.96748</v>
      </c>
      <c r="F1688" s="45">
        <f t="shared" si="208"/>
        <v>14614468084.63068</v>
      </c>
      <c r="H1688" s="46">
        <f t="shared" ref="H1688:H1696" si="215">1615800051.37122</f>
        <v>1615800051.3712201</v>
      </c>
      <c r="I1688" s="50">
        <f>306579572.67573+1334268201.47493</f>
        <v>1640847774.15066</v>
      </c>
      <c r="L1688" s="44">
        <f t="shared" si="195"/>
        <v>14639515807.41012</v>
      </c>
      <c r="M1688" s="45">
        <f t="shared" si="196"/>
        <v>25047722.779439926</v>
      </c>
    </row>
    <row r="1689" spans="1:14" ht="12.65" customHeight="1">
      <c r="A1689" s="33">
        <f t="shared" si="207"/>
        <v>45448</v>
      </c>
      <c r="B1689" s="46">
        <f t="shared" si="214"/>
        <v>14467821376.3368</v>
      </c>
      <c r="C1689" s="56">
        <f>1280297720.61833+20651665038.4964</f>
        <v>21931962759.114731</v>
      </c>
      <c r="F1689" s="45">
        <f t="shared" si="208"/>
        <v>7464141382.7779312</v>
      </c>
      <c r="H1689" s="46">
        <f t="shared" si="215"/>
        <v>1615800051.3712201</v>
      </c>
      <c r="I1689" s="50">
        <f>316192721.63106+1309866116.86841</f>
        <v>1626058838.4994702</v>
      </c>
      <c r="L1689" s="44">
        <f t="shared" si="195"/>
        <v>7474400169.9061813</v>
      </c>
      <c r="M1689" s="45">
        <f t="shared" si="196"/>
        <v>10258787.128250122</v>
      </c>
    </row>
    <row r="1690" spans="1:14" ht="12.65" customHeight="1">
      <c r="A1690" s="33">
        <f t="shared" si="207"/>
        <v>45449</v>
      </c>
      <c r="B1690" s="46">
        <f t="shared" si="214"/>
        <v>14467821376.3368</v>
      </c>
      <c r="C1690" s="56">
        <f>14119830128.0434+1136845848.61323</f>
        <v>15256675976.65663</v>
      </c>
      <c r="F1690" s="45">
        <f t="shared" si="208"/>
        <v>788854600.31982994</v>
      </c>
      <c r="H1690" s="46">
        <f t="shared" si="215"/>
        <v>1615800051.3712201</v>
      </c>
      <c r="I1690" s="50">
        <f>1225545858.09862+327634036.92</f>
        <v>1553179895.01862</v>
      </c>
      <c r="L1690" s="44">
        <f t="shared" si="195"/>
        <v>726234443.96722984</v>
      </c>
      <c r="M1690" s="45">
        <f t="shared" si="196"/>
        <v>-62620156.352600098</v>
      </c>
    </row>
    <row r="1691" spans="1:14" ht="12.65" customHeight="1">
      <c r="A1691" s="33">
        <f t="shared" si="207"/>
        <v>45450</v>
      </c>
      <c r="B1691" s="46">
        <f t="shared" si="214"/>
        <v>14467821376.3368</v>
      </c>
      <c r="C1691" s="56">
        <f>1149710651.88589+11014970364.8964</f>
        <v>12164681016.782291</v>
      </c>
      <c r="F1691" s="45">
        <f t="shared" si="208"/>
        <v>-2303140359.5545082</v>
      </c>
      <c r="H1691" s="46">
        <f t="shared" si="215"/>
        <v>1615800051.3712201</v>
      </c>
      <c r="I1691" s="50">
        <f>677726106.56781+1157613556.81364</f>
        <v>1835339663.3814502</v>
      </c>
      <c r="L1691" s="44">
        <f t="shared" si="195"/>
        <v>-2083600747.5442781</v>
      </c>
      <c r="M1691" s="45">
        <f t="shared" si="196"/>
        <v>219539612.01023006</v>
      </c>
    </row>
    <row r="1692" spans="1:14" ht="12.65" customHeight="1">
      <c r="A1692" s="33">
        <f t="shared" si="207"/>
        <v>45453</v>
      </c>
      <c r="B1692" s="46">
        <f t="shared" si="214"/>
        <v>14467821376.3368</v>
      </c>
      <c r="C1692" s="56">
        <f>1301028614.57449+10746247039.947</f>
        <v>12047275654.52149</v>
      </c>
      <c r="F1692" s="45">
        <f t="shared" si="208"/>
        <v>-2420545721.8153095</v>
      </c>
      <c r="H1692" s="46">
        <f t="shared" si="215"/>
        <v>1615800051.3712201</v>
      </c>
      <c r="I1692" s="50">
        <f>354965438.05889+1154456487.7173</f>
        <v>1509421925.7761898</v>
      </c>
      <c r="L1692" s="44">
        <f t="shared" si="195"/>
        <v>-2526923847.4103398</v>
      </c>
      <c r="M1692" s="45">
        <f t="shared" si="196"/>
        <v>-106378125.59503031</v>
      </c>
    </row>
    <row r="1693" spans="1:14" ht="12.65" customHeight="1">
      <c r="A1693" s="33">
        <f t="shared" si="207"/>
        <v>45454</v>
      </c>
      <c r="B1693" s="46">
        <f t="shared" si="214"/>
        <v>14467821376.3368</v>
      </c>
      <c r="C1693" s="56">
        <f>1107413096.68639+12626472805.7943</f>
        <v>13733885902.48069</v>
      </c>
      <c r="F1693" s="45">
        <f t="shared" si="208"/>
        <v>-733935473.85610962</v>
      </c>
      <c r="H1693" s="46">
        <f t="shared" si="215"/>
        <v>1615800051.3712201</v>
      </c>
      <c r="I1693" s="50">
        <f>290654581.13019+1201612346.70739</f>
        <v>1492266927.8375802</v>
      </c>
      <c r="L1693" s="44">
        <f t="shared" si="195"/>
        <v>-857468597.38974953</v>
      </c>
      <c r="M1693" s="45">
        <f t="shared" si="196"/>
        <v>-123533123.53363991</v>
      </c>
    </row>
    <row r="1694" spans="1:14" ht="12.65" customHeight="1">
      <c r="A1694" s="33">
        <f t="shared" si="207"/>
        <v>45455</v>
      </c>
      <c r="B1694" s="46">
        <f t="shared" si="214"/>
        <v>14467821376.3368</v>
      </c>
      <c r="C1694" s="56">
        <f>1158533684.53929+9380184851.24625</f>
        <v>10538718535.78554</v>
      </c>
      <c r="F1694" s="45">
        <f t="shared" si="208"/>
        <v>-3929102840.55126</v>
      </c>
      <c r="H1694" s="46">
        <f t="shared" si="215"/>
        <v>1615800051.3712201</v>
      </c>
      <c r="I1694" s="50">
        <f>306831102.58027+1204734424.69395</f>
        <v>1511565527.27422</v>
      </c>
      <c r="L1694" s="44">
        <f t="shared" ref="L1694:L1751" si="216">F1694+M1694</f>
        <v>-4033337364.6482601</v>
      </c>
      <c r="M1694" s="45">
        <f t="shared" ref="M1694:M1751" si="217">I1694-H1694</f>
        <v>-104234524.09700012</v>
      </c>
    </row>
    <row r="1695" spans="1:14" ht="12.65" customHeight="1">
      <c r="A1695" s="33">
        <f t="shared" si="207"/>
        <v>45456</v>
      </c>
      <c r="B1695" s="46">
        <f t="shared" si="214"/>
        <v>14467821376.3368</v>
      </c>
      <c r="C1695" s="56">
        <f>10201430585.017+1007432233.19598</f>
        <v>11208862818.21298</v>
      </c>
      <c r="F1695" s="45">
        <f t="shared" si="208"/>
        <v>-3258958558.1238194</v>
      </c>
      <c r="H1695" s="46">
        <f t="shared" si="215"/>
        <v>1615800051.3712201</v>
      </c>
      <c r="I1695" s="50">
        <f>1162885213.92911+336860624.95057</f>
        <v>1499745838.8796802</v>
      </c>
      <c r="L1695" s="44">
        <f t="shared" si="216"/>
        <v>-3375012770.6153593</v>
      </c>
      <c r="M1695" s="45">
        <f t="shared" si="217"/>
        <v>-116054212.49153996</v>
      </c>
    </row>
    <row r="1696" spans="1:14" ht="12.65" customHeight="1">
      <c r="A1696" s="33">
        <f t="shared" si="207"/>
        <v>45457</v>
      </c>
      <c r="B1696" s="46">
        <f t="shared" si="214"/>
        <v>14467821376.3368</v>
      </c>
      <c r="C1696" s="56">
        <f>3800522540.84338+1423141985.88028</f>
        <v>5223664526.7236595</v>
      </c>
      <c r="F1696" s="45">
        <f t="shared" si="208"/>
        <v>-9244156849.6131401</v>
      </c>
      <c r="H1696" s="46">
        <f t="shared" si="215"/>
        <v>1615800051.3712201</v>
      </c>
      <c r="I1696" s="50">
        <f>908565003.91482+699353381.46924</f>
        <v>1607918385.3840599</v>
      </c>
      <c r="L1696" s="44">
        <f t="shared" si="216"/>
        <v>-9252038515.6002998</v>
      </c>
      <c r="M1696" s="45">
        <f t="shared" si="217"/>
        <v>-7881665.9871602058</v>
      </c>
    </row>
    <row r="1697" spans="1:14" s="1380" customFormat="1" ht="12.65" customHeight="1">
      <c r="A1697" s="1377">
        <f>WORKDAY(A1696,2)</f>
        <v>45461</v>
      </c>
      <c r="B1697" s="1378">
        <f t="shared" ref="B1697:B1706" si="218">13275989296.0101</f>
        <v>13275989296.010099</v>
      </c>
      <c r="C1697" s="1379">
        <v>5223664526.7236595</v>
      </c>
      <c r="F1697" s="1381">
        <f t="shared" si="208"/>
        <v>-8052324769.2864399</v>
      </c>
      <c r="G1697" s="1382"/>
      <c r="H1697" s="1378">
        <f t="shared" ref="H1697:H1706" si="219">1586273168.39856</f>
        <v>1586273168.39856</v>
      </c>
      <c r="I1697" s="1383">
        <v>1607918385.3840599</v>
      </c>
      <c r="L1697" s="1384">
        <f t="shared" si="216"/>
        <v>-8030679552.3009396</v>
      </c>
      <c r="M1697" s="1381">
        <f t="shared" si="217"/>
        <v>21645216.985499859</v>
      </c>
      <c r="N1697" s="1538"/>
    </row>
    <row r="1698" spans="1:14" ht="12.65" customHeight="1">
      <c r="A1698" s="33">
        <f t="shared" si="207"/>
        <v>45462</v>
      </c>
      <c r="B1698" s="46">
        <f t="shared" si="218"/>
        <v>13275989296.010099</v>
      </c>
      <c r="C1698" s="56">
        <f>9237578467.96505+1191954571.01879</f>
        <v>10429533038.983839</v>
      </c>
      <c r="F1698" s="45">
        <f t="shared" si="208"/>
        <v>-2846456257.0262604</v>
      </c>
      <c r="H1698" s="46">
        <f t="shared" si="219"/>
        <v>1586273168.39856</v>
      </c>
      <c r="I1698" s="50">
        <f>1074930525.67111+295621681.14093</f>
        <v>1370552206.8120399</v>
      </c>
      <c r="L1698" s="44">
        <f t="shared" si="216"/>
        <v>-3062177218.6127806</v>
      </c>
      <c r="M1698" s="45">
        <f t="shared" si="217"/>
        <v>-215720961.5865202</v>
      </c>
    </row>
    <row r="1699" spans="1:14" ht="12.65" customHeight="1">
      <c r="A1699" s="33">
        <f t="shared" si="207"/>
        <v>45463</v>
      </c>
      <c r="B1699" s="46">
        <f t="shared" si="218"/>
        <v>13275989296.010099</v>
      </c>
      <c r="C1699" s="56">
        <f>1191896938.30131+12942010263.7225</f>
        <v>14133907202.023809</v>
      </c>
      <c r="F1699" s="45">
        <f t="shared" si="208"/>
        <v>857917906.01371002</v>
      </c>
      <c r="H1699" s="46">
        <f t="shared" si="219"/>
        <v>1586273168.39856</v>
      </c>
      <c r="I1699" s="50">
        <f>291632533.10359+1187026129.78913</f>
        <v>1478658662.89272</v>
      </c>
      <c r="L1699" s="44">
        <f t="shared" si="216"/>
        <v>750303400.50786996</v>
      </c>
      <c r="M1699" s="45">
        <f t="shared" si="217"/>
        <v>-107614505.50584006</v>
      </c>
    </row>
    <row r="1700" spans="1:14" ht="12.65" customHeight="1">
      <c r="A1700" s="33">
        <f t="shared" si="207"/>
        <v>45464</v>
      </c>
      <c r="B1700" s="46">
        <f t="shared" si="218"/>
        <v>13275989296.010099</v>
      </c>
      <c r="C1700" s="56">
        <f>12545679848.5842+1158158934.51234</f>
        <v>13703838783.09654</v>
      </c>
      <c r="F1700" s="45">
        <f t="shared" si="208"/>
        <v>427849487.08644104</v>
      </c>
      <c r="H1700" s="46">
        <f t="shared" si="219"/>
        <v>1586273168.39856</v>
      </c>
      <c r="I1700" s="50">
        <f>881468292.24236+615390399.4822</f>
        <v>1496858691.72456</v>
      </c>
      <c r="L1700" s="44">
        <f t="shared" si="216"/>
        <v>338435010.41244102</v>
      </c>
      <c r="M1700" s="45">
        <f t="shared" si="217"/>
        <v>-89414476.674000025</v>
      </c>
    </row>
    <row r="1701" spans="1:14" ht="12.65" customHeight="1">
      <c r="A1701" s="33">
        <f t="shared" si="207"/>
        <v>45467</v>
      </c>
      <c r="B1701" s="46">
        <f t="shared" si="218"/>
        <v>13275989296.010099</v>
      </c>
      <c r="C1701" s="56">
        <f>18551264594.6486+1275372791.67969</f>
        <v>19826637386.328293</v>
      </c>
      <c r="F1701" s="45">
        <f t="shared" si="208"/>
        <v>6550648090.3181934</v>
      </c>
      <c r="H1701" s="46">
        <f t="shared" si="219"/>
        <v>1586273168.39856</v>
      </c>
      <c r="I1701" s="50">
        <f>1703488122.84237+331470183.56311</f>
        <v>2034958306.4054799</v>
      </c>
      <c r="L1701" s="44">
        <f t="shared" si="216"/>
        <v>6999333228.3251133</v>
      </c>
      <c r="M1701" s="45">
        <f t="shared" si="217"/>
        <v>448685138.00691986</v>
      </c>
    </row>
    <row r="1702" spans="1:14" ht="12.65" customHeight="1">
      <c r="A1702" s="33">
        <f t="shared" si="207"/>
        <v>45468</v>
      </c>
      <c r="B1702" s="46">
        <f t="shared" si="218"/>
        <v>13275989296.010099</v>
      </c>
      <c r="C1702" s="56">
        <f>16447198321.0429+1308033294.54226</f>
        <v>17755231615.585159</v>
      </c>
      <c r="F1702" s="45">
        <f t="shared" si="208"/>
        <v>4479242319.5750599</v>
      </c>
      <c r="H1702" s="46">
        <f t="shared" si="219"/>
        <v>1586273168.39856</v>
      </c>
      <c r="I1702" s="50">
        <f>1452922692.56636+278964018.82167</f>
        <v>1731886711.3880301</v>
      </c>
      <c r="L1702" s="44">
        <f t="shared" si="216"/>
        <v>4624855862.5645294</v>
      </c>
      <c r="M1702" s="45">
        <f t="shared" si="217"/>
        <v>145613542.98947001</v>
      </c>
    </row>
    <row r="1703" spans="1:14" ht="12.65" customHeight="1">
      <c r="A1703" s="33">
        <f t="shared" si="207"/>
        <v>45469</v>
      </c>
      <c r="B1703" s="46">
        <f t="shared" si="218"/>
        <v>13275989296.010099</v>
      </c>
      <c r="C1703" s="56">
        <f>16615267276.7037+1136884402.28892</f>
        <v>17752151678.992619</v>
      </c>
      <c r="F1703" s="45">
        <f t="shared" si="208"/>
        <v>4476162382.9825191</v>
      </c>
      <c r="H1703" s="46">
        <f t="shared" si="219"/>
        <v>1586273168.39856</v>
      </c>
      <c r="I1703" s="50">
        <f>1479110618.93737+316724219.15799</f>
        <v>1795834838.09536</v>
      </c>
      <c r="L1703" s="44">
        <f t="shared" si="216"/>
        <v>4685724052.6793194</v>
      </c>
      <c r="M1703" s="45">
        <f t="shared" si="217"/>
        <v>209561669.69679999</v>
      </c>
    </row>
    <row r="1704" spans="1:14" ht="12.65" customHeight="1">
      <c r="A1704" s="33">
        <f t="shared" si="207"/>
        <v>45470</v>
      </c>
      <c r="B1704" s="46">
        <f t="shared" si="218"/>
        <v>13275989296.010099</v>
      </c>
      <c r="C1704" s="56">
        <f>1127159392.37078+9290027937.67773</f>
        <v>10417187330.048512</v>
      </c>
      <c r="F1704" s="45">
        <f t="shared" si="208"/>
        <v>-2858801965.9615879</v>
      </c>
      <c r="H1704" s="46">
        <f t="shared" si="219"/>
        <v>1586273168.39856</v>
      </c>
      <c r="I1704" s="50">
        <f>284785377.79784+1310394580.70213</f>
        <v>1595179958.49997</v>
      </c>
      <c r="L1704" s="44">
        <f t="shared" si="216"/>
        <v>-2849895175.860178</v>
      </c>
      <c r="M1704" s="45">
        <f t="shared" si="217"/>
        <v>8906790.1014099121</v>
      </c>
    </row>
    <row r="1705" spans="1:14" ht="12.65" customHeight="1">
      <c r="A1705" s="33">
        <f t="shared" si="207"/>
        <v>45471</v>
      </c>
      <c r="B1705" s="46">
        <f t="shared" si="218"/>
        <v>13275989296.010099</v>
      </c>
      <c r="C1705" s="56">
        <f>3350948917.66846+956606126.05888</f>
        <v>4307555043.7273397</v>
      </c>
      <c r="F1705" s="45">
        <f t="shared" si="208"/>
        <v>-8968434252.2827606</v>
      </c>
      <c r="H1705" s="46">
        <f t="shared" si="219"/>
        <v>1586273168.39856</v>
      </c>
      <c r="I1705" s="50">
        <f>1052739730.31493+553345198.64236</f>
        <v>1606084928.9572899</v>
      </c>
      <c r="L1705" s="44">
        <f t="shared" si="216"/>
        <v>-8948622491.7240314</v>
      </c>
      <c r="M1705" s="45">
        <f t="shared" si="217"/>
        <v>19811760.558729887</v>
      </c>
    </row>
    <row r="1706" spans="1:14" s="1380" customFormat="1" ht="12.65" customHeight="1">
      <c r="A1706" s="1377">
        <f>WORKDAY(A1705,1)-1</f>
        <v>45473</v>
      </c>
      <c r="B1706" s="1378">
        <f t="shared" si="218"/>
        <v>13275989296.010099</v>
      </c>
      <c r="C1706" s="1379">
        <f>3350948917.66846+956606126.05888</f>
        <v>4307555043.7273397</v>
      </c>
      <c r="F1706" s="1381">
        <f t="shared" ref="F1706" si="220">C1706-B1706</f>
        <v>-8968434252.2827606</v>
      </c>
      <c r="G1706" s="1382"/>
      <c r="H1706" s="1378">
        <f t="shared" si="219"/>
        <v>1586273168.39856</v>
      </c>
      <c r="I1706" s="1383">
        <f>1052739730.31493+553345198.64236</f>
        <v>1606084928.9572899</v>
      </c>
      <c r="L1706" s="1384">
        <f t="shared" ref="L1706" si="221">F1706+M1706</f>
        <v>-8948622491.7240314</v>
      </c>
      <c r="M1706" s="1381">
        <f t="shared" ref="M1706" si="222">I1706-H1706</f>
        <v>19811760.558729887</v>
      </c>
      <c r="N1706" s="1538"/>
    </row>
    <row r="1707" spans="1:14" ht="12.65" customHeight="1">
      <c r="A1707" s="33">
        <f>WORKDAY(A1705,1)</f>
        <v>45474</v>
      </c>
      <c r="B1707" s="46">
        <f>13087686793.501</f>
        <v>13087686793.500999</v>
      </c>
      <c r="C1707" s="56">
        <f>1318484196.8854+10527178937.3496</f>
        <v>11845663134.235001</v>
      </c>
      <c r="F1707" s="44">
        <f>C1707-B1707</f>
        <v>-1242023659.2659988</v>
      </c>
      <c r="H1707" s="46">
        <f>1543008321.76883</f>
        <v>1543008321.7688301</v>
      </c>
      <c r="I1707" s="50">
        <f>323145735.2307+1025851630.90066</f>
        <v>1348997366.1313601</v>
      </c>
      <c r="L1707" s="44">
        <f t="shared" si="216"/>
        <v>-1436034614.9034688</v>
      </c>
      <c r="M1707" s="45">
        <f t="shared" si="217"/>
        <v>-194010955.63747001</v>
      </c>
    </row>
    <row r="1708" spans="1:14" ht="12.65" customHeight="1">
      <c r="A1708" s="33">
        <f t="shared" si="207"/>
        <v>45475</v>
      </c>
      <c r="B1708" s="46">
        <f t="shared" ref="B1708:B1717" si="223">13087686793.501</f>
        <v>13087686793.500999</v>
      </c>
      <c r="C1708" s="56">
        <f>1163682181.08373+14468163483.1857</f>
        <v>15631845664.26943</v>
      </c>
      <c r="F1708" s="44">
        <f t="shared" si="208"/>
        <v>2544158870.7684307</v>
      </c>
      <c r="H1708" s="46">
        <f t="shared" ref="H1708:H1717" si="224">1543008321.76883</f>
        <v>1543008321.7688301</v>
      </c>
      <c r="I1708" s="50">
        <f>317361899.99654+1554750727.36218</f>
        <v>1872112627.3587201</v>
      </c>
      <c r="L1708" s="44">
        <f t="shared" si="216"/>
        <v>2873263176.3583207</v>
      </c>
      <c r="M1708" s="45">
        <f t="shared" si="217"/>
        <v>329104305.58989</v>
      </c>
    </row>
    <row r="1709" spans="1:14" ht="12.65" customHeight="1">
      <c r="A1709" s="33">
        <f t="shared" si="207"/>
        <v>45476</v>
      </c>
      <c r="B1709" s="46">
        <f t="shared" si="223"/>
        <v>13087686793.500999</v>
      </c>
      <c r="C1709" s="56">
        <f>1097507784.30026+13959753521.3394</f>
        <v>15057261305.63966</v>
      </c>
      <c r="F1709" s="44">
        <f t="shared" si="208"/>
        <v>1969574512.1386604</v>
      </c>
      <c r="H1709" s="46">
        <f t="shared" si="224"/>
        <v>1543008321.7688301</v>
      </c>
      <c r="I1709" s="50">
        <f>318018607.92942+1332881729.88497</f>
        <v>1650900337.8143899</v>
      </c>
      <c r="L1709" s="44">
        <f t="shared" si="216"/>
        <v>2077466528.1842203</v>
      </c>
      <c r="M1709" s="45">
        <f t="shared" si="217"/>
        <v>107892016.04555988</v>
      </c>
    </row>
    <row r="1710" spans="1:14" ht="12.65" customHeight="1">
      <c r="A1710" s="33">
        <f t="shared" si="207"/>
        <v>45477</v>
      </c>
      <c r="B1710" s="46">
        <f t="shared" si="223"/>
        <v>13087686793.500999</v>
      </c>
      <c r="C1710" s="56">
        <f>1243783731.35769+10538462562.5708</f>
        <v>11782246293.928492</v>
      </c>
      <c r="F1710" s="44">
        <f t="shared" si="208"/>
        <v>-1305440499.5725079</v>
      </c>
      <c r="H1710" s="46">
        <f t="shared" si="224"/>
        <v>1543008321.7688301</v>
      </c>
      <c r="I1710" s="50">
        <f>316496879.63016+1263783234.77842</f>
        <v>1580280114.4085798</v>
      </c>
      <c r="L1710" s="44">
        <f t="shared" si="216"/>
        <v>-1268168706.9327581</v>
      </c>
      <c r="M1710" s="45">
        <f t="shared" si="217"/>
        <v>37271792.639749765</v>
      </c>
    </row>
    <row r="1711" spans="1:14" ht="12.65" customHeight="1">
      <c r="A1711" s="33">
        <f t="shared" si="207"/>
        <v>45478</v>
      </c>
      <c r="B1711" s="46">
        <f t="shared" si="223"/>
        <v>13087686793.500999</v>
      </c>
      <c r="C1711" s="56">
        <f>1219561890.96773+12778184001.1023</f>
        <v>13997745892.07003</v>
      </c>
      <c r="F1711" s="44">
        <f t="shared" si="208"/>
        <v>910059098.56903076</v>
      </c>
      <c r="H1711" s="46">
        <f t="shared" si="224"/>
        <v>1543008321.7688301</v>
      </c>
      <c r="I1711" s="50">
        <f>400969907.98545+1068622866.51697</f>
        <v>1469592774.5024199</v>
      </c>
      <c r="L1711" s="44">
        <f t="shared" si="216"/>
        <v>836643551.30262065</v>
      </c>
      <c r="M1711" s="45">
        <f t="shared" si="217"/>
        <v>-73415547.266410112</v>
      </c>
    </row>
    <row r="1712" spans="1:14" ht="12.65" customHeight="1">
      <c r="A1712" s="33">
        <f t="shared" si="207"/>
        <v>45481</v>
      </c>
      <c r="B1712" s="46">
        <f t="shared" si="223"/>
        <v>13087686793.500999</v>
      </c>
      <c r="C1712" s="56">
        <f>1271634016.72406+11282124720.3813</f>
        <v>12553758737.10536</v>
      </c>
      <c r="F1712" s="44">
        <f t="shared" si="208"/>
        <v>-533928056.39563942</v>
      </c>
      <c r="H1712" s="46">
        <f t="shared" si="224"/>
        <v>1543008321.7688301</v>
      </c>
      <c r="I1712" s="50">
        <f>331917550.11127+1245728388.84783</f>
        <v>1577645938.9591</v>
      </c>
      <c r="L1712" s="44">
        <f t="shared" si="216"/>
        <v>-499290439.20536947</v>
      </c>
      <c r="M1712" s="45">
        <f t="shared" si="217"/>
        <v>34637617.190269947</v>
      </c>
    </row>
    <row r="1713" spans="1:13" ht="12.65" customHeight="1">
      <c r="A1713" s="33">
        <f t="shared" si="207"/>
        <v>45482</v>
      </c>
      <c r="B1713" s="46">
        <f t="shared" si="223"/>
        <v>13087686793.500999</v>
      </c>
      <c r="C1713" s="56">
        <f>1126832421.97081+11543469778.4472</f>
        <v>12670302200.418011</v>
      </c>
      <c r="F1713" s="44">
        <f t="shared" si="208"/>
        <v>-417384593.08298874</v>
      </c>
      <c r="H1713" s="46">
        <f t="shared" si="224"/>
        <v>1543008321.7688301</v>
      </c>
      <c r="I1713" s="50">
        <f>348312139.95108+1212176622.30684</f>
        <v>1560488762.25792</v>
      </c>
      <c r="L1713" s="44">
        <f t="shared" si="216"/>
        <v>-399904152.59389877</v>
      </c>
      <c r="M1713" s="45">
        <f t="shared" si="217"/>
        <v>17480440.489089966</v>
      </c>
    </row>
    <row r="1714" spans="1:13" ht="12.65" customHeight="1">
      <c r="A1714" s="33">
        <f t="shared" si="207"/>
        <v>45483</v>
      </c>
      <c r="B1714" s="46">
        <f t="shared" si="223"/>
        <v>13087686793.500999</v>
      </c>
      <c r="C1714" s="56">
        <f>1110156975.70171+12794325783.515</f>
        <v>13904482759.216709</v>
      </c>
      <c r="F1714" s="44">
        <f t="shared" si="208"/>
        <v>816795965.71570969</v>
      </c>
      <c r="H1714" s="46">
        <f t="shared" si="224"/>
        <v>1543008321.7688301</v>
      </c>
      <c r="I1714" s="50">
        <f>323163196.69089+1160964228.87595</f>
        <v>1484127425.5668402</v>
      </c>
      <c r="L1714" s="44">
        <f t="shared" si="216"/>
        <v>757915069.5137198</v>
      </c>
      <c r="M1714" s="45">
        <f t="shared" si="217"/>
        <v>-58880896.201989889</v>
      </c>
    </row>
    <row r="1715" spans="1:13" ht="12.65" customHeight="1">
      <c r="A1715" s="33">
        <f t="shared" si="207"/>
        <v>45484</v>
      </c>
      <c r="B1715" s="46">
        <f t="shared" si="223"/>
        <v>13087686793.500999</v>
      </c>
      <c r="C1715" s="56">
        <f>1104139040.11243+11374645828.2222</f>
        <v>12478784868.334631</v>
      </c>
      <c r="F1715" s="44">
        <f t="shared" si="208"/>
        <v>-608901925.16636848</v>
      </c>
      <c r="H1715" s="46">
        <f t="shared" si="224"/>
        <v>1543008321.7688301</v>
      </c>
      <c r="I1715" s="50">
        <f>346235822.85802+1110867893.38986</f>
        <v>1457103716.24788</v>
      </c>
      <c r="L1715" s="44">
        <f t="shared" si="216"/>
        <v>-694806530.68731856</v>
      </c>
      <c r="M1715" s="45">
        <f t="shared" si="217"/>
        <v>-85904605.520950079</v>
      </c>
    </row>
    <row r="1716" spans="1:13" ht="12.65" customHeight="1">
      <c r="A1716" s="33">
        <f t="shared" si="207"/>
        <v>45485</v>
      </c>
      <c r="B1716" s="46">
        <f t="shared" si="223"/>
        <v>13087686793.500999</v>
      </c>
      <c r="C1716" s="56">
        <f>1140009397.29176+12313043796.7017</f>
        <v>13453053193.99346</v>
      </c>
      <c r="F1716" s="44">
        <f t="shared" si="208"/>
        <v>365366400.49246025</v>
      </c>
      <c r="H1716" s="46">
        <f t="shared" si="224"/>
        <v>1543008321.7688301</v>
      </c>
      <c r="I1716" s="50">
        <f>413205049.18888+1187737450.01644</f>
        <v>1600942499.2053199</v>
      </c>
      <c r="L1716" s="44">
        <f t="shared" si="216"/>
        <v>423300577.92895007</v>
      </c>
      <c r="M1716" s="45">
        <f t="shared" si="217"/>
        <v>57934177.43648982</v>
      </c>
    </row>
    <row r="1717" spans="1:13" ht="12.65" customHeight="1">
      <c r="A1717" s="33">
        <f t="shared" si="207"/>
        <v>45488</v>
      </c>
      <c r="B1717" s="46">
        <f t="shared" si="223"/>
        <v>13087686793.500999</v>
      </c>
      <c r="C1717" s="56">
        <f>1207297927.65578+11297650162.3711</f>
        <v>12504948090.02688</v>
      </c>
      <c r="F1717" s="44">
        <f t="shared" si="208"/>
        <v>-582738703.47411919</v>
      </c>
      <c r="H1717" s="46">
        <f t="shared" si="224"/>
        <v>1543008321.7688301</v>
      </c>
      <c r="I1717" s="50">
        <f>322267965.81337+1208222473.80033</f>
        <v>1530490439.6136999</v>
      </c>
      <c r="L1717" s="44">
        <f t="shared" si="216"/>
        <v>-595256585.62924933</v>
      </c>
      <c r="M1717" s="45">
        <f t="shared" si="217"/>
        <v>-12517882.155130148</v>
      </c>
    </row>
    <row r="1718" spans="1:13" ht="12.65" customHeight="1">
      <c r="A1718" s="33">
        <f t="shared" si="207"/>
        <v>45489</v>
      </c>
      <c r="B1718" s="46">
        <f>12991868568.3371</f>
        <v>12991868568.337099</v>
      </c>
      <c r="C1718" s="56">
        <f>1086550088.01907+13923368934.6056</f>
        <v>15009919022.62467</v>
      </c>
      <c r="F1718" s="44">
        <f t="shared" si="208"/>
        <v>2018050454.287571</v>
      </c>
      <c r="H1718" s="46">
        <f>1537044733.74128</f>
        <v>1537044733.7412801</v>
      </c>
      <c r="I1718" s="50">
        <f>338418626.21294+1265670772.42355</f>
        <v>1604089398.6364899</v>
      </c>
      <c r="L1718" s="44">
        <f t="shared" si="216"/>
        <v>2085095119.1827807</v>
      </c>
      <c r="M1718" s="45">
        <f t="shared" si="217"/>
        <v>67044664.895209789</v>
      </c>
    </row>
    <row r="1719" spans="1:13" ht="12.65" customHeight="1">
      <c r="A1719" s="33">
        <f t="shared" ref="A1719:A1773" si="225">WORKDAY(A1718,1)</f>
        <v>45490</v>
      </c>
      <c r="B1719" s="46">
        <f t="shared" ref="B1719:B1729" si="226">12991868568.3371</f>
        <v>12991868568.337099</v>
      </c>
      <c r="C1719" s="56">
        <f>1079233863.75021+14439241773.4235</f>
        <v>15518475637.17371</v>
      </c>
      <c r="F1719" s="44">
        <f t="shared" si="208"/>
        <v>2526607068.8366108</v>
      </c>
      <c r="H1719" s="46">
        <f t="shared" ref="H1719:H1729" si="227">1537044733.74128</f>
        <v>1537044733.7412801</v>
      </c>
      <c r="I1719" s="50">
        <f>341291376.47815+1181299758.53742</f>
        <v>1522591135.0155702</v>
      </c>
      <c r="L1719" s="44">
        <f t="shared" si="216"/>
        <v>2512153470.1109009</v>
      </c>
      <c r="M1719" s="45">
        <f t="shared" si="217"/>
        <v>-14453598.725709915</v>
      </c>
    </row>
    <row r="1720" spans="1:13" ht="12.65" customHeight="1">
      <c r="A1720" s="33">
        <f t="shared" si="225"/>
        <v>45491</v>
      </c>
      <c r="B1720" s="46">
        <f t="shared" si="226"/>
        <v>12991868568.337099</v>
      </c>
      <c r="C1720" s="56">
        <f>1105839946.56059+10418935360.5499</f>
        <v>11524775307.110491</v>
      </c>
      <c r="F1720" s="44">
        <f t="shared" si="208"/>
        <v>-1467093261.2266083</v>
      </c>
      <c r="H1720" s="46">
        <f t="shared" si="227"/>
        <v>1537044733.7412801</v>
      </c>
      <c r="I1720" s="50">
        <f>330331907.49741+1370439228.56589</f>
        <v>1700771136.0633001</v>
      </c>
      <c r="L1720" s="44">
        <f t="shared" si="216"/>
        <v>-1303366858.9045882</v>
      </c>
      <c r="M1720" s="45">
        <f t="shared" si="217"/>
        <v>163726402.32202005</v>
      </c>
    </row>
    <row r="1721" spans="1:13" ht="12.65" customHeight="1">
      <c r="A1721" s="33">
        <f t="shared" si="225"/>
        <v>45492</v>
      </c>
      <c r="B1721" s="46">
        <f t="shared" si="226"/>
        <v>12991868568.337099</v>
      </c>
      <c r="C1721" s="56">
        <f>1123401737.91892+10544385436.4011</f>
        <v>11667787174.320021</v>
      </c>
      <c r="F1721" s="44">
        <f t="shared" si="208"/>
        <v>-1324081394.0170784</v>
      </c>
      <c r="H1721" s="46">
        <f t="shared" si="227"/>
        <v>1537044733.7412801</v>
      </c>
      <c r="I1721" s="50">
        <f>615953323.34237+800379241.67297</f>
        <v>1416332565.0153401</v>
      </c>
      <c r="L1721" s="44">
        <f t="shared" si="216"/>
        <v>-1444793562.7430184</v>
      </c>
      <c r="M1721" s="45">
        <f t="shared" si="217"/>
        <v>-120712168.72593999</v>
      </c>
    </row>
    <row r="1722" spans="1:13" ht="12.65" customHeight="1">
      <c r="A1722" s="33">
        <f t="shared" si="225"/>
        <v>45495</v>
      </c>
      <c r="B1722" s="46">
        <f t="shared" si="226"/>
        <v>12991868568.337099</v>
      </c>
      <c r="C1722" s="56">
        <f>12641729721.7589+1179255416.53978</f>
        <v>13820985138.298679</v>
      </c>
      <c r="F1722" s="44">
        <f t="shared" ref="F1722:F1773" si="228">C1722-B1722</f>
        <v>829116569.96158028</v>
      </c>
      <c r="H1722" s="46">
        <f t="shared" si="227"/>
        <v>1537044733.7412801</v>
      </c>
      <c r="I1722" s="50">
        <f>1204863214.07769+278268758.04067</f>
        <v>1483131972.1183598</v>
      </c>
      <c r="L1722" s="44">
        <f t="shared" si="216"/>
        <v>775203808.33866</v>
      </c>
      <c r="M1722" s="45">
        <f t="shared" si="217"/>
        <v>-53912761.622920275</v>
      </c>
    </row>
    <row r="1723" spans="1:13" ht="12.65" customHeight="1">
      <c r="A1723" s="33">
        <f t="shared" si="225"/>
        <v>45496</v>
      </c>
      <c r="B1723" s="46">
        <f t="shared" si="226"/>
        <v>12991868568.337099</v>
      </c>
      <c r="C1723" s="56">
        <f>987955310.55461+12914672578.5577</f>
        <v>13902627889.112309</v>
      </c>
      <c r="F1723" s="44">
        <f t="shared" si="228"/>
        <v>910759320.77520943</v>
      </c>
      <c r="H1723" s="46">
        <f t="shared" si="227"/>
        <v>1537044733.7412801</v>
      </c>
      <c r="I1723" s="50">
        <f>303334714.72928+1227407911.50462</f>
        <v>1530742626.2339001</v>
      </c>
      <c r="L1723" s="44">
        <f t="shared" si="216"/>
        <v>904457213.26782942</v>
      </c>
      <c r="M1723" s="45">
        <f t="shared" si="217"/>
        <v>-6302107.5073800087</v>
      </c>
    </row>
    <row r="1724" spans="1:13" ht="12.65" customHeight="1">
      <c r="A1724" s="33">
        <f t="shared" si="225"/>
        <v>45497</v>
      </c>
      <c r="B1724" s="46">
        <f t="shared" si="226"/>
        <v>12991868568.337099</v>
      </c>
      <c r="C1724" s="56">
        <f>12087191346.2492+1019277576.04285</f>
        <v>13106468922.292051</v>
      </c>
      <c r="F1724" s="44">
        <f t="shared" si="228"/>
        <v>114600353.95495224</v>
      </c>
      <c r="H1724" s="46">
        <f t="shared" si="227"/>
        <v>1537044733.7412801</v>
      </c>
      <c r="I1724" s="50">
        <f>1190857406.1786+308799498.00585</f>
        <v>1499656904.1844501</v>
      </c>
      <c r="L1724" s="44">
        <f t="shared" si="216"/>
        <v>77212524.398122311</v>
      </c>
      <c r="M1724" s="45">
        <f t="shared" si="217"/>
        <v>-37387829.556829929</v>
      </c>
    </row>
    <row r="1725" spans="1:13" ht="12.65" customHeight="1">
      <c r="A1725" s="33">
        <f t="shared" si="225"/>
        <v>45498</v>
      </c>
      <c r="B1725" s="46">
        <f t="shared" si="226"/>
        <v>12991868568.337099</v>
      </c>
      <c r="C1725" s="56">
        <f>12250972188.5718+1043621043.53156</f>
        <v>13294593232.103359</v>
      </c>
      <c r="F1725" s="44">
        <f t="shared" si="228"/>
        <v>302724663.76626015</v>
      </c>
      <c r="H1725" s="46">
        <f t="shared" si="227"/>
        <v>1537044733.7412801</v>
      </c>
      <c r="I1725" s="50">
        <f>1311229622.42658+271739822.34689</f>
        <v>1582969444.7734699</v>
      </c>
      <c r="L1725" s="44">
        <f t="shared" si="216"/>
        <v>348649374.79844999</v>
      </c>
      <c r="M1725" s="45">
        <f t="shared" si="217"/>
        <v>45924711.032189846</v>
      </c>
    </row>
    <row r="1726" spans="1:13" ht="12.65" customHeight="1">
      <c r="A1726" s="33">
        <f t="shared" si="225"/>
        <v>45499</v>
      </c>
      <c r="B1726" s="46">
        <f t="shared" si="226"/>
        <v>12991868568.337099</v>
      </c>
      <c r="C1726" s="56">
        <f>1143293207.12201+12720722045.3226</f>
        <v>13864015252.444609</v>
      </c>
      <c r="F1726" s="44">
        <f t="shared" si="228"/>
        <v>872146684.10750961</v>
      </c>
      <c r="H1726" s="46">
        <f t="shared" si="227"/>
        <v>1537044733.7412801</v>
      </c>
      <c r="I1726" s="50">
        <f>524384464.08278+963444206.32373</f>
        <v>1487828670.4065099</v>
      </c>
      <c r="L1726" s="44">
        <f t="shared" si="216"/>
        <v>822930620.77273941</v>
      </c>
      <c r="M1726" s="45">
        <f t="shared" si="217"/>
        <v>-49216063.334770203</v>
      </c>
    </row>
    <row r="1727" spans="1:13" ht="12.65" customHeight="1">
      <c r="A1727" s="33">
        <f t="shared" si="225"/>
        <v>45502</v>
      </c>
      <c r="B1727" s="46">
        <f t="shared" si="226"/>
        <v>12991868568.337099</v>
      </c>
      <c r="C1727" s="56">
        <f>1255623347.51385+12602990296.5157</f>
        <v>13858613644.029549</v>
      </c>
      <c r="F1727" s="44">
        <f t="shared" si="228"/>
        <v>866745075.69244957</v>
      </c>
      <c r="H1727" s="46">
        <f t="shared" si="227"/>
        <v>1537044733.7412801</v>
      </c>
      <c r="I1727" s="50">
        <f>307696791.25634+1278721458.85308</f>
        <v>1586418250.1094201</v>
      </c>
      <c r="L1727" s="44">
        <f t="shared" si="216"/>
        <v>916118592.06058955</v>
      </c>
      <c r="M1727" s="45">
        <f t="shared" si="217"/>
        <v>49373516.368139982</v>
      </c>
    </row>
    <row r="1728" spans="1:13" ht="12.65" customHeight="1">
      <c r="A1728" s="33">
        <f t="shared" si="225"/>
        <v>45503</v>
      </c>
      <c r="B1728" s="46">
        <f t="shared" si="226"/>
        <v>12991868568.337099</v>
      </c>
      <c r="C1728" s="56">
        <f>13691917088.7671+1119186890.2283</f>
        <v>14811103978.995399</v>
      </c>
      <c r="F1728" s="44">
        <f t="shared" si="228"/>
        <v>1819235410.6583004</v>
      </c>
      <c r="H1728" s="46">
        <f t="shared" si="227"/>
        <v>1537044733.7412801</v>
      </c>
      <c r="I1728" s="50">
        <f>1346287615.73733+298922885.49137</f>
        <v>1645210501.2286999</v>
      </c>
      <c r="L1728" s="44">
        <f t="shared" si="216"/>
        <v>1927401178.1457202</v>
      </c>
      <c r="M1728" s="45">
        <f t="shared" si="217"/>
        <v>108165767.48741984</v>
      </c>
    </row>
    <row r="1729" spans="1:13" ht="12.65" customHeight="1">
      <c r="A1729" s="33">
        <f t="shared" si="225"/>
        <v>45504</v>
      </c>
      <c r="B1729" s="46">
        <f t="shared" si="226"/>
        <v>12991868568.337099</v>
      </c>
      <c r="C1729" s="56">
        <f>6561320988.71863+1108592824.03747</f>
        <v>7669913812.7560997</v>
      </c>
      <c r="F1729" s="44">
        <f t="shared" si="228"/>
        <v>-5321954755.5809994</v>
      </c>
      <c r="H1729" s="46">
        <f t="shared" si="227"/>
        <v>1537044733.7412801</v>
      </c>
      <c r="I1729" s="50">
        <f>247069209.15136+1256005506.97701</f>
        <v>1503074716.12837</v>
      </c>
      <c r="L1729" s="44">
        <f t="shared" si="216"/>
        <v>-5355924773.1939096</v>
      </c>
      <c r="M1729" s="45">
        <f t="shared" si="217"/>
        <v>-33970017.612910032</v>
      </c>
    </row>
    <row r="1730" spans="1:13" ht="12.65" customHeight="1">
      <c r="A1730" s="33">
        <f t="shared" si="225"/>
        <v>45505</v>
      </c>
      <c r="B1730" s="46">
        <f>12841561079.9145</f>
        <v>12841561079.914499</v>
      </c>
      <c r="C1730" s="56">
        <f>1181873129.15187+9584540404.99062</f>
        <v>10766413534.14249</v>
      </c>
      <c r="F1730" s="44">
        <f t="shared" si="228"/>
        <v>-2075147545.7720089</v>
      </c>
      <c r="H1730" s="46">
        <f>1596320690.59641</f>
        <v>1596320690.59641</v>
      </c>
      <c r="I1730" s="50">
        <f>1194806690.32743+293322924.83101</f>
        <v>1488129615.1584401</v>
      </c>
      <c r="L1730" s="44">
        <f t="shared" si="216"/>
        <v>-2183338621.2099791</v>
      </c>
      <c r="M1730" s="45">
        <f t="shared" si="217"/>
        <v>-108191075.43796992</v>
      </c>
    </row>
    <row r="1731" spans="1:13" ht="12.65" customHeight="1">
      <c r="A1731" s="33">
        <f t="shared" si="225"/>
        <v>45506</v>
      </c>
      <c r="B1731" s="46">
        <f t="shared" ref="B1731:B1740" si="229">12841561079.9145</f>
        <v>12841561079.914499</v>
      </c>
      <c r="C1731" s="56">
        <f>1109523600.98291+10448522553.2374</f>
        <v>11558046154.22031</v>
      </c>
      <c r="F1731" s="44">
        <f t="shared" si="228"/>
        <v>-1283514925.6941891</v>
      </c>
      <c r="H1731" s="46">
        <f t="shared" ref="H1731:H1740" si="230">1596320690.59641</f>
        <v>1596320690.59641</v>
      </c>
      <c r="I1731" s="50">
        <f>531672023.88173+981511614.48035</f>
        <v>1513183638.3620801</v>
      </c>
      <c r="L1731" s="44">
        <f t="shared" si="216"/>
        <v>-1366651977.928519</v>
      </c>
      <c r="M1731" s="45">
        <f t="shared" si="217"/>
        <v>-83137052.234329939</v>
      </c>
    </row>
    <row r="1732" spans="1:13" ht="12.65" customHeight="1">
      <c r="A1732" s="33">
        <f t="shared" si="225"/>
        <v>45509</v>
      </c>
      <c r="B1732" s="46">
        <f t="shared" si="229"/>
        <v>12841561079.914499</v>
      </c>
      <c r="C1732" s="56">
        <f>1305464132.35742+13751271193.672</f>
        <v>15056735326.029421</v>
      </c>
      <c r="F1732" s="44">
        <f t="shared" si="228"/>
        <v>2215174246.1149216</v>
      </c>
      <c r="H1732" s="46">
        <f t="shared" si="230"/>
        <v>1596320690.59641</v>
      </c>
      <c r="I1732" s="50">
        <f>293892456.4529+1561989408.60979</f>
        <v>1855881865.06269</v>
      </c>
      <c r="L1732" s="44">
        <f t="shared" si="216"/>
        <v>2474735420.5812016</v>
      </c>
      <c r="M1732" s="45">
        <f t="shared" si="217"/>
        <v>259561174.46627998</v>
      </c>
    </row>
    <row r="1733" spans="1:13" ht="12.65" customHeight="1">
      <c r="A1733" s="33">
        <f t="shared" si="225"/>
        <v>45510</v>
      </c>
      <c r="B1733" s="46">
        <f t="shared" si="229"/>
        <v>12841561079.914499</v>
      </c>
      <c r="C1733" s="56">
        <f>1158648814.29296+15092903285.5736</f>
        <v>16251552099.86656</v>
      </c>
      <c r="F1733" s="44">
        <f t="shared" si="228"/>
        <v>3409991019.9520607</v>
      </c>
      <c r="H1733" s="46">
        <f t="shared" si="230"/>
        <v>1596320690.59641</v>
      </c>
      <c r="I1733" s="50">
        <f>286148623.47989+1353280546.74426</f>
        <v>1639429170.2241502</v>
      </c>
      <c r="L1733" s="44">
        <f t="shared" si="216"/>
        <v>3453099499.5798006</v>
      </c>
      <c r="M1733" s="45">
        <f t="shared" si="217"/>
        <v>43108479.627740145</v>
      </c>
    </row>
    <row r="1734" spans="1:13" ht="12.65" customHeight="1">
      <c r="A1734" s="33">
        <f t="shared" si="225"/>
        <v>45511</v>
      </c>
      <c r="B1734" s="46">
        <f t="shared" si="229"/>
        <v>12841561079.914499</v>
      </c>
      <c r="C1734" s="56">
        <f>1166656496.86967+15061426768.846</f>
        <v>16228083265.715672</v>
      </c>
      <c r="F1734" s="44">
        <f t="shared" si="228"/>
        <v>3386522185.8011723</v>
      </c>
      <c r="H1734" s="46">
        <f t="shared" si="230"/>
        <v>1596320690.59641</v>
      </c>
      <c r="I1734" s="50">
        <f>305833469.56965+1368099004.41847</f>
        <v>1673932473.9881198</v>
      </c>
      <c r="L1734" s="44">
        <f t="shared" si="216"/>
        <v>3464133969.1928821</v>
      </c>
      <c r="M1734" s="45">
        <f t="shared" si="217"/>
        <v>77611783.391709805</v>
      </c>
    </row>
    <row r="1735" spans="1:13" ht="12.65" customHeight="1">
      <c r="A1735" s="33">
        <f t="shared" si="225"/>
        <v>45512</v>
      </c>
      <c r="B1735" s="46">
        <f t="shared" si="229"/>
        <v>12841561079.914499</v>
      </c>
      <c r="C1735" s="56">
        <f>1159609844.88803+12672861556.762</f>
        <v>13832471401.650028</v>
      </c>
      <c r="F1735" s="44">
        <f t="shared" si="228"/>
        <v>990910321.73552895</v>
      </c>
      <c r="H1735" s="46">
        <f t="shared" si="230"/>
        <v>1596320690.59641</v>
      </c>
      <c r="I1735" s="50">
        <f>320043889.49066+1262538028.68194</f>
        <v>1582581918.1726</v>
      </c>
      <c r="L1735" s="44">
        <f t="shared" si="216"/>
        <v>977171549.31171894</v>
      </c>
      <c r="M1735" s="45">
        <f t="shared" si="217"/>
        <v>-13738772.423810005</v>
      </c>
    </row>
    <row r="1736" spans="1:13" ht="12.65" customHeight="1">
      <c r="A1736" s="33">
        <f t="shared" si="225"/>
        <v>45513</v>
      </c>
      <c r="B1736" s="46">
        <f t="shared" si="229"/>
        <v>12841561079.914499</v>
      </c>
      <c r="C1736" s="56">
        <f>1140409384.87313+9732903286.9672</f>
        <v>10873312671.84033</v>
      </c>
      <c r="F1736" s="44">
        <f t="shared" si="228"/>
        <v>-1968248408.0741692</v>
      </c>
      <c r="H1736" s="46">
        <f t="shared" si="230"/>
        <v>1596320690.59641</v>
      </c>
      <c r="I1736" s="50">
        <f>539376657.23242+970076022.24741</f>
        <v>1509452679.47983</v>
      </c>
      <c r="L1736" s="44">
        <f t="shared" si="216"/>
        <v>-2055116419.1907492</v>
      </c>
      <c r="M1736" s="45">
        <f t="shared" si="217"/>
        <v>-86868011.116580009</v>
      </c>
    </row>
    <row r="1737" spans="1:13" ht="12.65" customHeight="1">
      <c r="A1737" s="33">
        <f t="shared" si="225"/>
        <v>45516</v>
      </c>
      <c r="B1737" s="46">
        <f t="shared" si="229"/>
        <v>12841561079.914499</v>
      </c>
      <c r="C1737" s="56">
        <f>13166722998.5802+1108685627.80285</f>
        <v>14275408626.383051</v>
      </c>
      <c r="F1737" s="44">
        <f t="shared" si="228"/>
        <v>1433847546.4685516</v>
      </c>
      <c r="H1737" s="46">
        <f t="shared" si="230"/>
        <v>1596320690.59641</v>
      </c>
      <c r="I1737" s="50">
        <f>1269074406.19122+318593579.64777</f>
        <v>1587667985.83899</v>
      </c>
      <c r="L1737" s="44">
        <f t="shared" si="216"/>
        <v>1425194841.7111316</v>
      </c>
      <c r="M1737" s="45">
        <f t="shared" si="217"/>
        <v>-8652704.757420063</v>
      </c>
    </row>
    <row r="1738" spans="1:13" ht="12.65" customHeight="1">
      <c r="A1738" s="33">
        <f t="shared" si="225"/>
        <v>45517</v>
      </c>
      <c r="B1738" s="46">
        <f t="shared" si="229"/>
        <v>12841561079.914499</v>
      </c>
      <c r="C1738" s="56">
        <f>12520511288.1808+1176310285.30202</f>
        <v>13696821573.482819</v>
      </c>
      <c r="F1738" s="44">
        <f t="shared" si="228"/>
        <v>855260493.56831932</v>
      </c>
      <c r="H1738" s="46">
        <f t="shared" si="230"/>
        <v>1596320690.59641</v>
      </c>
      <c r="I1738" s="50">
        <f>1325271762.50211+330405948.89165</f>
        <v>1655677711.39376</v>
      </c>
      <c r="L1738" s="44">
        <f t="shared" si="216"/>
        <v>914617514.36566925</v>
      </c>
      <c r="M1738" s="45">
        <f t="shared" si="217"/>
        <v>59357020.79734993</v>
      </c>
    </row>
    <row r="1739" spans="1:13" ht="12.65" customHeight="1">
      <c r="A1739" s="33">
        <f t="shared" si="225"/>
        <v>45518</v>
      </c>
      <c r="B1739" s="46">
        <f t="shared" si="229"/>
        <v>12841561079.914499</v>
      </c>
      <c r="C1739" s="56">
        <f>11418303176.8857+988043962.50527</f>
        <v>12406347139.39097</v>
      </c>
      <c r="F1739" s="44">
        <f t="shared" si="228"/>
        <v>-435213940.52352905</v>
      </c>
      <c r="H1739" s="46">
        <f t="shared" si="230"/>
        <v>1596320690.59641</v>
      </c>
      <c r="I1739" s="50">
        <f>1313111457.0472+336667843.15159</f>
        <v>1649779300.1987901</v>
      </c>
      <c r="L1739" s="44">
        <f t="shared" si="216"/>
        <v>-381755330.92114902</v>
      </c>
      <c r="M1739" s="45">
        <f t="shared" si="217"/>
        <v>53458609.602380037</v>
      </c>
    </row>
    <row r="1740" spans="1:13" ht="12.65" customHeight="1">
      <c r="A1740" s="33">
        <f t="shared" si="225"/>
        <v>45519</v>
      </c>
      <c r="B1740" s="46">
        <f t="shared" si="229"/>
        <v>12841561079.914499</v>
      </c>
      <c r="C1740" s="56">
        <f>1026750494.44646+7215770799.72726</f>
        <v>8242521294.1737194</v>
      </c>
      <c r="F1740" s="44">
        <f t="shared" si="228"/>
        <v>-4599039785.7407799</v>
      </c>
      <c r="H1740" s="46">
        <f t="shared" si="230"/>
        <v>1596320690.59641</v>
      </c>
      <c r="I1740" s="50">
        <f>304725406.84515+1274905320.57993</f>
        <v>1579630727.4250801</v>
      </c>
      <c r="L1740" s="44">
        <f t="shared" si="216"/>
        <v>-4615729748.9121094</v>
      </c>
      <c r="M1740" s="45">
        <f t="shared" si="217"/>
        <v>-16689963.171329975</v>
      </c>
    </row>
    <row r="1741" spans="1:13" ht="12.65" customHeight="1">
      <c r="A1741" s="33">
        <f t="shared" si="225"/>
        <v>45520</v>
      </c>
      <c r="B1741" s="46">
        <f>12397091966.9931</f>
        <v>12397091966.993099</v>
      </c>
      <c r="C1741" s="56">
        <f>1095186462.55944+7267629521.71347</f>
        <v>8362815984.2729101</v>
      </c>
      <c r="F1741" s="44">
        <f t="shared" si="228"/>
        <v>-4034275982.7201891</v>
      </c>
      <c r="H1741" s="46">
        <f>1623591581.6904</f>
        <v>1623591581.6903999</v>
      </c>
      <c r="I1741" s="50">
        <f>561619488.66875+975500078.81709</f>
        <v>1537119567.4858401</v>
      </c>
      <c r="L1741" s="44">
        <f t="shared" si="216"/>
        <v>-4120747996.9247489</v>
      </c>
      <c r="M1741" s="45">
        <f t="shared" si="217"/>
        <v>-86472014.204559803</v>
      </c>
    </row>
    <row r="1742" spans="1:13" ht="12.65" customHeight="1">
      <c r="A1742" s="33">
        <f t="shared" si="225"/>
        <v>45523</v>
      </c>
      <c r="B1742" s="46">
        <f t="shared" ref="B1742:B1752" si="231">12397091966.9931</f>
        <v>12397091966.993099</v>
      </c>
      <c r="C1742" s="56">
        <f>1043457461.91036+8810205191.30973</f>
        <v>9853662653.2200909</v>
      </c>
      <c r="F1742" s="44">
        <f t="shared" si="228"/>
        <v>-2543429313.7730083</v>
      </c>
      <c r="H1742" s="46">
        <f t="shared" ref="H1742:H1752" si="232">1623591581.6904</f>
        <v>1623591581.6903999</v>
      </c>
      <c r="I1742" s="50">
        <f>327228176.00661+1201367120.55017</f>
        <v>1528595296.5567799</v>
      </c>
      <c r="L1742" s="44">
        <f t="shared" si="216"/>
        <v>-2638425598.9066286</v>
      </c>
      <c r="M1742" s="45">
        <f t="shared" si="217"/>
        <v>-94996285.133620024</v>
      </c>
    </row>
    <row r="1743" spans="1:13" ht="12.65" customHeight="1">
      <c r="A1743" s="33">
        <f t="shared" si="225"/>
        <v>45524</v>
      </c>
      <c r="B1743" s="46">
        <f t="shared" si="231"/>
        <v>12397091966.993099</v>
      </c>
      <c r="C1743" s="56">
        <f>1146870930.63679+11900203717.7053</f>
        <v>13047074648.342089</v>
      </c>
      <c r="F1743" s="44">
        <f t="shared" si="228"/>
        <v>649982681.34898949</v>
      </c>
      <c r="H1743" s="46">
        <f t="shared" si="232"/>
        <v>1623591581.6903999</v>
      </c>
      <c r="I1743" s="50">
        <f>318946323.90408+1160018948.47101</f>
        <v>1478965272.3750899</v>
      </c>
      <c r="L1743" s="44">
        <f t="shared" si="216"/>
        <v>505356372.03367949</v>
      </c>
      <c r="M1743" s="45">
        <f t="shared" si="217"/>
        <v>-144626309.31531</v>
      </c>
    </row>
    <row r="1744" spans="1:13" ht="12.65" customHeight="1">
      <c r="A1744" s="33">
        <f t="shared" si="225"/>
        <v>45525</v>
      </c>
      <c r="B1744" s="46">
        <f t="shared" si="231"/>
        <v>12397091966.993099</v>
      </c>
      <c r="C1744" s="56">
        <f>1064133535.99209+16305045703.5442</f>
        <v>17369179239.536289</v>
      </c>
      <c r="F1744" s="44">
        <f t="shared" si="228"/>
        <v>4972087272.54319</v>
      </c>
      <c r="H1744" s="46">
        <f t="shared" si="232"/>
        <v>1623591581.6903999</v>
      </c>
      <c r="I1744" s="50">
        <f>326399893.77356+1240790476.48039</f>
        <v>1567190370.2539501</v>
      </c>
      <c r="L1744" s="44">
        <f t="shared" si="216"/>
        <v>4915686061.10674</v>
      </c>
      <c r="M1744" s="45">
        <f t="shared" si="217"/>
        <v>-56401211.436449766</v>
      </c>
    </row>
    <row r="1745" spans="1:14" ht="12.65" customHeight="1">
      <c r="A1745" s="33">
        <f t="shared" si="225"/>
        <v>45526</v>
      </c>
      <c r="B1745" s="46">
        <f t="shared" si="231"/>
        <v>12397091966.993099</v>
      </c>
      <c r="C1745" s="56">
        <f>1054305175.25871+13962488455.7245</f>
        <v>15016793630.983212</v>
      </c>
      <c r="F1745" s="44">
        <f t="shared" si="228"/>
        <v>2619701663.9901123</v>
      </c>
      <c r="H1745" s="46">
        <f t="shared" si="232"/>
        <v>1623591581.6903999</v>
      </c>
      <c r="I1745" s="50">
        <f>319879652.98627+1829948661.26612</f>
        <v>2149828314.2523899</v>
      </c>
      <c r="L1745" s="44">
        <f t="shared" si="216"/>
        <v>3145938396.5521021</v>
      </c>
      <c r="M1745" s="45">
        <f t="shared" si="217"/>
        <v>526236732.56199002</v>
      </c>
    </row>
    <row r="1746" spans="1:14" ht="12.65" customHeight="1">
      <c r="A1746" s="33">
        <f t="shared" si="225"/>
        <v>45527</v>
      </c>
      <c r="B1746" s="46">
        <f t="shared" si="231"/>
        <v>12397091966.993099</v>
      </c>
      <c r="C1746" s="56">
        <f>1100575167.55968+11450938768.6166</f>
        <v>12551513936.176281</v>
      </c>
      <c r="F1746" s="44">
        <f t="shared" si="228"/>
        <v>154421969.18318176</v>
      </c>
      <c r="H1746" s="46">
        <f t="shared" si="232"/>
        <v>1623591581.6903999</v>
      </c>
      <c r="I1746" s="50">
        <f>554266407.26332+1041578386.34449</f>
        <v>1595844793.60781</v>
      </c>
      <c r="L1746" s="44">
        <f t="shared" si="216"/>
        <v>126675181.1005919</v>
      </c>
      <c r="M1746" s="45">
        <f t="shared" si="217"/>
        <v>-27746788.082589865</v>
      </c>
    </row>
    <row r="1747" spans="1:14" ht="12.65" customHeight="1">
      <c r="A1747" s="33">
        <f t="shared" si="225"/>
        <v>45530</v>
      </c>
      <c r="B1747" s="46">
        <f t="shared" si="231"/>
        <v>12397091966.993099</v>
      </c>
      <c r="C1747" s="56">
        <f>1192701308.8309+9755471330.58711</f>
        <v>10948172639.418011</v>
      </c>
      <c r="F1747" s="44">
        <f t="shared" si="228"/>
        <v>-1448919327.5750885</v>
      </c>
      <c r="H1747" s="46">
        <f t="shared" si="232"/>
        <v>1623591581.6903999</v>
      </c>
      <c r="I1747" s="50">
        <f>296705561.5767+1206701340.33473</f>
        <v>1503406901.9114299</v>
      </c>
      <c r="L1747" s="44">
        <f t="shared" si="216"/>
        <v>-1569104007.3540585</v>
      </c>
      <c r="M1747" s="45">
        <f t="shared" si="217"/>
        <v>-120184679.77897</v>
      </c>
    </row>
    <row r="1748" spans="1:14" ht="12.65" customHeight="1">
      <c r="A1748" s="33">
        <f t="shared" si="225"/>
        <v>45531</v>
      </c>
      <c r="B1748" s="46">
        <f t="shared" si="231"/>
        <v>12397091966.993099</v>
      </c>
      <c r="C1748" s="56">
        <f>1128598972.96689+12713089635.5647</f>
        <v>13841688608.53159</v>
      </c>
      <c r="F1748" s="44">
        <f t="shared" si="228"/>
        <v>1444596641.5384903</v>
      </c>
      <c r="H1748" s="46">
        <f t="shared" si="232"/>
        <v>1623591581.6903999</v>
      </c>
      <c r="I1748" s="50">
        <f>291772319.33922+1252735889.73571</f>
        <v>1544508209.07493</v>
      </c>
      <c r="L1748" s="44">
        <f t="shared" si="216"/>
        <v>1365513268.9230204</v>
      </c>
      <c r="M1748" s="45">
        <f t="shared" si="217"/>
        <v>-79083372.615469933</v>
      </c>
    </row>
    <row r="1749" spans="1:14" ht="12.65" customHeight="1">
      <c r="A1749" s="33">
        <f t="shared" si="225"/>
        <v>45532</v>
      </c>
      <c r="B1749" s="46">
        <f t="shared" si="231"/>
        <v>12397091966.993099</v>
      </c>
      <c r="C1749" s="56">
        <f>1149391236.97509+13758094243.4459</f>
        <v>14907485480.42099</v>
      </c>
      <c r="F1749" s="44">
        <f t="shared" si="228"/>
        <v>2510393513.4278908</v>
      </c>
      <c r="H1749" s="46">
        <f t="shared" si="232"/>
        <v>1623591581.6903999</v>
      </c>
      <c r="I1749" s="50">
        <f>279576200.94045+1490827782.56123</f>
        <v>1770403983.5016799</v>
      </c>
      <c r="L1749" s="44">
        <f t="shared" si="216"/>
        <v>2657205915.239171</v>
      </c>
      <c r="M1749" s="45">
        <f t="shared" si="217"/>
        <v>146812401.81128001</v>
      </c>
    </row>
    <row r="1750" spans="1:14" ht="12.65" customHeight="1">
      <c r="A1750" s="33">
        <f t="shared" si="225"/>
        <v>45533</v>
      </c>
      <c r="B1750" s="46">
        <f t="shared" si="231"/>
        <v>12397091966.993099</v>
      </c>
      <c r="C1750" s="56">
        <f>1129611882.01817+13808364376.1621</f>
        <v>14937976258.180269</v>
      </c>
      <c r="F1750" s="44">
        <f t="shared" si="228"/>
        <v>2540884291.18717</v>
      </c>
      <c r="H1750" s="46">
        <f t="shared" si="232"/>
        <v>1623591581.6903999</v>
      </c>
      <c r="I1750" s="50">
        <f>250192168.29175+1415723441.10006</f>
        <v>1665915609.3918099</v>
      </c>
      <c r="L1750" s="44">
        <f t="shared" si="216"/>
        <v>2583208318.8885803</v>
      </c>
      <c r="M1750" s="45">
        <f t="shared" si="217"/>
        <v>42324027.701410055</v>
      </c>
    </row>
    <row r="1751" spans="1:14" ht="12.65" customHeight="1">
      <c r="A1751" s="33">
        <f t="shared" si="225"/>
        <v>45534</v>
      </c>
      <c r="B1751" s="46">
        <f t="shared" si="231"/>
        <v>12397091966.993099</v>
      </c>
      <c r="C1751" s="56">
        <f>1135513164.92944+6682486072.18927</f>
        <v>7817999237.1187096</v>
      </c>
      <c r="F1751" s="44">
        <f t="shared" si="228"/>
        <v>-4579092729.8743896</v>
      </c>
      <c r="H1751" s="46">
        <f t="shared" si="232"/>
        <v>1623591581.6903999</v>
      </c>
      <c r="I1751" s="50">
        <f>518442330.96385+1275557516.96317</f>
        <v>1793999847.9270201</v>
      </c>
      <c r="L1751" s="44">
        <f t="shared" si="216"/>
        <v>-4408684463.6377697</v>
      </c>
      <c r="M1751" s="45">
        <f t="shared" si="217"/>
        <v>170408266.23662019</v>
      </c>
    </row>
    <row r="1752" spans="1:14" s="1380" customFormat="1" ht="12.65" customHeight="1">
      <c r="A1752" s="1377">
        <f>A1751+1</f>
        <v>45535</v>
      </c>
      <c r="B1752" s="1378">
        <f t="shared" si="231"/>
        <v>12397091966.993099</v>
      </c>
      <c r="C1752" s="1379">
        <f>1135513164.92944+6682486072.18927</f>
        <v>7817999237.1187096</v>
      </c>
      <c r="F1752" s="1384">
        <f t="shared" ref="F1752" si="233">C1752-B1752</f>
        <v>-4579092729.8743896</v>
      </c>
      <c r="G1752" s="1382"/>
      <c r="H1752" s="1378">
        <f t="shared" si="232"/>
        <v>1623591581.6903999</v>
      </c>
      <c r="I1752" s="1383">
        <f>518442330.96385+1275557516.96317</f>
        <v>1793999847.9270201</v>
      </c>
      <c r="L1752" s="1384">
        <f t="shared" ref="L1752" si="234">F1752+M1752</f>
        <v>-4408684463.6377697</v>
      </c>
      <c r="M1752" s="1381">
        <f t="shared" ref="M1752" si="235">I1752-H1752</f>
        <v>170408266.23662019</v>
      </c>
      <c r="N1752" s="1538"/>
    </row>
    <row r="1753" spans="1:14" ht="12.65" customHeight="1">
      <c r="A1753" s="33">
        <f>WORKDAY(A1751,1)</f>
        <v>45537</v>
      </c>
      <c r="B1753" s="46">
        <f>11840579170.8041</f>
        <v>11840579170.8041</v>
      </c>
      <c r="C1753" s="56">
        <f>1200884031.15595+9966350332.9077</f>
        <v>11167234364.06365</v>
      </c>
      <c r="F1753" s="44">
        <f t="shared" si="228"/>
        <v>-673344806.74044991</v>
      </c>
      <c r="H1753" s="46">
        <f>2235263049.27</f>
        <v>2235263049.27</v>
      </c>
      <c r="I1753" s="50">
        <f>291954608.1935+1802163803.28426</f>
        <v>2094118411.4777601</v>
      </c>
      <c r="L1753" s="44">
        <f t="shared" ref="L1753:L1773" si="236">F1753+M1753</f>
        <v>-814489444.53268981</v>
      </c>
      <c r="M1753" s="45">
        <f t="shared" ref="M1753:M1773" si="237">I1753-H1753</f>
        <v>-141144637.7922399</v>
      </c>
    </row>
    <row r="1754" spans="1:14" ht="12.65" customHeight="1">
      <c r="A1754" s="33">
        <f t="shared" si="225"/>
        <v>45538</v>
      </c>
      <c r="B1754" s="46">
        <f t="shared" ref="B1754:B1762" si="238">11840579170.8041</f>
        <v>11840579170.8041</v>
      </c>
      <c r="C1754" s="56">
        <f>1142144568.35976+10417230539.7584</f>
        <v>11559375108.11816</v>
      </c>
      <c r="F1754" s="44">
        <f t="shared" si="228"/>
        <v>-281204062.68593979</v>
      </c>
      <c r="H1754" s="46">
        <f t="shared" ref="H1754:H1762" si="239">2235263049.27</f>
        <v>2235263049.27</v>
      </c>
      <c r="I1754" s="50">
        <f>291949940.67707+1618505923.11298</f>
        <v>1910455863.79005</v>
      </c>
      <c r="L1754" s="44">
        <f t="shared" si="236"/>
        <v>-606011248.16588974</v>
      </c>
      <c r="M1754" s="45">
        <f t="shared" si="237"/>
        <v>-324807185.47994995</v>
      </c>
    </row>
    <row r="1755" spans="1:14" ht="12.65" customHeight="1">
      <c r="A1755" s="33">
        <f t="shared" si="225"/>
        <v>45539</v>
      </c>
      <c r="B1755" s="46">
        <f t="shared" si="238"/>
        <v>11840579170.8041</v>
      </c>
      <c r="C1755" s="56">
        <f>12852383555.9734+1167059960.83393</f>
        <v>14019443516.807331</v>
      </c>
      <c r="F1755" s="44">
        <f t="shared" si="228"/>
        <v>2178864346.003231</v>
      </c>
      <c r="H1755" s="46">
        <f t="shared" si="239"/>
        <v>2235263049.27</v>
      </c>
      <c r="I1755" s="50">
        <f>2688290562.80911+303558508.42547</f>
        <v>2991849071.23458</v>
      </c>
      <c r="L1755" s="44">
        <f t="shared" si="236"/>
        <v>2935450367.9678111</v>
      </c>
      <c r="M1755" s="45">
        <f t="shared" si="237"/>
        <v>756586021.96458006</v>
      </c>
    </row>
    <row r="1756" spans="1:14" ht="12.65" customHeight="1">
      <c r="A1756" s="33">
        <f t="shared" si="225"/>
        <v>45540</v>
      </c>
      <c r="B1756" s="46">
        <f t="shared" si="238"/>
        <v>11840579170.8041</v>
      </c>
      <c r="C1756" s="56">
        <f>1093873214.2056+13914421751.1023</f>
        <v>15008294965.307901</v>
      </c>
      <c r="F1756" s="44">
        <f t="shared" si="228"/>
        <v>3167715794.5038013</v>
      </c>
      <c r="H1756" s="46">
        <f t="shared" si="239"/>
        <v>2235263049.27</v>
      </c>
      <c r="I1756" s="50">
        <f>311715096.8284+1916631862.20776</f>
        <v>2228346959.03616</v>
      </c>
      <c r="L1756" s="44">
        <f t="shared" si="236"/>
        <v>3160799704.2699614</v>
      </c>
      <c r="M1756" s="45">
        <f t="shared" si="237"/>
        <v>-6916090.2338399887</v>
      </c>
    </row>
    <row r="1757" spans="1:14" ht="12.65" customHeight="1">
      <c r="A1757" s="33">
        <f t="shared" si="225"/>
        <v>45541</v>
      </c>
      <c r="B1757" s="46">
        <f t="shared" si="238"/>
        <v>11840579170.8041</v>
      </c>
      <c r="C1757" s="56">
        <f>979952042.11437+13745005147.8657</f>
        <v>14724957189.98007</v>
      </c>
      <c r="F1757" s="44">
        <f t="shared" si="228"/>
        <v>2884378019.1759701</v>
      </c>
      <c r="H1757" s="46">
        <f t="shared" si="239"/>
        <v>2235263049.27</v>
      </c>
      <c r="I1757" s="50">
        <f>584519625.93246+1422250278.01578</f>
        <v>2006769903.9482398</v>
      </c>
      <c r="L1757" s="44">
        <f t="shared" si="236"/>
        <v>2655884873.8542099</v>
      </c>
      <c r="M1757" s="45">
        <f t="shared" si="237"/>
        <v>-228493145.32176018</v>
      </c>
    </row>
    <row r="1758" spans="1:14" ht="12.65" customHeight="1">
      <c r="A1758" s="33">
        <f t="shared" si="225"/>
        <v>45544</v>
      </c>
      <c r="B1758" s="46">
        <f t="shared" si="238"/>
        <v>11840579170.8041</v>
      </c>
      <c r="C1758" s="56">
        <f>1177964077.78264+13653000131.5795</f>
        <v>14830964209.362141</v>
      </c>
      <c r="F1758" s="44">
        <f t="shared" si="228"/>
        <v>2990385038.5580406</v>
      </c>
      <c r="H1758" s="46">
        <f t="shared" si="239"/>
        <v>2235263049.27</v>
      </c>
      <c r="I1758" s="50">
        <f>321121188.15555+2098314872.46569</f>
        <v>2419436060.6212397</v>
      </c>
      <c r="L1758" s="44">
        <f t="shared" si="236"/>
        <v>3174558049.9092803</v>
      </c>
      <c r="M1758" s="45">
        <f t="shared" si="237"/>
        <v>184173011.35123968</v>
      </c>
    </row>
    <row r="1759" spans="1:14" ht="12.65" customHeight="1">
      <c r="A1759" s="33">
        <f t="shared" si="225"/>
        <v>45545</v>
      </c>
      <c r="B1759" s="46">
        <f t="shared" si="238"/>
        <v>11840579170.8041</v>
      </c>
      <c r="C1759" s="56">
        <f>1056881102.3441+11380903836.1173</f>
        <v>12437784938.461399</v>
      </c>
      <c r="F1759" s="44">
        <f t="shared" si="228"/>
        <v>597205767.65729904</v>
      </c>
      <c r="H1759" s="46">
        <f t="shared" si="239"/>
        <v>2235263049.27</v>
      </c>
      <c r="I1759" s="50">
        <f>272278726.4751+1675466354.73733</f>
        <v>1947745081.21243</v>
      </c>
      <c r="L1759" s="44">
        <f t="shared" si="236"/>
        <v>309687799.59972906</v>
      </c>
      <c r="M1759" s="45">
        <f t="shared" si="237"/>
        <v>-287517968.05756998</v>
      </c>
    </row>
    <row r="1760" spans="1:14" ht="12.65" customHeight="1">
      <c r="A1760" s="33">
        <f t="shared" si="225"/>
        <v>45546</v>
      </c>
      <c r="B1760" s="46">
        <f t="shared" si="238"/>
        <v>11840579170.8041</v>
      </c>
      <c r="F1760" s="44">
        <f t="shared" si="228"/>
        <v>-11840579170.8041</v>
      </c>
      <c r="H1760" s="46">
        <f t="shared" si="239"/>
        <v>2235263049.27</v>
      </c>
      <c r="L1760" s="44">
        <f t="shared" si="236"/>
        <v>-14075842220.0741</v>
      </c>
      <c r="M1760" s="45">
        <f t="shared" si="237"/>
        <v>-2235263049.27</v>
      </c>
    </row>
    <row r="1761" spans="1:13" ht="12.65" customHeight="1">
      <c r="A1761" s="33">
        <f t="shared" si="225"/>
        <v>45547</v>
      </c>
      <c r="B1761" s="46">
        <f t="shared" si="238"/>
        <v>11840579170.8041</v>
      </c>
      <c r="F1761" s="44">
        <f t="shared" si="228"/>
        <v>-11840579170.8041</v>
      </c>
      <c r="H1761" s="46">
        <f t="shared" si="239"/>
        <v>2235263049.27</v>
      </c>
      <c r="L1761" s="44">
        <f t="shared" si="236"/>
        <v>-14075842220.0741</v>
      </c>
      <c r="M1761" s="45">
        <f t="shared" si="237"/>
        <v>-2235263049.27</v>
      </c>
    </row>
    <row r="1762" spans="1:13" ht="12.65" customHeight="1">
      <c r="A1762" s="33">
        <f t="shared" si="225"/>
        <v>45548</v>
      </c>
      <c r="B1762" s="46">
        <f t="shared" si="238"/>
        <v>11840579170.8041</v>
      </c>
      <c r="F1762" s="44">
        <f t="shared" si="228"/>
        <v>-11840579170.8041</v>
      </c>
      <c r="H1762" s="46">
        <f t="shared" si="239"/>
        <v>2235263049.27</v>
      </c>
      <c r="L1762" s="44">
        <f t="shared" si="236"/>
        <v>-14075842220.0741</v>
      </c>
      <c r="M1762" s="45">
        <f t="shared" si="237"/>
        <v>-2235263049.27</v>
      </c>
    </row>
    <row r="1763" spans="1:13" ht="12.65" customHeight="1">
      <c r="A1763" s="33">
        <f t="shared" si="225"/>
        <v>45551</v>
      </c>
      <c r="B1763" s="46">
        <f>11847199076.6015</f>
        <v>11847199076.6015</v>
      </c>
      <c r="F1763" s="44">
        <f t="shared" si="228"/>
        <v>-11847199076.6015</v>
      </c>
      <c r="H1763" s="46">
        <f>2202126680.96331</f>
        <v>2202126680.9633098</v>
      </c>
      <c r="L1763" s="44">
        <f t="shared" si="236"/>
        <v>-14049325757.56481</v>
      </c>
      <c r="M1763" s="45">
        <f t="shared" si="237"/>
        <v>-2202126680.9633098</v>
      </c>
    </row>
    <row r="1764" spans="1:13" ht="12.65" customHeight="1">
      <c r="A1764" s="33">
        <f t="shared" si="225"/>
        <v>45552</v>
      </c>
      <c r="B1764" s="46">
        <f t="shared" ref="B1764:B1773" si="240">11847199076.6015</f>
        <v>11847199076.6015</v>
      </c>
      <c r="F1764" s="44">
        <f t="shared" si="228"/>
        <v>-11847199076.6015</v>
      </c>
      <c r="H1764" s="46">
        <f t="shared" ref="H1764:H1773" si="241">2202126680.96331</f>
        <v>2202126680.9633098</v>
      </c>
      <c r="L1764" s="44">
        <f t="shared" si="236"/>
        <v>-14049325757.56481</v>
      </c>
      <c r="M1764" s="45">
        <f t="shared" si="237"/>
        <v>-2202126680.9633098</v>
      </c>
    </row>
    <row r="1765" spans="1:13" ht="12.65" customHeight="1">
      <c r="A1765" s="33">
        <f t="shared" si="225"/>
        <v>45553</v>
      </c>
      <c r="B1765" s="46">
        <f t="shared" si="240"/>
        <v>11847199076.6015</v>
      </c>
      <c r="F1765" s="44">
        <f t="shared" si="228"/>
        <v>-11847199076.6015</v>
      </c>
      <c r="H1765" s="46">
        <f t="shared" si="241"/>
        <v>2202126680.9633098</v>
      </c>
      <c r="L1765" s="44">
        <f t="shared" si="236"/>
        <v>-14049325757.56481</v>
      </c>
      <c r="M1765" s="45">
        <f t="shared" si="237"/>
        <v>-2202126680.9633098</v>
      </c>
    </row>
    <row r="1766" spans="1:13" ht="12.65" customHeight="1">
      <c r="A1766" s="33">
        <f t="shared" si="225"/>
        <v>45554</v>
      </c>
      <c r="B1766" s="46">
        <f t="shared" si="240"/>
        <v>11847199076.6015</v>
      </c>
      <c r="F1766" s="44">
        <f t="shared" si="228"/>
        <v>-11847199076.6015</v>
      </c>
      <c r="H1766" s="46">
        <f t="shared" si="241"/>
        <v>2202126680.9633098</v>
      </c>
      <c r="L1766" s="44">
        <f t="shared" si="236"/>
        <v>-14049325757.56481</v>
      </c>
      <c r="M1766" s="45">
        <f t="shared" si="237"/>
        <v>-2202126680.9633098</v>
      </c>
    </row>
    <row r="1767" spans="1:13" ht="12.65" customHeight="1">
      <c r="A1767" s="33">
        <f t="shared" si="225"/>
        <v>45555</v>
      </c>
      <c r="B1767" s="46">
        <f t="shared" si="240"/>
        <v>11847199076.6015</v>
      </c>
      <c r="F1767" s="44">
        <f t="shared" si="228"/>
        <v>-11847199076.6015</v>
      </c>
      <c r="H1767" s="46">
        <f t="shared" si="241"/>
        <v>2202126680.9633098</v>
      </c>
      <c r="L1767" s="44">
        <f t="shared" si="236"/>
        <v>-14049325757.56481</v>
      </c>
      <c r="M1767" s="45">
        <f t="shared" si="237"/>
        <v>-2202126680.9633098</v>
      </c>
    </row>
    <row r="1768" spans="1:13" ht="12.65" customHeight="1">
      <c r="A1768" s="33">
        <f t="shared" si="225"/>
        <v>45558</v>
      </c>
      <c r="B1768" s="46">
        <f t="shared" si="240"/>
        <v>11847199076.6015</v>
      </c>
      <c r="F1768" s="44">
        <f t="shared" si="228"/>
        <v>-11847199076.6015</v>
      </c>
      <c r="H1768" s="46">
        <f t="shared" si="241"/>
        <v>2202126680.9633098</v>
      </c>
      <c r="L1768" s="44">
        <f t="shared" si="236"/>
        <v>-14049325757.56481</v>
      </c>
      <c r="M1768" s="45">
        <f t="shared" si="237"/>
        <v>-2202126680.9633098</v>
      </c>
    </row>
    <row r="1769" spans="1:13" ht="12.65" customHeight="1">
      <c r="A1769" s="33">
        <f t="shared" si="225"/>
        <v>45559</v>
      </c>
      <c r="B1769" s="46">
        <f t="shared" si="240"/>
        <v>11847199076.6015</v>
      </c>
      <c r="F1769" s="44">
        <f t="shared" si="228"/>
        <v>-11847199076.6015</v>
      </c>
      <c r="H1769" s="46">
        <f t="shared" si="241"/>
        <v>2202126680.9633098</v>
      </c>
      <c r="L1769" s="44">
        <f t="shared" si="236"/>
        <v>-14049325757.56481</v>
      </c>
      <c r="M1769" s="45">
        <f t="shared" si="237"/>
        <v>-2202126680.9633098</v>
      </c>
    </row>
    <row r="1770" spans="1:13" ht="12.65" customHeight="1">
      <c r="A1770" s="33">
        <f t="shared" si="225"/>
        <v>45560</v>
      </c>
      <c r="B1770" s="46">
        <f t="shared" si="240"/>
        <v>11847199076.6015</v>
      </c>
      <c r="F1770" s="44">
        <f t="shared" si="228"/>
        <v>-11847199076.6015</v>
      </c>
      <c r="H1770" s="46">
        <f t="shared" si="241"/>
        <v>2202126680.9633098</v>
      </c>
      <c r="L1770" s="44">
        <f t="shared" si="236"/>
        <v>-14049325757.56481</v>
      </c>
      <c r="M1770" s="45">
        <f t="shared" si="237"/>
        <v>-2202126680.9633098</v>
      </c>
    </row>
    <row r="1771" spans="1:13" ht="12.65" customHeight="1">
      <c r="A1771" s="33">
        <f t="shared" si="225"/>
        <v>45561</v>
      </c>
      <c r="B1771" s="46">
        <f t="shared" si="240"/>
        <v>11847199076.6015</v>
      </c>
      <c r="F1771" s="44">
        <f t="shared" si="228"/>
        <v>-11847199076.6015</v>
      </c>
      <c r="H1771" s="46">
        <f t="shared" si="241"/>
        <v>2202126680.9633098</v>
      </c>
      <c r="L1771" s="44">
        <f t="shared" si="236"/>
        <v>-14049325757.56481</v>
      </c>
      <c r="M1771" s="45">
        <f t="shared" si="237"/>
        <v>-2202126680.9633098</v>
      </c>
    </row>
    <row r="1772" spans="1:13" ht="12.65" customHeight="1">
      <c r="A1772" s="33">
        <f t="shared" si="225"/>
        <v>45562</v>
      </c>
      <c r="B1772" s="46">
        <f t="shared" si="240"/>
        <v>11847199076.6015</v>
      </c>
      <c r="F1772" s="44">
        <f t="shared" si="228"/>
        <v>-11847199076.6015</v>
      </c>
      <c r="H1772" s="46">
        <f t="shared" si="241"/>
        <v>2202126680.9633098</v>
      </c>
      <c r="L1772" s="44">
        <f t="shared" si="236"/>
        <v>-14049325757.56481</v>
      </c>
      <c r="M1772" s="45">
        <f t="shared" si="237"/>
        <v>-2202126680.9633098</v>
      </c>
    </row>
    <row r="1773" spans="1:13" ht="12.65" customHeight="1">
      <c r="A1773" s="33">
        <f t="shared" si="225"/>
        <v>45565</v>
      </c>
      <c r="B1773" s="46">
        <f t="shared" si="240"/>
        <v>11847199076.6015</v>
      </c>
      <c r="F1773" s="44">
        <f t="shared" si="228"/>
        <v>-11847199076.6015</v>
      </c>
      <c r="H1773" s="46">
        <f t="shared" si="241"/>
        <v>2202126680.9633098</v>
      </c>
      <c r="L1773" s="44">
        <f t="shared" si="236"/>
        <v>-14049325757.56481</v>
      </c>
      <c r="M1773" s="45">
        <f t="shared" si="237"/>
        <v>-2202126680.9633098</v>
      </c>
    </row>
    <row r="1774" spans="1:13" ht="12.65" customHeight="1">
      <c r="A1774" s="3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N1774"/>
  <sheetViews>
    <sheetView showGridLines="0" zoomScale="90" zoomScaleNormal="90" workbookViewId="0">
      <pane ySplit="2" topLeftCell="A1755" activePane="bottomLeft" state="frozen"/>
      <selection pane="bottomLeft" activeCell="D1760" sqref="D1760"/>
    </sheetView>
  </sheetViews>
  <sheetFormatPr defaultColWidth="9.1796875" defaultRowHeight="12.65" customHeight="1"/>
  <cols>
    <col min="1" max="1" width="9.54296875" style="31" bestFit="1" customWidth="1"/>
    <col min="2" max="2" width="14" style="31" bestFit="1" customWidth="1"/>
    <col min="3" max="3" width="19.1796875" style="41" customWidth="1"/>
    <col min="4" max="4" width="17.1796875" style="47" bestFit="1" customWidth="1"/>
    <col min="5" max="5" width="15.1796875" style="167" bestFit="1" customWidth="1"/>
    <col min="6" max="6" width="2.54296875" style="39" customWidth="1"/>
    <col min="7" max="7" width="19.54296875" style="173" customWidth="1"/>
    <col min="8" max="8" width="18.81640625" style="47" customWidth="1"/>
    <col min="9" max="9" width="15.54296875" style="40" bestFit="1" customWidth="1"/>
    <col min="10" max="10" width="18" style="113" bestFit="1" customWidth="1"/>
    <col min="11" max="11" width="11.54296875" style="31" bestFit="1" customWidth="1"/>
    <col min="12" max="12" width="20.54296875" style="31" bestFit="1" customWidth="1"/>
    <col min="13" max="13" width="12.54296875" style="31" bestFit="1" customWidth="1"/>
    <col min="14" max="14" width="11.453125" style="31" bestFit="1" customWidth="1"/>
    <col min="15" max="16384" width="9.1796875" style="31"/>
  </cols>
  <sheetData>
    <row r="1" spans="1:11" ht="13" customHeight="1">
      <c r="B1" s="3307" t="s">
        <v>21</v>
      </c>
      <c r="C1" s="3307"/>
      <c r="D1" s="3307"/>
      <c r="E1" s="3307"/>
      <c r="F1" s="154"/>
      <c r="G1" s="3307" t="s">
        <v>22</v>
      </c>
      <c r="H1" s="3307"/>
      <c r="I1" s="3307"/>
      <c r="J1" s="3307"/>
    </row>
    <row r="2" spans="1:11" ht="13" customHeight="1">
      <c r="A2" s="34"/>
      <c r="B2" s="150" t="s">
        <v>23</v>
      </c>
      <c r="C2" s="41" t="s">
        <v>24</v>
      </c>
      <c r="D2" s="151" t="s">
        <v>25</v>
      </c>
      <c r="E2" s="150" t="s">
        <v>27</v>
      </c>
      <c r="F2" s="152"/>
      <c r="G2" s="150" t="s">
        <v>24</v>
      </c>
      <c r="H2" s="151" t="s">
        <v>25</v>
      </c>
      <c r="I2" s="153" t="s">
        <v>39</v>
      </c>
      <c r="J2" s="153" t="s">
        <v>26</v>
      </c>
      <c r="K2" s="30"/>
    </row>
    <row r="3" spans="1:11" ht="12.65" customHeight="1">
      <c r="A3" s="34"/>
      <c r="B3" s="33">
        <v>42998</v>
      </c>
      <c r="C3" s="41">
        <v>209983000</v>
      </c>
      <c r="D3" s="47">
        <v>211904824.06</v>
      </c>
      <c r="E3" s="168">
        <f>D3-C3</f>
        <v>1921824.0600000024</v>
      </c>
      <c r="F3" s="42"/>
      <c r="G3" s="173">
        <v>580320</v>
      </c>
      <c r="H3" s="47">
        <v>1000000</v>
      </c>
      <c r="I3" s="171">
        <f>H3-G3</f>
        <v>419680</v>
      </c>
      <c r="J3" s="170">
        <f>E3+I3</f>
        <v>2341504.0600000024</v>
      </c>
      <c r="K3" s="30"/>
    </row>
    <row r="4" spans="1:11" ht="12.65" customHeight="1">
      <c r="B4" s="33">
        <v>43000</v>
      </c>
      <c r="C4" s="41">
        <v>209983000</v>
      </c>
      <c r="D4" s="47">
        <v>211904824.06</v>
      </c>
      <c r="E4" s="168">
        <f>D4-C4</f>
        <v>1921824.0600000024</v>
      </c>
      <c r="F4" s="42"/>
      <c r="G4" s="173">
        <v>580320</v>
      </c>
      <c r="H4" s="47">
        <v>1000000</v>
      </c>
      <c r="I4" s="171">
        <f t="shared" ref="I4:I32" si="0">H4-G4</f>
        <v>419680</v>
      </c>
      <c r="J4" s="170">
        <f>E4+I4</f>
        <v>2341504.0600000024</v>
      </c>
      <c r="K4" s="30"/>
    </row>
    <row r="5" spans="1:11" ht="12.65" customHeight="1">
      <c r="B5" s="33">
        <v>43003</v>
      </c>
      <c r="C5" s="41">
        <v>215010000</v>
      </c>
      <c r="D5" s="47">
        <v>216904824.06</v>
      </c>
      <c r="E5" s="168">
        <f t="shared" ref="E5:E14" si="1">D5-C5</f>
        <v>1894824.0600000024</v>
      </c>
      <c r="G5" s="173">
        <v>580320</v>
      </c>
      <c r="H5" s="47">
        <v>1000000</v>
      </c>
      <c r="I5" s="171">
        <f t="shared" si="0"/>
        <v>419680</v>
      </c>
      <c r="J5" s="170">
        <f>E5+I5</f>
        <v>2314504.0600000024</v>
      </c>
    </row>
    <row r="6" spans="1:11" ht="12.65" customHeight="1">
      <c r="B6" s="33">
        <f>WORKDAY(B5,1,)</f>
        <v>43004</v>
      </c>
      <c r="C6" s="41">
        <v>215010000</v>
      </c>
      <c r="D6" s="47">
        <v>216904824.06</v>
      </c>
      <c r="E6" s="168">
        <f t="shared" si="1"/>
        <v>1894824.0600000024</v>
      </c>
      <c r="G6" s="173">
        <v>580320</v>
      </c>
      <c r="H6" s="47">
        <v>1000000</v>
      </c>
      <c r="I6" s="171">
        <f t="shared" si="0"/>
        <v>419680</v>
      </c>
      <c r="J6" s="170">
        <f t="shared" ref="J6:J32" si="2">E6+I6</f>
        <v>2314504.0600000024</v>
      </c>
    </row>
    <row r="7" spans="1:11" ht="12.65" customHeight="1">
      <c r="B7" s="33">
        <f t="shared" ref="B7:B53" si="3">WORKDAY(B6,1,)</f>
        <v>43005</v>
      </c>
      <c r="C7" s="41">
        <v>215010000</v>
      </c>
      <c r="D7" s="47">
        <v>216904824.06</v>
      </c>
      <c r="E7" s="168">
        <f t="shared" si="1"/>
        <v>1894824.0600000024</v>
      </c>
      <c r="G7" s="173">
        <v>580320</v>
      </c>
      <c r="H7" s="47">
        <v>1000000</v>
      </c>
      <c r="I7" s="171">
        <f t="shared" si="0"/>
        <v>419680</v>
      </c>
      <c r="J7" s="170">
        <f t="shared" si="2"/>
        <v>2314504.0600000024</v>
      </c>
    </row>
    <row r="8" spans="1:11" ht="12.65" customHeight="1">
      <c r="B8" s="33">
        <f t="shared" si="3"/>
        <v>43006</v>
      </c>
      <c r="C8" s="41">
        <v>215010000</v>
      </c>
      <c r="D8" s="47">
        <v>216904824.06</v>
      </c>
      <c r="E8" s="168">
        <f t="shared" si="1"/>
        <v>1894824.0600000024</v>
      </c>
      <c r="G8" s="173">
        <v>580320</v>
      </c>
      <c r="H8" s="47">
        <v>1000000</v>
      </c>
      <c r="I8" s="171">
        <f t="shared" si="0"/>
        <v>419680</v>
      </c>
      <c r="J8" s="170">
        <f t="shared" si="2"/>
        <v>2314504.0600000024</v>
      </c>
    </row>
    <row r="9" spans="1:11" ht="12.65" customHeight="1">
      <c r="B9" s="33">
        <f t="shared" si="3"/>
        <v>43007</v>
      </c>
      <c r="C9" s="41">
        <v>215010000</v>
      </c>
      <c r="D9" s="47">
        <v>216904824.06</v>
      </c>
      <c r="E9" s="168">
        <f t="shared" si="1"/>
        <v>1894824.0600000024</v>
      </c>
      <c r="G9" s="173">
        <v>580320</v>
      </c>
      <c r="H9" s="47">
        <v>1000000</v>
      </c>
      <c r="I9" s="171">
        <f t="shared" si="0"/>
        <v>419680</v>
      </c>
      <c r="J9" s="170">
        <f t="shared" si="2"/>
        <v>2314504.0600000024</v>
      </c>
    </row>
    <row r="10" spans="1:11" ht="12.65" customHeight="1">
      <c r="B10" s="33">
        <f t="shared" si="3"/>
        <v>43010</v>
      </c>
      <c r="C10" s="41">
        <v>215010000</v>
      </c>
      <c r="D10" s="47">
        <v>222061159.06</v>
      </c>
      <c r="E10" s="168">
        <f t="shared" si="1"/>
        <v>7051159.0600000024</v>
      </c>
      <c r="G10" s="173">
        <v>630800</v>
      </c>
      <c r="H10" s="47">
        <v>1000000</v>
      </c>
      <c r="I10" s="171">
        <f t="shared" si="0"/>
        <v>369200</v>
      </c>
      <c r="J10" s="170">
        <f t="shared" si="2"/>
        <v>7420359.0600000024</v>
      </c>
    </row>
    <row r="11" spans="1:11" ht="12.65" customHeight="1">
      <c r="B11" s="33">
        <f t="shared" si="3"/>
        <v>43011</v>
      </c>
      <c r="C11" s="41">
        <v>219986000</v>
      </c>
      <c r="D11" s="47">
        <v>222061159.06</v>
      </c>
      <c r="E11" s="168">
        <f t="shared" si="1"/>
        <v>2075159.0600000024</v>
      </c>
      <c r="G11" s="173">
        <v>630800</v>
      </c>
      <c r="H11" s="47">
        <v>1000000</v>
      </c>
      <c r="I11" s="171">
        <f t="shared" si="0"/>
        <v>369200</v>
      </c>
      <c r="J11" s="170">
        <f t="shared" si="2"/>
        <v>2444359.0600000024</v>
      </c>
    </row>
    <row r="12" spans="1:11" ht="12.65" customHeight="1">
      <c r="B12" s="33">
        <f t="shared" si="3"/>
        <v>43012</v>
      </c>
      <c r="C12" s="41">
        <v>219986000</v>
      </c>
      <c r="D12" s="47">
        <v>222061159.06</v>
      </c>
      <c r="E12" s="168">
        <f t="shared" si="1"/>
        <v>2075159.0600000024</v>
      </c>
      <c r="G12" s="173">
        <v>630800</v>
      </c>
      <c r="H12" s="47">
        <v>1000000</v>
      </c>
      <c r="I12" s="171">
        <f t="shared" si="0"/>
        <v>369200</v>
      </c>
      <c r="J12" s="170">
        <f t="shared" si="2"/>
        <v>2444359.0600000024</v>
      </c>
    </row>
    <row r="13" spans="1:11" ht="12.65" customHeight="1">
      <c r="B13" s="33">
        <f t="shared" si="3"/>
        <v>43013</v>
      </c>
      <c r="C13" s="41">
        <v>219986000</v>
      </c>
      <c r="D13" s="47">
        <v>222061159.06</v>
      </c>
      <c r="E13" s="168">
        <f t="shared" si="1"/>
        <v>2075159.0600000024</v>
      </c>
      <c r="G13" s="173">
        <v>630800</v>
      </c>
      <c r="H13" s="47">
        <v>1000000</v>
      </c>
      <c r="I13" s="171">
        <f t="shared" si="0"/>
        <v>369200</v>
      </c>
      <c r="J13" s="170">
        <f t="shared" si="2"/>
        <v>2444359.0600000024</v>
      </c>
    </row>
    <row r="14" spans="1:11" ht="12.65" customHeight="1">
      <c r="B14" s="33">
        <f t="shared" si="3"/>
        <v>43014</v>
      </c>
      <c r="C14" s="41">
        <v>219986000</v>
      </c>
      <c r="D14" s="47">
        <v>222061159.06</v>
      </c>
      <c r="E14" s="168">
        <f t="shared" si="1"/>
        <v>2075159.0600000024</v>
      </c>
      <c r="G14" s="173">
        <v>630800</v>
      </c>
      <c r="H14" s="47">
        <v>1000000</v>
      </c>
      <c r="I14" s="171">
        <f t="shared" si="0"/>
        <v>369200</v>
      </c>
      <c r="J14" s="170">
        <f t="shared" si="2"/>
        <v>2444359.0600000024</v>
      </c>
    </row>
    <row r="15" spans="1:11" ht="12.65" customHeight="1">
      <c r="B15" s="33">
        <f t="shared" si="3"/>
        <v>43017</v>
      </c>
      <c r="C15" s="41">
        <v>215010000</v>
      </c>
      <c r="D15" s="47">
        <v>224061159.06</v>
      </c>
      <c r="E15" s="168">
        <f t="shared" ref="E15:E20" si="4">D15-C20</f>
        <v>4681159.0600000024</v>
      </c>
      <c r="G15" s="173">
        <v>616650</v>
      </c>
      <c r="H15" s="47">
        <v>1000000</v>
      </c>
      <c r="I15" s="171">
        <f t="shared" si="0"/>
        <v>383350</v>
      </c>
      <c r="J15" s="170">
        <f t="shared" si="2"/>
        <v>5064509.0600000024</v>
      </c>
    </row>
    <row r="16" spans="1:11" ht="12.65" customHeight="1">
      <c r="B16" s="33">
        <f t="shared" si="3"/>
        <v>43018</v>
      </c>
      <c r="C16" s="41">
        <v>215010000</v>
      </c>
      <c r="D16" s="47">
        <v>224061159.06</v>
      </c>
      <c r="E16" s="168">
        <f t="shared" si="4"/>
        <v>4681159.0600000024</v>
      </c>
      <c r="G16" s="173">
        <v>616650</v>
      </c>
      <c r="H16" s="47">
        <v>1000000</v>
      </c>
      <c r="I16" s="171">
        <f t="shared" si="0"/>
        <v>383350</v>
      </c>
      <c r="J16" s="170">
        <f t="shared" si="2"/>
        <v>5064509.0600000024</v>
      </c>
    </row>
    <row r="17" spans="2:10" ht="12.65" customHeight="1">
      <c r="B17" s="33">
        <f t="shared" si="3"/>
        <v>43019</v>
      </c>
      <c r="C17" s="41">
        <v>215010000</v>
      </c>
      <c r="D17" s="47">
        <v>224061159.06</v>
      </c>
      <c r="E17" s="168">
        <f t="shared" si="4"/>
        <v>4681159.0600000024</v>
      </c>
      <c r="G17" s="173">
        <v>616650</v>
      </c>
      <c r="H17" s="47">
        <v>1000000</v>
      </c>
      <c r="I17" s="171">
        <f t="shared" si="0"/>
        <v>383350</v>
      </c>
      <c r="J17" s="170">
        <f t="shared" si="2"/>
        <v>5064509.0600000024</v>
      </c>
    </row>
    <row r="18" spans="2:10" ht="12.65" customHeight="1">
      <c r="B18" s="33">
        <f t="shared" si="3"/>
        <v>43020</v>
      </c>
      <c r="C18" s="41">
        <v>215010000</v>
      </c>
      <c r="D18" s="47">
        <v>224061159.06</v>
      </c>
      <c r="E18" s="168">
        <f t="shared" si="4"/>
        <v>4681159.0600000024</v>
      </c>
      <c r="G18" s="173">
        <v>616650</v>
      </c>
      <c r="H18" s="47">
        <v>1000000</v>
      </c>
      <c r="I18" s="171">
        <f t="shared" si="0"/>
        <v>383350</v>
      </c>
      <c r="J18" s="170">
        <f t="shared" si="2"/>
        <v>5064509.0600000024</v>
      </c>
    </row>
    <row r="19" spans="2:10" ht="12.65" customHeight="1">
      <c r="B19" s="33">
        <f t="shared" si="3"/>
        <v>43021</v>
      </c>
      <c r="C19" s="41">
        <v>215010000</v>
      </c>
      <c r="D19" s="47">
        <v>222061159.06</v>
      </c>
      <c r="E19" s="168">
        <f t="shared" si="4"/>
        <v>2681159.0600000024</v>
      </c>
      <c r="G19" s="173">
        <v>616650</v>
      </c>
      <c r="H19" s="47">
        <v>1000000</v>
      </c>
      <c r="I19" s="171">
        <f t="shared" si="0"/>
        <v>383350</v>
      </c>
      <c r="J19" s="170">
        <f t="shared" si="2"/>
        <v>3064509.0600000024</v>
      </c>
    </row>
    <row r="20" spans="2:10" ht="12.65" customHeight="1">
      <c r="B20" s="33">
        <f t="shared" si="3"/>
        <v>43024</v>
      </c>
      <c r="C20" s="41">
        <v>219380000</v>
      </c>
      <c r="D20" s="47">
        <v>224061159.06</v>
      </c>
      <c r="E20" s="168">
        <f t="shared" si="4"/>
        <v>4681159.0600000024</v>
      </c>
      <c r="G20" s="173">
        <v>544150</v>
      </c>
      <c r="H20" s="47">
        <v>1000000</v>
      </c>
      <c r="I20" s="171">
        <f t="shared" si="0"/>
        <v>455850</v>
      </c>
      <c r="J20" s="170">
        <f t="shared" si="2"/>
        <v>5137009.0600000024</v>
      </c>
    </row>
    <row r="21" spans="2:10" ht="12.65" customHeight="1">
      <c r="B21" s="33">
        <f t="shared" si="3"/>
        <v>43025</v>
      </c>
      <c r="C21" s="41">
        <v>219380000</v>
      </c>
      <c r="D21" s="47">
        <v>224061159.06</v>
      </c>
      <c r="E21" s="168">
        <f>D21-C21</f>
        <v>4681159.0600000024</v>
      </c>
      <c r="G21" s="173">
        <v>544150</v>
      </c>
      <c r="H21" s="47">
        <v>1000000</v>
      </c>
      <c r="I21" s="171">
        <f t="shared" si="0"/>
        <v>455850</v>
      </c>
      <c r="J21" s="170">
        <f t="shared" si="2"/>
        <v>5137009.0600000024</v>
      </c>
    </row>
    <row r="22" spans="2:10" ht="12.65" customHeight="1">
      <c r="B22" s="33">
        <f t="shared" si="3"/>
        <v>43026</v>
      </c>
      <c r="C22" s="41">
        <v>219380000</v>
      </c>
      <c r="D22" s="47">
        <v>224061159.06</v>
      </c>
      <c r="E22" s="168">
        <f t="shared" ref="E22:E85" si="5">D22-C22</f>
        <v>4681159.0600000024</v>
      </c>
      <c r="G22" s="173">
        <v>544150</v>
      </c>
      <c r="H22" s="47">
        <v>1000000</v>
      </c>
      <c r="I22" s="171">
        <f t="shared" si="0"/>
        <v>455850</v>
      </c>
      <c r="J22" s="170">
        <f t="shared" si="2"/>
        <v>5137009.0600000024</v>
      </c>
    </row>
    <row r="23" spans="2:10" ht="12.65" customHeight="1">
      <c r="B23" s="33">
        <f t="shared" si="3"/>
        <v>43027</v>
      </c>
      <c r="C23" s="41">
        <v>219380000</v>
      </c>
      <c r="D23" s="47">
        <v>221061159.06</v>
      </c>
      <c r="E23" s="168">
        <f t="shared" si="5"/>
        <v>1681159.0600000024</v>
      </c>
      <c r="G23" s="173">
        <v>544150</v>
      </c>
      <c r="H23" s="47">
        <v>1000000</v>
      </c>
      <c r="I23" s="171">
        <f t="shared" si="0"/>
        <v>455850</v>
      </c>
      <c r="J23" s="170">
        <f t="shared" si="2"/>
        <v>2137009.0600000024</v>
      </c>
    </row>
    <row r="24" spans="2:10" ht="12.65" customHeight="1">
      <c r="B24" s="33">
        <f t="shared" si="3"/>
        <v>43028</v>
      </c>
      <c r="C24" s="41">
        <v>219380000</v>
      </c>
      <c r="D24" s="47">
        <v>221061159.06</v>
      </c>
      <c r="E24" s="168">
        <f t="shared" si="5"/>
        <v>1681159.0600000024</v>
      </c>
      <c r="G24" s="173">
        <v>544150</v>
      </c>
      <c r="H24" s="47">
        <v>1000000</v>
      </c>
      <c r="I24" s="171">
        <f t="shared" si="0"/>
        <v>455850</v>
      </c>
      <c r="J24" s="170">
        <f t="shared" si="2"/>
        <v>2137009.0600000024</v>
      </c>
    </row>
    <row r="25" spans="2:10" ht="12.65" customHeight="1">
      <c r="B25" s="33">
        <f t="shared" si="3"/>
        <v>43031</v>
      </c>
      <c r="C25" s="41">
        <v>219380000</v>
      </c>
      <c r="D25" s="47">
        <v>221061159.06</v>
      </c>
      <c r="E25" s="168">
        <f t="shared" si="5"/>
        <v>1681159.0600000024</v>
      </c>
      <c r="G25" s="173">
        <v>544150</v>
      </c>
      <c r="H25" s="47">
        <v>1000000</v>
      </c>
      <c r="I25" s="171">
        <f t="shared" si="0"/>
        <v>455850</v>
      </c>
      <c r="J25" s="170">
        <f t="shared" si="2"/>
        <v>2137009.0600000024</v>
      </c>
    </row>
    <row r="26" spans="2:10" ht="12.65" customHeight="1">
      <c r="B26" s="33">
        <f t="shared" si="3"/>
        <v>43032</v>
      </c>
      <c r="C26" s="41">
        <v>220357000</v>
      </c>
      <c r="D26" s="47">
        <v>221061159.06</v>
      </c>
      <c r="E26" s="168">
        <f t="shared" si="5"/>
        <v>704159.06000000238</v>
      </c>
      <c r="G26" s="173">
        <v>573780</v>
      </c>
      <c r="H26" s="47">
        <v>1000000</v>
      </c>
      <c r="I26" s="171">
        <f t="shared" si="0"/>
        <v>426220</v>
      </c>
      <c r="J26" s="170">
        <f t="shared" si="2"/>
        <v>1130379.0600000024</v>
      </c>
    </row>
    <row r="27" spans="2:10" ht="12.65" customHeight="1">
      <c r="B27" s="33">
        <f t="shared" si="3"/>
        <v>43033</v>
      </c>
      <c r="C27" s="41">
        <v>220357000</v>
      </c>
      <c r="D27" s="47">
        <v>221061159.06</v>
      </c>
      <c r="E27" s="168">
        <f t="shared" si="5"/>
        <v>704159.06000000238</v>
      </c>
      <c r="G27" s="173">
        <v>573780</v>
      </c>
      <c r="H27" s="47">
        <v>1000000</v>
      </c>
      <c r="I27" s="171">
        <f t="shared" si="0"/>
        <v>426220</v>
      </c>
      <c r="J27" s="170">
        <f t="shared" si="2"/>
        <v>1130379.0600000024</v>
      </c>
    </row>
    <row r="28" spans="2:10" ht="12.65" customHeight="1">
      <c r="B28" s="33">
        <f t="shared" si="3"/>
        <v>43034</v>
      </c>
      <c r="C28" s="41">
        <v>220357000</v>
      </c>
      <c r="D28" s="47">
        <v>222061159.06</v>
      </c>
      <c r="E28" s="168">
        <f t="shared" si="5"/>
        <v>1704159.0600000024</v>
      </c>
      <c r="G28" s="173">
        <v>573780</v>
      </c>
      <c r="H28" s="47">
        <v>1000000</v>
      </c>
      <c r="I28" s="171">
        <f t="shared" si="0"/>
        <v>426220</v>
      </c>
      <c r="J28" s="170">
        <f t="shared" si="2"/>
        <v>2130379.0600000024</v>
      </c>
    </row>
    <row r="29" spans="2:10" ht="12.65" customHeight="1">
      <c r="B29" s="33">
        <f t="shared" si="3"/>
        <v>43035</v>
      </c>
      <c r="C29" s="41">
        <v>220357000</v>
      </c>
      <c r="D29" s="47">
        <v>222061159.06</v>
      </c>
      <c r="E29" s="168">
        <f t="shared" si="5"/>
        <v>1704159.0600000024</v>
      </c>
      <c r="G29" s="173">
        <v>573780</v>
      </c>
      <c r="H29" s="47">
        <v>1000000</v>
      </c>
      <c r="I29" s="171">
        <f t="shared" si="0"/>
        <v>426220</v>
      </c>
      <c r="J29" s="170">
        <f t="shared" si="2"/>
        <v>2130379.0600000024</v>
      </c>
    </row>
    <row r="30" spans="2:10" ht="12.65" customHeight="1">
      <c r="B30" s="33">
        <f t="shared" si="3"/>
        <v>43038</v>
      </c>
      <c r="C30" s="41">
        <v>220357000</v>
      </c>
      <c r="D30" s="47">
        <v>222061159.06</v>
      </c>
      <c r="E30" s="168">
        <f t="shared" si="5"/>
        <v>1704159.0600000024</v>
      </c>
      <c r="G30" s="173">
        <v>573780</v>
      </c>
      <c r="H30" s="47">
        <v>1000000</v>
      </c>
      <c r="I30" s="171">
        <f t="shared" si="0"/>
        <v>426220</v>
      </c>
      <c r="J30" s="170">
        <f t="shared" si="2"/>
        <v>2130379.0600000024</v>
      </c>
    </row>
    <row r="31" spans="2:10" ht="12.65" customHeight="1">
      <c r="B31" s="33">
        <f t="shared" si="3"/>
        <v>43039</v>
      </c>
      <c r="C31" s="41">
        <v>220357000</v>
      </c>
      <c r="D31" s="47">
        <v>222061159.06</v>
      </c>
      <c r="E31" s="168">
        <f t="shared" si="5"/>
        <v>1704159.0600000024</v>
      </c>
      <c r="G31" s="173">
        <v>573780</v>
      </c>
      <c r="H31" s="47">
        <v>1000000</v>
      </c>
      <c r="I31" s="171">
        <f t="shared" si="0"/>
        <v>426220</v>
      </c>
      <c r="J31" s="170">
        <f t="shared" si="2"/>
        <v>2130379.0600000024</v>
      </c>
    </row>
    <row r="32" spans="2:10" ht="12.65" customHeight="1">
      <c r="B32" s="33">
        <f t="shared" si="3"/>
        <v>43040</v>
      </c>
      <c r="C32" s="41">
        <v>223716000</v>
      </c>
      <c r="D32" s="47">
        <v>225061159.06</v>
      </c>
      <c r="E32" s="168">
        <f t="shared" si="5"/>
        <v>1345159.0600000024</v>
      </c>
      <c r="G32" s="173">
        <v>585340</v>
      </c>
      <c r="H32" s="47">
        <v>1000000</v>
      </c>
      <c r="I32" s="171">
        <f t="shared" si="0"/>
        <v>414660</v>
      </c>
      <c r="J32" s="170">
        <f t="shared" si="2"/>
        <v>1759819.0600000024</v>
      </c>
    </row>
    <row r="33" spans="2:10" ht="12.65" customHeight="1">
      <c r="B33" s="33">
        <f t="shared" si="3"/>
        <v>43041</v>
      </c>
      <c r="C33" s="41">
        <v>223716000</v>
      </c>
      <c r="D33" s="47">
        <v>225061159.06</v>
      </c>
      <c r="E33" s="168">
        <f t="shared" si="5"/>
        <v>1345159.0600000024</v>
      </c>
      <c r="G33" s="173">
        <v>585340</v>
      </c>
      <c r="H33" s="47">
        <v>1000000</v>
      </c>
      <c r="I33" s="171">
        <f>H33-G33</f>
        <v>414660</v>
      </c>
      <c r="J33" s="170">
        <f>E33+I33</f>
        <v>1759819.0600000024</v>
      </c>
    </row>
    <row r="34" spans="2:10" ht="12.65" customHeight="1">
      <c r="B34" s="33">
        <f t="shared" si="3"/>
        <v>43042</v>
      </c>
      <c r="C34" s="41">
        <v>223716000</v>
      </c>
      <c r="D34" s="47">
        <v>225061159.06</v>
      </c>
      <c r="E34" s="168">
        <f t="shared" si="5"/>
        <v>1345159.0600000024</v>
      </c>
      <c r="G34" s="173">
        <v>585340</v>
      </c>
      <c r="H34" s="47">
        <v>1000000</v>
      </c>
      <c r="I34" s="171">
        <f>H34-G34</f>
        <v>414660</v>
      </c>
      <c r="J34" s="170">
        <f>E34+I34</f>
        <v>1759819.0600000024</v>
      </c>
    </row>
    <row r="35" spans="2:10" ht="12.65" customHeight="1">
      <c r="B35" s="33">
        <f t="shared" si="3"/>
        <v>43045</v>
      </c>
      <c r="C35" s="41">
        <v>223716000</v>
      </c>
      <c r="D35" s="47">
        <v>225061159.06</v>
      </c>
      <c r="E35" s="168">
        <f t="shared" si="5"/>
        <v>1345159.0600000024</v>
      </c>
      <c r="G35" s="173">
        <v>585340</v>
      </c>
      <c r="H35" s="47">
        <v>1000000</v>
      </c>
      <c r="I35" s="171">
        <f>H35-G35</f>
        <v>414660</v>
      </c>
      <c r="J35" s="170">
        <f>E35+I35</f>
        <v>1759819.0600000024</v>
      </c>
    </row>
    <row r="36" spans="2:10" ht="12.65" customHeight="1">
      <c r="B36" s="33">
        <f t="shared" si="3"/>
        <v>43046</v>
      </c>
      <c r="C36" s="41">
        <v>223716000</v>
      </c>
      <c r="D36" s="47">
        <v>225061159.06</v>
      </c>
      <c r="E36" s="168">
        <f t="shared" si="5"/>
        <v>1345159.0600000024</v>
      </c>
      <c r="G36" s="173">
        <v>585340</v>
      </c>
      <c r="H36" s="47">
        <v>1000000</v>
      </c>
      <c r="I36" s="171">
        <f>H36-G36</f>
        <v>414660</v>
      </c>
      <c r="J36" s="170">
        <f>E36+I36</f>
        <v>1759819.0600000024</v>
      </c>
    </row>
    <row r="37" spans="2:10" ht="12.65" customHeight="1">
      <c r="B37" s="33">
        <f t="shared" si="3"/>
        <v>43047</v>
      </c>
      <c r="C37" s="41">
        <v>215033000</v>
      </c>
      <c r="D37" s="47">
        <v>225061159.06</v>
      </c>
      <c r="E37" s="168">
        <f t="shared" si="5"/>
        <v>10028159.060000002</v>
      </c>
      <c r="G37" s="173">
        <v>536380</v>
      </c>
      <c r="H37" s="47">
        <v>1000000</v>
      </c>
      <c r="I37" s="171">
        <f t="shared" ref="I37:I43" si="6">H37-G37</f>
        <v>463620</v>
      </c>
      <c r="J37" s="170">
        <f t="shared" ref="J37:J43" si="7">E37+I37</f>
        <v>10491779.060000002</v>
      </c>
    </row>
    <row r="38" spans="2:10" ht="12.65" customHeight="1">
      <c r="B38" s="33">
        <f t="shared" si="3"/>
        <v>43048</v>
      </c>
      <c r="C38" s="41">
        <v>215033000</v>
      </c>
      <c r="D38" s="47">
        <v>225061159.06</v>
      </c>
      <c r="E38" s="168">
        <f t="shared" si="5"/>
        <v>10028159.060000002</v>
      </c>
      <c r="G38" s="173">
        <v>536380</v>
      </c>
      <c r="H38" s="47">
        <v>1000000</v>
      </c>
      <c r="I38" s="171">
        <f t="shared" si="6"/>
        <v>463620</v>
      </c>
      <c r="J38" s="170">
        <f t="shared" si="7"/>
        <v>10491779.060000002</v>
      </c>
    </row>
    <row r="39" spans="2:10" ht="12.65" customHeight="1">
      <c r="B39" s="33">
        <f t="shared" si="3"/>
        <v>43049</v>
      </c>
      <c r="C39" s="41">
        <v>215033000</v>
      </c>
      <c r="D39" s="47">
        <v>216561159.06</v>
      </c>
      <c r="E39" s="168">
        <f t="shared" si="5"/>
        <v>1528159.0600000024</v>
      </c>
      <c r="G39" s="173">
        <v>536380</v>
      </c>
      <c r="H39" s="47">
        <v>1000000</v>
      </c>
      <c r="I39" s="171">
        <f t="shared" si="6"/>
        <v>463620</v>
      </c>
      <c r="J39" s="170">
        <f t="shared" si="7"/>
        <v>1991779.0600000024</v>
      </c>
    </row>
    <row r="40" spans="2:10" ht="12.65" customHeight="1">
      <c r="B40" s="33">
        <f t="shared" si="3"/>
        <v>43052</v>
      </c>
      <c r="C40" s="41">
        <v>215033000</v>
      </c>
      <c r="D40" s="47">
        <v>216561159.06</v>
      </c>
      <c r="E40" s="168">
        <f t="shared" si="5"/>
        <v>1528159.0600000024</v>
      </c>
      <c r="G40" s="173">
        <v>536380</v>
      </c>
      <c r="H40" s="47">
        <v>1000000</v>
      </c>
      <c r="I40" s="171">
        <f t="shared" si="6"/>
        <v>463620</v>
      </c>
      <c r="J40" s="170">
        <f t="shared" si="7"/>
        <v>1991779.0600000024</v>
      </c>
    </row>
    <row r="41" spans="2:10" ht="12.65" customHeight="1">
      <c r="B41" s="33">
        <f t="shared" si="3"/>
        <v>43053</v>
      </c>
      <c r="C41" s="41">
        <v>215033000</v>
      </c>
      <c r="D41" s="47">
        <v>216561159.06</v>
      </c>
      <c r="E41" s="168">
        <f t="shared" si="5"/>
        <v>1528159.0600000024</v>
      </c>
      <c r="G41" s="173">
        <v>536380</v>
      </c>
      <c r="H41" s="47">
        <v>1000000</v>
      </c>
      <c r="I41" s="171">
        <f t="shared" si="6"/>
        <v>463620</v>
      </c>
      <c r="J41" s="170">
        <f t="shared" si="7"/>
        <v>1991779.0600000024</v>
      </c>
    </row>
    <row r="42" spans="2:10" ht="12.65" customHeight="1">
      <c r="B42" s="33">
        <f t="shared" si="3"/>
        <v>43054</v>
      </c>
      <c r="C42" s="41">
        <v>215033000</v>
      </c>
      <c r="D42" s="47">
        <v>216561159.06</v>
      </c>
      <c r="E42" s="168">
        <f t="shared" si="5"/>
        <v>1528159.0600000024</v>
      </c>
      <c r="G42" s="173">
        <v>536380</v>
      </c>
      <c r="H42" s="47">
        <v>1000000</v>
      </c>
      <c r="I42" s="171">
        <f t="shared" si="6"/>
        <v>463620</v>
      </c>
      <c r="J42" s="170">
        <f t="shared" si="7"/>
        <v>1991779.0600000024</v>
      </c>
    </row>
    <row r="43" spans="2:10" ht="12.65" customHeight="1">
      <c r="B43" s="33">
        <f t="shared" si="3"/>
        <v>43055</v>
      </c>
      <c r="C43" s="41">
        <v>220227000</v>
      </c>
      <c r="D43" s="47">
        <v>221561159.06</v>
      </c>
      <c r="E43" s="168">
        <f t="shared" si="5"/>
        <v>1334159.0600000024</v>
      </c>
      <c r="G43" s="173">
        <v>516080</v>
      </c>
      <c r="H43" s="47">
        <v>1000000</v>
      </c>
      <c r="I43" s="171">
        <f t="shared" si="6"/>
        <v>483920</v>
      </c>
      <c r="J43" s="170">
        <f t="shared" si="7"/>
        <v>1818079.0600000024</v>
      </c>
    </row>
    <row r="44" spans="2:10" ht="12.65" customHeight="1">
      <c r="B44" s="33">
        <f t="shared" si="3"/>
        <v>43056</v>
      </c>
      <c r="C44" s="41">
        <v>220227000</v>
      </c>
      <c r="D44" s="47">
        <v>221561159.06</v>
      </c>
      <c r="E44" s="168">
        <f t="shared" si="5"/>
        <v>1334159.0600000024</v>
      </c>
      <c r="G44" s="173">
        <v>516080</v>
      </c>
      <c r="H44" s="47">
        <v>1000000</v>
      </c>
      <c r="I44" s="171">
        <f t="shared" ref="I44:I53" si="8">H44-G44</f>
        <v>483920</v>
      </c>
      <c r="J44" s="170">
        <f t="shared" ref="J44:J53" si="9">E44+I44</f>
        <v>1818079.0600000024</v>
      </c>
    </row>
    <row r="45" spans="2:10" ht="12.65" customHeight="1">
      <c r="B45" s="33">
        <f t="shared" si="3"/>
        <v>43059</v>
      </c>
      <c r="C45" s="41">
        <v>220227000</v>
      </c>
      <c r="D45" s="47">
        <v>221561159.06</v>
      </c>
      <c r="E45" s="168">
        <f t="shared" si="5"/>
        <v>1334159.0600000024</v>
      </c>
      <c r="G45" s="173">
        <v>516080</v>
      </c>
      <c r="H45" s="47">
        <v>1000000</v>
      </c>
      <c r="I45" s="171">
        <f t="shared" si="8"/>
        <v>483920</v>
      </c>
      <c r="J45" s="170">
        <f t="shared" si="9"/>
        <v>1818079.0600000024</v>
      </c>
    </row>
    <row r="46" spans="2:10" ht="12.65" customHeight="1">
      <c r="B46" s="33">
        <f t="shared" si="3"/>
        <v>43060</v>
      </c>
      <c r="C46" s="41">
        <v>220227000</v>
      </c>
      <c r="D46" s="47">
        <v>221561159.06</v>
      </c>
      <c r="E46" s="168">
        <f t="shared" si="5"/>
        <v>1334159.0600000024</v>
      </c>
      <c r="G46" s="173">
        <v>516080</v>
      </c>
      <c r="H46" s="47">
        <v>1000000</v>
      </c>
      <c r="I46" s="171">
        <f t="shared" si="8"/>
        <v>483920</v>
      </c>
      <c r="J46" s="170">
        <f t="shared" si="9"/>
        <v>1818079.0600000024</v>
      </c>
    </row>
    <row r="47" spans="2:10" ht="12.65" customHeight="1">
      <c r="B47" s="33">
        <f t="shared" si="3"/>
        <v>43061</v>
      </c>
      <c r="C47" s="41">
        <v>220227000</v>
      </c>
      <c r="D47" s="47">
        <v>221561159.06</v>
      </c>
      <c r="E47" s="168">
        <f t="shared" si="5"/>
        <v>1334159.0600000024</v>
      </c>
      <c r="G47" s="173">
        <v>516080</v>
      </c>
      <c r="H47" s="47">
        <v>1000000</v>
      </c>
      <c r="I47" s="171">
        <f t="shared" si="8"/>
        <v>483920</v>
      </c>
      <c r="J47" s="170">
        <f t="shared" si="9"/>
        <v>1818079.0600000024</v>
      </c>
    </row>
    <row r="48" spans="2:10" ht="12.65" customHeight="1">
      <c r="B48" s="33">
        <f t="shared" si="3"/>
        <v>43062</v>
      </c>
      <c r="C48" s="41">
        <v>220227000</v>
      </c>
      <c r="D48" s="47">
        <v>221561159.06</v>
      </c>
      <c r="E48" s="168">
        <f t="shared" si="5"/>
        <v>1334159.0600000024</v>
      </c>
      <c r="G48" s="173">
        <v>516080</v>
      </c>
      <c r="H48" s="47">
        <v>1000000</v>
      </c>
      <c r="I48" s="171">
        <f t="shared" si="8"/>
        <v>483920</v>
      </c>
      <c r="J48" s="170">
        <f t="shared" si="9"/>
        <v>1818079.0600000024</v>
      </c>
    </row>
    <row r="49" spans="1:10" ht="12.65" customHeight="1">
      <c r="B49" s="33">
        <f t="shared" si="3"/>
        <v>43063</v>
      </c>
      <c r="C49" s="41">
        <v>221141000</v>
      </c>
      <c r="D49" s="47">
        <v>221561159.06</v>
      </c>
      <c r="E49" s="168">
        <f t="shared" si="5"/>
        <v>420159.06000000238</v>
      </c>
      <c r="G49" s="173">
        <v>513970</v>
      </c>
      <c r="H49" s="47">
        <v>1000000</v>
      </c>
      <c r="I49" s="171">
        <f t="shared" si="8"/>
        <v>486030</v>
      </c>
      <c r="J49" s="170">
        <f t="shared" si="9"/>
        <v>906189.06000000238</v>
      </c>
    </row>
    <row r="50" spans="1:10" ht="12.65" customHeight="1">
      <c r="B50" s="33">
        <f t="shared" si="3"/>
        <v>43066</v>
      </c>
      <c r="C50" s="41">
        <v>221141000</v>
      </c>
      <c r="D50" s="47">
        <v>221561159.06</v>
      </c>
      <c r="E50" s="168">
        <f t="shared" si="5"/>
        <v>420159.06000000238</v>
      </c>
      <c r="G50" s="173">
        <v>513970</v>
      </c>
      <c r="H50" s="47">
        <v>1000000</v>
      </c>
      <c r="I50" s="171">
        <f t="shared" si="8"/>
        <v>486030</v>
      </c>
      <c r="J50" s="170">
        <f t="shared" si="9"/>
        <v>906189.06000000238</v>
      </c>
    </row>
    <row r="51" spans="1:10" ht="12.65" customHeight="1">
      <c r="B51" s="33">
        <f t="shared" si="3"/>
        <v>43067</v>
      </c>
      <c r="C51" s="41">
        <v>221141000</v>
      </c>
      <c r="D51" s="47">
        <v>222561159.06</v>
      </c>
      <c r="E51" s="168">
        <f t="shared" si="5"/>
        <v>1420159.0600000024</v>
      </c>
      <c r="G51" s="173">
        <v>513970</v>
      </c>
      <c r="H51" s="47">
        <v>1000000</v>
      </c>
      <c r="I51" s="171">
        <f t="shared" si="8"/>
        <v>486030</v>
      </c>
      <c r="J51" s="170">
        <f t="shared" si="9"/>
        <v>1906189.0600000024</v>
      </c>
    </row>
    <row r="52" spans="1:10" ht="12.65" customHeight="1">
      <c r="B52" s="33">
        <f t="shared" si="3"/>
        <v>43068</v>
      </c>
      <c r="C52" s="41">
        <v>221141000</v>
      </c>
      <c r="D52" s="47">
        <v>222561159.06</v>
      </c>
      <c r="E52" s="168">
        <f t="shared" si="5"/>
        <v>1420159.0600000024</v>
      </c>
      <c r="G52" s="173">
        <v>513970</v>
      </c>
      <c r="H52" s="47">
        <v>1000000</v>
      </c>
      <c r="I52" s="171">
        <f t="shared" si="8"/>
        <v>486030</v>
      </c>
      <c r="J52" s="170">
        <f t="shared" si="9"/>
        <v>1906189.0600000024</v>
      </c>
    </row>
    <row r="53" spans="1:10" ht="12.65" customHeight="1">
      <c r="B53" s="33">
        <f t="shared" si="3"/>
        <v>43069</v>
      </c>
      <c r="C53" s="41">
        <v>221141000</v>
      </c>
      <c r="D53" s="47">
        <v>222561159.06</v>
      </c>
      <c r="E53" s="168">
        <f t="shared" si="5"/>
        <v>1420159.0600000024</v>
      </c>
      <c r="G53" s="173">
        <v>513970</v>
      </c>
      <c r="H53" s="47">
        <v>1000000</v>
      </c>
      <c r="I53" s="171">
        <f t="shared" si="8"/>
        <v>486030</v>
      </c>
      <c r="J53" s="170">
        <f t="shared" si="9"/>
        <v>1906189.0600000024</v>
      </c>
    </row>
    <row r="54" spans="1:10" ht="12.65" customHeight="1">
      <c r="A54" s="51"/>
      <c r="B54" s="33">
        <f>'Update IDR GWM'!A54</f>
        <v>43073</v>
      </c>
      <c r="C54" s="41">
        <v>221370000</v>
      </c>
      <c r="D54" s="47">
        <v>222561159.06</v>
      </c>
      <c r="E54" s="168">
        <f t="shared" si="5"/>
        <v>1191159.0600000024</v>
      </c>
      <c r="G54" s="173">
        <v>508780</v>
      </c>
      <c r="H54" s="47">
        <v>1000000</v>
      </c>
      <c r="I54" s="171">
        <f t="shared" ref="I54:I75" si="10">H54-G54</f>
        <v>491220</v>
      </c>
      <c r="J54" s="170">
        <f t="shared" ref="J54:J75" si="11">E54+I54</f>
        <v>1682379.0600000024</v>
      </c>
    </row>
    <row r="55" spans="1:10" ht="12.65" customHeight="1">
      <c r="B55" s="33">
        <f>'Update IDR GWM'!A55</f>
        <v>43074</v>
      </c>
      <c r="C55" s="41">
        <v>221370000</v>
      </c>
      <c r="D55" s="47">
        <v>222561159.06</v>
      </c>
      <c r="E55" s="168">
        <f t="shared" si="5"/>
        <v>1191159.0600000024</v>
      </c>
      <c r="G55" s="173">
        <v>508780</v>
      </c>
      <c r="H55" s="47">
        <v>1000000</v>
      </c>
      <c r="I55" s="171">
        <f t="shared" si="10"/>
        <v>491220</v>
      </c>
      <c r="J55" s="170">
        <f t="shared" si="11"/>
        <v>1682379.0600000024</v>
      </c>
    </row>
    <row r="56" spans="1:10" ht="12.65" customHeight="1">
      <c r="B56" s="33">
        <f>'Update IDR GWM'!A56</f>
        <v>43075</v>
      </c>
      <c r="C56" s="41">
        <v>221370000</v>
      </c>
      <c r="D56" s="47">
        <v>222561159.06</v>
      </c>
      <c r="E56" s="168">
        <f t="shared" si="5"/>
        <v>1191159.0600000024</v>
      </c>
      <c r="G56" s="173">
        <v>508780</v>
      </c>
      <c r="H56" s="47">
        <v>1000000</v>
      </c>
      <c r="I56" s="171">
        <f t="shared" si="10"/>
        <v>491220</v>
      </c>
      <c r="J56" s="170">
        <f t="shared" si="11"/>
        <v>1682379.0600000024</v>
      </c>
    </row>
    <row r="57" spans="1:10" ht="12.65" customHeight="1">
      <c r="B57" s="33">
        <f>'Update IDR GWM'!A57</f>
        <v>43076</v>
      </c>
      <c r="C57" s="41">
        <v>221370000</v>
      </c>
      <c r="D57" s="47">
        <v>222561159.06</v>
      </c>
      <c r="E57" s="168">
        <f t="shared" si="5"/>
        <v>1191159.0600000024</v>
      </c>
      <c r="G57" s="173">
        <v>508780</v>
      </c>
      <c r="H57" s="47">
        <v>1000000</v>
      </c>
      <c r="I57" s="171">
        <f t="shared" si="10"/>
        <v>491220</v>
      </c>
      <c r="J57" s="170">
        <f t="shared" si="11"/>
        <v>1682379.0600000024</v>
      </c>
    </row>
    <row r="58" spans="1:10" ht="12.65" customHeight="1">
      <c r="B58" s="33">
        <f>'Update IDR GWM'!A58</f>
        <v>43077</v>
      </c>
      <c r="C58" s="41">
        <v>221370000</v>
      </c>
      <c r="D58" s="47">
        <v>222561159.06</v>
      </c>
      <c r="E58" s="168">
        <f t="shared" si="5"/>
        <v>1191159.0600000024</v>
      </c>
      <c r="G58" s="173">
        <v>566700</v>
      </c>
      <c r="H58" s="47">
        <v>1000000</v>
      </c>
      <c r="I58" s="171">
        <f t="shared" si="10"/>
        <v>433300</v>
      </c>
      <c r="J58" s="170">
        <f t="shared" si="11"/>
        <v>1624459.0600000024</v>
      </c>
    </row>
    <row r="59" spans="1:10" ht="12.65" customHeight="1">
      <c r="B59" s="33">
        <f>'Update IDR GWM'!A59</f>
        <v>43080</v>
      </c>
      <c r="C59" s="41">
        <v>218515000</v>
      </c>
      <c r="D59" s="47">
        <v>222561159.06</v>
      </c>
      <c r="E59" s="168">
        <f t="shared" si="5"/>
        <v>4046159.0600000024</v>
      </c>
      <c r="G59" s="173">
        <v>566700</v>
      </c>
      <c r="H59" s="47">
        <v>1000000</v>
      </c>
      <c r="I59" s="171">
        <f t="shared" si="10"/>
        <v>433300</v>
      </c>
      <c r="J59" s="170">
        <f t="shared" si="11"/>
        <v>4479459.0600000024</v>
      </c>
    </row>
    <row r="60" spans="1:10" ht="12.65" customHeight="1">
      <c r="B60" s="33">
        <f>'Update IDR GWM'!A60</f>
        <v>43081</v>
      </c>
      <c r="C60" s="41">
        <v>218515000</v>
      </c>
      <c r="D60" s="47">
        <v>219561159.06</v>
      </c>
      <c r="E60" s="168">
        <f t="shared" si="5"/>
        <v>1046159.0600000024</v>
      </c>
      <c r="G60" s="173">
        <v>566700</v>
      </c>
      <c r="H60" s="47">
        <v>1000000</v>
      </c>
      <c r="I60" s="171">
        <f t="shared" si="10"/>
        <v>433300</v>
      </c>
      <c r="J60" s="170">
        <f t="shared" si="11"/>
        <v>1479459.0600000024</v>
      </c>
    </row>
    <row r="61" spans="1:10" ht="12.65" customHeight="1">
      <c r="B61" s="33">
        <f>'Update IDR GWM'!A61</f>
        <v>43082</v>
      </c>
      <c r="C61" s="41">
        <v>218515000</v>
      </c>
      <c r="D61" s="47">
        <v>219561159.06</v>
      </c>
      <c r="E61" s="168">
        <f t="shared" si="5"/>
        <v>1046159.0600000024</v>
      </c>
      <c r="G61" s="173">
        <v>566700</v>
      </c>
      <c r="H61" s="47">
        <v>1000000</v>
      </c>
      <c r="I61" s="171">
        <f t="shared" si="10"/>
        <v>433300</v>
      </c>
      <c r="J61" s="170">
        <f t="shared" si="11"/>
        <v>1479459.0600000024</v>
      </c>
    </row>
    <row r="62" spans="1:10" ht="12.65" customHeight="1">
      <c r="B62" s="33">
        <f>'Update IDR GWM'!A62</f>
        <v>43083</v>
      </c>
      <c r="C62" s="41">
        <v>218515000</v>
      </c>
      <c r="D62" s="47">
        <v>219561159.06</v>
      </c>
      <c r="E62" s="168">
        <f t="shared" si="5"/>
        <v>1046159.0600000024</v>
      </c>
      <c r="G62" s="173">
        <v>566700</v>
      </c>
      <c r="H62" s="47">
        <v>1000000</v>
      </c>
      <c r="I62" s="171">
        <f t="shared" si="10"/>
        <v>433300</v>
      </c>
      <c r="J62" s="170">
        <f t="shared" si="11"/>
        <v>1479459.0600000024</v>
      </c>
    </row>
    <row r="63" spans="1:10" ht="12.65" customHeight="1">
      <c r="B63" s="33">
        <f>'Update IDR GWM'!A63</f>
        <v>43084</v>
      </c>
      <c r="C63" s="41">
        <v>218515000</v>
      </c>
      <c r="D63" s="47">
        <v>219561159.06</v>
      </c>
      <c r="E63" s="168">
        <f t="shared" si="5"/>
        <v>1046159.0600000024</v>
      </c>
      <c r="G63" s="173">
        <v>566700</v>
      </c>
      <c r="H63" s="47">
        <v>1000000</v>
      </c>
      <c r="I63" s="171">
        <f t="shared" si="10"/>
        <v>433300</v>
      </c>
      <c r="J63" s="170">
        <f t="shared" si="11"/>
        <v>1479459.0600000024</v>
      </c>
    </row>
    <row r="64" spans="1:10" ht="12.65" customHeight="1">
      <c r="B64" s="33">
        <f>'Update IDR GWM'!A64</f>
        <v>43087</v>
      </c>
      <c r="C64" s="41">
        <v>216443000</v>
      </c>
      <c r="D64" s="47">
        <v>219561159.06</v>
      </c>
      <c r="E64" s="168">
        <f t="shared" si="5"/>
        <v>3118159.0600000024</v>
      </c>
      <c r="G64" s="173">
        <v>658170</v>
      </c>
      <c r="H64" s="47">
        <v>1000000</v>
      </c>
      <c r="I64" s="171">
        <f>H64-G64</f>
        <v>341830</v>
      </c>
      <c r="J64" s="170">
        <f>E64+I64</f>
        <v>3459989.0600000024</v>
      </c>
    </row>
    <row r="65" spans="2:10" ht="12.65" customHeight="1">
      <c r="B65" s="33">
        <f>'Update IDR GWM'!A65</f>
        <v>43088</v>
      </c>
      <c r="C65" s="41">
        <v>216443000</v>
      </c>
      <c r="D65" s="47">
        <v>219561159.06</v>
      </c>
      <c r="E65" s="168">
        <f t="shared" si="5"/>
        <v>3118159.0600000024</v>
      </c>
      <c r="G65" s="173">
        <v>658170</v>
      </c>
      <c r="H65" s="47">
        <v>1000000</v>
      </c>
      <c r="I65" s="171">
        <f t="shared" si="10"/>
        <v>341830</v>
      </c>
      <c r="J65" s="170">
        <f t="shared" si="11"/>
        <v>3459989.0600000024</v>
      </c>
    </row>
    <row r="66" spans="2:10" ht="12.65" customHeight="1">
      <c r="B66" s="33">
        <f>'Update IDR GWM'!A66</f>
        <v>43089</v>
      </c>
      <c r="C66" s="41">
        <v>216443000</v>
      </c>
      <c r="D66" s="47">
        <v>217561159.06</v>
      </c>
      <c r="E66" s="168">
        <f t="shared" si="5"/>
        <v>1118159.0600000024</v>
      </c>
      <c r="G66" s="173">
        <v>658170</v>
      </c>
      <c r="H66" s="47">
        <v>1000000</v>
      </c>
      <c r="I66" s="171">
        <f t="shared" si="10"/>
        <v>341830</v>
      </c>
      <c r="J66" s="170">
        <f t="shared" si="11"/>
        <v>1459989.0600000024</v>
      </c>
    </row>
    <row r="67" spans="2:10" ht="12.65" customHeight="1">
      <c r="B67" s="33">
        <f>'Update IDR GWM'!A67</f>
        <v>43090</v>
      </c>
      <c r="C67" s="41">
        <v>216443000</v>
      </c>
      <c r="D67" s="47">
        <v>217561159.06</v>
      </c>
      <c r="E67" s="168">
        <f t="shared" si="5"/>
        <v>1118159.0600000024</v>
      </c>
      <c r="G67" s="173">
        <v>658170</v>
      </c>
      <c r="H67" s="47">
        <v>1000000</v>
      </c>
      <c r="I67" s="171">
        <f t="shared" si="10"/>
        <v>341830</v>
      </c>
      <c r="J67" s="170">
        <f t="shared" si="11"/>
        <v>1459989.0600000024</v>
      </c>
    </row>
    <row r="68" spans="2:10" ht="12.65" customHeight="1">
      <c r="B68" s="33">
        <f>'Update IDR GWM'!A68</f>
        <v>43091</v>
      </c>
      <c r="C68" s="41">
        <v>216443000</v>
      </c>
      <c r="D68" s="47">
        <v>217561159.06</v>
      </c>
      <c r="E68" s="168">
        <f t="shared" si="5"/>
        <v>1118159.0600000024</v>
      </c>
      <c r="G68" s="173">
        <v>658170</v>
      </c>
      <c r="H68" s="47">
        <v>1000000</v>
      </c>
      <c r="I68" s="171">
        <f t="shared" si="10"/>
        <v>341830</v>
      </c>
      <c r="J68" s="170">
        <f t="shared" si="11"/>
        <v>1459989.0600000024</v>
      </c>
    </row>
    <row r="69" spans="2:10" ht="12.65" customHeight="1">
      <c r="B69" s="33">
        <f>'Update IDR GWM'!A69</f>
        <v>43096</v>
      </c>
      <c r="C69" s="41">
        <v>216443000</v>
      </c>
      <c r="D69" s="47">
        <v>224061159.06</v>
      </c>
      <c r="E69" s="168">
        <f t="shared" si="5"/>
        <v>7618159.0600000024</v>
      </c>
      <c r="G69" s="173">
        <v>507100</v>
      </c>
      <c r="H69" s="47">
        <v>1000000</v>
      </c>
      <c r="I69" s="171">
        <f t="shared" si="10"/>
        <v>492900</v>
      </c>
      <c r="J69" s="170">
        <f t="shared" si="11"/>
        <v>8111059.0600000024</v>
      </c>
    </row>
    <row r="70" spans="2:10" ht="12.65" customHeight="1">
      <c r="B70" s="33">
        <f>'Update IDR GWM'!A70</f>
        <v>43097</v>
      </c>
      <c r="C70" s="41">
        <v>216443000</v>
      </c>
      <c r="D70" s="47">
        <v>224061159.06</v>
      </c>
      <c r="E70" s="168">
        <f t="shared" si="5"/>
        <v>7618159.0600000024</v>
      </c>
      <c r="G70" s="173">
        <v>507100</v>
      </c>
      <c r="H70" s="47">
        <v>1000000</v>
      </c>
      <c r="I70" s="171">
        <f t="shared" si="10"/>
        <v>492900</v>
      </c>
      <c r="J70" s="170">
        <f t="shared" si="11"/>
        <v>8111059.0600000024</v>
      </c>
    </row>
    <row r="71" spans="2:10" ht="12.65" customHeight="1">
      <c r="B71" s="33">
        <f>'Update IDR GWM'!A71</f>
        <v>43098</v>
      </c>
      <c r="C71" s="41">
        <v>216443000</v>
      </c>
      <c r="D71" s="47">
        <v>224061159.06</v>
      </c>
      <c r="E71" s="168">
        <f t="shared" si="5"/>
        <v>7618159.0600000024</v>
      </c>
      <c r="G71" s="173">
        <v>507100</v>
      </c>
      <c r="H71" s="47">
        <v>1000000</v>
      </c>
      <c r="I71" s="171">
        <f t="shared" si="10"/>
        <v>492900</v>
      </c>
      <c r="J71" s="170">
        <f t="shared" si="11"/>
        <v>8111059.0600000024</v>
      </c>
    </row>
    <row r="72" spans="2:10" ht="12.65" customHeight="1">
      <c r="B72" s="33">
        <f>'Update IDR GWM'!A72</f>
        <v>43102</v>
      </c>
      <c r="C72" s="41">
        <v>221298629.61216199</v>
      </c>
      <c r="D72" s="47">
        <v>224061159.06</v>
      </c>
      <c r="E72" s="168">
        <f t="shared" si="5"/>
        <v>2762529.4478380084</v>
      </c>
      <c r="G72" s="173">
        <v>517110</v>
      </c>
      <c r="H72" s="47">
        <v>1000000</v>
      </c>
      <c r="I72" s="171">
        <f t="shared" si="10"/>
        <v>482890</v>
      </c>
      <c r="J72" s="170">
        <f t="shared" si="11"/>
        <v>3245419.4478380084</v>
      </c>
    </row>
    <row r="73" spans="2:10" ht="12.65" customHeight="1">
      <c r="B73" s="33">
        <f>'Update IDR GWM'!A73</f>
        <v>43103</v>
      </c>
      <c r="C73" s="41">
        <v>221298629.61216199</v>
      </c>
      <c r="D73" s="47">
        <v>224061159.06</v>
      </c>
      <c r="E73" s="168">
        <f t="shared" si="5"/>
        <v>2762529.4478380084</v>
      </c>
      <c r="G73" s="173">
        <v>517110</v>
      </c>
      <c r="H73" s="47">
        <v>1000000</v>
      </c>
      <c r="I73" s="171">
        <f t="shared" si="10"/>
        <v>482890</v>
      </c>
      <c r="J73" s="170">
        <f t="shared" si="11"/>
        <v>3245419.4478380084</v>
      </c>
    </row>
    <row r="74" spans="2:10" ht="12.65" customHeight="1">
      <c r="B74" s="33">
        <f>'Update IDR GWM'!A74</f>
        <v>43104</v>
      </c>
      <c r="C74" s="41">
        <v>221298629.61216199</v>
      </c>
      <c r="D74" s="47">
        <v>224061159.06</v>
      </c>
      <c r="E74" s="168">
        <f t="shared" si="5"/>
        <v>2762529.4478380084</v>
      </c>
      <c r="G74" s="173">
        <v>517110</v>
      </c>
      <c r="H74" s="47">
        <v>1000000</v>
      </c>
      <c r="I74" s="171">
        <f t="shared" si="10"/>
        <v>482890</v>
      </c>
      <c r="J74" s="170">
        <f t="shared" si="11"/>
        <v>3245419.4478380084</v>
      </c>
    </row>
    <row r="75" spans="2:10" ht="12.65" customHeight="1">
      <c r="B75" s="33">
        <f>'Update IDR GWM'!A75</f>
        <v>43105</v>
      </c>
      <c r="C75" s="41">
        <v>221298629.61216199</v>
      </c>
      <c r="D75" s="47">
        <v>224061159.06</v>
      </c>
      <c r="E75" s="168">
        <f t="shared" si="5"/>
        <v>2762529.4478380084</v>
      </c>
      <c r="G75" s="173">
        <v>517110</v>
      </c>
      <c r="H75" s="47">
        <v>1000000</v>
      </c>
      <c r="I75" s="171">
        <f t="shared" si="10"/>
        <v>482890</v>
      </c>
      <c r="J75" s="170">
        <f t="shared" si="11"/>
        <v>3245419.4478380084</v>
      </c>
    </row>
    <row r="76" spans="2:10" ht="12.65" customHeight="1">
      <c r="B76" s="33">
        <f>'Update IDR GWM'!A76</f>
        <v>43108</v>
      </c>
      <c r="C76" s="41">
        <v>231881923.263809</v>
      </c>
      <c r="D76" s="47">
        <v>235061159.06</v>
      </c>
      <c r="E76" s="168">
        <f t="shared" si="5"/>
        <v>3179235.7961910069</v>
      </c>
      <c r="G76" s="173">
        <v>581180</v>
      </c>
      <c r="H76" s="47">
        <v>1000000</v>
      </c>
      <c r="I76" s="171">
        <f t="shared" ref="I76:I123" si="12">H76-G76</f>
        <v>418820</v>
      </c>
      <c r="J76" s="170">
        <f t="shared" ref="J76:J105" si="13">E76+I76</f>
        <v>3598055.7961910069</v>
      </c>
    </row>
    <row r="77" spans="2:10" ht="12.65" customHeight="1">
      <c r="B77" s="33">
        <f>'Update IDR GWM'!A77</f>
        <v>43109</v>
      </c>
      <c r="C77" s="41">
        <v>231881923.263809</v>
      </c>
      <c r="D77" s="47">
        <v>235061159.06</v>
      </c>
      <c r="E77" s="168">
        <f t="shared" si="5"/>
        <v>3179235.7961910069</v>
      </c>
      <c r="G77" s="173">
        <v>581180</v>
      </c>
      <c r="H77" s="47">
        <v>1000000</v>
      </c>
      <c r="I77" s="171">
        <f t="shared" si="12"/>
        <v>418820</v>
      </c>
      <c r="J77" s="170">
        <f t="shared" si="13"/>
        <v>3598055.7961910069</v>
      </c>
    </row>
    <row r="78" spans="2:10" ht="12.65" customHeight="1">
      <c r="B78" s="33">
        <f>'Update IDR GWM'!A78</f>
        <v>43110</v>
      </c>
      <c r="C78" s="41">
        <v>231881923.263809</v>
      </c>
      <c r="D78" s="47">
        <v>235061159.06</v>
      </c>
      <c r="E78" s="168">
        <f t="shared" si="5"/>
        <v>3179235.7961910069</v>
      </c>
      <c r="G78" s="173">
        <v>581180</v>
      </c>
      <c r="H78" s="47">
        <v>1000000</v>
      </c>
      <c r="I78" s="171">
        <f t="shared" si="12"/>
        <v>418820</v>
      </c>
      <c r="J78" s="170">
        <f t="shared" si="13"/>
        <v>3598055.7961910069</v>
      </c>
    </row>
    <row r="79" spans="2:10" ht="12.65" customHeight="1">
      <c r="B79" s="33">
        <f>'Update IDR GWM'!A79</f>
        <v>43111</v>
      </c>
      <c r="C79" s="41">
        <v>231881923.263809</v>
      </c>
      <c r="D79" s="47">
        <v>235061159.06</v>
      </c>
      <c r="E79" s="168">
        <f t="shared" si="5"/>
        <v>3179235.7961910069</v>
      </c>
      <c r="G79" s="173">
        <v>581180</v>
      </c>
      <c r="H79" s="47">
        <v>1000000</v>
      </c>
      <c r="I79" s="171">
        <f t="shared" si="12"/>
        <v>418820</v>
      </c>
      <c r="J79" s="170">
        <f t="shared" si="13"/>
        <v>3598055.7961910069</v>
      </c>
    </row>
    <row r="80" spans="2:10" ht="12.65" customHeight="1">
      <c r="B80" s="33">
        <f>'Update IDR GWM'!A80</f>
        <v>43112</v>
      </c>
      <c r="C80" s="41">
        <v>231881923.263809</v>
      </c>
      <c r="D80" s="47">
        <v>235061159.06</v>
      </c>
      <c r="E80" s="168">
        <f t="shared" si="5"/>
        <v>3179235.7961910069</v>
      </c>
      <c r="G80" s="173">
        <v>581180</v>
      </c>
      <c r="H80" s="47">
        <v>1000000</v>
      </c>
      <c r="I80" s="171">
        <f t="shared" si="12"/>
        <v>418820</v>
      </c>
      <c r="J80" s="170">
        <f t="shared" si="13"/>
        <v>3598055.7961910069</v>
      </c>
    </row>
    <row r="81" spans="2:10" ht="12.65" customHeight="1">
      <c r="B81" s="33">
        <f>'Update IDR GWM'!A81</f>
        <v>43115</v>
      </c>
      <c r="C81" s="41">
        <v>231881923.263809</v>
      </c>
      <c r="D81" s="47">
        <v>239061159.06</v>
      </c>
      <c r="E81" s="168">
        <f t="shared" si="5"/>
        <v>7179235.7961910069</v>
      </c>
      <c r="G81" s="173">
        <v>581180</v>
      </c>
      <c r="H81" s="47">
        <v>1000000</v>
      </c>
      <c r="I81" s="171">
        <f t="shared" si="12"/>
        <v>418820</v>
      </c>
      <c r="J81" s="170">
        <f t="shared" si="13"/>
        <v>7598055.7961910069</v>
      </c>
    </row>
    <row r="82" spans="2:10" ht="12.65" customHeight="1">
      <c r="B82" s="33">
        <f>'Update IDR GWM'!A82</f>
        <v>43116</v>
      </c>
      <c r="C82" s="41">
        <v>237913333.13892201</v>
      </c>
      <c r="D82" s="47">
        <v>239061159.06</v>
      </c>
      <c r="E82" s="168">
        <f t="shared" si="5"/>
        <v>1147825.9210779965</v>
      </c>
      <c r="G82" s="173">
        <v>695460</v>
      </c>
      <c r="H82" s="47">
        <v>1000000</v>
      </c>
      <c r="I82" s="171">
        <f t="shared" si="12"/>
        <v>304540</v>
      </c>
      <c r="J82" s="170">
        <f t="shared" si="13"/>
        <v>1452365.9210779965</v>
      </c>
    </row>
    <row r="83" spans="2:10" ht="12.65" customHeight="1">
      <c r="B83" s="33">
        <f>'Update IDR GWM'!A83</f>
        <v>43117</v>
      </c>
      <c r="C83" s="41">
        <v>237913333.13892201</v>
      </c>
      <c r="D83" s="47">
        <v>239061159.06</v>
      </c>
      <c r="E83" s="168">
        <f t="shared" si="5"/>
        <v>1147825.9210779965</v>
      </c>
      <c r="G83" s="173">
        <v>695460</v>
      </c>
      <c r="H83" s="47">
        <v>1000000</v>
      </c>
      <c r="I83" s="171">
        <f t="shared" si="12"/>
        <v>304540</v>
      </c>
      <c r="J83" s="170">
        <f t="shared" si="13"/>
        <v>1452365.9210779965</v>
      </c>
    </row>
    <row r="84" spans="2:10" ht="12.65" customHeight="1">
      <c r="B84" s="33">
        <f>'Update IDR GWM'!A84</f>
        <v>43118</v>
      </c>
      <c r="C84" s="41">
        <v>237913333.13892201</v>
      </c>
      <c r="D84" s="47">
        <v>239061159.06</v>
      </c>
      <c r="E84" s="168">
        <f t="shared" si="5"/>
        <v>1147825.9210779965</v>
      </c>
      <c r="G84" s="173">
        <v>695460</v>
      </c>
      <c r="H84" s="47">
        <v>1000000</v>
      </c>
      <c r="I84" s="171">
        <f t="shared" si="12"/>
        <v>304540</v>
      </c>
      <c r="J84" s="170">
        <f t="shared" si="13"/>
        <v>1452365.9210779965</v>
      </c>
    </row>
    <row r="85" spans="2:10" ht="12.65" customHeight="1">
      <c r="B85" s="33">
        <f>'Update IDR GWM'!A85</f>
        <v>43119</v>
      </c>
      <c r="C85" s="41">
        <v>237913333.13892201</v>
      </c>
      <c r="D85" s="47">
        <v>239061159.06</v>
      </c>
      <c r="E85" s="168">
        <f t="shared" si="5"/>
        <v>1147825.9210779965</v>
      </c>
      <c r="G85" s="173">
        <v>695460</v>
      </c>
      <c r="H85" s="47">
        <v>1000000</v>
      </c>
      <c r="I85" s="171">
        <f t="shared" si="12"/>
        <v>304540</v>
      </c>
      <c r="J85" s="170">
        <f t="shared" si="13"/>
        <v>1452365.9210779965</v>
      </c>
    </row>
    <row r="86" spans="2:10" ht="12.65" customHeight="1">
      <c r="B86" s="33">
        <f>'Update IDR GWM'!A86</f>
        <v>43122</v>
      </c>
      <c r="C86" s="41">
        <v>237913333.13892201</v>
      </c>
      <c r="D86" s="47">
        <v>239061159.06</v>
      </c>
      <c r="E86" s="168">
        <f t="shared" ref="E86:E149" si="14">D86-C86</f>
        <v>1147825.9210779965</v>
      </c>
      <c r="G86" s="173">
        <v>695460</v>
      </c>
      <c r="H86" s="47">
        <v>1000000</v>
      </c>
      <c r="I86" s="171">
        <f t="shared" si="12"/>
        <v>304540</v>
      </c>
      <c r="J86" s="170">
        <f t="shared" si="13"/>
        <v>1452365.9210779965</v>
      </c>
    </row>
    <row r="87" spans="2:10" ht="12.65" customHeight="1">
      <c r="B87" s="33">
        <f>'Update IDR GWM'!A87</f>
        <v>43123</v>
      </c>
      <c r="C87" s="41">
        <v>237913333.13892201</v>
      </c>
      <c r="D87" s="47">
        <v>239061159.06</v>
      </c>
      <c r="E87" s="168">
        <f t="shared" si="14"/>
        <v>1147825.9210779965</v>
      </c>
      <c r="G87" s="173">
        <v>695460</v>
      </c>
      <c r="H87" s="47">
        <v>1000000</v>
      </c>
      <c r="I87" s="171">
        <f t="shared" si="12"/>
        <v>304540</v>
      </c>
      <c r="J87" s="170">
        <f t="shared" si="13"/>
        <v>1452365.9210779965</v>
      </c>
    </row>
    <row r="88" spans="2:10" ht="12.65" customHeight="1">
      <c r="B88" s="33">
        <f>'Update IDR GWM'!A88</f>
        <v>43124</v>
      </c>
      <c r="C88" s="41">
        <v>239657114.24940401</v>
      </c>
      <c r="D88" s="47">
        <v>240561159.06</v>
      </c>
      <c r="E88" s="168">
        <f t="shared" si="14"/>
        <v>904044.81059598923</v>
      </c>
      <c r="G88" s="173">
        <v>572810</v>
      </c>
      <c r="H88" s="47">
        <v>1000000</v>
      </c>
      <c r="I88" s="171">
        <f t="shared" si="12"/>
        <v>427190</v>
      </c>
      <c r="J88" s="170">
        <f t="shared" si="13"/>
        <v>1331234.8105959892</v>
      </c>
    </row>
    <row r="89" spans="2:10" ht="12.65" customHeight="1">
      <c r="B89" s="33">
        <f>'Update IDR GWM'!A89</f>
        <v>43125</v>
      </c>
      <c r="C89" s="41">
        <v>239657114.24940401</v>
      </c>
      <c r="D89" s="47">
        <v>240561159.06</v>
      </c>
      <c r="E89" s="168">
        <f t="shared" si="14"/>
        <v>904044.81059598923</v>
      </c>
      <c r="G89" s="173">
        <v>572810</v>
      </c>
      <c r="H89" s="47">
        <v>1000000</v>
      </c>
      <c r="I89" s="171">
        <f t="shared" si="12"/>
        <v>427190</v>
      </c>
      <c r="J89" s="170">
        <f t="shared" si="13"/>
        <v>1331234.8105959892</v>
      </c>
    </row>
    <row r="90" spans="2:10" ht="12.65" customHeight="1">
      <c r="B90" s="33">
        <f>'Update IDR GWM'!A90</f>
        <v>43126</v>
      </c>
      <c r="C90" s="41">
        <v>239657114.24940401</v>
      </c>
      <c r="D90" s="47">
        <v>240561159.06</v>
      </c>
      <c r="E90" s="168">
        <f t="shared" si="14"/>
        <v>904044.81059598923</v>
      </c>
      <c r="G90" s="173">
        <v>572810</v>
      </c>
      <c r="H90" s="47">
        <v>1000000</v>
      </c>
      <c r="I90" s="171">
        <f t="shared" si="12"/>
        <v>427190</v>
      </c>
      <c r="J90" s="170">
        <f t="shared" si="13"/>
        <v>1331234.8105959892</v>
      </c>
    </row>
    <row r="91" spans="2:10" ht="12.65" customHeight="1">
      <c r="B91" s="33">
        <f>'Update IDR GWM'!A91</f>
        <v>43129</v>
      </c>
      <c r="C91" s="41">
        <v>239657114.24940401</v>
      </c>
      <c r="D91" s="47">
        <v>240561159.06</v>
      </c>
      <c r="E91" s="168">
        <f t="shared" si="14"/>
        <v>904044.81059598923</v>
      </c>
      <c r="G91" s="173">
        <v>572810</v>
      </c>
      <c r="H91" s="47">
        <v>1000000</v>
      </c>
      <c r="I91" s="171">
        <f t="shared" si="12"/>
        <v>427190</v>
      </c>
      <c r="J91" s="170">
        <f t="shared" si="13"/>
        <v>1331234.8105959892</v>
      </c>
    </row>
    <row r="92" spans="2:10" ht="12.65" customHeight="1">
      <c r="B92" s="33">
        <f>'Update IDR GWM'!A92</f>
        <v>43130</v>
      </c>
      <c r="C92" s="41">
        <v>239657114.24940401</v>
      </c>
      <c r="D92" s="47">
        <v>240561159.06</v>
      </c>
      <c r="E92" s="168">
        <f t="shared" si="14"/>
        <v>904044.81059598923</v>
      </c>
      <c r="G92" s="173">
        <v>572810</v>
      </c>
      <c r="H92" s="47">
        <v>1000000</v>
      </c>
      <c r="I92" s="171">
        <f t="shared" si="12"/>
        <v>427190</v>
      </c>
      <c r="J92" s="170">
        <f t="shared" si="13"/>
        <v>1331234.8105959892</v>
      </c>
    </row>
    <row r="93" spans="2:10" ht="12.65" customHeight="1">
      <c r="B93" s="33">
        <f>'Update IDR GWM'!A93</f>
        <v>43131</v>
      </c>
      <c r="C93" s="41">
        <v>239657114.24940401</v>
      </c>
      <c r="D93" s="47">
        <v>240561159.06</v>
      </c>
      <c r="E93" s="168">
        <f t="shared" si="14"/>
        <v>904044.81059598923</v>
      </c>
      <c r="G93" s="173">
        <v>572810</v>
      </c>
      <c r="H93" s="47">
        <v>1000000</v>
      </c>
      <c r="I93" s="171">
        <f t="shared" si="12"/>
        <v>427190</v>
      </c>
      <c r="J93" s="170">
        <f t="shared" si="13"/>
        <v>1331234.8105959892</v>
      </c>
    </row>
    <row r="94" spans="2:10" ht="12.65" customHeight="1">
      <c r="B94" s="33">
        <f>'Update IDR GWM'!A94</f>
        <v>43132</v>
      </c>
      <c r="C94" s="41">
        <v>246998115.37022501</v>
      </c>
      <c r="D94" s="47">
        <v>248061159.06</v>
      </c>
      <c r="E94" s="168">
        <f t="shared" si="14"/>
        <v>1063043.6897749901</v>
      </c>
      <c r="G94" s="173">
        <v>525640</v>
      </c>
      <c r="H94" s="47">
        <v>1000000</v>
      </c>
      <c r="I94" s="171">
        <f t="shared" si="12"/>
        <v>474360</v>
      </c>
      <c r="J94" s="170">
        <f t="shared" si="13"/>
        <v>1537403.6897749901</v>
      </c>
    </row>
    <row r="95" spans="2:10" ht="12.65" customHeight="1">
      <c r="B95" s="33">
        <f>'Update IDR GWM'!A95</f>
        <v>43133</v>
      </c>
      <c r="C95" s="41">
        <v>246998115.37022501</v>
      </c>
      <c r="D95" s="47">
        <v>248061159.06</v>
      </c>
      <c r="E95" s="168">
        <f t="shared" si="14"/>
        <v>1063043.6897749901</v>
      </c>
      <c r="G95" s="173">
        <v>525640</v>
      </c>
      <c r="H95" s="47">
        <v>1000000</v>
      </c>
      <c r="I95" s="171">
        <f t="shared" si="12"/>
        <v>474360</v>
      </c>
      <c r="J95" s="170">
        <f t="shared" si="13"/>
        <v>1537403.6897749901</v>
      </c>
    </row>
    <row r="96" spans="2:10" ht="12.65" customHeight="1">
      <c r="B96" s="33">
        <f>'Update IDR GWM'!A96</f>
        <v>43136</v>
      </c>
      <c r="C96" s="41">
        <v>246998115.37022501</v>
      </c>
      <c r="D96" s="47">
        <v>248061159.06</v>
      </c>
      <c r="E96" s="168">
        <f t="shared" si="14"/>
        <v>1063043.6897749901</v>
      </c>
      <c r="G96" s="173">
        <v>525640</v>
      </c>
      <c r="H96" s="47">
        <v>1000000</v>
      </c>
      <c r="I96" s="171">
        <f t="shared" si="12"/>
        <v>474360</v>
      </c>
      <c r="J96" s="170">
        <f t="shared" si="13"/>
        <v>1537403.6897749901</v>
      </c>
    </row>
    <row r="97" spans="2:10" ht="12.65" customHeight="1">
      <c r="B97" s="33">
        <f>'Update IDR GWM'!A97</f>
        <v>43137</v>
      </c>
      <c r="C97" s="41">
        <v>246998115.37022501</v>
      </c>
      <c r="D97" s="47">
        <v>248061159.06</v>
      </c>
      <c r="E97" s="168">
        <f t="shared" si="14"/>
        <v>1063043.6897749901</v>
      </c>
      <c r="G97" s="173">
        <v>525640</v>
      </c>
      <c r="H97" s="47">
        <v>1000000</v>
      </c>
      <c r="I97" s="171">
        <f t="shared" si="12"/>
        <v>474360</v>
      </c>
      <c r="J97" s="170">
        <f t="shared" si="13"/>
        <v>1537403.6897749901</v>
      </c>
    </row>
    <row r="98" spans="2:10" ht="12.65" customHeight="1">
      <c r="B98" s="33">
        <f>'Update IDR GWM'!A98</f>
        <v>43138</v>
      </c>
      <c r="C98" s="41">
        <v>246998115.37022501</v>
      </c>
      <c r="D98" s="47">
        <v>248061159.06</v>
      </c>
      <c r="E98" s="168">
        <f t="shared" si="14"/>
        <v>1063043.6897749901</v>
      </c>
      <c r="G98" s="173">
        <v>525640</v>
      </c>
      <c r="H98" s="47">
        <v>1000000</v>
      </c>
      <c r="I98" s="171">
        <f t="shared" si="12"/>
        <v>474360</v>
      </c>
      <c r="J98" s="170">
        <f t="shared" si="13"/>
        <v>1537403.6897749901</v>
      </c>
    </row>
    <row r="99" spans="2:10" ht="12.65" customHeight="1">
      <c r="B99" s="33">
        <f>'Update IDR GWM'!A99</f>
        <v>43139</v>
      </c>
      <c r="C99" s="41">
        <v>242311726.758652</v>
      </c>
      <c r="D99" s="47">
        <v>248061159.06</v>
      </c>
      <c r="E99" s="168">
        <f t="shared" si="14"/>
        <v>5749432.3013480008</v>
      </c>
      <c r="G99" s="173">
        <v>543480</v>
      </c>
      <c r="H99" s="47">
        <v>1000000</v>
      </c>
      <c r="I99" s="171">
        <f t="shared" si="12"/>
        <v>456520</v>
      </c>
      <c r="J99" s="170">
        <f t="shared" si="13"/>
        <v>6205952.3013480008</v>
      </c>
    </row>
    <row r="100" spans="2:10" ht="12.65" customHeight="1">
      <c r="B100" s="33">
        <f>'Update IDR GWM'!A100</f>
        <v>43140</v>
      </c>
      <c r="C100" s="41">
        <v>242311726.758652</v>
      </c>
      <c r="D100" s="47">
        <v>248061159.06</v>
      </c>
      <c r="E100" s="168">
        <f t="shared" si="14"/>
        <v>5749432.3013480008</v>
      </c>
      <c r="G100" s="173">
        <v>543480</v>
      </c>
      <c r="H100" s="47">
        <v>1000000</v>
      </c>
      <c r="I100" s="171">
        <f t="shared" si="12"/>
        <v>456520</v>
      </c>
      <c r="J100" s="170">
        <f t="shared" si="13"/>
        <v>6205952.3013480008</v>
      </c>
    </row>
    <row r="101" spans="2:10" ht="12.65" customHeight="1">
      <c r="B101" s="33">
        <f>'Update IDR GWM'!A101</f>
        <v>43143</v>
      </c>
      <c r="C101" s="41">
        <v>242311726.758652</v>
      </c>
      <c r="D101" s="47">
        <v>244061159.06</v>
      </c>
      <c r="E101" s="168">
        <f t="shared" si="14"/>
        <v>1749432.3013480008</v>
      </c>
      <c r="G101" s="173">
        <v>543480</v>
      </c>
      <c r="H101" s="47">
        <v>1000000</v>
      </c>
      <c r="I101" s="171">
        <f t="shared" si="12"/>
        <v>456520</v>
      </c>
      <c r="J101" s="170">
        <f t="shared" si="13"/>
        <v>2205952.3013480008</v>
      </c>
    </row>
    <row r="102" spans="2:10" ht="12.65" customHeight="1">
      <c r="B102" s="33">
        <f>'Update IDR GWM'!A102</f>
        <v>43144</v>
      </c>
      <c r="C102" s="41">
        <v>242311726.758652</v>
      </c>
      <c r="D102" s="47">
        <v>244061159.06</v>
      </c>
      <c r="E102" s="168">
        <f t="shared" si="14"/>
        <v>1749432.3013480008</v>
      </c>
      <c r="G102" s="173">
        <v>543480</v>
      </c>
      <c r="H102" s="47">
        <v>1000000</v>
      </c>
      <c r="I102" s="171">
        <f t="shared" si="12"/>
        <v>456520</v>
      </c>
      <c r="J102" s="170">
        <f t="shared" si="13"/>
        <v>2205952.3013480008</v>
      </c>
    </row>
    <row r="103" spans="2:10" ht="12.65" customHeight="1">
      <c r="B103" s="33">
        <f>'Update IDR GWM'!A103</f>
        <v>43145</v>
      </c>
      <c r="C103" s="41">
        <v>242311726.758652</v>
      </c>
      <c r="D103" s="47">
        <v>244061159.06</v>
      </c>
      <c r="E103" s="168">
        <f t="shared" si="14"/>
        <v>1749432.3013480008</v>
      </c>
      <c r="G103" s="173">
        <v>543480</v>
      </c>
      <c r="H103" s="47">
        <v>1000000</v>
      </c>
      <c r="I103" s="171">
        <f t="shared" si="12"/>
        <v>456520</v>
      </c>
      <c r="J103" s="170">
        <f t="shared" si="13"/>
        <v>2205952.3013480008</v>
      </c>
    </row>
    <row r="104" spans="2:10" ht="12.65" customHeight="1">
      <c r="B104" s="33">
        <f>'Update IDR GWM'!A104</f>
        <v>43146</v>
      </c>
      <c r="C104" s="41">
        <v>242311726.758652</v>
      </c>
      <c r="D104" s="47">
        <v>244061159.06</v>
      </c>
      <c r="E104" s="168">
        <f t="shared" si="14"/>
        <v>1749432.3013480008</v>
      </c>
      <c r="G104" s="173">
        <v>543480</v>
      </c>
      <c r="H104" s="47">
        <v>1000000</v>
      </c>
      <c r="I104" s="171">
        <f t="shared" si="12"/>
        <v>456520</v>
      </c>
      <c r="J104" s="170">
        <f t="shared" si="13"/>
        <v>2205952.3013480008</v>
      </c>
    </row>
    <row r="105" spans="2:10" ht="12.65" customHeight="1">
      <c r="B105" s="33">
        <f>'Update IDR GWM'!A105</f>
        <v>43150</v>
      </c>
      <c r="C105" s="41">
        <v>244016509.73167101</v>
      </c>
      <c r="D105" s="47">
        <v>245061159.06</v>
      </c>
      <c r="E105" s="168">
        <f t="shared" si="14"/>
        <v>1044649.3283289969</v>
      </c>
      <c r="G105" s="173">
        <v>531620</v>
      </c>
      <c r="H105" s="47">
        <v>1000000</v>
      </c>
      <c r="I105" s="171">
        <f t="shared" si="12"/>
        <v>468380</v>
      </c>
      <c r="J105" s="170">
        <f t="shared" si="13"/>
        <v>1513029.3283289969</v>
      </c>
    </row>
    <row r="106" spans="2:10" ht="12.65" customHeight="1">
      <c r="B106" s="33">
        <f>'Update IDR GWM'!A106</f>
        <v>43151</v>
      </c>
      <c r="C106" s="41">
        <v>244016509.73167101</v>
      </c>
      <c r="D106" s="47">
        <v>245061159.06</v>
      </c>
      <c r="E106" s="168">
        <f t="shared" si="14"/>
        <v>1044649.3283289969</v>
      </c>
      <c r="G106" s="173">
        <v>531620</v>
      </c>
      <c r="H106" s="47">
        <v>1000000</v>
      </c>
      <c r="I106" s="171">
        <f t="shared" si="12"/>
        <v>468380</v>
      </c>
      <c r="J106" s="170">
        <f t="shared" ref="J106:J123" si="15">E106+I106</f>
        <v>1513029.3283289969</v>
      </c>
    </row>
    <row r="107" spans="2:10" ht="12.65" customHeight="1">
      <c r="B107" s="33">
        <f>'Update IDR GWM'!A107</f>
        <v>43152</v>
      </c>
      <c r="C107" s="41">
        <v>244016509.73167101</v>
      </c>
      <c r="D107" s="47">
        <v>245061159.06</v>
      </c>
      <c r="E107" s="168">
        <f t="shared" si="14"/>
        <v>1044649.3283289969</v>
      </c>
      <c r="G107" s="173">
        <v>531620</v>
      </c>
      <c r="H107" s="47">
        <v>1000000</v>
      </c>
      <c r="I107" s="171">
        <f t="shared" si="12"/>
        <v>468380</v>
      </c>
      <c r="J107" s="170">
        <f t="shared" si="15"/>
        <v>1513029.3283289969</v>
      </c>
    </row>
    <row r="108" spans="2:10" ht="12.65" customHeight="1">
      <c r="B108" s="33">
        <f>'Update IDR GWM'!A108</f>
        <v>43153</v>
      </c>
      <c r="C108" s="41">
        <v>244016509.73167101</v>
      </c>
      <c r="D108" s="47">
        <v>270061159.06</v>
      </c>
      <c r="E108" s="168">
        <f t="shared" si="14"/>
        <v>26044649.328328997</v>
      </c>
      <c r="G108" s="173">
        <v>531620</v>
      </c>
      <c r="H108" s="47">
        <v>1000000</v>
      </c>
      <c r="I108" s="171">
        <f t="shared" si="12"/>
        <v>468380</v>
      </c>
      <c r="J108" s="170">
        <f t="shared" si="15"/>
        <v>26513029.328328997</v>
      </c>
    </row>
    <row r="109" spans="2:10" ht="12.65" customHeight="1">
      <c r="B109" s="33">
        <f>'Update IDR GWM'!A109</f>
        <v>43154</v>
      </c>
      <c r="C109" s="41">
        <v>244016509.73167101</v>
      </c>
      <c r="D109" s="47">
        <v>276281928.25999999</v>
      </c>
      <c r="E109" s="168">
        <f t="shared" si="14"/>
        <v>32265418.528328985</v>
      </c>
      <c r="G109" s="173">
        <v>531620</v>
      </c>
      <c r="H109" s="47">
        <v>1000000</v>
      </c>
      <c r="I109" s="171">
        <f t="shared" si="12"/>
        <v>468380</v>
      </c>
      <c r="J109" s="170">
        <f t="shared" si="15"/>
        <v>32733798.528328985</v>
      </c>
    </row>
    <row r="110" spans="2:10" ht="12.65" customHeight="1">
      <c r="B110" s="33">
        <f>'Update IDR GWM'!A110</f>
        <v>43157</v>
      </c>
      <c r="C110" s="41">
        <v>249550000</v>
      </c>
      <c r="D110" s="47">
        <v>276281928.25999999</v>
      </c>
      <c r="E110" s="168">
        <f t="shared" si="14"/>
        <v>26731928.25999999</v>
      </c>
      <c r="G110" s="173">
        <v>531970</v>
      </c>
      <c r="H110" s="47">
        <v>1000000</v>
      </c>
      <c r="I110" s="171">
        <f t="shared" si="12"/>
        <v>468030</v>
      </c>
      <c r="J110" s="170">
        <f t="shared" si="15"/>
        <v>27199958.25999999</v>
      </c>
    </row>
    <row r="111" spans="2:10" ht="12.65" customHeight="1">
      <c r="B111" s="33">
        <f>'Update IDR GWM'!A111</f>
        <v>43158</v>
      </c>
      <c r="C111" s="41">
        <v>249550000</v>
      </c>
      <c r="D111" s="47">
        <v>276281928.25999999</v>
      </c>
      <c r="E111" s="168">
        <f t="shared" si="14"/>
        <v>26731928.25999999</v>
      </c>
      <c r="G111" s="173">
        <v>531970</v>
      </c>
      <c r="H111" s="47">
        <v>1000000</v>
      </c>
      <c r="I111" s="171">
        <f t="shared" si="12"/>
        <v>468030</v>
      </c>
      <c r="J111" s="170">
        <f t="shared" si="15"/>
        <v>27199958.25999999</v>
      </c>
    </row>
    <row r="112" spans="2:10" ht="12.65" customHeight="1">
      <c r="B112" s="33">
        <f>'Update IDR GWM'!A112</f>
        <v>43159</v>
      </c>
      <c r="C112" s="41">
        <v>249550000</v>
      </c>
      <c r="D112" s="47">
        <v>276281928.25999999</v>
      </c>
      <c r="E112" s="168">
        <f t="shared" si="14"/>
        <v>26731928.25999999</v>
      </c>
      <c r="G112" s="173">
        <v>531970</v>
      </c>
      <c r="H112" s="47">
        <v>1000000</v>
      </c>
      <c r="I112" s="171">
        <f t="shared" si="12"/>
        <v>468030</v>
      </c>
      <c r="J112" s="170">
        <f t="shared" si="15"/>
        <v>27199958.25999999</v>
      </c>
    </row>
    <row r="113" spans="2:10" ht="12.65" customHeight="1">
      <c r="B113" s="33">
        <f>'Update IDR GWM'!A113</f>
        <v>43160</v>
      </c>
      <c r="C113" s="41">
        <v>243392000</v>
      </c>
      <c r="D113" s="47">
        <v>251281928.25999999</v>
      </c>
      <c r="E113" s="168">
        <f t="shared" si="14"/>
        <v>7889928.2599999905</v>
      </c>
      <c r="G113" s="173">
        <v>563850</v>
      </c>
      <c r="H113" s="47">
        <v>1000000</v>
      </c>
      <c r="I113" s="171">
        <f t="shared" si="12"/>
        <v>436150</v>
      </c>
      <c r="J113" s="170">
        <f t="shared" si="15"/>
        <v>8326078.2599999905</v>
      </c>
    </row>
    <row r="114" spans="2:10" ht="12.65" customHeight="1">
      <c r="B114" s="33">
        <f>'Update IDR GWM'!A114</f>
        <v>43161</v>
      </c>
      <c r="C114" s="41">
        <v>243392000</v>
      </c>
      <c r="D114" s="47">
        <v>276281928.25999999</v>
      </c>
      <c r="E114" s="168">
        <f t="shared" si="14"/>
        <v>32889928.25999999</v>
      </c>
      <c r="G114" s="173">
        <v>563850</v>
      </c>
      <c r="H114" s="47">
        <v>1000000</v>
      </c>
      <c r="I114" s="171">
        <f t="shared" si="12"/>
        <v>436150</v>
      </c>
      <c r="J114" s="170">
        <f t="shared" si="15"/>
        <v>33326078.25999999</v>
      </c>
    </row>
    <row r="115" spans="2:10" ht="12.65" customHeight="1">
      <c r="B115" s="33">
        <f>'Update IDR GWM'!A115</f>
        <v>43164</v>
      </c>
      <c r="C115" s="41">
        <v>243392000</v>
      </c>
      <c r="D115" s="47">
        <v>276281928.25999999</v>
      </c>
      <c r="E115" s="168">
        <f t="shared" si="14"/>
        <v>32889928.25999999</v>
      </c>
      <c r="G115" s="173">
        <v>563850</v>
      </c>
      <c r="H115" s="47">
        <v>1000000</v>
      </c>
      <c r="I115" s="171">
        <f t="shared" si="12"/>
        <v>436150</v>
      </c>
      <c r="J115" s="170">
        <f t="shared" si="15"/>
        <v>33326078.25999999</v>
      </c>
    </row>
    <row r="116" spans="2:10" ht="12.65" customHeight="1">
      <c r="B116" s="33">
        <f>'Update IDR GWM'!A116</f>
        <v>43165</v>
      </c>
      <c r="C116" s="41">
        <v>243392000</v>
      </c>
      <c r="D116" s="47">
        <v>245281928.25999999</v>
      </c>
      <c r="E116" s="168">
        <f t="shared" si="14"/>
        <v>1889928.2599999905</v>
      </c>
      <c r="G116" s="173">
        <v>563850</v>
      </c>
      <c r="H116" s="47">
        <v>1000000</v>
      </c>
      <c r="I116" s="171">
        <f t="shared" si="12"/>
        <v>436150</v>
      </c>
      <c r="J116" s="170">
        <f t="shared" si="15"/>
        <v>2326078.2599999905</v>
      </c>
    </row>
    <row r="117" spans="2:10" ht="12.65" customHeight="1">
      <c r="B117" s="33">
        <f>'Update IDR GWM'!A117</f>
        <v>43166</v>
      </c>
      <c r="C117" s="41">
        <v>243392000</v>
      </c>
      <c r="D117" s="47">
        <v>245281928.25999999</v>
      </c>
      <c r="E117" s="168">
        <f t="shared" si="14"/>
        <v>1889928.2599999905</v>
      </c>
      <c r="G117" s="173">
        <v>563850</v>
      </c>
      <c r="H117" s="47">
        <v>1000000</v>
      </c>
      <c r="I117" s="171">
        <f t="shared" si="12"/>
        <v>436150</v>
      </c>
      <c r="J117" s="170">
        <f t="shared" si="15"/>
        <v>2326078.2599999905</v>
      </c>
    </row>
    <row r="118" spans="2:10" ht="12.65" customHeight="1">
      <c r="B118" s="33">
        <f>'Update IDR GWM'!A118</f>
        <v>43167</v>
      </c>
      <c r="C118" s="41">
        <v>239280000</v>
      </c>
      <c r="D118" s="47">
        <v>245281928.25999999</v>
      </c>
      <c r="E118" s="168">
        <f t="shared" si="14"/>
        <v>6001928.2599999905</v>
      </c>
      <c r="G118" s="173">
        <v>589180</v>
      </c>
      <c r="H118" s="47">
        <v>1000000</v>
      </c>
      <c r="I118" s="171">
        <f t="shared" si="12"/>
        <v>410820</v>
      </c>
      <c r="J118" s="170">
        <f t="shared" si="15"/>
        <v>6412748.2599999905</v>
      </c>
    </row>
    <row r="119" spans="2:10" ht="12.65" customHeight="1">
      <c r="B119" s="33">
        <f>'Update IDR GWM'!A119</f>
        <v>43168</v>
      </c>
      <c r="C119" s="41">
        <v>239280000</v>
      </c>
      <c r="D119" s="47">
        <v>240781928.25999999</v>
      </c>
      <c r="E119" s="168">
        <f t="shared" si="14"/>
        <v>1501928.2599999905</v>
      </c>
      <c r="G119" s="173">
        <v>589180</v>
      </c>
      <c r="H119" s="47">
        <v>1000000</v>
      </c>
      <c r="I119" s="171">
        <f t="shared" si="12"/>
        <v>410820</v>
      </c>
      <c r="J119" s="170">
        <f t="shared" si="15"/>
        <v>1912748.2599999905</v>
      </c>
    </row>
    <row r="120" spans="2:10" ht="12.65" customHeight="1">
      <c r="B120" s="33">
        <f>'Update IDR GWM'!A120</f>
        <v>43171</v>
      </c>
      <c r="C120" s="41">
        <v>239280000</v>
      </c>
      <c r="D120" s="47">
        <v>240781928.25999999</v>
      </c>
      <c r="E120" s="168">
        <f t="shared" si="14"/>
        <v>1501928.2599999905</v>
      </c>
      <c r="G120" s="173">
        <v>589180</v>
      </c>
      <c r="H120" s="47">
        <v>1000000</v>
      </c>
      <c r="I120" s="171">
        <f t="shared" si="12"/>
        <v>410820</v>
      </c>
      <c r="J120" s="170">
        <f t="shared" si="15"/>
        <v>1912748.2599999905</v>
      </c>
    </row>
    <row r="121" spans="2:10" ht="12.65" customHeight="1">
      <c r="B121" s="33">
        <f>'Update IDR GWM'!A121</f>
        <v>43172</v>
      </c>
      <c r="C121" s="41">
        <v>239280000</v>
      </c>
      <c r="D121" s="47">
        <v>240781928.25999999</v>
      </c>
      <c r="E121" s="168">
        <f t="shared" si="14"/>
        <v>1501928.2599999905</v>
      </c>
      <c r="G121" s="173">
        <v>589180</v>
      </c>
      <c r="H121" s="47">
        <v>1000000</v>
      </c>
      <c r="I121" s="171">
        <f t="shared" si="12"/>
        <v>410820</v>
      </c>
      <c r="J121" s="170">
        <f t="shared" si="15"/>
        <v>1912748.2599999905</v>
      </c>
    </row>
    <row r="122" spans="2:10" ht="12.65" customHeight="1">
      <c r="B122" s="33">
        <f>'Update IDR GWM'!A122</f>
        <v>43173</v>
      </c>
      <c r="C122" s="41">
        <v>239280000</v>
      </c>
      <c r="D122" s="47">
        <v>240781928.25999999</v>
      </c>
      <c r="E122" s="168">
        <f t="shared" si="14"/>
        <v>1501928.2599999905</v>
      </c>
      <c r="G122" s="173">
        <v>589180</v>
      </c>
      <c r="H122" s="47">
        <v>1000000</v>
      </c>
      <c r="I122" s="171">
        <f t="shared" si="12"/>
        <v>410820</v>
      </c>
      <c r="J122" s="170">
        <f t="shared" si="15"/>
        <v>1912748.2599999905</v>
      </c>
    </row>
    <row r="123" spans="2:10" ht="12.65" customHeight="1">
      <c r="B123" s="33">
        <f>'Update IDR GWM'!A123</f>
        <v>43174</v>
      </c>
      <c r="C123" s="41">
        <v>239280000</v>
      </c>
      <c r="D123" s="47">
        <v>240781928.25999999</v>
      </c>
      <c r="E123" s="168">
        <f t="shared" si="14"/>
        <v>1501928.2599999905</v>
      </c>
      <c r="G123" s="173">
        <v>589180</v>
      </c>
      <c r="H123" s="47">
        <v>1000000</v>
      </c>
      <c r="I123" s="171">
        <f t="shared" si="12"/>
        <v>410820</v>
      </c>
      <c r="J123" s="170">
        <f t="shared" si="15"/>
        <v>1912748.2599999905</v>
      </c>
    </row>
    <row r="124" spans="2:10" ht="12.65" customHeight="1">
      <c r="B124" s="33">
        <f>'Update IDR GWM'!A124</f>
        <v>43175</v>
      </c>
      <c r="C124" s="41">
        <v>235078000</v>
      </c>
      <c r="D124" s="47">
        <v>240781928.25999999</v>
      </c>
      <c r="E124" s="168">
        <f t="shared" si="14"/>
        <v>5703928.2599999905</v>
      </c>
      <c r="G124" s="173">
        <v>611750</v>
      </c>
      <c r="H124" s="47">
        <v>1000000</v>
      </c>
      <c r="I124" s="171">
        <f t="shared" ref="I124:I133" si="16">H124-G124</f>
        <v>388250</v>
      </c>
      <c r="J124" s="170">
        <f t="shared" ref="J124:J133" si="17">E124+I124</f>
        <v>6092178.2599999905</v>
      </c>
    </row>
    <row r="125" spans="2:10" ht="12.65" customHeight="1">
      <c r="B125" s="33">
        <f>'Update IDR GWM'!A125</f>
        <v>43178</v>
      </c>
      <c r="C125" s="41">
        <v>235078000</v>
      </c>
      <c r="D125" s="47">
        <v>240781928.25999999</v>
      </c>
      <c r="E125" s="168">
        <f t="shared" si="14"/>
        <v>5703928.2599999905</v>
      </c>
      <c r="G125" s="173">
        <v>611750</v>
      </c>
      <c r="H125" s="47">
        <v>1000000</v>
      </c>
      <c r="I125" s="171">
        <f t="shared" si="16"/>
        <v>388250</v>
      </c>
      <c r="J125" s="170">
        <f t="shared" si="17"/>
        <v>6092178.2599999905</v>
      </c>
    </row>
    <row r="126" spans="2:10" ht="12.65" customHeight="1">
      <c r="B126" s="33">
        <f>'Update IDR GWM'!A126</f>
        <v>43179</v>
      </c>
      <c r="C126" s="41">
        <v>235078000</v>
      </c>
      <c r="D126" s="47">
        <v>236281928.25999999</v>
      </c>
      <c r="E126" s="168">
        <f t="shared" si="14"/>
        <v>1203928.2599999905</v>
      </c>
      <c r="G126" s="173">
        <v>611750</v>
      </c>
      <c r="H126" s="47">
        <v>1000000</v>
      </c>
      <c r="I126" s="171">
        <f t="shared" si="16"/>
        <v>388250</v>
      </c>
      <c r="J126" s="170">
        <f t="shared" si="17"/>
        <v>1592178.2599999905</v>
      </c>
    </row>
    <row r="127" spans="2:10" ht="12.65" customHeight="1">
      <c r="B127" s="33">
        <f>'Update IDR GWM'!A127</f>
        <v>43180</v>
      </c>
      <c r="C127" s="41">
        <v>235078000</v>
      </c>
      <c r="D127" s="47">
        <v>236281928.25999999</v>
      </c>
      <c r="E127" s="168">
        <f t="shared" si="14"/>
        <v>1203928.2599999905</v>
      </c>
      <c r="G127" s="173">
        <v>611750</v>
      </c>
      <c r="H127" s="47">
        <v>1000000</v>
      </c>
      <c r="I127" s="171">
        <f t="shared" si="16"/>
        <v>388250</v>
      </c>
      <c r="J127" s="170">
        <f t="shared" si="17"/>
        <v>1592178.2599999905</v>
      </c>
    </row>
    <row r="128" spans="2:10" ht="12.65" customHeight="1">
      <c r="B128" s="33">
        <f>'Update IDR GWM'!A128</f>
        <v>43181</v>
      </c>
      <c r="C128" s="41">
        <v>235078000</v>
      </c>
      <c r="D128" s="47">
        <v>256281928.25999999</v>
      </c>
      <c r="E128" s="168">
        <f t="shared" si="14"/>
        <v>21203928.25999999</v>
      </c>
      <c r="G128" s="173">
        <v>611750</v>
      </c>
      <c r="H128" s="47">
        <v>1000000</v>
      </c>
      <c r="I128" s="171">
        <f t="shared" si="16"/>
        <v>388250</v>
      </c>
      <c r="J128" s="170">
        <f t="shared" si="17"/>
        <v>21592178.25999999</v>
      </c>
    </row>
    <row r="129" spans="2:10" ht="12.65" customHeight="1">
      <c r="B129" s="33">
        <f>'Update IDR GWM'!A129</f>
        <v>43182</v>
      </c>
      <c r="C129" s="41">
        <v>235078000</v>
      </c>
      <c r="D129" s="47">
        <v>256281928.25999999</v>
      </c>
      <c r="E129" s="168">
        <f t="shared" si="14"/>
        <v>21203928.25999999</v>
      </c>
      <c r="G129" s="173">
        <v>611750</v>
      </c>
      <c r="H129" s="47">
        <v>1000000</v>
      </c>
      <c r="I129" s="171">
        <f t="shared" si="16"/>
        <v>388250</v>
      </c>
      <c r="J129" s="170">
        <f t="shared" si="17"/>
        <v>21592178.25999999</v>
      </c>
    </row>
    <row r="130" spans="2:10" ht="12.65" customHeight="1">
      <c r="B130" s="33">
        <f>'Update IDR GWM'!A130</f>
        <v>43185</v>
      </c>
      <c r="C130" s="41">
        <v>226969452.12241599</v>
      </c>
      <c r="D130" s="47">
        <v>256281928.25999999</v>
      </c>
      <c r="E130" s="168">
        <f t="shared" si="14"/>
        <v>29312476.137584001</v>
      </c>
      <c r="G130" s="173">
        <v>593050</v>
      </c>
      <c r="H130" s="47">
        <v>1000000</v>
      </c>
      <c r="I130" s="171">
        <f t="shared" si="16"/>
        <v>406950</v>
      </c>
      <c r="J130" s="170">
        <f t="shared" si="17"/>
        <v>29719426.137584001</v>
      </c>
    </row>
    <row r="131" spans="2:10" ht="12.65" customHeight="1">
      <c r="B131" s="33">
        <f>'Update IDR GWM'!A131</f>
        <v>43186</v>
      </c>
      <c r="C131" s="41">
        <v>226969452.12241599</v>
      </c>
      <c r="D131" s="47">
        <v>248281928.25999999</v>
      </c>
      <c r="E131" s="168">
        <f t="shared" si="14"/>
        <v>21312476.137584001</v>
      </c>
      <c r="G131" s="173">
        <v>593050</v>
      </c>
      <c r="H131" s="47">
        <v>1000000</v>
      </c>
      <c r="I131" s="171">
        <f t="shared" si="16"/>
        <v>406950</v>
      </c>
      <c r="J131" s="170">
        <f t="shared" si="17"/>
        <v>21719426.137584001</v>
      </c>
    </row>
    <row r="132" spans="2:10" ht="12.65" customHeight="1">
      <c r="B132" s="33">
        <f>'Update IDR GWM'!A132</f>
        <v>43187</v>
      </c>
      <c r="C132" s="41">
        <v>226969452.12241599</v>
      </c>
      <c r="D132" s="47">
        <v>248281928.25999999</v>
      </c>
      <c r="E132" s="168">
        <f t="shared" si="14"/>
        <v>21312476.137584001</v>
      </c>
      <c r="G132" s="173">
        <v>593050</v>
      </c>
      <c r="H132" s="47">
        <v>1000000</v>
      </c>
      <c r="I132" s="171">
        <f t="shared" si="16"/>
        <v>406950</v>
      </c>
      <c r="J132" s="170">
        <f t="shared" si="17"/>
        <v>21719426.137584001</v>
      </c>
    </row>
    <row r="133" spans="2:10" ht="12.65" customHeight="1">
      <c r="B133" s="33">
        <f>'Update IDR GWM'!A133</f>
        <v>43188</v>
      </c>
      <c r="C133" s="41">
        <v>226969452.12241599</v>
      </c>
      <c r="D133" s="47">
        <v>229531105.97</v>
      </c>
      <c r="E133" s="168">
        <f t="shared" si="14"/>
        <v>2561653.8475840092</v>
      </c>
      <c r="G133" s="173">
        <v>593050</v>
      </c>
      <c r="H133" s="47">
        <v>1000000</v>
      </c>
      <c r="I133" s="171">
        <f t="shared" si="16"/>
        <v>406950</v>
      </c>
      <c r="J133" s="170">
        <f t="shared" si="17"/>
        <v>2968603.8475840092</v>
      </c>
    </row>
    <row r="134" spans="2:10" ht="12.65" customHeight="1">
      <c r="B134" s="33">
        <f>'Update IDR GWM'!A134</f>
        <v>43192</v>
      </c>
      <c r="C134" s="41">
        <v>227171000</v>
      </c>
      <c r="D134" s="47">
        <v>229531105.97</v>
      </c>
      <c r="E134" s="168">
        <f t="shared" si="14"/>
        <v>2360105.9699999988</v>
      </c>
      <c r="G134" s="173">
        <v>576040</v>
      </c>
      <c r="H134" s="47">
        <v>1000000</v>
      </c>
      <c r="I134" s="171">
        <f t="shared" ref="I134:I139" si="18">H134-G134</f>
        <v>423960</v>
      </c>
      <c r="J134" s="170">
        <f t="shared" ref="J134:J139" si="19">E134+I134</f>
        <v>2784065.9699999988</v>
      </c>
    </row>
    <row r="135" spans="2:10" ht="12.65" customHeight="1">
      <c r="B135" s="33">
        <f>'Update IDR GWM'!A135</f>
        <v>43193</v>
      </c>
      <c r="C135" s="41">
        <v>227171000</v>
      </c>
      <c r="D135" s="47">
        <v>229531105.97</v>
      </c>
      <c r="E135" s="168">
        <f t="shared" si="14"/>
        <v>2360105.9699999988</v>
      </c>
      <c r="G135" s="173">
        <v>576040</v>
      </c>
      <c r="H135" s="47">
        <v>1000000</v>
      </c>
      <c r="I135" s="171">
        <f t="shared" si="18"/>
        <v>423960</v>
      </c>
      <c r="J135" s="170">
        <f t="shared" si="19"/>
        <v>2784065.9699999988</v>
      </c>
    </row>
    <row r="136" spans="2:10" ht="12.65" customHeight="1">
      <c r="B136" s="33">
        <f>'Update IDR GWM'!A136</f>
        <v>43194</v>
      </c>
      <c r="C136" s="41">
        <v>227171000</v>
      </c>
      <c r="D136" s="47">
        <v>229531105.97</v>
      </c>
      <c r="E136" s="168">
        <f t="shared" si="14"/>
        <v>2360105.9699999988</v>
      </c>
      <c r="G136" s="173">
        <v>576040</v>
      </c>
      <c r="H136" s="47">
        <v>1000000</v>
      </c>
      <c r="I136" s="171">
        <f t="shared" si="18"/>
        <v>423960</v>
      </c>
      <c r="J136" s="170">
        <f t="shared" si="19"/>
        <v>2784065.9699999988</v>
      </c>
    </row>
    <row r="137" spans="2:10" ht="12.65" customHeight="1">
      <c r="B137" s="33">
        <f>'Update IDR GWM'!A137</f>
        <v>43195</v>
      </c>
      <c r="C137" s="41">
        <v>227171000</v>
      </c>
      <c r="D137" s="47">
        <v>229531105.97</v>
      </c>
      <c r="E137" s="168">
        <f t="shared" si="14"/>
        <v>2360105.9699999988</v>
      </c>
      <c r="G137" s="173">
        <v>576040</v>
      </c>
      <c r="H137" s="47">
        <v>1000000</v>
      </c>
      <c r="I137" s="171">
        <f t="shared" si="18"/>
        <v>423960</v>
      </c>
      <c r="J137" s="170">
        <f t="shared" si="19"/>
        <v>2784065.9699999988</v>
      </c>
    </row>
    <row r="138" spans="2:10" ht="12.65" customHeight="1">
      <c r="B138" s="33">
        <f>'Update IDR GWM'!A138</f>
        <v>43196</v>
      </c>
      <c r="C138" s="41">
        <v>227171000</v>
      </c>
      <c r="D138" s="47">
        <v>229531105.97</v>
      </c>
      <c r="E138" s="168">
        <f t="shared" si="14"/>
        <v>2360105.9699999988</v>
      </c>
      <c r="G138" s="173">
        <v>576040</v>
      </c>
      <c r="H138" s="47">
        <v>1000000</v>
      </c>
      <c r="I138" s="171">
        <f t="shared" si="18"/>
        <v>423960</v>
      </c>
      <c r="J138" s="170">
        <f t="shared" si="19"/>
        <v>2784065.9699999988</v>
      </c>
    </row>
    <row r="139" spans="2:10" ht="12.65" customHeight="1">
      <c r="B139" s="33">
        <f>'Update IDR GWM'!A139</f>
        <v>43199</v>
      </c>
      <c r="C139" s="41">
        <v>226230000</v>
      </c>
      <c r="D139" s="47">
        <v>229531105.97</v>
      </c>
      <c r="E139" s="168">
        <f t="shared" si="14"/>
        <v>3301105.9699999988</v>
      </c>
      <c r="G139" s="173">
        <v>543130</v>
      </c>
      <c r="H139" s="47">
        <v>1000000</v>
      </c>
      <c r="I139" s="171">
        <f t="shared" si="18"/>
        <v>456870</v>
      </c>
      <c r="J139" s="170">
        <f t="shared" si="19"/>
        <v>3757975.9699999988</v>
      </c>
    </row>
    <row r="140" spans="2:10" ht="12.65" customHeight="1">
      <c r="B140" s="33">
        <f>'Update IDR GWM'!A140</f>
        <v>43200</v>
      </c>
      <c r="C140" s="41">
        <v>226230000</v>
      </c>
      <c r="D140" s="47">
        <v>229531105.97</v>
      </c>
      <c r="E140" s="168">
        <f t="shared" si="14"/>
        <v>3301105.9699999988</v>
      </c>
      <c r="G140" s="173">
        <v>543130</v>
      </c>
      <c r="H140" s="47">
        <v>1000000</v>
      </c>
      <c r="I140" s="171">
        <f t="shared" ref="I140:I148" si="20">H140-G140</f>
        <v>456870</v>
      </c>
      <c r="J140" s="170">
        <f t="shared" ref="J140:J148" si="21">E140+I140</f>
        <v>3757975.9699999988</v>
      </c>
    </row>
    <row r="141" spans="2:10" ht="12.65" customHeight="1">
      <c r="B141" s="33">
        <f>'Update IDR GWM'!A141</f>
        <v>43201</v>
      </c>
      <c r="C141" s="41">
        <v>226230000</v>
      </c>
      <c r="D141" s="47">
        <v>229531105.97</v>
      </c>
      <c r="E141" s="168">
        <f t="shared" si="14"/>
        <v>3301105.9699999988</v>
      </c>
      <c r="G141" s="173">
        <v>543130</v>
      </c>
      <c r="H141" s="47">
        <v>1000000</v>
      </c>
      <c r="I141" s="171">
        <f t="shared" si="20"/>
        <v>456870</v>
      </c>
      <c r="J141" s="170">
        <f t="shared" si="21"/>
        <v>3757975.9699999988</v>
      </c>
    </row>
    <row r="142" spans="2:10" ht="12.65" customHeight="1">
      <c r="B142" s="33">
        <f>'Update IDR GWM'!A142</f>
        <v>43202</v>
      </c>
      <c r="C142" s="41">
        <v>226230000</v>
      </c>
      <c r="D142" s="47">
        <v>227531105.97</v>
      </c>
      <c r="E142" s="168">
        <f t="shared" si="14"/>
        <v>1301105.9699999988</v>
      </c>
      <c r="G142" s="173">
        <v>543130</v>
      </c>
      <c r="H142" s="47">
        <v>1000000</v>
      </c>
      <c r="I142" s="171">
        <f t="shared" si="20"/>
        <v>456870</v>
      </c>
      <c r="J142" s="170">
        <f t="shared" si="21"/>
        <v>1757975.9699999988</v>
      </c>
    </row>
    <row r="143" spans="2:10" ht="12.65" customHeight="1">
      <c r="B143" s="33">
        <f>'Update IDR GWM'!A143</f>
        <v>43203</v>
      </c>
      <c r="C143" s="41">
        <v>226230000</v>
      </c>
      <c r="D143" s="47">
        <v>227531105.97</v>
      </c>
      <c r="E143" s="168">
        <f t="shared" si="14"/>
        <v>1301105.9699999988</v>
      </c>
      <c r="G143" s="173">
        <v>543130</v>
      </c>
      <c r="H143" s="47">
        <v>1000000</v>
      </c>
      <c r="I143" s="171">
        <f t="shared" si="20"/>
        <v>456870</v>
      </c>
      <c r="J143" s="170">
        <f t="shared" si="21"/>
        <v>1757975.9699999988</v>
      </c>
    </row>
    <row r="144" spans="2:10" ht="12.65" customHeight="1">
      <c r="B144" s="33">
        <f>'Update IDR GWM'!A144</f>
        <v>43206</v>
      </c>
      <c r="C144" s="41">
        <v>223299000</v>
      </c>
      <c r="D144" s="47">
        <v>227531105.97</v>
      </c>
      <c r="E144" s="168">
        <f t="shared" si="14"/>
        <v>4232105.9699999988</v>
      </c>
      <c r="G144" s="173">
        <v>542030</v>
      </c>
      <c r="H144" s="47">
        <v>1000000</v>
      </c>
      <c r="I144" s="171">
        <f t="shared" si="20"/>
        <v>457970</v>
      </c>
      <c r="J144" s="170">
        <f t="shared" si="21"/>
        <v>4690075.9699999988</v>
      </c>
    </row>
    <row r="145" spans="2:10" ht="12.65" customHeight="1">
      <c r="B145" s="33">
        <f>'Update IDR GWM'!A145</f>
        <v>43207</v>
      </c>
      <c r="C145" s="41">
        <v>223299000</v>
      </c>
      <c r="D145" s="47">
        <v>227531105.97</v>
      </c>
      <c r="E145" s="168">
        <f t="shared" si="14"/>
        <v>4232105.9699999988</v>
      </c>
      <c r="G145" s="173">
        <v>542030</v>
      </c>
      <c r="H145" s="47">
        <v>1000000</v>
      </c>
      <c r="I145" s="171">
        <f t="shared" si="20"/>
        <v>457970</v>
      </c>
      <c r="J145" s="170">
        <f t="shared" si="21"/>
        <v>4690075.9699999988</v>
      </c>
    </row>
    <row r="146" spans="2:10" ht="12.65" customHeight="1">
      <c r="B146" s="33">
        <f>'Update IDR GWM'!A146</f>
        <v>43208</v>
      </c>
      <c r="C146" s="41">
        <v>223299000</v>
      </c>
      <c r="D146" s="47">
        <v>224531105.97</v>
      </c>
      <c r="E146" s="168">
        <f t="shared" si="14"/>
        <v>1232105.9699999988</v>
      </c>
      <c r="G146" s="173">
        <v>542030</v>
      </c>
      <c r="H146" s="47">
        <v>1000000</v>
      </c>
      <c r="I146" s="171">
        <f t="shared" si="20"/>
        <v>457970</v>
      </c>
      <c r="J146" s="170">
        <f t="shared" si="21"/>
        <v>1690075.9699999988</v>
      </c>
    </row>
    <row r="147" spans="2:10" ht="12.65" customHeight="1">
      <c r="B147" s="33">
        <f>'Update IDR GWM'!A147</f>
        <v>43209</v>
      </c>
      <c r="C147" s="41">
        <v>223299000</v>
      </c>
      <c r="D147" s="47">
        <v>224531105.97</v>
      </c>
      <c r="E147" s="168">
        <f t="shared" si="14"/>
        <v>1232105.9699999988</v>
      </c>
      <c r="G147" s="173">
        <v>542030</v>
      </c>
      <c r="H147" s="47">
        <v>1000000</v>
      </c>
      <c r="I147" s="171">
        <f t="shared" si="20"/>
        <v>457970</v>
      </c>
      <c r="J147" s="170">
        <f t="shared" si="21"/>
        <v>1690075.9699999988</v>
      </c>
    </row>
    <row r="148" spans="2:10" ht="12.65" customHeight="1">
      <c r="B148" s="33">
        <f>'Update IDR GWM'!A148</f>
        <v>43210</v>
      </c>
      <c r="C148" s="41">
        <v>223299000</v>
      </c>
      <c r="D148" s="47">
        <v>224531105.97</v>
      </c>
      <c r="E148" s="168">
        <f t="shared" si="14"/>
        <v>1232105.9699999988</v>
      </c>
      <c r="G148" s="173">
        <v>542030</v>
      </c>
      <c r="H148" s="47">
        <v>1000000</v>
      </c>
      <c r="I148" s="171">
        <f t="shared" si="20"/>
        <v>457970</v>
      </c>
      <c r="J148" s="170">
        <f t="shared" si="21"/>
        <v>1690075.9699999988</v>
      </c>
    </row>
    <row r="149" spans="2:10" ht="12.65" customHeight="1">
      <c r="B149" s="33">
        <f>'Update IDR GWM'!A149</f>
        <v>43213</v>
      </c>
      <c r="C149" s="41">
        <v>223299000</v>
      </c>
      <c r="D149" s="47">
        <v>224531105.97</v>
      </c>
      <c r="E149" s="168">
        <f t="shared" si="14"/>
        <v>1232105.9699999988</v>
      </c>
      <c r="G149" s="173">
        <v>542030</v>
      </c>
      <c r="H149" s="47">
        <v>1000000</v>
      </c>
      <c r="I149" s="171">
        <f t="shared" ref="I149:I155" si="22">H149-G149</f>
        <v>457970</v>
      </c>
      <c r="J149" s="170">
        <f t="shared" ref="J149:J155" si="23">E149+I149</f>
        <v>1690075.9699999988</v>
      </c>
    </row>
    <row r="150" spans="2:10" ht="12.65" customHeight="1">
      <c r="B150" s="33">
        <f>'Update IDR GWM'!A150</f>
        <v>43214</v>
      </c>
      <c r="C150" s="41">
        <v>222748000</v>
      </c>
      <c r="D150" s="47">
        <v>224531105.97</v>
      </c>
      <c r="E150" s="168">
        <f t="shared" ref="E150:E213" si="24">D150-C150</f>
        <v>1783105.9699999988</v>
      </c>
      <c r="G150" s="173">
        <v>701710</v>
      </c>
      <c r="H150" s="47">
        <v>1000000</v>
      </c>
      <c r="I150" s="171">
        <f t="shared" si="22"/>
        <v>298290</v>
      </c>
      <c r="J150" s="170">
        <f t="shared" si="23"/>
        <v>2081395.9699999988</v>
      </c>
    </row>
    <row r="151" spans="2:10" ht="12.65" customHeight="1">
      <c r="B151" s="33">
        <f>'Update IDR GWM'!A151</f>
        <v>43215</v>
      </c>
      <c r="C151" s="41">
        <v>222748000</v>
      </c>
      <c r="D151" s="47">
        <v>224531105.97</v>
      </c>
      <c r="E151" s="168">
        <f t="shared" si="24"/>
        <v>1783105.9699999988</v>
      </c>
      <c r="G151" s="173">
        <v>701710</v>
      </c>
      <c r="H151" s="47">
        <v>1000000</v>
      </c>
      <c r="I151" s="171">
        <f t="shared" si="22"/>
        <v>298290</v>
      </c>
      <c r="J151" s="170">
        <f t="shared" si="23"/>
        <v>2081395.9699999988</v>
      </c>
    </row>
    <row r="152" spans="2:10" ht="12.65" customHeight="1">
      <c r="B152" s="33">
        <f>'Update IDR GWM'!A152</f>
        <v>43216</v>
      </c>
      <c r="C152" s="41">
        <v>222748000</v>
      </c>
      <c r="D152" s="47">
        <v>224531105.97</v>
      </c>
      <c r="E152" s="168">
        <f t="shared" si="24"/>
        <v>1783105.9699999988</v>
      </c>
      <c r="G152" s="173">
        <v>701710</v>
      </c>
      <c r="H152" s="47">
        <v>1000000</v>
      </c>
      <c r="I152" s="171">
        <f t="shared" si="22"/>
        <v>298290</v>
      </c>
      <c r="J152" s="170">
        <f t="shared" si="23"/>
        <v>2081395.9699999988</v>
      </c>
    </row>
    <row r="153" spans="2:10" ht="12.65" customHeight="1">
      <c r="B153" s="33">
        <f>'Update IDR GWM'!A153</f>
        <v>43217</v>
      </c>
      <c r="C153" s="41">
        <v>222748000</v>
      </c>
      <c r="D153" s="47">
        <v>224531105.97</v>
      </c>
      <c r="E153" s="168">
        <f t="shared" si="24"/>
        <v>1783105.9699999988</v>
      </c>
      <c r="G153" s="173">
        <v>701710</v>
      </c>
      <c r="H153" s="47">
        <v>1000000</v>
      </c>
      <c r="I153" s="171">
        <f t="shared" si="22"/>
        <v>298290</v>
      </c>
      <c r="J153" s="170">
        <f t="shared" si="23"/>
        <v>2081395.9699999988</v>
      </c>
    </row>
    <row r="154" spans="2:10" ht="12.65" customHeight="1">
      <c r="B154" s="33">
        <f>'Update IDR GWM'!A154</f>
        <v>43220</v>
      </c>
      <c r="C154" s="41">
        <v>222748000</v>
      </c>
      <c r="D154" s="47">
        <v>227031105.97</v>
      </c>
      <c r="E154" s="168">
        <f t="shared" si="24"/>
        <v>4283105.9699999988</v>
      </c>
      <c r="G154" s="173">
        <v>701710</v>
      </c>
      <c r="H154" s="47">
        <v>1000000</v>
      </c>
      <c r="I154" s="171">
        <f t="shared" si="22"/>
        <v>298290</v>
      </c>
      <c r="J154" s="170">
        <f t="shared" si="23"/>
        <v>4581395.9699999988</v>
      </c>
    </row>
    <row r="155" spans="2:10" ht="12.65" customHeight="1">
      <c r="B155" s="33">
        <f>'Update IDR GWM'!A155</f>
        <v>43222</v>
      </c>
      <c r="C155" s="41">
        <v>225532000</v>
      </c>
      <c r="D155" s="47">
        <v>227031105.97</v>
      </c>
      <c r="E155" s="168">
        <f t="shared" si="24"/>
        <v>1499105.9699999988</v>
      </c>
      <c r="G155" s="173">
        <v>805540</v>
      </c>
      <c r="H155" s="47">
        <v>1000000</v>
      </c>
      <c r="I155" s="171">
        <f t="shared" si="22"/>
        <v>194460</v>
      </c>
      <c r="J155" s="170">
        <f t="shared" si="23"/>
        <v>1693565.9699999988</v>
      </c>
    </row>
    <row r="156" spans="2:10" ht="12.65" customHeight="1">
      <c r="B156" s="33">
        <f>'Update IDR GWM'!A156</f>
        <v>43223</v>
      </c>
      <c r="C156" s="41">
        <v>225532000</v>
      </c>
      <c r="D156" s="47">
        <v>227031105.97</v>
      </c>
      <c r="E156" s="168">
        <f t="shared" si="24"/>
        <v>1499105.9699999988</v>
      </c>
      <c r="G156" s="173">
        <v>805540</v>
      </c>
      <c r="H156" s="47">
        <v>1000000</v>
      </c>
      <c r="I156" s="171">
        <f>H156-G156</f>
        <v>194460</v>
      </c>
      <c r="J156" s="170">
        <f>E156+I156</f>
        <v>1693565.9699999988</v>
      </c>
    </row>
    <row r="157" spans="2:10" ht="12.65" customHeight="1">
      <c r="B157" s="33">
        <f>'Update IDR GWM'!A157</f>
        <v>43224</v>
      </c>
      <c r="C157" s="41">
        <v>225532000</v>
      </c>
      <c r="D157" s="47">
        <v>227031105.97</v>
      </c>
      <c r="E157" s="168">
        <f t="shared" si="24"/>
        <v>1499105.9699999988</v>
      </c>
      <c r="G157" s="173">
        <v>805540</v>
      </c>
      <c r="H157" s="47">
        <v>1000000</v>
      </c>
      <c r="I157" s="171">
        <f>H157-G157</f>
        <v>194460</v>
      </c>
      <c r="J157" s="170">
        <f>E157+I157</f>
        <v>1693565.9699999988</v>
      </c>
    </row>
    <row r="158" spans="2:10" ht="12.65" customHeight="1">
      <c r="B158" s="33">
        <f>'Update IDR GWM'!A158</f>
        <v>43227</v>
      </c>
      <c r="C158" s="41">
        <v>225532000</v>
      </c>
      <c r="D158" s="47">
        <v>227031105.97</v>
      </c>
      <c r="E158" s="168">
        <f t="shared" si="24"/>
        <v>1499105.9699999988</v>
      </c>
      <c r="G158" s="173">
        <v>805540</v>
      </c>
      <c r="H158" s="47">
        <v>1000000</v>
      </c>
      <c r="I158" s="171">
        <f t="shared" ref="I158:I163" si="25">H158-G158</f>
        <v>194460</v>
      </c>
      <c r="J158" s="170">
        <f t="shared" ref="J158:J163" si="26">E158+I158</f>
        <v>1693565.9699999988</v>
      </c>
    </row>
    <row r="159" spans="2:10" ht="12.65" customHeight="1">
      <c r="B159" s="33">
        <f>'Update IDR GWM'!A159</f>
        <v>43228</v>
      </c>
      <c r="C159" s="41">
        <v>218605000</v>
      </c>
      <c r="D159" s="47">
        <v>227031105.97</v>
      </c>
      <c r="E159" s="168">
        <f t="shared" si="24"/>
        <v>8426105.9699999988</v>
      </c>
      <c r="G159" s="173">
        <v>546780</v>
      </c>
      <c r="H159" s="47">
        <v>1000000</v>
      </c>
      <c r="I159" s="171">
        <f t="shared" si="25"/>
        <v>453220</v>
      </c>
      <c r="J159" s="170">
        <f t="shared" si="26"/>
        <v>8879325.9699999988</v>
      </c>
    </row>
    <row r="160" spans="2:10" ht="12.65" customHeight="1">
      <c r="B160" s="33">
        <f>'Update IDR GWM'!A160</f>
        <v>43229</v>
      </c>
      <c r="C160" s="41">
        <v>218605000</v>
      </c>
      <c r="D160" s="47">
        <v>227031105.97</v>
      </c>
      <c r="E160" s="168">
        <f t="shared" si="24"/>
        <v>8426105.9699999988</v>
      </c>
      <c r="G160" s="173">
        <v>546780</v>
      </c>
      <c r="H160" s="47">
        <v>1000000</v>
      </c>
      <c r="I160" s="171">
        <f t="shared" si="25"/>
        <v>453220</v>
      </c>
      <c r="J160" s="170">
        <f t="shared" si="26"/>
        <v>8879325.9699999988</v>
      </c>
    </row>
    <row r="161" spans="2:10" ht="12.65" customHeight="1">
      <c r="B161" s="33">
        <f>'Update IDR GWM'!A161</f>
        <v>43231</v>
      </c>
      <c r="C161" s="41">
        <v>218605000</v>
      </c>
      <c r="D161" s="47">
        <v>220031105.97</v>
      </c>
      <c r="E161" s="168">
        <f t="shared" si="24"/>
        <v>1426105.9699999988</v>
      </c>
      <c r="G161" s="173">
        <v>546780</v>
      </c>
      <c r="H161" s="47">
        <v>1000000</v>
      </c>
      <c r="I161" s="171">
        <f t="shared" si="25"/>
        <v>453220</v>
      </c>
      <c r="J161" s="170">
        <f t="shared" si="26"/>
        <v>1879325.9699999988</v>
      </c>
    </row>
    <row r="162" spans="2:10" ht="12.65" customHeight="1">
      <c r="B162" s="33">
        <f>'Update IDR GWM'!A162</f>
        <v>43234</v>
      </c>
      <c r="C162" s="41">
        <v>218605000</v>
      </c>
      <c r="D162" s="47">
        <v>220031105.97</v>
      </c>
      <c r="E162" s="168">
        <f t="shared" si="24"/>
        <v>1426105.9699999988</v>
      </c>
      <c r="G162" s="173">
        <v>546780</v>
      </c>
      <c r="H162" s="47">
        <v>1000000</v>
      </c>
      <c r="I162" s="171">
        <f t="shared" si="25"/>
        <v>453220</v>
      </c>
      <c r="J162" s="170">
        <f t="shared" si="26"/>
        <v>1879325.9699999988</v>
      </c>
    </row>
    <row r="163" spans="2:10" ht="12.65" customHeight="1">
      <c r="B163" s="33">
        <f>'Update IDR GWM'!A163</f>
        <v>43235</v>
      </c>
      <c r="C163" s="41">
        <v>218605000</v>
      </c>
      <c r="D163" s="47">
        <v>220031105.97</v>
      </c>
      <c r="E163" s="168">
        <f t="shared" si="24"/>
        <v>1426105.9699999988</v>
      </c>
      <c r="G163" s="173">
        <v>546780</v>
      </c>
      <c r="H163" s="47">
        <v>1000000</v>
      </c>
      <c r="I163" s="171">
        <f t="shared" si="25"/>
        <v>453220</v>
      </c>
      <c r="J163" s="170">
        <f t="shared" si="26"/>
        <v>1879325.9699999988</v>
      </c>
    </row>
    <row r="164" spans="2:10" ht="12.65" customHeight="1">
      <c r="B164" s="33">
        <f>'Update IDR GWM'!A164</f>
        <v>43236</v>
      </c>
      <c r="C164" s="41">
        <v>235563000</v>
      </c>
      <c r="D164" s="47">
        <v>237031105.97</v>
      </c>
      <c r="E164" s="168">
        <f t="shared" si="24"/>
        <v>1468105.9699999988</v>
      </c>
      <c r="G164" s="173">
        <v>554410</v>
      </c>
      <c r="H164" s="47">
        <v>1000000</v>
      </c>
      <c r="I164" s="171">
        <f t="shared" ref="I164:I169" si="27">H164-G164</f>
        <v>445590</v>
      </c>
      <c r="J164" s="170">
        <f t="shared" ref="J164:J169" si="28">E164+I164</f>
        <v>1913695.9699999988</v>
      </c>
    </row>
    <row r="165" spans="2:10" ht="12.65" customHeight="1">
      <c r="B165" s="33">
        <f>'Update IDR GWM'!A165</f>
        <v>43237</v>
      </c>
      <c r="C165" s="41">
        <v>235563000</v>
      </c>
      <c r="D165" s="47">
        <v>237031105.97</v>
      </c>
      <c r="E165" s="168">
        <f t="shared" si="24"/>
        <v>1468105.9699999988</v>
      </c>
      <c r="G165" s="173">
        <v>554410</v>
      </c>
      <c r="H165" s="47">
        <v>1000000</v>
      </c>
      <c r="I165" s="171">
        <f t="shared" si="27"/>
        <v>445590</v>
      </c>
      <c r="J165" s="170">
        <f t="shared" si="28"/>
        <v>1913695.9699999988</v>
      </c>
    </row>
    <row r="166" spans="2:10" ht="12.65" customHeight="1">
      <c r="B166" s="33">
        <f>'Update IDR GWM'!A166</f>
        <v>43238</v>
      </c>
      <c r="C166" s="41">
        <v>235563000</v>
      </c>
      <c r="D166" s="47">
        <v>237031105.97</v>
      </c>
      <c r="E166" s="168">
        <f t="shared" si="24"/>
        <v>1468105.9699999988</v>
      </c>
      <c r="G166" s="173">
        <v>554410</v>
      </c>
      <c r="H166" s="47">
        <v>1000000</v>
      </c>
      <c r="I166" s="171">
        <f t="shared" si="27"/>
        <v>445590</v>
      </c>
      <c r="J166" s="170">
        <f t="shared" si="28"/>
        <v>1913695.9699999988</v>
      </c>
    </row>
    <row r="167" spans="2:10" ht="12.65" customHeight="1">
      <c r="B167" s="33">
        <f>'Update IDR GWM'!A167</f>
        <v>43241</v>
      </c>
      <c r="C167" s="41">
        <v>235563000</v>
      </c>
      <c r="D167" s="47">
        <v>237031105.97</v>
      </c>
      <c r="E167" s="168">
        <f t="shared" si="24"/>
        <v>1468105.9699999988</v>
      </c>
      <c r="G167" s="173">
        <v>554410</v>
      </c>
      <c r="H167" s="47">
        <v>1000000</v>
      </c>
      <c r="I167" s="171">
        <f t="shared" si="27"/>
        <v>445590</v>
      </c>
      <c r="J167" s="170">
        <f t="shared" si="28"/>
        <v>1913695.9699999988</v>
      </c>
    </row>
    <row r="168" spans="2:10" ht="12.65" customHeight="1">
      <c r="B168" s="33">
        <f>'Update IDR GWM'!A168</f>
        <v>43242</v>
      </c>
      <c r="C168" s="41">
        <v>235563000</v>
      </c>
      <c r="D168" s="47">
        <v>237031105.97</v>
      </c>
      <c r="E168" s="168">
        <f t="shared" si="24"/>
        <v>1468105.9699999988</v>
      </c>
      <c r="G168" s="173">
        <v>554410</v>
      </c>
      <c r="H168" s="47">
        <v>1000000</v>
      </c>
      <c r="I168" s="171">
        <f t="shared" si="27"/>
        <v>445590</v>
      </c>
      <c r="J168" s="170">
        <f t="shared" si="28"/>
        <v>1913695.9699999988</v>
      </c>
    </row>
    <row r="169" spans="2:10" ht="12.65" customHeight="1">
      <c r="B169" s="33">
        <f>'Update IDR GWM'!A169</f>
        <v>43243</v>
      </c>
      <c r="C169" s="41">
        <v>235563000</v>
      </c>
      <c r="D169" s="47">
        <v>237031105.97</v>
      </c>
      <c r="E169" s="168">
        <f t="shared" si="24"/>
        <v>1468105.9699999988</v>
      </c>
      <c r="G169" s="173">
        <v>554410</v>
      </c>
      <c r="H169" s="47">
        <v>1000000</v>
      </c>
      <c r="I169" s="171">
        <f t="shared" si="27"/>
        <v>445590</v>
      </c>
      <c r="J169" s="170">
        <f t="shared" si="28"/>
        <v>1913695.9699999988</v>
      </c>
    </row>
    <row r="170" spans="2:10" ht="12.65" customHeight="1">
      <c r="B170" s="33">
        <f>'Update IDR GWM'!A170</f>
        <v>43244</v>
      </c>
      <c r="C170" s="41">
        <v>242791000</v>
      </c>
      <c r="D170" s="47">
        <v>244031105.97</v>
      </c>
      <c r="E170" s="168">
        <f t="shared" si="24"/>
        <v>1240105.9699999988</v>
      </c>
      <c r="G170" s="173">
        <v>560760</v>
      </c>
      <c r="H170" s="47">
        <v>1000000</v>
      </c>
      <c r="I170" s="171">
        <f>H170-G170</f>
        <v>439240</v>
      </c>
      <c r="J170" s="170">
        <f>E170+I170</f>
        <v>1679345.9699999988</v>
      </c>
    </row>
    <row r="171" spans="2:10" ht="12.65" customHeight="1">
      <c r="B171" s="33">
        <f>'Update IDR GWM'!A171</f>
        <v>43245</v>
      </c>
      <c r="C171" s="41">
        <v>242791000</v>
      </c>
      <c r="D171" s="47">
        <v>244031105.97</v>
      </c>
      <c r="E171" s="168">
        <f t="shared" si="24"/>
        <v>1240105.9699999988</v>
      </c>
      <c r="G171" s="173">
        <v>560760</v>
      </c>
      <c r="H171" s="47">
        <v>1000000</v>
      </c>
      <c r="I171" s="171">
        <f>H171-G171</f>
        <v>439240</v>
      </c>
      <c r="J171" s="170">
        <f>E171+I171</f>
        <v>1679345.9699999988</v>
      </c>
    </row>
    <row r="172" spans="2:10" ht="12.65" customHeight="1">
      <c r="B172" s="33">
        <f>'Update IDR GWM'!A172</f>
        <v>43248</v>
      </c>
      <c r="C172" s="41">
        <v>242791000</v>
      </c>
      <c r="D172" s="47">
        <v>244031105.97</v>
      </c>
      <c r="E172" s="168">
        <f t="shared" si="24"/>
        <v>1240105.9699999988</v>
      </c>
      <c r="G172" s="173">
        <v>560760</v>
      </c>
      <c r="H172" s="47">
        <v>1000000</v>
      </c>
      <c r="I172" s="171">
        <f>H172-G172</f>
        <v>439240</v>
      </c>
      <c r="J172" s="170">
        <f>E172+I172</f>
        <v>1679345.9699999988</v>
      </c>
    </row>
    <row r="173" spans="2:10" ht="12.65" customHeight="1">
      <c r="B173" s="33">
        <f>'Update IDR GWM'!A173</f>
        <v>43250</v>
      </c>
      <c r="C173" s="41">
        <v>242791000</v>
      </c>
      <c r="D173" s="47">
        <v>244031105.97</v>
      </c>
      <c r="E173" s="168">
        <f t="shared" si="24"/>
        <v>1240105.9699999988</v>
      </c>
      <c r="G173" s="173">
        <v>560760</v>
      </c>
      <c r="H173" s="47">
        <v>1000000</v>
      </c>
      <c r="I173" s="171">
        <f t="shared" ref="I173:I178" si="29">H173-G173</f>
        <v>439240</v>
      </c>
      <c r="J173" s="170">
        <f t="shared" ref="J173:J178" si="30">E173+I173</f>
        <v>1679345.9699999988</v>
      </c>
    </row>
    <row r="174" spans="2:10" ht="12.65" customHeight="1">
      <c r="B174" s="33">
        <f>'Update IDR GWM'!A174</f>
        <v>43251</v>
      </c>
      <c r="C174" s="41">
        <v>242791000</v>
      </c>
      <c r="D174" s="47">
        <v>244031105.97</v>
      </c>
      <c r="E174" s="168">
        <f t="shared" si="24"/>
        <v>1240105.9699999988</v>
      </c>
      <c r="G174" s="173">
        <v>560760</v>
      </c>
      <c r="H174" s="47">
        <v>1000000</v>
      </c>
      <c r="I174" s="171">
        <f t="shared" si="29"/>
        <v>439240</v>
      </c>
      <c r="J174" s="170">
        <f t="shared" si="30"/>
        <v>1679345.9699999988</v>
      </c>
    </row>
    <row r="175" spans="2:10" ht="12.65" customHeight="1">
      <c r="B175" s="33">
        <f>'Update IDR GWM'!A175</f>
        <v>43255</v>
      </c>
      <c r="C175" s="41">
        <v>229934000</v>
      </c>
      <c r="D175" s="47">
        <v>244031105.97</v>
      </c>
      <c r="E175" s="168">
        <f t="shared" si="24"/>
        <v>14097105.969999999</v>
      </c>
      <c r="G175" s="173">
        <v>574610</v>
      </c>
      <c r="H175" s="47">
        <v>1000000</v>
      </c>
      <c r="I175" s="171">
        <f t="shared" si="29"/>
        <v>425390</v>
      </c>
      <c r="J175" s="170">
        <f t="shared" si="30"/>
        <v>14522495.969999999</v>
      </c>
    </row>
    <row r="176" spans="2:10" ht="12.65" customHeight="1">
      <c r="B176" s="33">
        <f>'Update IDR GWM'!A176</f>
        <v>43256</v>
      </c>
      <c r="C176" s="41">
        <v>229934000</v>
      </c>
      <c r="D176" s="47">
        <v>231031105.97</v>
      </c>
      <c r="E176" s="168">
        <f t="shared" si="24"/>
        <v>1097105.9699999988</v>
      </c>
      <c r="G176" s="173">
        <v>574610</v>
      </c>
      <c r="H176" s="47">
        <v>1000000</v>
      </c>
      <c r="I176" s="171">
        <f t="shared" si="29"/>
        <v>425390</v>
      </c>
      <c r="J176" s="170">
        <f t="shared" si="30"/>
        <v>1522495.9699999988</v>
      </c>
    </row>
    <row r="177" spans="2:10" ht="12.65" customHeight="1">
      <c r="B177" s="33">
        <f>'Update IDR GWM'!A177</f>
        <v>43257</v>
      </c>
      <c r="C177" s="41">
        <v>229934000</v>
      </c>
      <c r="D177" s="47">
        <v>231031105.97</v>
      </c>
      <c r="E177" s="168">
        <f t="shared" si="24"/>
        <v>1097105.9699999988</v>
      </c>
      <c r="G177" s="173">
        <v>574610</v>
      </c>
      <c r="H177" s="47">
        <v>1000000</v>
      </c>
      <c r="I177" s="171">
        <f t="shared" si="29"/>
        <v>425390</v>
      </c>
      <c r="J177" s="170">
        <f t="shared" si="30"/>
        <v>1522495.9699999988</v>
      </c>
    </row>
    <row r="178" spans="2:10" ht="12.65" customHeight="1">
      <c r="B178" s="33">
        <f>'Update IDR GWM'!A178</f>
        <v>43258</v>
      </c>
      <c r="C178" s="41">
        <v>229934000</v>
      </c>
      <c r="D178" s="47">
        <v>231031105.97</v>
      </c>
      <c r="E178" s="168">
        <f t="shared" si="24"/>
        <v>1097105.9699999988</v>
      </c>
      <c r="G178" s="173">
        <v>574610</v>
      </c>
      <c r="H178" s="47">
        <v>1000000</v>
      </c>
      <c r="I178" s="171">
        <f t="shared" si="29"/>
        <v>425390</v>
      </c>
      <c r="J178" s="170">
        <f t="shared" si="30"/>
        <v>1522495.9699999988</v>
      </c>
    </row>
    <row r="179" spans="2:10" ht="12.65" customHeight="1">
      <c r="B179" s="33">
        <f>'Update IDR GWM'!A179</f>
        <v>43259</v>
      </c>
      <c r="C179" s="41">
        <v>218794000</v>
      </c>
      <c r="D179" s="47">
        <v>231031105.97</v>
      </c>
      <c r="E179" s="168">
        <f t="shared" si="24"/>
        <v>12237105.969999999</v>
      </c>
      <c r="G179" s="173">
        <v>576690</v>
      </c>
      <c r="H179" s="47">
        <v>1000000</v>
      </c>
      <c r="I179" s="171">
        <f t="shared" ref="I179:I193" si="31">H179-G179</f>
        <v>423310</v>
      </c>
      <c r="J179" s="170">
        <f t="shared" ref="J179:J193" si="32">E179+I179</f>
        <v>12660415.969999999</v>
      </c>
    </row>
    <row r="180" spans="2:10" ht="12.65" customHeight="1">
      <c r="B180" s="33">
        <f>'Update IDR GWM'!A180</f>
        <v>43270</v>
      </c>
      <c r="C180" s="41">
        <v>217820000</v>
      </c>
      <c r="D180" s="47">
        <v>231031105.97</v>
      </c>
      <c r="E180" s="168">
        <f t="shared" si="24"/>
        <v>13211105.969999999</v>
      </c>
      <c r="G180" s="173">
        <v>581410</v>
      </c>
      <c r="H180" s="47">
        <v>1000000</v>
      </c>
      <c r="I180" s="171">
        <f t="shared" si="31"/>
        <v>418590</v>
      </c>
      <c r="J180" s="170">
        <f t="shared" si="32"/>
        <v>13629695.969999999</v>
      </c>
    </row>
    <row r="181" spans="2:10" ht="12.65" customHeight="1">
      <c r="B181" s="33">
        <f>'Update IDR GWM'!A181</f>
        <v>43271</v>
      </c>
      <c r="C181" s="41">
        <v>217820000</v>
      </c>
      <c r="D181" s="47">
        <v>231031105.97</v>
      </c>
      <c r="E181" s="168">
        <f t="shared" si="24"/>
        <v>13211105.969999999</v>
      </c>
      <c r="G181" s="173">
        <v>581410</v>
      </c>
      <c r="H181" s="47">
        <v>1000000</v>
      </c>
      <c r="I181" s="171">
        <f t="shared" si="31"/>
        <v>418590</v>
      </c>
      <c r="J181" s="170">
        <f t="shared" si="32"/>
        <v>13629695.969999999</v>
      </c>
    </row>
    <row r="182" spans="2:10" ht="12.65" customHeight="1">
      <c r="B182" s="33">
        <f>'Update IDR GWM'!A182</f>
        <v>43272</v>
      </c>
      <c r="C182" s="41">
        <v>217820000</v>
      </c>
      <c r="D182" s="47">
        <v>231031105.97</v>
      </c>
      <c r="E182" s="168">
        <f t="shared" si="24"/>
        <v>13211105.969999999</v>
      </c>
      <c r="G182" s="173">
        <v>581410</v>
      </c>
      <c r="H182" s="47">
        <v>1000000</v>
      </c>
      <c r="I182" s="171">
        <f t="shared" si="31"/>
        <v>418590</v>
      </c>
      <c r="J182" s="170">
        <f t="shared" si="32"/>
        <v>13629695.969999999</v>
      </c>
    </row>
    <row r="183" spans="2:10" ht="12.65" customHeight="1">
      <c r="B183" s="33">
        <f>'Update IDR GWM'!A183</f>
        <v>43273</v>
      </c>
      <c r="C183" s="41">
        <v>217820000</v>
      </c>
      <c r="D183" s="47">
        <v>231031105.97</v>
      </c>
      <c r="E183" s="168">
        <f t="shared" si="24"/>
        <v>13211105.969999999</v>
      </c>
      <c r="G183" s="173">
        <v>581410</v>
      </c>
      <c r="H183" s="47">
        <v>1000000</v>
      </c>
      <c r="I183" s="171">
        <f t="shared" si="31"/>
        <v>418590</v>
      </c>
      <c r="J183" s="170">
        <f t="shared" si="32"/>
        <v>13629695.969999999</v>
      </c>
    </row>
    <row r="184" spans="2:10" ht="12.65" customHeight="1">
      <c r="B184" s="33">
        <f>'Update IDR GWM'!A184</f>
        <v>43276</v>
      </c>
      <c r="C184" s="41">
        <v>217820000</v>
      </c>
      <c r="D184" s="47">
        <v>231031105.97</v>
      </c>
      <c r="E184" s="168">
        <f t="shared" si="24"/>
        <v>13211105.969999999</v>
      </c>
      <c r="G184" s="173">
        <v>589120</v>
      </c>
      <c r="H184" s="47">
        <v>1000000</v>
      </c>
      <c r="I184" s="171">
        <f t="shared" si="31"/>
        <v>410880</v>
      </c>
      <c r="J184" s="170">
        <f t="shared" si="32"/>
        <v>13621985.969999999</v>
      </c>
    </row>
    <row r="185" spans="2:10" ht="12.65" customHeight="1">
      <c r="B185" s="33">
        <f>'Update IDR GWM'!A185</f>
        <v>43277</v>
      </c>
      <c r="C185" s="41">
        <v>215203000</v>
      </c>
      <c r="D185" s="47">
        <v>231031105.97</v>
      </c>
      <c r="E185" s="168">
        <f t="shared" si="24"/>
        <v>15828105.969999999</v>
      </c>
      <c r="G185" s="173">
        <v>589120</v>
      </c>
      <c r="H185" s="47">
        <v>1000000</v>
      </c>
      <c r="I185" s="171">
        <f t="shared" si="31"/>
        <v>410880</v>
      </c>
      <c r="J185" s="170">
        <f t="shared" si="32"/>
        <v>16238985.969999999</v>
      </c>
    </row>
    <row r="186" spans="2:10" ht="12.65" customHeight="1">
      <c r="B186" s="33">
        <f>'Update IDR GWM'!A186</f>
        <v>43278</v>
      </c>
      <c r="C186" s="41">
        <v>215203000</v>
      </c>
      <c r="D186" s="47">
        <v>231031105.97</v>
      </c>
      <c r="E186" s="168">
        <f t="shared" si="24"/>
        <v>15828105.969999999</v>
      </c>
      <c r="G186" s="173">
        <v>589120</v>
      </c>
      <c r="H186" s="47">
        <v>1000000</v>
      </c>
      <c r="I186" s="171">
        <f t="shared" si="31"/>
        <v>410880</v>
      </c>
      <c r="J186" s="170">
        <f t="shared" si="32"/>
        <v>16238985.969999999</v>
      </c>
    </row>
    <row r="187" spans="2:10" ht="12.65" customHeight="1">
      <c r="B187" s="33">
        <f>'Update IDR GWM'!A187</f>
        <v>43279</v>
      </c>
      <c r="C187" s="41">
        <v>215203000</v>
      </c>
      <c r="D187" s="47">
        <v>231031105.97</v>
      </c>
      <c r="E187" s="168">
        <f t="shared" si="24"/>
        <v>15828105.969999999</v>
      </c>
      <c r="G187" s="173">
        <v>589120</v>
      </c>
      <c r="H187" s="47">
        <v>1000000</v>
      </c>
      <c r="I187" s="171">
        <f t="shared" si="31"/>
        <v>410880</v>
      </c>
      <c r="J187" s="170">
        <f t="shared" si="32"/>
        <v>16238985.969999999</v>
      </c>
    </row>
    <row r="188" spans="2:10" ht="12.65" customHeight="1">
      <c r="B188" s="33">
        <f>'Update IDR GWM'!A188</f>
        <v>43280</v>
      </c>
      <c r="C188" s="41">
        <v>215203000</v>
      </c>
      <c r="D188" s="47">
        <v>217031105.97</v>
      </c>
      <c r="E188" s="168">
        <f t="shared" si="24"/>
        <v>1828105.9699999988</v>
      </c>
      <c r="G188" s="173">
        <v>589120</v>
      </c>
      <c r="H188" s="47">
        <v>1000000</v>
      </c>
      <c r="I188" s="171">
        <f t="shared" si="31"/>
        <v>410880</v>
      </c>
      <c r="J188" s="170">
        <f t="shared" si="32"/>
        <v>2238985.9699999988</v>
      </c>
    </row>
    <row r="189" spans="2:10" ht="12.65" customHeight="1">
      <c r="B189" s="33">
        <f>'Update IDR GWM'!A189</f>
        <v>43283</v>
      </c>
      <c r="C189" s="41">
        <v>218415000</v>
      </c>
      <c r="D189" s="47">
        <v>220031105.97</v>
      </c>
      <c r="E189" s="168">
        <f t="shared" si="24"/>
        <v>1616105.9699999988</v>
      </c>
      <c r="G189" s="173">
        <v>590110</v>
      </c>
      <c r="H189" s="47">
        <v>1000000</v>
      </c>
      <c r="I189" s="171">
        <f t="shared" si="31"/>
        <v>409890</v>
      </c>
      <c r="J189" s="170">
        <f t="shared" si="32"/>
        <v>2025995.9699999988</v>
      </c>
    </row>
    <row r="190" spans="2:10" ht="12.65" customHeight="1">
      <c r="B190" s="33">
        <f>'Update IDR GWM'!A190</f>
        <v>43284</v>
      </c>
      <c r="C190" s="41">
        <v>218415000</v>
      </c>
      <c r="D190" s="47">
        <v>220031105.97</v>
      </c>
      <c r="E190" s="168">
        <f t="shared" si="24"/>
        <v>1616105.9699999988</v>
      </c>
      <c r="G190" s="173">
        <v>590110</v>
      </c>
      <c r="H190" s="47">
        <v>1000000</v>
      </c>
      <c r="I190" s="171">
        <f t="shared" si="31"/>
        <v>409890</v>
      </c>
      <c r="J190" s="170">
        <f t="shared" si="32"/>
        <v>2025995.9699999988</v>
      </c>
    </row>
    <row r="191" spans="2:10" ht="12.65" customHeight="1">
      <c r="B191" s="33">
        <f>'Update IDR GWM'!A191</f>
        <v>43285</v>
      </c>
      <c r="C191" s="41">
        <v>218415000</v>
      </c>
      <c r="D191" s="47">
        <v>220031105.97</v>
      </c>
      <c r="E191" s="168">
        <f t="shared" si="24"/>
        <v>1616105.9699999988</v>
      </c>
      <c r="G191" s="173">
        <v>590110</v>
      </c>
      <c r="H191" s="47">
        <v>1000000</v>
      </c>
      <c r="I191" s="171">
        <f t="shared" si="31"/>
        <v>409890</v>
      </c>
      <c r="J191" s="170">
        <f t="shared" si="32"/>
        <v>2025995.9699999988</v>
      </c>
    </row>
    <row r="192" spans="2:10" ht="12.65" customHeight="1">
      <c r="B192" s="33">
        <f>'Update IDR GWM'!A192</f>
        <v>43286</v>
      </c>
      <c r="C192" s="41">
        <v>218415000</v>
      </c>
      <c r="D192" s="47">
        <v>220031105.97</v>
      </c>
      <c r="E192" s="168">
        <f t="shared" si="24"/>
        <v>1616105.9699999988</v>
      </c>
      <c r="G192" s="173">
        <v>590110</v>
      </c>
      <c r="H192" s="47">
        <v>1000000</v>
      </c>
      <c r="I192" s="171">
        <f t="shared" si="31"/>
        <v>409890</v>
      </c>
      <c r="J192" s="170">
        <f t="shared" si="32"/>
        <v>2025995.9699999988</v>
      </c>
    </row>
    <row r="193" spans="2:10" ht="12.65" customHeight="1">
      <c r="B193" s="33">
        <f>'Update IDR GWM'!A193</f>
        <v>43287</v>
      </c>
      <c r="C193" s="41">
        <v>218415000</v>
      </c>
      <c r="D193" s="47">
        <v>220031105.97</v>
      </c>
      <c r="E193" s="168">
        <f t="shared" si="24"/>
        <v>1616105.9699999988</v>
      </c>
      <c r="G193" s="173">
        <v>590110</v>
      </c>
      <c r="H193" s="47">
        <v>1000000</v>
      </c>
      <c r="I193" s="171">
        <f t="shared" si="31"/>
        <v>409890</v>
      </c>
      <c r="J193" s="170">
        <f t="shared" si="32"/>
        <v>2025995.9699999988</v>
      </c>
    </row>
    <row r="194" spans="2:10" ht="12.65" customHeight="1">
      <c r="B194" s="33">
        <f>'Update IDR GWM'!A194</f>
        <v>43290</v>
      </c>
      <c r="C194" s="41">
        <v>208103000</v>
      </c>
      <c r="D194" s="47">
        <v>220031105.97</v>
      </c>
      <c r="E194" s="168">
        <f t="shared" si="24"/>
        <v>11928105.969999999</v>
      </c>
      <c r="G194" s="173">
        <v>600350</v>
      </c>
      <c r="H194" s="47">
        <v>1000000</v>
      </c>
      <c r="I194" s="171">
        <f t="shared" ref="I194:I201" si="33">H194-G194</f>
        <v>399650</v>
      </c>
      <c r="J194" s="170">
        <f t="shared" ref="J194:J201" si="34">E194+I194</f>
        <v>12327755.969999999</v>
      </c>
    </row>
    <row r="195" spans="2:10" ht="12.65" customHeight="1">
      <c r="B195" s="33">
        <f>'Update IDR GWM'!A195</f>
        <v>43291</v>
      </c>
      <c r="C195" s="41">
        <v>208103000</v>
      </c>
      <c r="D195" s="47">
        <v>220031105.97</v>
      </c>
      <c r="E195" s="168">
        <f t="shared" si="24"/>
        <v>11928105.969999999</v>
      </c>
      <c r="G195" s="173">
        <v>600350</v>
      </c>
      <c r="H195" s="47">
        <v>1000000</v>
      </c>
      <c r="I195" s="171">
        <f t="shared" si="33"/>
        <v>399650</v>
      </c>
      <c r="J195" s="170">
        <f t="shared" si="34"/>
        <v>12327755.969999999</v>
      </c>
    </row>
    <row r="196" spans="2:10" ht="12.65" customHeight="1">
      <c r="B196" s="33">
        <f>'Update IDR GWM'!A196</f>
        <v>43292</v>
      </c>
      <c r="C196" s="41">
        <v>208103000</v>
      </c>
      <c r="D196" s="47">
        <v>220031105.97</v>
      </c>
      <c r="E196" s="168">
        <f t="shared" si="24"/>
        <v>11928105.969999999</v>
      </c>
      <c r="G196" s="173">
        <v>600350</v>
      </c>
      <c r="H196" s="47">
        <v>1000000</v>
      </c>
      <c r="I196" s="171">
        <f t="shared" si="33"/>
        <v>399650</v>
      </c>
      <c r="J196" s="170">
        <f t="shared" si="34"/>
        <v>12327755.969999999</v>
      </c>
    </row>
    <row r="197" spans="2:10" ht="12.65" customHeight="1">
      <c r="B197" s="33">
        <f>'Update IDR GWM'!A197</f>
        <v>43293</v>
      </c>
      <c r="C197" s="41">
        <v>208103000</v>
      </c>
      <c r="D197" s="47">
        <v>210031105.97</v>
      </c>
      <c r="E197" s="168">
        <f t="shared" si="24"/>
        <v>1928105.9699999988</v>
      </c>
      <c r="G197" s="173">
        <v>600350</v>
      </c>
      <c r="H197" s="47">
        <v>1000000</v>
      </c>
      <c r="I197" s="171">
        <f t="shared" si="33"/>
        <v>399650</v>
      </c>
      <c r="J197" s="170">
        <f t="shared" si="34"/>
        <v>2327755.9699999988</v>
      </c>
    </row>
    <row r="198" spans="2:10" ht="12.65" customHeight="1">
      <c r="B198" s="33">
        <f>'Update IDR GWM'!A198</f>
        <v>43294</v>
      </c>
      <c r="C198" s="41">
        <v>208103000</v>
      </c>
      <c r="D198" s="47">
        <v>210031105.97</v>
      </c>
      <c r="E198" s="168">
        <f t="shared" si="24"/>
        <v>1928105.9699999988</v>
      </c>
      <c r="G198" s="173">
        <v>600350</v>
      </c>
      <c r="H198" s="47">
        <v>1000000</v>
      </c>
      <c r="I198" s="171">
        <f t="shared" si="33"/>
        <v>399650</v>
      </c>
      <c r="J198" s="170">
        <f t="shared" si="34"/>
        <v>2327755.9699999988</v>
      </c>
    </row>
    <row r="199" spans="2:10" ht="12.65" customHeight="1">
      <c r="B199" s="33">
        <f>'Update IDR GWM'!A199</f>
        <v>43297</v>
      </c>
      <c r="C199" s="41">
        <v>201940000</v>
      </c>
      <c r="D199" s="47">
        <v>210031105.97</v>
      </c>
      <c r="E199" s="168">
        <f t="shared" si="24"/>
        <v>8091105.9699999988</v>
      </c>
      <c r="G199" s="173">
        <v>582570</v>
      </c>
      <c r="H199" s="47">
        <v>1000000</v>
      </c>
      <c r="I199" s="171">
        <f t="shared" si="33"/>
        <v>417430</v>
      </c>
      <c r="J199" s="170">
        <f t="shared" si="34"/>
        <v>8508535.9699999988</v>
      </c>
    </row>
    <row r="200" spans="2:10" ht="12.65" customHeight="1">
      <c r="B200" s="33">
        <f>'Update IDR GWM'!A200</f>
        <v>43298</v>
      </c>
      <c r="C200" s="41">
        <v>201940000</v>
      </c>
      <c r="D200" s="47">
        <v>210031105.97</v>
      </c>
      <c r="E200" s="168">
        <f t="shared" si="24"/>
        <v>8091105.9699999988</v>
      </c>
      <c r="G200" s="173">
        <v>582570</v>
      </c>
      <c r="H200" s="47">
        <v>1000000</v>
      </c>
      <c r="I200" s="171">
        <f t="shared" si="33"/>
        <v>417430</v>
      </c>
      <c r="J200" s="170">
        <f t="shared" si="34"/>
        <v>8508535.9699999988</v>
      </c>
    </row>
    <row r="201" spans="2:10" ht="12.65" customHeight="1">
      <c r="B201" s="33">
        <f>'Update IDR GWM'!A201</f>
        <v>43299</v>
      </c>
      <c r="C201" s="41">
        <v>201940000</v>
      </c>
      <c r="D201" s="47">
        <v>210031105.97</v>
      </c>
      <c r="E201" s="168">
        <f t="shared" si="24"/>
        <v>8091105.9699999988</v>
      </c>
      <c r="G201" s="173">
        <v>582570</v>
      </c>
      <c r="H201" s="47">
        <v>1000000</v>
      </c>
      <c r="I201" s="171">
        <f t="shared" si="33"/>
        <v>417430</v>
      </c>
      <c r="J201" s="170">
        <f t="shared" si="34"/>
        <v>8508535.9699999988</v>
      </c>
    </row>
    <row r="202" spans="2:10" ht="12.65" customHeight="1">
      <c r="B202" s="33">
        <f>'Update IDR GWM'!A202</f>
        <v>43300</v>
      </c>
      <c r="C202" s="41">
        <v>201940000</v>
      </c>
      <c r="D202" s="47">
        <v>203031105.97</v>
      </c>
      <c r="E202" s="168">
        <f t="shared" si="24"/>
        <v>1091105.9699999988</v>
      </c>
      <c r="G202" s="173">
        <v>582570</v>
      </c>
      <c r="H202" s="47">
        <v>1000000</v>
      </c>
      <c r="I202" s="171">
        <f t="shared" ref="I202:I210" si="35">H202-G202</f>
        <v>417430</v>
      </c>
      <c r="J202" s="170">
        <f t="shared" ref="J202:J210" si="36">E202+I202</f>
        <v>1508535.9699999988</v>
      </c>
    </row>
    <row r="203" spans="2:10" ht="12.65" customHeight="1">
      <c r="B203" s="33">
        <f>'Update IDR GWM'!A203</f>
        <v>43301</v>
      </c>
      <c r="C203" s="41">
        <v>201940000</v>
      </c>
      <c r="D203" s="47">
        <v>203031105.97</v>
      </c>
      <c r="E203" s="168">
        <f t="shared" si="24"/>
        <v>1091105.9699999988</v>
      </c>
      <c r="G203" s="173">
        <v>582570</v>
      </c>
      <c r="H203" s="47">
        <v>1000000</v>
      </c>
      <c r="I203" s="171">
        <f t="shared" si="35"/>
        <v>417430</v>
      </c>
      <c r="J203" s="170">
        <f t="shared" si="36"/>
        <v>1508535.9699999988</v>
      </c>
    </row>
    <row r="204" spans="2:10" ht="12.65" customHeight="1">
      <c r="B204" s="33">
        <f>'Update IDR GWM'!A204</f>
        <v>43304</v>
      </c>
      <c r="C204" s="41">
        <v>201940000</v>
      </c>
      <c r="D204" s="47">
        <v>203031105.97</v>
      </c>
      <c r="E204" s="168">
        <f t="shared" si="24"/>
        <v>1091105.9699999988</v>
      </c>
      <c r="G204" s="173">
        <v>582570</v>
      </c>
      <c r="H204" s="47">
        <v>1000000</v>
      </c>
      <c r="I204" s="171">
        <f t="shared" si="35"/>
        <v>417430</v>
      </c>
      <c r="J204" s="170">
        <f t="shared" si="36"/>
        <v>1508535.9699999988</v>
      </c>
    </row>
    <row r="205" spans="2:10" ht="12.65" customHeight="1">
      <c r="B205" s="33">
        <f>'Update IDR GWM'!A205</f>
        <v>43305</v>
      </c>
      <c r="C205" s="41">
        <v>208357000</v>
      </c>
      <c r="D205" s="47">
        <v>209531105.97</v>
      </c>
      <c r="E205" s="168">
        <f t="shared" si="24"/>
        <v>1174105.9699999988</v>
      </c>
      <c r="G205" s="173">
        <v>593460</v>
      </c>
      <c r="H205" s="47">
        <v>1000000</v>
      </c>
      <c r="I205" s="171">
        <f t="shared" si="35"/>
        <v>406540</v>
      </c>
      <c r="J205" s="170">
        <f t="shared" si="36"/>
        <v>1580645.9699999988</v>
      </c>
    </row>
    <row r="206" spans="2:10" ht="12.65" customHeight="1">
      <c r="B206" s="33">
        <f>'Update IDR GWM'!A206</f>
        <v>43306</v>
      </c>
      <c r="C206" s="41">
        <v>208357000</v>
      </c>
      <c r="D206" s="47">
        <v>209531105.97</v>
      </c>
      <c r="E206" s="168">
        <f t="shared" si="24"/>
        <v>1174105.9699999988</v>
      </c>
      <c r="G206" s="173">
        <v>593460</v>
      </c>
      <c r="H206" s="47">
        <v>1000000</v>
      </c>
      <c r="I206" s="171">
        <f t="shared" si="35"/>
        <v>406540</v>
      </c>
      <c r="J206" s="170">
        <f t="shared" si="36"/>
        <v>1580645.9699999988</v>
      </c>
    </row>
    <row r="207" spans="2:10" ht="12.65" customHeight="1">
      <c r="B207" s="33">
        <f>'Update IDR GWM'!A207</f>
        <v>43307</v>
      </c>
      <c r="C207" s="41">
        <v>208357000</v>
      </c>
      <c r="D207" s="47">
        <v>209531105.97</v>
      </c>
      <c r="E207" s="168">
        <f t="shared" si="24"/>
        <v>1174105.9699999988</v>
      </c>
      <c r="G207" s="173">
        <v>593460</v>
      </c>
      <c r="H207" s="47">
        <v>1000000</v>
      </c>
      <c r="I207" s="171">
        <f t="shared" si="35"/>
        <v>406540</v>
      </c>
      <c r="J207" s="170">
        <f t="shared" si="36"/>
        <v>1580645.9699999988</v>
      </c>
    </row>
    <row r="208" spans="2:10" ht="12.65" customHeight="1">
      <c r="B208" s="33">
        <f>'Update IDR GWM'!A208</f>
        <v>43308</v>
      </c>
      <c r="C208" s="41">
        <v>208357000</v>
      </c>
      <c r="D208" s="47">
        <v>209531105.97</v>
      </c>
      <c r="E208" s="168">
        <f t="shared" si="24"/>
        <v>1174105.9699999988</v>
      </c>
      <c r="G208" s="173">
        <v>593460</v>
      </c>
      <c r="H208" s="47">
        <v>1000000</v>
      </c>
      <c r="I208" s="171">
        <f t="shared" si="35"/>
        <v>406540</v>
      </c>
      <c r="J208" s="170">
        <f t="shared" si="36"/>
        <v>1580645.9699999988</v>
      </c>
    </row>
    <row r="209" spans="2:10" ht="12.65" customHeight="1">
      <c r="B209" s="33">
        <f>'Update IDR GWM'!A209</f>
        <v>43311</v>
      </c>
      <c r="C209" s="41">
        <v>208357000</v>
      </c>
      <c r="D209" s="47">
        <v>209531105.97</v>
      </c>
      <c r="E209" s="168">
        <f t="shared" si="24"/>
        <v>1174105.9699999988</v>
      </c>
      <c r="G209" s="173">
        <v>593460</v>
      </c>
      <c r="H209" s="47">
        <v>1000000</v>
      </c>
      <c r="I209" s="171">
        <f t="shared" si="35"/>
        <v>406540</v>
      </c>
      <c r="J209" s="170">
        <f t="shared" si="36"/>
        <v>1580645.9699999988</v>
      </c>
    </row>
    <row r="210" spans="2:10" ht="12.65" customHeight="1">
      <c r="B210" s="33">
        <f>'Update IDR GWM'!A210</f>
        <v>43312</v>
      </c>
      <c r="C210" s="41">
        <v>208357000</v>
      </c>
      <c r="D210" s="47">
        <v>209531105.97</v>
      </c>
      <c r="E210" s="168">
        <f t="shared" si="24"/>
        <v>1174105.9699999988</v>
      </c>
      <c r="G210" s="173">
        <v>593460</v>
      </c>
      <c r="H210" s="47">
        <v>1000000</v>
      </c>
      <c r="I210" s="171">
        <f t="shared" si="35"/>
        <v>406540</v>
      </c>
      <c r="J210" s="170">
        <f t="shared" si="36"/>
        <v>1580645.9699999988</v>
      </c>
    </row>
    <row r="211" spans="2:10" ht="12.65" customHeight="1">
      <c r="B211" s="33">
        <f>'Update IDR GWM'!A211</f>
        <v>43313</v>
      </c>
      <c r="C211" s="41">
        <v>207204000</v>
      </c>
      <c r="D211" s="47">
        <v>209531105.97</v>
      </c>
      <c r="E211" s="168">
        <f t="shared" si="24"/>
        <v>2327105.9699999988</v>
      </c>
      <c r="G211" s="173">
        <v>580680</v>
      </c>
      <c r="H211" s="47">
        <v>1000000</v>
      </c>
      <c r="I211" s="171">
        <f t="shared" ref="I211:I216" si="37">H211-G211</f>
        <v>419320</v>
      </c>
      <c r="J211" s="170">
        <f t="shared" ref="J211:J216" si="38">E211+I211</f>
        <v>2746425.9699999988</v>
      </c>
    </row>
    <row r="212" spans="2:10" ht="12.65" customHeight="1">
      <c r="B212" s="33">
        <f>'Update IDR GWM'!A212</f>
        <v>43314</v>
      </c>
      <c r="C212" s="41">
        <v>207204000</v>
      </c>
      <c r="D212" s="47">
        <v>209531105.97</v>
      </c>
      <c r="E212" s="168">
        <f t="shared" si="24"/>
        <v>2327105.9699999988</v>
      </c>
      <c r="G212" s="173">
        <v>580680</v>
      </c>
      <c r="H212" s="47">
        <v>1000000</v>
      </c>
      <c r="I212" s="171">
        <f t="shared" si="37"/>
        <v>419320</v>
      </c>
      <c r="J212" s="170">
        <f t="shared" si="38"/>
        <v>2746425.9699999988</v>
      </c>
    </row>
    <row r="213" spans="2:10" ht="12.65" customHeight="1">
      <c r="B213" s="33">
        <f>'Update IDR GWM'!A213</f>
        <v>43315</v>
      </c>
      <c r="C213" s="41">
        <v>207204000</v>
      </c>
      <c r="D213" s="47">
        <v>209531105.97</v>
      </c>
      <c r="E213" s="168">
        <f t="shared" si="24"/>
        <v>2327105.9699999988</v>
      </c>
      <c r="G213" s="173">
        <v>580680</v>
      </c>
      <c r="H213" s="47">
        <v>1000000</v>
      </c>
      <c r="I213" s="171">
        <f t="shared" si="37"/>
        <v>419320</v>
      </c>
      <c r="J213" s="170">
        <f t="shared" si="38"/>
        <v>2746425.9699999988</v>
      </c>
    </row>
    <row r="214" spans="2:10" ht="12.65" customHeight="1">
      <c r="B214" s="33">
        <f>'Update IDR GWM'!A214</f>
        <v>43318</v>
      </c>
      <c r="C214" s="41">
        <v>207204000</v>
      </c>
      <c r="D214" s="47">
        <v>209531105.97</v>
      </c>
      <c r="E214" s="168">
        <f t="shared" ref="E214:E277" si="39">D214-C214</f>
        <v>2327105.9699999988</v>
      </c>
      <c r="G214" s="173">
        <v>580680</v>
      </c>
      <c r="H214" s="47">
        <v>1000000</v>
      </c>
      <c r="I214" s="171">
        <f t="shared" si="37"/>
        <v>419320</v>
      </c>
      <c r="J214" s="170">
        <f t="shared" si="38"/>
        <v>2746425.9699999988</v>
      </c>
    </row>
    <row r="215" spans="2:10" ht="12.65" customHeight="1">
      <c r="B215" s="33">
        <f>'Update IDR GWM'!A215</f>
        <v>43319</v>
      </c>
      <c r="C215" s="41">
        <v>207204000</v>
      </c>
      <c r="D215" s="47">
        <v>209531105.97</v>
      </c>
      <c r="E215" s="168">
        <f t="shared" si="39"/>
        <v>2327105.9699999988</v>
      </c>
      <c r="G215" s="173">
        <v>580680</v>
      </c>
      <c r="H215" s="47">
        <v>1000000</v>
      </c>
      <c r="I215" s="171">
        <f t="shared" si="37"/>
        <v>419320</v>
      </c>
      <c r="J215" s="170">
        <f t="shared" si="38"/>
        <v>2746425.9699999988</v>
      </c>
    </row>
    <row r="216" spans="2:10" ht="12.65" customHeight="1">
      <c r="B216" s="33">
        <f>'Update IDR GWM'!A216</f>
        <v>43320</v>
      </c>
      <c r="C216" s="41">
        <v>208662000</v>
      </c>
      <c r="D216" s="47">
        <v>210531105.97</v>
      </c>
      <c r="E216" s="168">
        <f t="shared" si="39"/>
        <v>1869105.9699999988</v>
      </c>
      <c r="G216" s="173">
        <v>570500</v>
      </c>
      <c r="H216" s="47">
        <v>1000000</v>
      </c>
      <c r="I216" s="171">
        <f t="shared" si="37"/>
        <v>429500</v>
      </c>
      <c r="J216" s="170">
        <f t="shared" si="38"/>
        <v>2298605.9699999988</v>
      </c>
    </row>
    <row r="217" spans="2:10" ht="12.65" customHeight="1">
      <c r="B217" s="33">
        <f>'Update IDR GWM'!A217</f>
        <v>43321</v>
      </c>
      <c r="C217" s="41">
        <v>208662000</v>
      </c>
      <c r="D217" s="47">
        <v>210531105.97</v>
      </c>
      <c r="E217" s="168">
        <f t="shared" si="39"/>
        <v>1869105.9699999988</v>
      </c>
      <c r="G217" s="173">
        <v>570500</v>
      </c>
      <c r="H217" s="47">
        <v>1000000</v>
      </c>
      <c r="I217" s="171">
        <f t="shared" ref="I217:I225" si="40">H217-G217</f>
        <v>429500</v>
      </c>
      <c r="J217" s="170">
        <f t="shared" ref="J217:J225" si="41">E217+I217</f>
        <v>2298605.9699999988</v>
      </c>
    </row>
    <row r="218" spans="2:10" ht="12.65" customHeight="1">
      <c r="B218" s="33">
        <f>'Update IDR GWM'!A218</f>
        <v>43322</v>
      </c>
      <c r="C218" s="41">
        <v>208662000</v>
      </c>
      <c r="D218" s="47">
        <v>210531105.97</v>
      </c>
      <c r="E218" s="168">
        <f t="shared" si="39"/>
        <v>1869105.9699999988</v>
      </c>
      <c r="G218" s="173">
        <v>570500</v>
      </c>
      <c r="H218" s="47">
        <v>1000000</v>
      </c>
      <c r="I218" s="171">
        <f t="shared" si="40"/>
        <v>429500</v>
      </c>
      <c r="J218" s="170">
        <f t="shared" si="41"/>
        <v>2298605.9699999988</v>
      </c>
    </row>
    <row r="219" spans="2:10" ht="12.65" customHeight="1">
      <c r="B219" s="33">
        <f>'Update IDR GWM'!A219</f>
        <v>43325</v>
      </c>
      <c r="C219" s="41">
        <v>208662000</v>
      </c>
      <c r="D219" s="47">
        <v>210531105.97</v>
      </c>
      <c r="E219" s="168">
        <f t="shared" si="39"/>
        <v>1869105.9699999988</v>
      </c>
      <c r="G219" s="173">
        <v>570500</v>
      </c>
      <c r="H219" s="47">
        <v>1000000</v>
      </c>
      <c r="I219" s="171">
        <f t="shared" si="40"/>
        <v>429500</v>
      </c>
      <c r="J219" s="170">
        <f t="shared" si="41"/>
        <v>2298605.9699999988</v>
      </c>
    </row>
    <row r="220" spans="2:10" ht="12.65" customHeight="1">
      <c r="B220" s="33">
        <f>'Update IDR GWM'!A220</f>
        <v>43326</v>
      </c>
      <c r="C220" s="41">
        <v>208662000</v>
      </c>
      <c r="D220" s="47">
        <v>210531105.97</v>
      </c>
      <c r="E220" s="168">
        <f t="shared" si="39"/>
        <v>1869105.9699999988</v>
      </c>
      <c r="G220" s="173">
        <v>570500</v>
      </c>
      <c r="H220" s="47">
        <v>1000000</v>
      </c>
      <c r="I220" s="171">
        <f t="shared" si="40"/>
        <v>429500</v>
      </c>
      <c r="J220" s="170">
        <f t="shared" si="41"/>
        <v>2298605.9699999988</v>
      </c>
    </row>
    <row r="221" spans="2:10" ht="12.65" customHeight="1">
      <c r="B221" s="33">
        <f>'Update IDR GWM'!A221</f>
        <v>43327</v>
      </c>
      <c r="C221" s="41">
        <v>208662000</v>
      </c>
      <c r="D221" s="47">
        <v>210531105.97</v>
      </c>
      <c r="E221" s="168">
        <f t="shared" si="39"/>
        <v>1869105.9699999988</v>
      </c>
      <c r="G221" s="173">
        <v>570500</v>
      </c>
      <c r="H221" s="47">
        <v>1000000</v>
      </c>
      <c r="I221" s="171">
        <f t="shared" si="40"/>
        <v>429500</v>
      </c>
      <c r="J221" s="170">
        <f t="shared" si="41"/>
        <v>2298605.9699999988</v>
      </c>
    </row>
    <row r="222" spans="2:10" ht="12.65" customHeight="1">
      <c r="B222" s="33">
        <f>'Update IDR GWM'!A222</f>
        <v>43328</v>
      </c>
      <c r="C222" s="41">
        <v>202725000</v>
      </c>
      <c r="D222" s="47">
        <v>210531105.97</v>
      </c>
      <c r="E222" s="168">
        <f t="shared" si="39"/>
        <v>7806105.9699999988</v>
      </c>
      <c r="G222" s="173">
        <v>556190</v>
      </c>
      <c r="H222" s="47">
        <v>1000000</v>
      </c>
      <c r="I222" s="171">
        <f t="shared" si="40"/>
        <v>443810</v>
      </c>
      <c r="J222" s="170">
        <f t="shared" si="41"/>
        <v>8249915.9699999988</v>
      </c>
    </row>
    <row r="223" spans="2:10" ht="12.65" customHeight="1">
      <c r="B223" s="33">
        <f>'Update IDR GWM'!A223</f>
        <v>43332</v>
      </c>
      <c r="C223" s="41">
        <v>202725000</v>
      </c>
      <c r="D223" s="47">
        <v>210531105.97</v>
      </c>
      <c r="E223" s="168">
        <f t="shared" si="39"/>
        <v>7806105.9699999988</v>
      </c>
      <c r="G223" s="173">
        <v>556190</v>
      </c>
      <c r="H223" s="47">
        <v>1000000</v>
      </c>
      <c r="I223" s="171">
        <f t="shared" si="40"/>
        <v>443810</v>
      </c>
      <c r="J223" s="170">
        <f t="shared" si="41"/>
        <v>8249915.9699999988</v>
      </c>
    </row>
    <row r="224" spans="2:10" ht="12.65" customHeight="1">
      <c r="B224" s="33">
        <f>'Update IDR GWM'!A224</f>
        <v>43333</v>
      </c>
      <c r="C224" s="41">
        <v>202725000</v>
      </c>
      <c r="D224" s="47">
        <v>204531105.97</v>
      </c>
      <c r="E224" s="168">
        <f t="shared" si="39"/>
        <v>1806105.9699999988</v>
      </c>
      <c r="G224" s="173">
        <v>556190</v>
      </c>
      <c r="H224" s="47">
        <v>1000000</v>
      </c>
      <c r="I224" s="171">
        <f t="shared" si="40"/>
        <v>443810</v>
      </c>
      <c r="J224" s="170">
        <f t="shared" si="41"/>
        <v>2249915.9699999988</v>
      </c>
    </row>
    <row r="225" spans="2:12" ht="12.65" customHeight="1">
      <c r="B225" s="33">
        <f>'Update IDR GWM'!A225</f>
        <v>43335</v>
      </c>
      <c r="C225" s="41">
        <v>202725000</v>
      </c>
      <c r="D225" s="47">
        <v>224531105.97</v>
      </c>
      <c r="E225" s="168">
        <f t="shared" si="39"/>
        <v>21806105.969999999</v>
      </c>
      <c r="G225" s="173">
        <v>556190</v>
      </c>
      <c r="H225" s="47">
        <v>1000000</v>
      </c>
      <c r="I225" s="171">
        <f t="shared" si="40"/>
        <v>443810</v>
      </c>
      <c r="J225" s="170">
        <f t="shared" si="41"/>
        <v>22249915.969999999</v>
      </c>
    </row>
    <row r="226" spans="2:12" ht="12.65" customHeight="1">
      <c r="B226" s="33">
        <f>'Update IDR GWM'!A226</f>
        <v>43336</v>
      </c>
      <c r="C226" s="41">
        <v>206118000</v>
      </c>
      <c r="D226" s="47">
        <v>228031105.97</v>
      </c>
      <c r="E226" s="168">
        <f t="shared" si="39"/>
        <v>21913105.969999999</v>
      </c>
      <c r="G226" s="173">
        <v>559040</v>
      </c>
      <c r="H226" s="47">
        <v>1000000</v>
      </c>
      <c r="I226" s="171">
        <f t="shared" ref="I226:I231" si="42">H226-G226</f>
        <v>440960</v>
      </c>
      <c r="J226" s="170">
        <f t="shared" ref="J226:J231" si="43">E226+I226</f>
        <v>22354065.969999999</v>
      </c>
    </row>
    <row r="227" spans="2:12" ht="12.65" customHeight="1">
      <c r="B227" s="33">
        <f>'Update IDR GWM'!A227</f>
        <v>43339</v>
      </c>
      <c r="C227" s="41">
        <v>206118000</v>
      </c>
      <c r="D227" s="47">
        <v>208298374.84999999</v>
      </c>
      <c r="E227" s="168">
        <f t="shared" si="39"/>
        <v>2180374.849999994</v>
      </c>
      <c r="G227" s="173">
        <v>559040</v>
      </c>
      <c r="H227" s="47">
        <v>1000000</v>
      </c>
      <c r="I227" s="171">
        <f t="shared" si="42"/>
        <v>440960</v>
      </c>
      <c r="J227" s="170">
        <f t="shared" si="43"/>
        <v>2621334.849999994</v>
      </c>
    </row>
    <row r="228" spans="2:12" ht="12.65" customHeight="1">
      <c r="B228" s="33">
        <f>'Update IDR GWM'!A228</f>
        <v>43340</v>
      </c>
      <c r="C228" s="41">
        <v>206118000</v>
      </c>
      <c r="D228" s="47">
        <v>208298374.84999999</v>
      </c>
      <c r="E228" s="168">
        <f t="shared" si="39"/>
        <v>2180374.849999994</v>
      </c>
      <c r="G228" s="173">
        <v>559040</v>
      </c>
      <c r="H228" s="47">
        <v>1000000</v>
      </c>
      <c r="I228" s="171">
        <f t="shared" si="42"/>
        <v>440960</v>
      </c>
      <c r="J228" s="170">
        <f t="shared" si="43"/>
        <v>2621334.849999994</v>
      </c>
    </row>
    <row r="229" spans="2:12" ht="12.65" customHeight="1">
      <c r="B229" s="33">
        <f>'Update IDR GWM'!A229</f>
        <v>43341</v>
      </c>
      <c r="C229" s="41">
        <v>206118000</v>
      </c>
      <c r="D229" s="47">
        <v>208298374.84999999</v>
      </c>
      <c r="E229" s="168">
        <f t="shared" si="39"/>
        <v>2180374.849999994</v>
      </c>
      <c r="G229" s="173">
        <v>559040</v>
      </c>
      <c r="H229" s="47">
        <v>1000000</v>
      </c>
      <c r="I229" s="171">
        <f t="shared" si="42"/>
        <v>440960</v>
      </c>
      <c r="J229" s="170">
        <f t="shared" si="43"/>
        <v>2621334.849999994</v>
      </c>
    </row>
    <row r="230" spans="2:12" ht="12.65" customHeight="1">
      <c r="B230" s="33">
        <f>'Update IDR GWM'!A230</f>
        <v>43342</v>
      </c>
      <c r="C230" s="41">
        <v>206118000</v>
      </c>
      <c r="D230" s="47">
        <v>208298374.84999999</v>
      </c>
      <c r="E230" s="168">
        <f t="shared" si="39"/>
        <v>2180374.849999994</v>
      </c>
      <c r="G230" s="173">
        <v>559040</v>
      </c>
      <c r="H230" s="47">
        <v>1000000</v>
      </c>
      <c r="I230" s="171">
        <f t="shared" si="42"/>
        <v>440960</v>
      </c>
      <c r="J230" s="170">
        <f t="shared" si="43"/>
        <v>2621334.849999994</v>
      </c>
    </row>
    <row r="231" spans="2:12" ht="12.65" customHeight="1">
      <c r="B231" s="33">
        <f>'Update IDR GWM'!A231</f>
        <v>43343</v>
      </c>
      <c r="C231" s="41">
        <v>206118000</v>
      </c>
      <c r="D231" s="47">
        <v>208298374.84999999</v>
      </c>
      <c r="E231" s="168">
        <f t="shared" si="39"/>
        <v>2180374.849999994</v>
      </c>
      <c r="G231" s="173">
        <v>559040</v>
      </c>
      <c r="H231" s="47">
        <v>1000000</v>
      </c>
      <c r="I231" s="171">
        <f t="shared" si="42"/>
        <v>440960</v>
      </c>
      <c r="J231" s="170">
        <f t="shared" si="43"/>
        <v>2621334.849999994</v>
      </c>
      <c r="L231" s="55">
        <f>J231*14730</f>
        <v>38612262340.499908</v>
      </c>
    </row>
    <row r="232" spans="2:12" ht="12.65" customHeight="1">
      <c r="B232" s="33">
        <f>'Update IDR GWM'!A232</f>
        <v>43346</v>
      </c>
      <c r="C232" s="41">
        <v>208436000</v>
      </c>
      <c r="D232" s="47">
        <v>210298374.84999999</v>
      </c>
      <c r="E232" s="168">
        <f t="shared" si="39"/>
        <v>1862374.849999994</v>
      </c>
      <c r="G232" s="173">
        <v>558880</v>
      </c>
      <c r="H232" s="47">
        <v>1000000</v>
      </c>
      <c r="I232" s="171">
        <f t="shared" ref="I232:I240" si="44">H232-G232</f>
        <v>441120</v>
      </c>
      <c r="J232" s="170">
        <f t="shared" ref="J232:J240" si="45">E232+I232</f>
        <v>2303494.849999994</v>
      </c>
    </row>
    <row r="233" spans="2:12" ht="12.65" customHeight="1">
      <c r="B233" s="33">
        <f>'Update IDR GWM'!A233</f>
        <v>43347</v>
      </c>
      <c r="C233" s="41">
        <v>208436000</v>
      </c>
      <c r="D233" s="47">
        <v>210298374.84999999</v>
      </c>
      <c r="E233" s="168">
        <f t="shared" si="39"/>
        <v>1862374.849999994</v>
      </c>
      <c r="G233" s="173">
        <v>558880</v>
      </c>
      <c r="H233" s="47">
        <v>1000000</v>
      </c>
      <c r="I233" s="171">
        <f t="shared" si="44"/>
        <v>441120</v>
      </c>
      <c r="J233" s="170">
        <f t="shared" si="45"/>
        <v>2303494.849999994</v>
      </c>
    </row>
    <row r="234" spans="2:12" ht="12.65" customHeight="1">
      <c r="B234" s="33">
        <f>'Update IDR GWM'!A234</f>
        <v>43348</v>
      </c>
      <c r="C234" s="41">
        <v>208436000</v>
      </c>
      <c r="D234" s="47">
        <v>210298374.84999999</v>
      </c>
      <c r="E234" s="168">
        <f t="shared" si="39"/>
        <v>1862374.849999994</v>
      </c>
      <c r="G234" s="173">
        <v>558880</v>
      </c>
      <c r="H234" s="47">
        <v>1000000</v>
      </c>
      <c r="I234" s="171">
        <f t="shared" si="44"/>
        <v>441120</v>
      </c>
      <c r="J234" s="170">
        <f t="shared" si="45"/>
        <v>2303494.849999994</v>
      </c>
    </row>
    <row r="235" spans="2:12" ht="12.65" customHeight="1">
      <c r="B235" s="33">
        <f>'Update IDR GWM'!A235</f>
        <v>43349</v>
      </c>
      <c r="C235" s="41">
        <v>208436000</v>
      </c>
      <c r="D235" s="47">
        <v>210298374.84999999</v>
      </c>
      <c r="E235" s="168">
        <f t="shared" si="39"/>
        <v>1862374.849999994</v>
      </c>
      <c r="G235" s="173">
        <v>558880</v>
      </c>
      <c r="H235" s="47">
        <v>1000000</v>
      </c>
      <c r="I235" s="171">
        <f t="shared" si="44"/>
        <v>441120</v>
      </c>
      <c r="J235" s="170">
        <f t="shared" si="45"/>
        <v>2303494.849999994</v>
      </c>
    </row>
    <row r="236" spans="2:12" ht="12.65" customHeight="1">
      <c r="B236" s="33">
        <f>'Update IDR GWM'!A236</f>
        <v>43350</v>
      </c>
      <c r="C236" s="41">
        <v>208436000</v>
      </c>
      <c r="D236" s="47">
        <v>210298374.84999999</v>
      </c>
      <c r="E236" s="168">
        <f t="shared" si="39"/>
        <v>1862374.849999994</v>
      </c>
      <c r="G236" s="173">
        <v>558880</v>
      </c>
      <c r="H236" s="47">
        <v>1000000</v>
      </c>
      <c r="I236" s="171">
        <f t="shared" si="44"/>
        <v>441120</v>
      </c>
      <c r="J236" s="170">
        <f t="shared" si="45"/>
        <v>2303494.849999994</v>
      </c>
    </row>
    <row r="237" spans="2:12" ht="12.65" customHeight="1">
      <c r="B237" s="33">
        <f>'Update IDR GWM'!A237</f>
        <v>43353</v>
      </c>
      <c r="C237" s="41">
        <v>209359000</v>
      </c>
      <c r="D237" s="47">
        <v>211298374.84999999</v>
      </c>
      <c r="E237" s="168">
        <f t="shared" si="39"/>
        <v>1939374.849999994</v>
      </c>
      <c r="G237" s="173">
        <v>559340</v>
      </c>
      <c r="H237" s="47">
        <v>1000000</v>
      </c>
      <c r="I237" s="171">
        <f t="shared" si="44"/>
        <v>440660</v>
      </c>
      <c r="J237" s="170">
        <f t="shared" si="45"/>
        <v>2380034.849999994</v>
      </c>
    </row>
    <row r="238" spans="2:12" ht="12.65" customHeight="1">
      <c r="B238" s="33">
        <f>'Update IDR GWM'!A238</f>
        <v>43355</v>
      </c>
      <c r="C238" s="41">
        <v>209359000</v>
      </c>
      <c r="D238" s="47">
        <v>211298374.84999999</v>
      </c>
      <c r="E238" s="168">
        <f t="shared" si="39"/>
        <v>1939374.849999994</v>
      </c>
      <c r="G238" s="173">
        <v>559340</v>
      </c>
      <c r="H238" s="47">
        <v>1000000</v>
      </c>
      <c r="I238" s="171">
        <f t="shared" si="44"/>
        <v>440660</v>
      </c>
      <c r="J238" s="170">
        <f t="shared" si="45"/>
        <v>2380034.849999994</v>
      </c>
    </row>
    <row r="239" spans="2:12" ht="12.65" customHeight="1">
      <c r="B239" s="33">
        <f>'Update IDR GWM'!A239</f>
        <v>43356</v>
      </c>
      <c r="C239" s="41">
        <v>209359000</v>
      </c>
      <c r="D239" s="47">
        <v>211298374.84999999</v>
      </c>
      <c r="E239" s="168">
        <f t="shared" si="39"/>
        <v>1939374.849999994</v>
      </c>
      <c r="G239" s="173">
        <v>559340</v>
      </c>
      <c r="H239" s="47">
        <v>1000000</v>
      </c>
      <c r="I239" s="171">
        <f t="shared" si="44"/>
        <v>440660</v>
      </c>
      <c r="J239" s="170">
        <f t="shared" si="45"/>
        <v>2380034.849999994</v>
      </c>
    </row>
    <row r="240" spans="2:12" ht="12.65" customHeight="1">
      <c r="B240" s="33">
        <f>'Update IDR GWM'!A240</f>
        <v>43357</v>
      </c>
      <c r="C240" s="41">
        <v>209359000</v>
      </c>
      <c r="D240" s="47">
        <v>211298374.84999999</v>
      </c>
      <c r="E240" s="168">
        <f t="shared" si="39"/>
        <v>1939374.849999994</v>
      </c>
      <c r="G240" s="173">
        <v>559340</v>
      </c>
      <c r="H240" s="47">
        <v>1000000</v>
      </c>
      <c r="I240" s="171">
        <f t="shared" si="44"/>
        <v>440660</v>
      </c>
      <c r="J240" s="170">
        <f t="shared" si="45"/>
        <v>2380034.849999994</v>
      </c>
    </row>
    <row r="241" spans="2:10" ht="12.65" customHeight="1">
      <c r="B241" s="33">
        <f>'Update IDR GWM'!A241</f>
        <v>43360</v>
      </c>
      <c r="C241" s="41">
        <v>210515000</v>
      </c>
      <c r="D241" s="47">
        <v>212298374.84999999</v>
      </c>
      <c r="E241" s="168">
        <f t="shared" si="39"/>
        <v>1783374.849999994</v>
      </c>
      <c r="G241" s="173">
        <v>556850</v>
      </c>
      <c r="H241" s="47">
        <v>1000000</v>
      </c>
      <c r="I241" s="171">
        <f t="shared" ref="I241:I246" si="46">H241-G241</f>
        <v>443150</v>
      </c>
      <c r="J241" s="170">
        <f t="shared" ref="J241:J246" si="47">E241+I241</f>
        <v>2226524.849999994</v>
      </c>
    </row>
    <row r="242" spans="2:10" ht="12.65" customHeight="1">
      <c r="B242" s="33">
        <f>'Update IDR GWM'!A242</f>
        <v>43361</v>
      </c>
      <c r="C242" s="41">
        <v>210515000</v>
      </c>
      <c r="D242" s="47">
        <v>212298374.84999999</v>
      </c>
      <c r="E242" s="168">
        <f t="shared" si="39"/>
        <v>1783374.849999994</v>
      </c>
      <c r="G242" s="173">
        <v>556850</v>
      </c>
      <c r="H242" s="47">
        <v>1000000</v>
      </c>
      <c r="I242" s="171">
        <f t="shared" si="46"/>
        <v>443150</v>
      </c>
      <c r="J242" s="170">
        <f t="shared" si="47"/>
        <v>2226524.849999994</v>
      </c>
    </row>
    <row r="243" spans="2:10" ht="12.65" customHeight="1">
      <c r="B243" s="33">
        <f>'Update IDR GWM'!A243</f>
        <v>43362</v>
      </c>
      <c r="C243" s="41">
        <v>210515000</v>
      </c>
      <c r="D243" s="47">
        <v>212298374.84999999</v>
      </c>
      <c r="E243" s="168">
        <f t="shared" si="39"/>
        <v>1783374.849999994</v>
      </c>
      <c r="G243" s="173">
        <v>556850</v>
      </c>
      <c r="H243" s="47">
        <v>1000000</v>
      </c>
      <c r="I243" s="171">
        <f t="shared" si="46"/>
        <v>443150</v>
      </c>
      <c r="J243" s="170">
        <f t="shared" si="47"/>
        <v>2226524.849999994</v>
      </c>
    </row>
    <row r="244" spans="2:10" ht="12.65" customHeight="1">
      <c r="B244" s="33">
        <f>'Update IDR GWM'!A244</f>
        <v>43363</v>
      </c>
      <c r="C244" s="41">
        <v>210515000</v>
      </c>
      <c r="D244" s="47">
        <v>212298374.84999999</v>
      </c>
      <c r="E244" s="168">
        <f t="shared" si="39"/>
        <v>1783374.849999994</v>
      </c>
      <c r="G244" s="173">
        <v>556850</v>
      </c>
      <c r="H244" s="47">
        <v>1000000</v>
      </c>
      <c r="I244" s="171">
        <f t="shared" si="46"/>
        <v>443150</v>
      </c>
      <c r="J244" s="170">
        <f t="shared" si="47"/>
        <v>2226524.849999994</v>
      </c>
    </row>
    <row r="245" spans="2:10" ht="12.65" customHeight="1">
      <c r="B245" s="33">
        <f>'Update IDR GWM'!A245</f>
        <v>43364</v>
      </c>
      <c r="C245" s="41">
        <v>210515000</v>
      </c>
      <c r="D245" s="47">
        <v>212298374.84999999</v>
      </c>
      <c r="E245" s="168">
        <f t="shared" si="39"/>
        <v>1783374.849999994</v>
      </c>
      <c r="G245" s="173">
        <v>556850</v>
      </c>
      <c r="H245" s="47">
        <v>1000000</v>
      </c>
      <c r="I245" s="171">
        <f t="shared" si="46"/>
        <v>443150</v>
      </c>
      <c r="J245" s="170">
        <f t="shared" si="47"/>
        <v>2226524.849999994</v>
      </c>
    </row>
    <row r="246" spans="2:10" ht="12.65" customHeight="1">
      <c r="B246" s="33">
        <f>'Update IDR GWM'!A246</f>
        <v>43367</v>
      </c>
      <c r="C246" s="41">
        <v>210415000</v>
      </c>
      <c r="D246" s="47">
        <v>212298374.84999999</v>
      </c>
      <c r="E246" s="168">
        <f t="shared" si="39"/>
        <v>1883374.849999994</v>
      </c>
      <c r="G246" s="173">
        <v>545510</v>
      </c>
      <c r="H246" s="47">
        <v>1000000</v>
      </c>
      <c r="I246" s="171">
        <f t="shared" si="46"/>
        <v>454490</v>
      </c>
      <c r="J246" s="170">
        <f t="shared" si="47"/>
        <v>2337864.849999994</v>
      </c>
    </row>
    <row r="247" spans="2:10" ht="12.65" customHeight="1">
      <c r="B247" s="33">
        <f>'Update IDR GWM'!A247</f>
        <v>43368</v>
      </c>
      <c r="C247" s="41">
        <v>210415000</v>
      </c>
      <c r="D247" s="47">
        <v>212298374.84999999</v>
      </c>
      <c r="E247" s="168">
        <f t="shared" si="39"/>
        <v>1883374.849999994</v>
      </c>
      <c r="G247" s="173">
        <v>545510</v>
      </c>
      <c r="H247" s="47">
        <v>1000000</v>
      </c>
      <c r="I247" s="171">
        <f t="shared" ref="I247:I252" si="48">H247-G247</f>
        <v>454490</v>
      </c>
      <c r="J247" s="170">
        <f t="shared" ref="J247:J252" si="49">E247+I247</f>
        <v>2337864.849999994</v>
      </c>
    </row>
    <row r="248" spans="2:10" ht="12.65" customHeight="1">
      <c r="B248" s="33">
        <f>'Update IDR GWM'!A248</f>
        <v>43369</v>
      </c>
      <c r="C248" s="41">
        <v>210415000</v>
      </c>
      <c r="D248" s="47">
        <v>212298374.84999999</v>
      </c>
      <c r="E248" s="168">
        <f t="shared" si="39"/>
        <v>1883374.849999994</v>
      </c>
      <c r="G248" s="173">
        <v>545510</v>
      </c>
      <c r="H248" s="47">
        <v>1000000</v>
      </c>
      <c r="I248" s="171">
        <f t="shared" si="48"/>
        <v>454490</v>
      </c>
      <c r="J248" s="170">
        <f t="shared" si="49"/>
        <v>2337864.849999994</v>
      </c>
    </row>
    <row r="249" spans="2:10" ht="12.65" customHeight="1">
      <c r="B249" s="33">
        <f>'Update IDR GWM'!A249</f>
        <v>43370</v>
      </c>
      <c r="C249" s="41">
        <v>210415000</v>
      </c>
      <c r="D249" s="47">
        <v>212298374.84999999</v>
      </c>
      <c r="E249" s="168">
        <f t="shared" si="39"/>
        <v>1883374.849999994</v>
      </c>
      <c r="G249" s="173">
        <v>545510</v>
      </c>
      <c r="H249" s="47">
        <v>1000000</v>
      </c>
      <c r="I249" s="171">
        <f t="shared" si="48"/>
        <v>454490</v>
      </c>
      <c r="J249" s="170">
        <f t="shared" si="49"/>
        <v>2337864.849999994</v>
      </c>
    </row>
    <row r="250" spans="2:10" ht="12.65" customHeight="1">
      <c r="B250" s="33">
        <f>'Update IDR GWM'!A250</f>
        <v>43371</v>
      </c>
      <c r="C250" s="41">
        <v>210415000</v>
      </c>
      <c r="D250" s="47">
        <v>231298374.84999999</v>
      </c>
      <c r="E250" s="168">
        <f t="shared" si="39"/>
        <v>20883374.849999994</v>
      </c>
      <c r="G250" s="173">
        <v>545510</v>
      </c>
      <c r="H250" s="47">
        <v>1000000</v>
      </c>
      <c r="I250" s="171">
        <f t="shared" si="48"/>
        <v>454490</v>
      </c>
      <c r="J250" s="170">
        <f t="shared" si="49"/>
        <v>21337864.849999994</v>
      </c>
    </row>
    <row r="251" spans="2:10" ht="12.65" customHeight="1">
      <c r="B251" s="33">
        <f>'Update IDR GWM'!A251</f>
        <v>43373</v>
      </c>
      <c r="C251" s="41">
        <v>210415000</v>
      </c>
      <c r="D251" s="47">
        <v>231298374.84999999</v>
      </c>
      <c r="E251" s="168">
        <f>D251-C251</f>
        <v>20883374.849999994</v>
      </c>
      <c r="G251" s="173">
        <v>545510</v>
      </c>
      <c r="H251" s="47">
        <v>1000000</v>
      </c>
      <c r="I251" s="171">
        <f t="shared" si="48"/>
        <v>454490</v>
      </c>
      <c r="J251" s="170">
        <f t="shared" si="49"/>
        <v>21337864.849999994</v>
      </c>
    </row>
    <row r="252" spans="2:10" ht="12.65" customHeight="1">
      <c r="B252" s="33">
        <f>'Update IDR GWM'!A252</f>
        <v>43374</v>
      </c>
      <c r="C252" s="41">
        <v>210461789.370179</v>
      </c>
      <c r="D252" s="47">
        <v>231298374.84999999</v>
      </c>
      <c r="E252" s="168">
        <f t="shared" si="39"/>
        <v>20836585.479820997</v>
      </c>
      <c r="G252" s="173">
        <v>550800.66361552896</v>
      </c>
      <c r="H252" s="47">
        <v>1000000</v>
      </c>
      <c r="I252" s="171">
        <f t="shared" si="48"/>
        <v>449199.33638447104</v>
      </c>
      <c r="J252" s="170">
        <f t="shared" si="49"/>
        <v>21285784.816205468</v>
      </c>
    </row>
    <row r="253" spans="2:10" ht="12.65" customHeight="1">
      <c r="B253" s="33">
        <f>'Update IDR GWM'!A253</f>
        <v>43375</v>
      </c>
      <c r="C253" s="41">
        <v>210461789.370179</v>
      </c>
      <c r="D253" s="47">
        <v>231298374.84999999</v>
      </c>
      <c r="E253" s="168">
        <f t="shared" si="39"/>
        <v>20836585.479820997</v>
      </c>
      <c r="G253" s="173">
        <v>550800.66361552896</v>
      </c>
      <c r="H253" s="47">
        <v>1000000</v>
      </c>
      <c r="I253" s="171">
        <f t="shared" ref="I253:I263" si="50">H253-G253</f>
        <v>449199.33638447104</v>
      </c>
      <c r="J253" s="170">
        <f t="shared" ref="J253:J263" si="51">E253+I253</f>
        <v>21285784.816205468</v>
      </c>
    </row>
    <row r="254" spans="2:10" ht="12.65" customHeight="1">
      <c r="B254" s="33">
        <f>'Update IDR GWM'!A254</f>
        <v>43376</v>
      </c>
      <c r="C254" s="41">
        <v>210461789.370179</v>
      </c>
      <c r="D254" s="47">
        <v>231298374.84999999</v>
      </c>
      <c r="E254" s="168">
        <f t="shared" si="39"/>
        <v>20836585.479820997</v>
      </c>
      <c r="G254" s="173">
        <v>550800.66361552896</v>
      </c>
      <c r="H254" s="47">
        <v>1000000</v>
      </c>
      <c r="I254" s="171">
        <f t="shared" si="50"/>
        <v>449199.33638447104</v>
      </c>
      <c r="J254" s="170">
        <f t="shared" si="51"/>
        <v>21285784.816205468</v>
      </c>
    </row>
    <row r="255" spans="2:10" ht="12.65" customHeight="1">
      <c r="B255" s="33">
        <f>'Update IDR GWM'!A255</f>
        <v>43377</v>
      </c>
      <c r="C255" s="41">
        <v>210461789.370179</v>
      </c>
      <c r="D255" s="47">
        <v>212298374.84999999</v>
      </c>
      <c r="E255" s="168">
        <f t="shared" si="39"/>
        <v>1836585.4798209965</v>
      </c>
      <c r="G255" s="173">
        <v>550800.66361552896</v>
      </c>
      <c r="H255" s="47">
        <v>1000000</v>
      </c>
      <c r="I255" s="171">
        <f t="shared" si="50"/>
        <v>449199.33638447104</v>
      </c>
      <c r="J255" s="170">
        <f t="shared" si="51"/>
        <v>2285784.8162054676</v>
      </c>
    </row>
    <row r="256" spans="2:10" ht="12.65" customHeight="1">
      <c r="B256" s="33">
        <f>'Update IDR GWM'!A256</f>
        <v>43378</v>
      </c>
      <c r="C256" s="41">
        <v>210461789.370179</v>
      </c>
      <c r="D256" s="47">
        <v>212298374.84999999</v>
      </c>
      <c r="E256" s="168">
        <f t="shared" si="39"/>
        <v>1836585.4798209965</v>
      </c>
      <c r="G256" s="173">
        <v>550800.66361552896</v>
      </c>
      <c r="H256" s="47">
        <v>1000000</v>
      </c>
      <c r="I256" s="171">
        <f t="shared" si="50"/>
        <v>449199.33638447104</v>
      </c>
      <c r="J256" s="170">
        <f t="shared" si="51"/>
        <v>2285784.8162054676</v>
      </c>
    </row>
    <row r="257" spans="2:10" ht="12.65" customHeight="1">
      <c r="B257" s="33">
        <f>'Update IDR GWM'!A257</f>
        <v>43381</v>
      </c>
      <c r="C257" s="41">
        <v>210461789.370179</v>
      </c>
      <c r="D257" s="47">
        <v>212298374.84999999</v>
      </c>
      <c r="E257" s="168">
        <f t="shared" si="39"/>
        <v>1836585.4798209965</v>
      </c>
      <c r="G257" s="173">
        <v>550800.66361552896</v>
      </c>
      <c r="H257" s="47">
        <v>1000000</v>
      </c>
      <c r="I257" s="171">
        <f t="shared" si="50"/>
        <v>449199.33638447104</v>
      </c>
      <c r="J257" s="170">
        <f t="shared" si="51"/>
        <v>2285784.8162054676</v>
      </c>
    </row>
    <row r="258" spans="2:10" ht="12.65" customHeight="1">
      <c r="B258" s="33">
        <f>'Update IDR GWM'!A258</f>
        <v>43382</v>
      </c>
      <c r="C258" s="41">
        <v>210461789.370179</v>
      </c>
      <c r="D258" s="47">
        <v>212298374.84999999</v>
      </c>
      <c r="E258" s="168">
        <f t="shared" si="39"/>
        <v>1836585.4798209965</v>
      </c>
      <c r="G258" s="173">
        <v>550800.66361552896</v>
      </c>
      <c r="H258" s="47">
        <v>1000000</v>
      </c>
      <c r="I258" s="171">
        <f t="shared" si="50"/>
        <v>449199.33638447104</v>
      </c>
      <c r="J258" s="170">
        <f t="shared" si="51"/>
        <v>2285784.8162054676</v>
      </c>
    </row>
    <row r="259" spans="2:10" ht="12.65" customHeight="1">
      <c r="B259" s="33">
        <f>'Update IDR GWM'!A259</f>
        <v>43383</v>
      </c>
      <c r="C259" s="41">
        <v>210461789.370179</v>
      </c>
      <c r="D259" s="47">
        <v>212298374.84999999</v>
      </c>
      <c r="E259" s="168">
        <f t="shared" si="39"/>
        <v>1836585.4798209965</v>
      </c>
      <c r="G259" s="173">
        <v>550800.66361552896</v>
      </c>
      <c r="H259" s="47">
        <v>1000000</v>
      </c>
      <c r="I259" s="171">
        <f t="shared" si="50"/>
        <v>449199.33638447104</v>
      </c>
      <c r="J259" s="170">
        <f t="shared" si="51"/>
        <v>2285784.8162054676</v>
      </c>
    </row>
    <row r="260" spans="2:10" ht="12.65" customHeight="1">
      <c r="B260" s="33">
        <f>'Update IDR GWM'!A260</f>
        <v>43384</v>
      </c>
      <c r="C260" s="41">
        <v>210461789.370179</v>
      </c>
      <c r="D260" s="47">
        <v>212298374.84999999</v>
      </c>
      <c r="E260" s="168">
        <f t="shared" si="39"/>
        <v>1836585.4798209965</v>
      </c>
      <c r="G260" s="173">
        <v>550800.66361552896</v>
      </c>
      <c r="H260" s="47">
        <v>1000000</v>
      </c>
      <c r="I260" s="171">
        <f t="shared" si="50"/>
        <v>449199.33638447104</v>
      </c>
      <c r="J260" s="170">
        <f t="shared" si="51"/>
        <v>2285784.8162054676</v>
      </c>
    </row>
    <row r="261" spans="2:10" ht="12.65" customHeight="1">
      <c r="B261" s="33">
        <f>'Update IDR GWM'!A261</f>
        <v>43385</v>
      </c>
      <c r="C261" s="41">
        <v>210461789.370179</v>
      </c>
      <c r="D261" s="47">
        <v>212298374.84999999</v>
      </c>
      <c r="E261" s="168">
        <f t="shared" si="39"/>
        <v>1836585.4798209965</v>
      </c>
      <c r="G261" s="173">
        <v>550800.66361552896</v>
      </c>
      <c r="H261" s="47">
        <v>1000000</v>
      </c>
      <c r="I261" s="171">
        <f t="shared" si="50"/>
        <v>449199.33638447104</v>
      </c>
      <c r="J261" s="170">
        <f t="shared" si="51"/>
        <v>2285784.8162054676</v>
      </c>
    </row>
    <row r="262" spans="2:10" ht="12.65" customHeight="1">
      <c r="B262" s="33">
        <f>'Update IDR GWM'!A262</f>
        <v>43388</v>
      </c>
      <c r="C262" s="41">
        <v>210461789.370179</v>
      </c>
      <c r="D262" s="47">
        <v>212298374.84999999</v>
      </c>
      <c r="E262" s="168">
        <f t="shared" si="39"/>
        <v>1836585.4798209965</v>
      </c>
      <c r="G262" s="173">
        <v>550800.66361552896</v>
      </c>
      <c r="H262" s="47">
        <v>1000000</v>
      </c>
      <c r="I262" s="171">
        <f t="shared" si="50"/>
        <v>449199.33638447104</v>
      </c>
      <c r="J262" s="170">
        <f t="shared" si="51"/>
        <v>2285784.8162054676</v>
      </c>
    </row>
    <row r="263" spans="2:10" ht="12.65" customHeight="1">
      <c r="B263" s="33">
        <f>'Update IDR GWM'!A263</f>
        <v>43389</v>
      </c>
      <c r="C263" s="41">
        <v>213311630.95499</v>
      </c>
      <c r="D263" s="47">
        <v>214798374.84999999</v>
      </c>
      <c r="E263" s="168">
        <f t="shared" si="39"/>
        <v>1486743.8950099945</v>
      </c>
      <c r="G263" s="173">
        <v>542000</v>
      </c>
      <c r="H263" s="47">
        <v>1000000</v>
      </c>
      <c r="I263" s="171">
        <f t="shared" si="50"/>
        <v>458000</v>
      </c>
      <c r="J263" s="170">
        <f t="shared" si="51"/>
        <v>1944743.8950099945</v>
      </c>
    </row>
    <row r="264" spans="2:10" ht="12.65" customHeight="1">
      <c r="B264" s="33">
        <f>'Update IDR GWM'!A264</f>
        <v>43390</v>
      </c>
      <c r="C264" s="41">
        <v>213311630.95499</v>
      </c>
      <c r="D264" s="47">
        <v>214798374.84999999</v>
      </c>
      <c r="E264" s="168">
        <f t="shared" si="39"/>
        <v>1486743.8950099945</v>
      </c>
      <c r="G264" s="173">
        <v>542000</v>
      </c>
      <c r="H264" s="47">
        <v>1000000</v>
      </c>
      <c r="I264" s="171">
        <f t="shared" ref="I264:I274" si="52">H264-G264</f>
        <v>458000</v>
      </c>
      <c r="J264" s="170">
        <f t="shared" ref="J264:J274" si="53">E264+I264</f>
        <v>1944743.8950099945</v>
      </c>
    </row>
    <row r="265" spans="2:10" ht="12.65" customHeight="1">
      <c r="B265" s="33">
        <f>'Update IDR GWM'!A265</f>
        <v>43391</v>
      </c>
      <c r="C265" s="41">
        <v>213311630.95499</v>
      </c>
      <c r="D265" s="47">
        <v>214798374.84999999</v>
      </c>
      <c r="E265" s="168">
        <f t="shared" si="39"/>
        <v>1486743.8950099945</v>
      </c>
      <c r="G265" s="173">
        <v>542000</v>
      </c>
      <c r="H265" s="47">
        <v>1000000</v>
      </c>
      <c r="I265" s="171">
        <f t="shared" si="52"/>
        <v>458000</v>
      </c>
      <c r="J265" s="170">
        <f t="shared" si="53"/>
        <v>1944743.8950099945</v>
      </c>
    </row>
    <row r="266" spans="2:10" ht="12.65" customHeight="1">
      <c r="B266" s="33">
        <f>'Update IDR GWM'!A266</f>
        <v>43392</v>
      </c>
      <c r="C266" s="41">
        <v>213311630.95499</v>
      </c>
      <c r="D266" s="47">
        <v>214798374.84999999</v>
      </c>
      <c r="E266" s="168">
        <f t="shared" si="39"/>
        <v>1486743.8950099945</v>
      </c>
      <c r="G266" s="173">
        <v>542000</v>
      </c>
      <c r="H266" s="47">
        <v>1000000</v>
      </c>
      <c r="I266" s="171">
        <f t="shared" si="52"/>
        <v>458000</v>
      </c>
      <c r="J266" s="170">
        <f t="shared" si="53"/>
        <v>1944743.8950099945</v>
      </c>
    </row>
    <row r="267" spans="2:10" ht="12.65" customHeight="1">
      <c r="B267" s="33">
        <f>'Update IDR GWM'!A267</f>
        <v>43395</v>
      </c>
      <c r="C267" s="41">
        <v>213311630.95499</v>
      </c>
      <c r="D267" s="47">
        <v>214798374.84999999</v>
      </c>
      <c r="E267" s="168">
        <f t="shared" si="39"/>
        <v>1486743.8950099945</v>
      </c>
      <c r="G267" s="173">
        <v>542000</v>
      </c>
      <c r="H267" s="47">
        <v>1000000</v>
      </c>
      <c r="I267" s="171">
        <f t="shared" si="52"/>
        <v>458000</v>
      </c>
      <c r="J267" s="170">
        <f t="shared" si="53"/>
        <v>1944743.8950099945</v>
      </c>
    </row>
    <row r="268" spans="2:10" ht="12.65" customHeight="1">
      <c r="B268" s="33">
        <f>'Update IDR GWM'!A268</f>
        <v>43396</v>
      </c>
      <c r="C268" s="41">
        <v>213311630.95499</v>
      </c>
      <c r="D268" s="47">
        <v>214798374.84999999</v>
      </c>
      <c r="E268" s="168">
        <f t="shared" si="39"/>
        <v>1486743.8950099945</v>
      </c>
      <c r="G268" s="173">
        <v>542000</v>
      </c>
      <c r="H268" s="47">
        <v>1000000</v>
      </c>
      <c r="I268" s="171">
        <f t="shared" si="52"/>
        <v>458000</v>
      </c>
      <c r="J268" s="170">
        <f t="shared" si="53"/>
        <v>1944743.8950099945</v>
      </c>
    </row>
    <row r="269" spans="2:10" ht="12.65" customHeight="1">
      <c r="B269" s="33">
        <f>'Update IDR GWM'!A269</f>
        <v>43397</v>
      </c>
      <c r="C269" s="41">
        <v>213311630.95499</v>
      </c>
      <c r="D269" s="47">
        <v>214798374.84999999</v>
      </c>
      <c r="E269" s="168">
        <f t="shared" si="39"/>
        <v>1486743.8950099945</v>
      </c>
      <c r="G269" s="173">
        <v>542000</v>
      </c>
      <c r="H269" s="47">
        <v>1000000</v>
      </c>
      <c r="I269" s="171">
        <f t="shared" si="52"/>
        <v>458000</v>
      </c>
      <c r="J269" s="170">
        <f t="shared" si="53"/>
        <v>1944743.8950099945</v>
      </c>
    </row>
    <row r="270" spans="2:10" ht="12.65" customHeight="1">
      <c r="B270" s="33">
        <f>'Update IDR GWM'!A270</f>
        <v>43398</v>
      </c>
      <c r="C270" s="41">
        <v>213311630.95499</v>
      </c>
      <c r="D270" s="47">
        <v>214798374.84999999</v>
      </c>
      <c r="E270" s="168">
        <f t="shared" si="39"/>
        <v>1486743.8950099945</v>
      </c>
      <c r="G270" s="173">
        <v>542000</v>
      </c>
      <c r="H270" s="47">
        <v>1000000</v>
      </c>
      <c r="I270" s="171">
        <f t="shared" si="52"/>
        <v>458000</v>
      </c>
      <c r="J270" s="170">
        <f t="shared" si="53"/>
        <v>1944743.8950099945</v>
      </c>
    </row>
    <row r="271" spans="2:10" ht="12.65" customHeight="1">
      <c r="B271" s="33">
        <f>'Update IDR GWM'!A271</f>
        <v>43399</v>
      </c>
      <c r="C271" s="41">
        <v>213311630.95499</v>
      </c>
      <c r="D271" s="47">
        <v>214798374.84999999</v>
      </c>
      <c r="E271" s="168">
        <f t="shared" si="39"/>
        <v>1486743.8950099945</v>
      </c>
      <c r="G271" s="173">
        <v>542000</v>
      </c>
      <c r="H271" s="47">
        <v>1000000</v>
      </c>
      <c r="I271" s="171">
        <f t="shared" si="52"/>
        <v>458000</v>
      </c>
      <c r="J271" s="170">
        <f t="shared" si="53"/>
        <v>1944743.8950099945</v>
      </c>
    </row>
    <row r="272" spans="2:10" ht="12.65" customHeight="1">
      <c r="B272" s="33">
        <f>'Update IDR GWM'!A272</f>
        <v>43402</v>
      </c>
      <c r="C272" s="41">
        <v>213311630.95499</v>
      </c>
      <c r="D272" s="47">
        <v>214798374.84999999</v>
      </c>
      <c r="E272" s="168">
        <f t="shared" si="39"/>
        <v>1486743.8950099945</v>
      </c>
      <c r="G272" s="173">
        <v>542000</v>
      </c>
      <c r="H272" s="47">
        <v>1000000</v>
      </c>
      <c r="I272" s="171">
        <f t="shared" si="52"/>
        <v>458000</v>
      </c>
      <c r="J272" s="170">
        <f t="shared" si="53"/>
        <v>1944743.8950099945</v>
      </c>
    </row>
    <row r="273" spans="2:10" ht="12.65" customHeight="1">
      <c r="B273" s="33">
        <f>'Update IDR GWM'!A273</f>
        <v>43403</v>
      </c>
      <c r="C273" s="41">
        <v>213311630.95499</v>
      </c>
      <c r="D273" s="47">
        <v>214798374.84999999</v>
      </c>
      <c r="E273" s="168">
        <f t="shared" si="39"/>
        <v>1486743.8950099945</v>
      </c>
      <c r="G273" s="173">
        <v>542000</v>
      </c>
      <c r="H273" s="47">
        <v>1000000</v>
      </c>
      <c r="I273" s="171">
        <f t="shared" si="52"/>
        <v>458000</v>
      </c>
      <c r="J273" s="170">
        <f t="shared" si="53"/>
        <v>1944743.8950099945</v>
      </c>
    </row>
    <row r="274" spans="2:10" ht="12.65" customHeight="1">
      <c r="B274" s="33">
        <f>'Update IDR GWM'!A274</f>
        <v>43404</v>
      </c>
      <c r="C274" s="41">
        <v>213311630.95499</v>
      </c>
      <c r="D274" s="47">
        <v>214798374.84999999</v>
      </c>
      <c r="E274" s="168">
        <f t="shared" si="39"/>
        <v>1486743.8950099945</v>
      </c>
      <c r="G274" s="173">
        <v>542000</v>
      </c>
      <c r="H274" s="47">
        <v>1000000</v>
      </c>
      <c r="I274" s="171">
        <f t="shared" si="52"/>
        <v>458000</v>
      </c>
      <c r="J274" s="170">
        <f t="shared" si="53"/>
        <v>1944743.8950099945</v>
      </c>
    </row>
    <row r="275" spans="2:10" ht="12.65" customHeight="1">
      <c r="B275" s="33">
        <f>'Update IDR GWM'!A275</f>
        <v>43405</v>
      </c>
      <c r="C275" s="41">
        <v>208726211.760005</v>
      </c>
      <c r="D275" s="47">
        <v>214798374.84999999</v>
      </c>
      <c r="E275" s="168">
        <f t="shared" si="39"/>
        <v>6072163.0899949968</v>
      </c>
      <c r="G275" s="173">
        <v>802000</v>
      </c>
      <c r="H275" s="47">
        <v>1000000</v>
      </c>
      <c r="I275" s="171">
        <f t="shared" ref="I275:I286" si="54">H275-G275</f>
        <v>198000</v>
      </c>
      <c r="J275" s="170">
        <f t="shared" ref="J275:J286" si="55">E275+I275</f>
        <v>6270163.0899949968</v>
      </c>
    </row>
    <row r="276" spans="2:10" ht="12.65" customHeight="1">
      <c r="B276" s="33">
        <f>'Update IDR GWM'!A276</f>
        <v>43406</v>
      </c>
      <c r="C276" s="41">
        <v>208726211.760005</v>
      </c>
      <c r="D276" s="47">
        <v>214798374.84999999</v>
      </c>
      <c r="E276" s="168">
        <f t="shared" si="39"/>
        <v>6072163.0899949968</v>
      </c>
      <c r="G276" s="173">
        <v>802000</v>
      </c>
      <c r="H276" s="47">
        <v>1000000</v>
      </c>
      <c r="I276" s="171">
        <f t="shared" si="54"/>
        <v>198000</v>
      </c>
      <c r="J276" s="170">
        <f t="shared" si="55"/>
        <v>6270163.0899949968</v>
      </c>
    </row>
    <row r="277" spans="2:10" ht="12.65" customHeight="1">
      <c r="B277" s="33">
        <f>'Update IDR GWM'!A277</f>
        <v>43409</v>
      </c>
      <c r="C277" s="41">
        <v>208726211.760005</v>
      </c>
      <c r="D277" s="47">
        <v>214798374.84999999</v>
      </c>
      <c r="E277" s="168">
        <f t="shared" si="39"/>
        <v>6072163.0899949968</v>
      </c>
      <c r="G277" s="173">
        <v>802000</v>
      </c>
      <c r="H277" s="47">
        <v>1000000</v>
      </c>
      <c r="I277" s="171">
        <f t="shared" si="54"/>
        <v>198000</v>
      </c>
      <c r="J277" s="170">
        <f t="shared" si="55"/>
        <v>6270163.0899949968</v>
      </c>
    </row>
    <row r="278" spans="2:10" ht="12.65" customHeight="1">
      <c r="B278" s="33">
        <f>'Update IDR GWM'!A278</f>
        <v>43410</v>
      </c>
      <c r="C278" s="41">
        <v>208726211.760005</v>
      </c>
      <c r="D278" s="47">
        <v>210298374.84999999</v>
      </c>
      <c r="E278" s="168">
        <f t="shared" ref="E278:E341" si="56">D278-C278</f>
        <v>1572163.0899949968</v>
      </c>
      <c r="G278" s="173">
        <v>802000</v>
      </c>
      <c r="H278" s="47">
        <v>1000000</v>
      </c>
      <c r="I278" s="171">
        <f t="shared" si="54"/>
        <v>198000</v>
      </c>
      <c r="J278" s="170">
        <f t="shared" si="55"/>
        <v>1770163.0899949968</v>
      </c>
    </row>
    <row r="279" spans="2:10" ht="12.65" customHeight="1">
      <c r="B279" s="33">
        <f>'Update IDR GWM'!A279</f>
        <v>43411</v>
      </c>
      <c r="C279" s="41">
        <v>208726211.760005</v>
      </c>
      <c r="D279" s="47">
        <v>210298374.84999999</v>
      </c>
      <c r="E279" s="168">
        <f t="shared" si="56"/>
        <v>1572163.0899949968</v>
      </c>
      <c r="G279" s="173">
        <v>802000</v>
      </c>
      <c r="H279" s="47">
        <v>1000000</v>
      </c>
      <c r="I279" s="171">
        <f t="shared" si="54"/>
        <v>198000</v>
      </c>
      <c r="J279" s="170">
        <f t="shared" si="55"/>
        <v>1770163.0899949968</v>
      </c>
    </row>
    <row r="280" spans="2:10" ht="12.65" customHeight="1">
      <c r="B280" s="33">
        <f>'Update IDR GWM'!A280</f>
        <v>43412</v>
      </c>
      <c r="C280" s="41">
        <v>208726211.760005</v>
      </c>
      <c r="D280" s="47">
        <v>210298374.84999999</v>
      </c>
      <c r="E280" s="168">
        <f t="shared" si="56"/>
        <v>1572163.0899949968</v>
      </c>
      <c r="G280" s="173">
        <v>802000</v>
      </c>
      <c r="H280" s="47">
        <v>1000000</v>
      </c>
      <c r="I280" s="171">
        <f t="shared" si="54"/>
        <v>198000</v>
      </c>
      <c r="J280" s="170">
        <f t="shared" si="55"/>
        <v>1770163.0899949968</v>
      </c>
    </row>
    <row r="281" spans="2:10" ht="12.65" customHeight="1">
      <c r="B281" s="33">
        <f>'Update IDR GWM'!A281</f>
        <v>43413</v>
      </c>
      <c r="C281" s="41">
        <v>208726211.760005</v>
      </c>
      <c r="D281" s="47">
        <v>210298374.84999999</v>
      </c>
      <c r="E281" s="168">
        <f t="shared" si="56"/>
        <v>1572163.0899949968</v>
      </c>
      <c r="G281" s="173">
        <v>802000</v>
      </c>
      <c r="H281" s="47">
        <v>1000000</v>
      </c>
      <c r="I281" s="171">
        <f t="shared" si="54"/>
        <v>198000</v>
      </c>
      <c r="J281" s="170">
        <f t="shared" si="55"/>
        <v>1770163.0899949968</v>
      </c>
    </row>
    <row r="282" spans="2:10" ht="12.65" customHeight="1">
      <c r="B282" s="33">
        <f>'Update IDR GWM'!A282</f>
        <v>43416</v>
      </c>
      <c r="C282" s="41">
        <v>208726211.760005</v>
      </c>
      <c r="D282" s="47">
        <v>210298374.84999999</v>
      </c>
      <c r="E282" s="168">
        <f t="shared" si="56"/>
        <v>1572163.0899949968</v>
      </c>
      <c r="G282" s="173">
        <v>802000</v>
      </c>
      <c r="H282" s="47">
        <v>1000000</v>
      </c>
      <c r="I282" s="171">
        <f t="shared" si="54"/>
        <v>198000</v>
      </c>
      <c r="J282" s="170">
        <f t="shared" si="55"/>
        <v>1770163.0899949968</v>
      </c>
    </row>
    <row r="283" spans="2:10" ht="12.65" customHeight="1">
      <c r="B283" s="33">
        <f>'Update IDR GWM'!A283</f>
        <v>43417</v>
      </c>
      <c r="C283" s="41">
        <v>208726211.760005</v>
      </c>
      <c r="D283" s="47">
        <v>210298374.84999999</v>
      </c>
      <c r="E283" s="168">
        <f t="shared" si="56"/>
        <v>1572163.0899949968</v>
      </c>
      <c r="G283" s="173">
        <v>802000</v>
      </c>
      <c r="H283" s="47">
        <v>1000000</v>
      </c>
      <c r="I283" s="171">
        <f t="shared" si="54"/>
        <v>198000</v>
      </c>
      <c r="J283" s="170">
        <f t="shared" si="55"/>
        <v>1770163.0899949968</v>
      </c>
    </row>
    <row r="284" spans="2:10" ht="12.65" customHeight="1">
      <c r="B284" s="33">
        <f>'Update IDR GWM'!A284</f>
        <v>43418</v>
      </c>
      <c r="C284" s="41">
        <v>208726211.760005</v>
      </c>
      <c r="D284" s="47">
        <v>210298374.84999999</v>
      </c>
      <c r="E284" s="168">
        <f t="shared" si="56"/>
        <v>1572163.0899949968</v>
      </c>
      <c r="G284" s="173">
        <v>802000</v>
      </c>
      <c r="H284" s="47">
        <v>1000000</v>
      </c>
      <c r="I284" s="171">
        <f t="shared" si="54"/>
        <v>198000</v>
      </c>
      <c r="J284" s="170">
        <f t="shared" si="55"/>
        <v>1770163.0899949968</v>
      </c>
    </row>
    <row r="285" spans="2:10" ht="12.65" customHeight="1">
      <c r="B285" s="33">
        <f>'Update IDR GWM'!A285</f>
        <v>43419</v>
      </c>
      <c r="C285" s="41">
        <v>208726211.760005</v>
      </c>
      <c r="D285" s="47">
        <v>210298374.84999999</v>
      </c>
      <c r="E285" s="168">
        <f t="shared" si="56"/>
        <v>1572163.0899949968</v>
      </c>
      <c r="G285" s="173">
        <v>802000</v>
      </c>
      <c r="H285" s="47">
        <v>1000000</v>
      </c>
      <c r="I285" s="171">
        <f t="shared" si="54"/>
        <v>198000</v>
      </c>
      <c r="J285" s="170">
        <f t="shared" si="55"/>
        <v>1770163.0899949968</v>
      </c>
    </row>
    <row r="286" spans="2:10" ht="12.65" customHeight="1">
      <c r="B286" s="33">
        <f>'Update IDR GWM'!A286</f>
        <v>43420</v>
      </c>
      <c r="C286" s="41">
        <v>211830983.078143</v>
      </c>
      <c r="D286" s="47">
        <v>213298374.84999999</v>
      </c>
      <c r="E286" s="168">
        <f t="shared" si="56"/>
        <v>1467391.7718569934</v>
      </c>
      <c r="G286" s="173">
        <v>764000</v>
      </c>
      <c r="H286" s="47">
        <v>1000000</v>
      </c>
      <c r="I286" s="171">
        <f t="shared" si="54"/>
        <v>236000</v>
      </c>
      <c r="J286" s="170">
        <f t="shared" si="55"/>
        <v>1703391.7718569934</v>
      </c>
    </row>
    <row r="287" spans="2:10" ht="12.65" customHeight="1">
      <c r="B287" s="33">
        <f>'Update IDR GWM'!A287</f>
        <v>43423</v>
      </c>
      <c r="C287" s="41">
        <v>211830983.078143</v>
      </c>
      <c r="D287" s="47">
        <v>213298374.84999999</v>
      </c>
      <c r="E287" s="168">
        <f t="shared" si="56"/>
        <v>1467391.7718569934</v>
      </c>
      <c r="G287" s="173">
        <v>764000</v>
      </c>
      <c r="H287" s="47">
        <v>1000000</v>
      </c>
      <c r="I287" s="171">
        <f t="shared" ref="I287:I295" si="57">H287-G287</f>
        <v>236000</v>
      </c>
      <c r="J287" s="170">
        <f t="shared" ref="J287:J295" si="58">E287+I287</f>
        <v>1703391.7718569934</v>
      </c>
    </row>
    <row r="288" spans="2:10" ht="12.65" customHeight="1">
      <c r="B288" s="33">
        <f>'Update IDR GWM'!A288</f>
        <v>43425</v>
      </c>
      <c r="C288" s="41">
        <v>211830983.078143</v>
      </c>
      <c r="D288" s="47">
        <v>213298374.84999999</v>
      </c>
      <c r="E288" s="168">
        <f t="shared" si="56"/>
        <v>1467391.7718569934</v>
      </c>
      <c r="G288" s="173">
        <v>764000</v>
      </c>
      <c r="H288" s="47">
        <v>1000000</v>
      </c>
      <c r="I288" s="171">
        <f t="shared" si="57"/>
        <v>236000</v>
      </c>
      <c r="J288" s="170">
        <f t="shared" si="58"/>
        <v>1703391.7718569934</v>
      </c>
    </row>
    <row r="289" spans="2:10" ht="12.65" customHeight="1">
      <c r="B289" s="33">
        <f>'Update IDR GWM'!A289</f>
        <v>43426</v>
      </c>
      <c r="C289" s="41">
        <v>211830983.078143</v>
      </c>
      <c r="D289" s="47">
        <v>213298374.84999999</v>
      </c>
      <c r="E289" s="168">
        <f t="shared" si="56"/>
        <v>1467391.7718569934</v>
      </c>
      <c r="G289" s="173">
        <v>764000</v>
      </c>
      <c r="H289" s="47">
        <v>1000000</v>
      </c>
      <c r="I289" s="171">
        <f t="shared" si="57"/>
        <v>236000</v>
      </c>
      <c r="J289" s="170">
        <f t="shared" si="58"/>
        <v>1703391.7718569934</v>
      </c>
    </row>
    <row r="290" spans="2:10" ht="12.65" customHeight="1">
      <c r="B290" s="33">
        <f>'Update IDR GWM'!A290</f>
        <v>43427</v>
      </c>
      <c r="C290" s="41">
        <v>211830983.078143</v>
      </c>
      <c r="D290" s="47">
        <v>213298374.84999999</v>
      </c>
      <c r="E290" s="168">
        <f t="shared" si="56"/>
        <v>1467391.7718569934</v>
      </c>
      <c r="G290" s="173">
        <v>764000</v>
      </c>
      <c r="H290" s="47">
        <v>1000000</v>
      </c>
      <c r="I290" s="171">
        <f t="shared" si="57"/>
        <v>236000</v>
      </c>
      <c r="J290" s="170">
        <f t="shared" si="58"/>
        <v>1703391.7718569934</v>
      </c>
    </row>
    <row r="291" spans="2:10" ht="12.65" customHeight="1">
      <c r="B291" s="33">
        <f>'Update IDR GWM'!A291</f>
        <v>43430</v>
      </c>
      <c r="C291" s="41">
        <v>211830983.078143</v>
      </c>
      <c r="D291" s="47">
        <v>213298374.84999999</v>
      </c>
      <c r="E291" s="168">
        <f t="shared" si="56"/>
        <v>1467391.7718569934</v>
      </c>
      <c r="G291" s="173">
        <v>764000</v>
      </c>
      <c r="H291" s="47">
        <v>1000000</v>
      </c>
      <c r="I291" s="171">
        <f t="shared" si="57"/>
        <v>236000</v>
      </c>
      <c r="J291" s="170">
        <f t="shared" si="58"/>
        <v>1703391.7718569934</v>
      </c>
    </row>
    <row r="292" spans="2:10" ht="12.65" customHeight="1">
      <c r="B292" s="33">
        <f>'Update IDR GWM'!A292</f>
        <v>43431</v>
      </c>
      <c r="C292" s="41">
        <v>211830983.078143</v>
      </c>
      <c r="D292" s="47">
        <v>213298374.84999999</v>
      </c>
      <c r="E292" s="168">
        <f t="shared" si="56"/>
        <v>1467391.7718569934</v>
      </c>
      <c r="G292" s="173">
        <v>764000</v>
      </c>
      <c r="H292" s="47">
        <v>1000000</v>
      </c>
      <c r="I292" s="171">
        <f t="shared" si="57"/>
        <v>236000</v>
      </c>
      <c r="J292" s="170">
        <f t="shared" si="58"/>
        <v>1703391.7718569934</v>
      </c>
    </row>
    <row r="293" spans="2:10" ht="12.65" customHeight="1">
      <c r="B293" s="33">
        <f>'Update IDR GWM'!A293</f>
        <v>43432</v>
      </c>
      <c r="C293" s="41">
        <v>211830983.078143</v>
      </c>
      <c r="D293" s="47">
        <v>213298374.84999999</v>
      </c>
      <c r="E293" s="168">
        <f t="shared" si="56"/>
        <v>1467391.7718569934</v>
      </c>
      <c r="G293" s="173">
        <v>764000</v>
      </c>
      <c r="H293" s="47">
        <v>1000000</v>
      </c>
      <c r="I293" s="171">
        <f t="shared" si="57"/>
        <v>236000</v>
      </c>
      <c r="J293" s="170">
        <f t="shared" si="58"/>
        <v>1703391.7718569934</v>
      </c>
    </row>
    <row r="294" spans="2:10" ht="12.65" customHeight="1">
      <c r="B294" s="33">
        <f>'Update IDR GWM'!A294</f>
        <v>43433</v>
      </c>
      <c r="C294" s="41">
        <v>211830983.078143</v>
      </c>
      <c r="D294" s="47">
        <v>213298374.84999999</v>
      </c>
      <c r="E294" s="168">
        <f t="shared" si="56"/>
        <v>1467391.7718569934</v>
      </c>
      <c r="G294" s="173">
        <v>764000</v>
      </c>
      <c r="H294" s="47">
        <v>1000000</v>
      </c>
      <c r="I294" s="171">
        <f t="shared" si="57"/>
        <v>236000</v>
      </c>
      <c r="J294" s="170">
        <f t="shared" si="58"/>
        <v>1703391.7718569934</v>
      </c>
    </row>
    <row r="295" spans="2:10" ht="12.65" customHeight="1">
      <c r="B295" s="33">
        <f>'Update IDR GWM'!A295</f>
        <v>43434</v>
      </c>
      <c r="C295" s="41">
        <v>211830983.078143</v>
      </c>
      <c r="D295" s="47">
        <v>213298374.84999999</v>
      </c>
      <c r="E295" s="168">
        <f t="shared" si="56"/>
        <v>1467391.7718569934</v>
      </c>
      <c r="G295" s="173">
        <v>764000</v>
      </c>
      <c r="H295" s="47">
        <v>1000000</v>
      </c>
      <c r="I295" s="171">
        <f t="shared" si="57"/>
        <v>236000</v>
      </c>
      <c r="J295" s="170">
        <f t="shared" si="58"/>
        <v>1703391.7718569934</v>
      </c>
    </row>
    <row r="296" spans="2:10" ht="12.65" customHeight="1">
      <c r="B296" s="33">
        <f>'Update IDR GWM'!A296</f>
        <v>43437</v>
      </c>
      <c r="C296" s="41">
        <v>219600565.75249499</v>
      </c>
      <c r="D296" s="47">
        <v>221298374.84999999</v>
      </c>
      <c r="E296" s="168">
        <f t="shared" si="56"/>
        <v>1697809.0975050032</v>
      </c>
      <c r="G296" s="173">
        <v>844000</v>
      </c>
      <c r="H296" s="47">
        <v>1000000</v>
      </c>
      <c r="I296" s="171">
        <f t="shared" ref="I296:I305" si="59">H296-G296</f>
        <v>156000</v>
      </c>
      <c r="J296" s="170">
        <f t="shared" ref="J296:J305" si="60">E296+I296</f>
        <v>1853809.0975050032</v>
      </c>
    </row>
    <row r="297" spans="2:10" ht="12.65" customHeight="1">
      <c r="B297" s="33">
        <f>'Update IDR GWM'!A297</f>
        <v>43438</v>
      </c>
      <c r="C297" s="41">
        <v>219600565.75249499</v>
      </c>
      <c r="D297" s="47">
        <v>221298374.84999999</v>
      </c>
      <c r="E297" s="168">
        <f t="shared" si="56"/>
        <v>1697809.0975050032</v>
      </c>
      <c r="G297" s="173">
        <v>844000</v>
      </c>
      <c r="H297" s="47">
        <v>1000000</v>
      </c>
      <c r="I297" s="171">
        <f t="shared" si="59"/>
        <v>156000</v>
      </c>
      <c r="J297" s="170">
        <f t="shared" si="60"/>
        <v>1853809.0975050032</v>
      </c>
    </row>
    <row r="298" spans="2:10" ht="12.65" customHeight="1">
      <c r="B298" s="33">
        <f>'Update IDR GWM'!A298</f>
        <v>43439</v>
      </c>
      <c r="C298" s="41">
        <v>219600565.75249499</v>
      </c>
      <c r="D298" s="47">
        <v>221298374.84999999</v>
      </c>
      <c r="E298" s="168">
        <f t="shared" si="56"/>
        <v>1697809.0975050032</v>
      </c>
      <c r="G298" s="173">
        <v>844000</v>
      </c>
      <c r="H298" s="47">
        <v>1000000</v>
      </c>
      <c r="I298" s="171">
        <f t="shared" si="59"/>
        <v>156000</v>
      </c>
      <c r="J298" s="170">
        <f t="shared" si="60"/>
        <v>1853809.0975050032</v>
      </c>
    </row>
    <row r="299" spans="2:10" ht="12.65" customHeight="1">
      <c r="B299" s="33">
        <f>'Update IDR GWM'!A299</f>
        <v>43440</v>
      </c>
      <c r="C299" s="41">
        <v>219600565.75249499</v>
      </c>
      <c r="D299" s="47">
        <v>221298374.84999999</v>
      </c>
      <c r="E299" s="168">
        <f t="shared" si="56"/>
        <v>1697809.0975050032</v>
      </c>
      <c r="G299" s="173">
        <v>844000</v>
      </c>
      <c r="H299" s="47">
        <v>1000000</v>
      </c>
      <c r="I299" s="171">
        <f t="shared" si="59"/>
        <v>156000</v>
      </c>
      <c r="J299" s="170">
        <f t="shared" si="60"/>
        <v>1853809.0975050032</v>
      </c>
    </row>
    <row r="300" spans="2:10" ht="12.65" customHeight="1">
      <c r="B300" s="33">
        <f>'Update IDR GWM'!A300</f>
        <v>43441</v>
      </c>
      <c r="C300" s="41">
        <v>219600565.75249499</v>
      </c>
      <c r="D300" s="47">
        <v>221298374.84999999</v>
      </c>
      <c r="E300" s="168">
        <f t="shared" si="56"/>
        <v>1697809.0975050032</v>
      </c>
      <c r="G300" s="173">
        <v>844000</v>
      </c>
      <c r="H300" s="47">
        <v>1000000</v>
      </c>
      <c r="I300" s="171">
        <f t="shared" si="59"/>
        <v>156000</v>
      </c>
      <c r="J300" s="170">
        <f t="shared" si="60"/>
        <v>1853809.0975050032</v>
      </c>
    </row>
    <row r="301" spans="2:10" ht="12.65" customHeight="1">
      <c r="B301" s="33">
        <f>'Update IDR GWM'!A301</f>
        <v>43444</v>
      </c>
      <c r="C301" s="41">
        <v>219600565.75249499</v>
      </c>
      <c r="D301" s="47">
        <v>221298374.84999999</v>
      </c>
      <c r="E301" s="168">
        <f t="shared" si="56"/>
        <v>1697809.0975050032</v>
      </c>
      <c r="G301" s="173">
        <v>844000</v>
      </c>
      <c r="H301" s="47">
        <v>1000000</v>
      </c>
      <c r="I301" s="171">
        <f t="shared" si="59"/>
        <v>156000</v>
      </c>
      <c r="J301" s="170">
        <f t="shared" si="60"/>
        <v>1853809.0975050032</v>
      </c>
    </row>
    <row r="302" spans="2:10" ht="12.65" customHeight="1">
      <c r="B302" s="33">
        <f>'Update IDR GWM'!A302</f>
        <v>43445</v>
      </c>
      <c r="C302" s="41">
        <v>219600565.75249499</v>
      </c>
      <c r="D302" s="47">
        <v>221298374.84999999</v>
      </c>
      <c r="E302" s="168">
        <f t="shared" si="56"/>
        <v>1697809.0975050032</v>
      </c>
      <c r="G302" s="173">
        <v>844000</v>
      </c>
      <c r="H302" s="47">
        <v>1000000</v>
      </c>
      <c r="I302" s="171">
        <f t="shared" si="59"/>
        <v>156000</v>
      </c>
      <c r="J302" s="170">
        <f t="shared" si="60"/>
        <v>1853809.0975050032</v>
      </c>
    </row>
    <row r="303" spans="2:10" ht="12.65" customHeight="1">
      <c r="B303" s="33">
        <f>'Update IDR GWM'!A303</f>
        <v>43446</v>
      </c>
      <c r="C303" s="41">
        <v>219600565.75249499</v>
      </c>
      <c r="D303" s="47">
        <v>221298374.84999999</v>
      </c>
      <c r="E303" s="168">
        <f t="shared" si="56"/>
        <v>1697809.0975050032</v>
      </c>
      <c r="G303" s="173">
        <v>844000</v>
      </c>
      <c r="H303" s="47">
        <v>1000000</v>
      </c>
      <c r="I303" s="171">
        <f t="shared" si="59"/>
        <v>156000</v>
      </c>
      <c r="J303" s="170">
        <f t="shared" si="60"/>
        <v>1853809.0975050032</v>
      </c>
    </row>
    <row r="304" spans="2:10" ht="12.65" customHeight="1">
      <c r="B304" s="33">
        <f>'Update IDR GWM'!A304</f>
        <v>43447</v>
      </c>
      <c r="C304" s="41">
        <v>219600565.75249499</v>
      </c>
      <c r="D304" s="47">
        <v>221298374.84999999</v>
      </c>
      <c r="E304" s="168">
        <f t="shared" si="56"/>
        <v>1697809.0975050032</v>
      </c>
      <c r="G304" s="173">
        <v>844000</v>
      </c>
      <c r="H304" s="47">
        <v>1000000</v>
      </c>
      <c r="I304" s="171">
        <f t="shared" si="59"/>
        <v>156000</v>
      </c>
      <c r="J304" s="170">
        <f t="shared" si="60"/>
        <v>1853809.0975050032</v>
      </c>
    </row>
    <row r="305" spans="2:10" ht="12.65" customHeight="1">
      <c r="B305" s="33">
        <f>'Update IDR GWM'!A305</f>
        <v>43448</v>
      </c>
      <c r="C305" s="41">
        <v>219600565.75249499</v>
      </c>
      <c r="D305" s="47">
        <v>221298374.84999999</v>
      </c>
      <c r="E305" s="168">
        <f t="shared" si="56"/>
        <v>1697809.0975050032</v>
      </c>
      <c r="G305" s="173">
        <v>844000</v>
      </c>
      <c r="H305" s="47">
        <v>1000000</v>
      </c>
      <c r="I305" s="171">
        <f t="shared" si="59"/>
        <v>156000</v>
      </c>
      <c r="J305" s="170">
        <f t="shared" si="60"/>
        <v>1853809.0975050032</v>
      </c>
    </row>
    <row r="306" spans="2:10" ht="12.65" customHeight="1">
      <c r="B306" s="33">
        <f>'Update IDR GWM'!A306</f>
        <v>43451</v>
      </c>
      <c r="C306" s="41">
        <v>219806872.77609801</v>
      </c>
      <c r="D306" s="47">
        <v>221298374.84999999</v>
      </c>
      <c r="E306" s="168">
        <f t="shared" si="56"/>
        <v>1491502.0739019811</v>
      </c>
      <c r="G306" s="173">
        <v>632000</v>
      </c>
      <c r="H306" s="47">
        <v>1000000</v>
      </c>
      <c r="I306" s="171">
        <f t="shared" ref="I306:I315" si="61">H306-G306</f>
        <v>368000</v>
      </c>
      <c r="J306" s="170">
        <f t="shared" ref="J306:J315" si="62">E306+I306</f>
        <v>1859502.0739019811</v>
      </c>
    </row>
    <row r="307" spans="2:10" ht="12.65" customHeight="1">
      <c r="B307" s="33">
        <f>'Update IDR GWM'!A307</f>
        <v>43452</v>
      </c>
      <c r="C307" s="41">
        <v>219806872.77609801</v>
      </c>
      <c r="D307" s="47">
        <v>221298374.84999999</v>
      </c>
      <c r="E307" s="168">
        <f t="shared" si="56"/>
        <v>1491502.0739019811</v>
      </c>
      <c r="G307" s="173">
        <v>632000</v>
      </c>
      <c r="H307" s="47">
        <v>1000000</v>
      </c>
      <c r="I307" s="171">
        <f t="shared" si="61"/>
        <v>368000</v>
      </c>
      <c r="J307" s="170">
        <f t="shared" si="62"/>
        <v>1859502.0739019811</v>
      </c>
    </row>
    <row r="308" spans="2:10" ht="12.65" customHeight="1">
      <c r="B308" s="33">
        <f>'Update IDR GWM'!A308</f>
        <v>43453</v>
      </c>
      <c r="C308" s="41">
        <v>219806872.77609801</v>
      </c>
      <c r="D308" s="47">
        <v>221298374.84999999</v>
      </c>
      <c r="E308" s="168">
        <f t="shared" si="56"/>
        <v>1491502.0739019811</v>
      </c>
      <c r="G308" s="173">
        <v>632000</v>
      </c>
      <c r="H308" s="47">
        <v>1000000</v>
      </c>
      <c r="I308" s="171">
        <f t="shared" si="61"/>
        <v>368000</v>
      </c>
      <c r="J308" s="170">
        <f t="shared" si="62"/>
        <v>1859502.0739019811</v>
      </c>
    </row>
    <row r="309" spans="2:10" ht="12.65" customHeight="1">
      <c r="B309" s="33">
        <f>'Update IDR GWM'!A309</f>
        <v>43454</v>
      </c>
      <c r="C309" s="41">
        <v>219806872.77609801</v>
      </c>
      <c r="D309" s="47">
        <v>221298374.84999999</v>
      </c>
      <c r="E309" s="168">
        <f t="shared" si="56"/>
        <v>1491502.0739019811</v>
      </c>
      <c r="G309" s="173">
        <v>632000</v>
      </c>
      <c r="H309" s="47">
        <v>1000000</v>
      </c>
      <c r="I309" s="171">
        <f t="shared" si="61"/>
        <v>368000</v>
      </c>
      <c r="J309" s="170">
        <f t="shared" si="62"/>
        <v>1859502.0739019811</v>
      </c>
    </row>
    <row r="310" spans="2:10" ht="12.65" customHeight="1">
      <c r="B310" s="33">
        <f>'Update IDR GWM'!A310</f>
        <v>43455</v>
      </c>
      <c r="C310" s="41">
        <v>219806872.77609801</v>
      </c>
      <c r="D310" s="47">
        <v>221298374.84999999</v>
      </c>
      <c r="E310" s="168">
        <f t="shared" si="56"/>
        <v>1491502.0739019811</v>
      </c>
      <c r="G310" s="173">
        <v>632000</v>
      </c>
      <c r="H310" s="47">
        <v>1000000</v>
      </c>
      <c r="I310" s="171">
        <f t="shared" si="61"/>
        <v>368000</v>
      </c>
      <c r="J310" s="170">
        <f t="shared" si="62"/>
        <v>1859502.0739019811</v>
      </c>
    </row>
    <row r="311" spans="2:10" s="87" customFormat="1" ht="12.65" customHeight="1">
      <c r="B311" s="81">
        <f>'Update IDR GWM'!A311</f>
        <v>43459</v>
      </c>
      <c r="C311" s="41">
        <v>219806872.77609801</v>
      </c>
      <c r="D311" s="88">
        <v>221298374.84999999</v>
      </c>
      <c r="E311" s="169">
        <f>D311-C311</f>
        <v>1491502.0739019811</v>
      </c>
      <c r="G311" s="173">
        <v>632000</v>
      </c>
      <c r="H311" s="88">
        <v>1000000</v>
      </c>
      <c r="I311" s="172">
        <f>H311-G311</f>
        <v>368000</v>
      </c>
      <c r="J311" s="170">
        <f>E311+I311</f>
        <v>1859502.0739019811</v>
      </c>
    </row>
    <row r="312" spans="2:10" ht="12.65" customHeight="1">
      <c r="B312" s="33">
        <f>'Update IDR GWM'!A312</f>
        <v>43460</v>
      </c>
      <c r="C312" s="41">
        <v>219806872.77609801</v>
      </c>
      <c r="D312" s="47">
        <v>221298374.84999999</v>
      </c>
      <c r="E312" s="168">
        <f t="shared" si="56"/>
        <v>1491502.0739019811</v>
      </c>
      <c r="G312" s="173">
        <v>632000</v>
      </c>
      <c r="H312" s="47">
        <v>1000000</v>
      </c>
      <c r="I312" s="171">
        <f t="shared" si="61"/>
        <v>368000</v>
      </c>
      <c r="J312" s="170">
        <f t="shared" si="62"/>
        <v>1859502.0739019811</v>
      </c>
    </row>
    <row r="313" spans="2:10" ht="12.65" customHeight="1">
      <c r="B313" s="33">
        <f>'Update IDR GWM'!A313</f>
        <v>43461</v>
      </c>
      <c r="C313" s="41">
        <v>219806872.77609801</v>
      </c>
      <c r="D313" s="47">
        <v>221298374.84999999</v>
      </c>
      <c r="E313" s="168">
        <f t="shared" si="56"/>
        <v>1491502.0739019811</v>
      </c>
      <c r="G313" s="173">
        <v>632000</v>
      </c>
      <c r="H313" s="47">
        <v>1000000</v>
      </c>
      <c r="I313" s="171">
        <f t="shared" si="61"/>
        <v>368000</v>
      </c>
      <c r="J313" s="170">
        <f t="shared" si="62"/>
        <v>1859502.0739019811</v>
      </c>
    </row>
    <row r="314" spans="2:10" ht="12.65" customHeight="1">
      <c r="B314" s="33">
        <f>'Update IDR GWM'!A314</f>
        <v>43462</v>
      </c>
      <c r="C314" s="41">
        <v>219806872.77609801</v>
      </c>
      <c r="D314" s="47">
        <v>221298374.84999999</v>
      </c>
      <c r="E314" s="168">
        <f t="shared" si="56"/>
        <v>1491502.0739019811</v>
      </c>
      <c r="G314" s="173">
        <v>632000</v>
      </c>
      <c r="H314" s="47">
        <v>1000000</v>
      </c>
      <c r="I314" s="171">
        <f t="shared" si="61"/>
        <v>368000</v>
      </c>
      <c r="J314" s="170">
        <f t="shared" si="62"/>
        <v>1859502.0739019811</v>
      </c>
    </row>
    <row r="315" spans="2:10" ht="12.65" customHeight="1">
      <c r="B315" s="33">
        <f>'Update IDR GWM'!A315</f>
        <v>43465</v>
      </c>
      <c r="C315" s="41">
        <v>219806872.77609801</v>
      </c>
      <c r="D315" s="47">
        <v>241298374.84999999</v>
      </c>
      <c r="E315" s="168">
        <f t="shared" si="56"/>
        <v>21491502.073901981</v>
      </c>
      <c r="G315" s="173">
        <v>632000</v>
      </c>
      <c r="H315" s="47">
        <v>1000000</v>
      </c>
      <c r="I315" s="171">
        <f t="shared" si="61"/>
        <v>368000</v>
      </c>
      <c r="J315" s="170">
        <f t="shared" si="62"/>
        <v>21859502.073901981</v>
      </c>
    </row>
    <row r="316" spans="2:10" ht="12.65" customHeight="1">
      <c r="B316" s="33">
        <f>'Update IDR GWM'!A316</f>
        <v>43467</v>
      </c>
      <c r="C316" s="41">
        <v>217910725.71982601</v>
      </c>
      <c r="D316" s="47">
        <v>221592323.44999999</v>
      </c>
      <c r="E316" s="168">
        <f t="shared" si="56"/>
        <v>3681597.7301739752</v>
      </c>
      <c r="G316" s="173">
        <v>653000</v>
      </c>
      <c r="H316" s="47">
        <v>1000000</v>
      </c>
      <c r="I316" s="171">
        <f t="shared" ref="I316:I325" si="63">H316-G316</f>
        <v>347000</v>
      </c>
      <c r="J316" s="170">
        <f t="shared" ref="J316:J325" si="64">E316+I316</f>
        <v>4028597.7301739752</v>
      </c>
    </row>
    <row r="317" spans="2:10" ht="12.65" customHeight="1">
      <c r="B317" s="33">
        <f>'Update IDR GWM'!A317</f>
        <v>43468</v>
      </c>
      <c r="C317" s="41">
        <v>217910725.71982601</v>
      </c>
      <c r="D317" s="47">
        <v>221592323.44999999</v>
      </c>
      <c r="E317" s="168">
        <f t="shared" si="56"/>
        <v>3681597.7301739752</v>
      </c>
      <c r="G317" s="173">
        <v>653000</v>
      </c>
      <c r="H317" s="47">
        <v>1000000</v>
      </c>
      <c r="I317" s="171">
        <f t="shared" si="63"/>
        <v>347000</v>
      </c>
      <c r="J317" s="170">
        <f t="shared" si="64"/>
        <v>4028597.7301739752</v>
      </c>
    </row>
    <row r="318" spans="2:10" ht="12.65" customHeight="1">
      <c r="B318" s="33">
        <f>'Update IDR GWM'!A318</f>
        <v>43469</v>
      </c>
      <c r="C318" s="41">
        <v>217910725.71982601</v>
      </c>
      <c r="D318" s="47">
        <v>221592323.44999999</v>
      </c>
      <c r="E318" s="168">
        <f t="shared" si="56"/>
        <v>3681597.7301739752</v>
      </c>
      <c r="G318" s="173">
        <v>653000</v>
      </c>
      <c r="H318" s="47">
        <v>1000000</v>
      </c>
      <c r="I318" s="171">
        <f t="shared" si="63"/>
        <v>347000</v>
      </c>
      <c r="J318" s="170">
        <f t="shared" si="64"/>
        <v>4028597.7301739752</v>
      </c>
    </row>
    <row r="319" spans="2:10" ht="12.65" customHeight="1">
      <c r="B319" s="33">
        <f>'Update IDR GWM'!A319</f>
        <v>43472</v>
      </c>
      <c r="C319" s="41">
        <v>217910725.71982601</v>
      </c>
      <c r="D319" s="47">
        <v>221592323.44999999</v>
      </c>
      <c r="E319" s="168">
        <f t="shared" si="56"/>
        <v>3681597.7301739752</v>
      </c>
      <c r="G319" s="173">
        <v>653000</v>
      </c>
      <c r="H319" s="47">
        <v>1000000</v>
      </c>
      <c r="I319" s="171">
        <f t="shared" si="63"/>
        <v>347000</v>
      </c>
      <c r="J319" s="170">
        <f t="shared" si="64"/>
        <v>4028597.7301739752</v>
      </c>
    </row>
    <row r="320" spans="2:10" ht="12.65" customHeight="1">
      <c r="B320" s="33">
        <f>'Update IDR GWM'!A320</f>
        <v>43473</v>
      </c>
      <c r="C320" s="41">
        <v>217910725.71982601</v>
      </c>
      <c r="D320" s="47">
        <v>221592323.44999999</v>
      </c>
      <c r="E320" s="168">
        <f t="shared" si="56"/>
        <v>3681597.7301739752</v>
      </c>
      <c r="G320" s="173">
        <v>653000</v>
      </c>
      <c r="H320" s="47">
        <v>1000000</v>
      </c>
      <c r="I320" s="171">
        <f t="shared" si="63"/>
        <v>347000</v>
      </c>
      <c r="J320" s="170">
        <f t="shared" si="64"/>
        <v>4028597.7301739752</v>
      </c>
    </row>
    <row r="321" spans="2:12" ht="12.65" customHeight="1">
      <c r="B321" s="33">
        <f>'Update IDR GWM'!A321</f>
        <v>43474</v>
      </c>
      <c r="C321" s="41">
        <v>217910725.71982601</v>
      </c>
      <c r="D321" s="47">
        <v>221592323.44999999</v>
      </c>
      <c r="E321" s="168">
        <f t="shared" si="56"/>
        <v>3681597.7301739752</v>
      </c>
      <c r="G321" s="173">
        <v>653000</v>
      </c>
      <c r="H321" s="47">
        <v>1000000</v>
      </c>
      <c r="I321" s="171">
        <f t="shared" si="63"/>
        <v>347000</v>
      </c>
      <c r="J321" s="170">
        <f t="shared" si="64"/>
        <v>4028597.7301739752</v>
      </c>
    </row>
    <row r="322" spans="2:12" ht="12.65" customHeight="1">
      <c r="B322" s="33">
        <f>'Update IDR GWM'!A322</f>
        <v>43475</v>
      </c>
      <c r="C322" s="41">
        <v>217910725.71982601</v>
      </c>
      <c r="D322" s="47">
        <v>221592323.44999999</v>
      </c>
      <c r="E322" s="168">
        <f t="shared" si="56"/>
        <v>3681597.7301739752</v>
      </c>
      <c r="G322" s="173">
        <v>653000</v>
      </c>
      <c r="H322" s="47">
        <v>1000000</v>
      </c>
      <c r="I322" s="171">
        <f t="shared" si="63"/>
        <v>347000</v>
      </c>
      <c r="J322" s="170">
        <f t="shared" si="64"/>
        <v>4028597.7301739752</v>
      </c>
    </row>
    <row r="323" spans="2:12" ht="12.65" customHeight="1">
      <c r="B323" s="33">
        <f>'Update IDR GWM'!A323</f>
        <v>43476</v>
      </c>
      <c r="C323" s="41">
        <v>217910725.71982601</v>
      </c>
      <c r="D323" s="47">
        <v>221592323.44999999</v>
      </c>
      <c r="E323" s="168">
        <f t="shared" si="56"/>
        <v>3681597.7301739752</v>
      </c>
      <c r="G323" s="173">
        <v>653000</v>
      </c>
      <c r="H323" s="47">
        <v>1000000</v>
      </c>
      <c r="I323" s="171">
        <f t="shared" si="63"/>
        <v>347000</v>
      </c>
      <c r="J323" s="170">
        <f t="shared" si="64"/>
        <v>4028597.7301739752</v>
      </c>
    </row>
    <row r="324" spans="2:12" ht="12.65" customHeight="1">
      <c r="B324" s="33">
        <f>'Update IDR GWM'!A324</f>
        <v>43479</v>
      </c>
      <c r="C324" s="41">
        <v>217910725.71982601</v>
      </c>
      <c r="D324" s="47">
        <v>321592323.44999999</v>
      </c>
      <c r="E324" s="168">
        <f t="shared" si="56"/>
        <v>103681597.73017398</v>
      </c>
      <c r="G324" s="173">
        <v>653000</v>
      </c>
      <c r="H324" s="47">
        <v>1000000</v>
      </c>
      <c r="I324" s="171">
        <f t="shared" si="63"/>
        <v>347000</v>
      </c>
      <c r="J324" s="170">
        <f t="shared" si="64"/>
        <v>104028597.73017398</v>
      </c>
    </row>
    <row r="325" spans="2:12" ht="12.65" customHeight="1">
      <c r="B325" s="33">
        <f>'Update IDR GWM'!A325</f>
        <v>43480</v>
      </c>
      <c r="C325" s="41">
        <v>217910725.71982601</v>
      </c>
      <c r="D325" s="47">
        <v>221592323.44999999</v>
      </c>
      <c r="E325" s="168">
        <f t="shared" si="56"/>
        <v>3681597.7301739752</v>
      </c>
      <c r="G325" s="173">
        <v>653000</v>
      </c>
      <c r="H325" s="47">
        <v>1000000</v>
      </c>
      <c r="I325" s="171">
        <f t="shared" si="63"/>
        <v>347000</v>
      </c>
      <c r="J325" s="170">
        <f t="shared" si="64"/>
        <v>4028597.7301739752</v>
      </c>
    </row>
    <row r="326" spans="2:12" ht="12.65" customHeight="1">
      <c r="B326" s="33">
        <f>'Update IDR GWM'!A326</f>
        <v>43481</v>
      </c>
      <c r="C326" s="41">
        <v>219841214.31048301</v>
      </c>
      <c r="D326" s="47">
        <v>221592323.44999999</v>
      </c>
      <c r="E326" s="168">
        <f t="shared" si="56"/>
        <v>1751109.1395169795</v>
      </c>
      <c r="G326" s="173">
        <v>639000</v>
      </c>
      <c r="H326" s="47">
        <v>1000000</v>
      </c>
      <c r="I326" s="171">
        <f t="shared" ref="I326:I338" si="65">H326-G326</f>
        <v>361000</v>
      </c>
      <c r="J326" s="170">
        <f t="shared" ref="J326:J338" si="66">E326+I326</f>
        <v>2112109.1395169795</v>
      </c>
    </row>
    <row r="327" spans="2:12" ht="12.65" customHeight="1">
      <c r="B327" s="33">
        <f>'Update IDR GWM'!A327</f>
        <v>43482</v>
      </c>
      <c r="C327" s="41">
        <v>219841214.31048301</v>
      </c>
      <c r="D327" s="47">
        <v>221592323.44999999</v>
      </c>
      <c r="E327" s="168">
        <f t="shared" si="56"/>
        <v>1751109.1395169795</v>
      </c>
      <c r="G327" s="173">
        <v>639000</v>
      </c>
      <c r="H327" s="47">
        <v>1000000</v>
      </c>
      <c r="I327" s="171">
        <f t="shared" si="65"/>
        <v>361000</v>
      </c>
      <c r="J327" s="170">
        <f t="shared" si="66"/>
        <v>2112109.1395169795</v>
      </c>
      <c r="L327" s="49"/>
    </row>
    <row r="328" spans="2:12" ht="12.65" customHeight="1">
      <c r="B328" s="33">
        <f>'Update IDR GWM'!A328</f>
        <v>43483</v>
      </c>
      <c r="C328" s="41">
        <v>219841214.31048301</v>
      </c>
      <c r="D328" s="47">
        <v>221592323.44999999</v>
      </c>
      <c r="E328" s="168">
        <f t="shared" si="56"/>
        <v>1751109.1395169795</v>
      </c>
      <c r="G328" s="173">
        <v>639000</v>
      </c>
      <c r="H328" s="47">
        <v>1000000</v>
      </c>
      <c r="I328" s="171">
        <f t="shared" si="65"/>
        <v>361000</v>
      </c>
      <c r="J328" s="170">
        <f t="shared" si="66"/>
        <v>2112109.1395169795</v>
      </c>
    </row>
    <row r="329" spans="2:12" ht="12.65" customHeight="1">
      <c r="B329" s="33">
        <f>'Update IDR GWM'!A329</f>
        <v>43486</v>
      </c>
      <c r="C329" s="41">
        <v>219841214.31048301</v>
      </c>
      <c r="D329" s="47">
        <v>221592323.44999999</v>
      </c>
      <c r="E329" s="168">
        <f t="shared" si="56"/>
        <v>1751109.1395169795</v>
      </c>
      <c r="G329" s="173">
        <v>639000</v>
      </c>
      <c r="H329" s="47">
        <v>1000000</v>
      </c>
      <c r="I329" s="171">
        <f t="shared" si="65"/>
        <v>361000</v>
      </c>
      <c r="J329" s="170">
        <f t="shared" si="66"/>
        <v>2112109.1395169795</v>
      </c>
    </row>
    <row r="330" spans="2:12" ht="12.65" customHeight="1">
      <c r="B330" s="33">
        <f>'Update IDR GWM'!A330</f>
        <v>43487</v>
      </c>
      <c r="C330" s="41">
        <v>219841214.31048301</v>
      </c>
      <c r="D330" s="47">
        <v>221592323.44999999</v>
      </c>
      <c r="E330" s="168">
        <f t="shared" si="56"/>
        <v>1751109.1395169795</v>
      </c>
      <c r="G330" s="173">
        <v>639000</v>
      </c>
      <c r="H330" s="47">
        <v>1000000</v>
      </c>
      <c r="I330" s="171">
        <f t="shared" si="65"/>
        <v>361000</v>
      </c>
      <c r="J330" s="170">
        <f t="shared" si="66"/>
        <v>2112109.1395169795</v>
      </c>
    </row>
    <row r="331" spans="2:12" ht="12.65" customHeight="1">
      <c r="B331" s="33">
        <f>'Update IDR GWM'!A331</f>
        <v>43488</v>
      </c>
      <c r="C331" s="41">
        <v>219841214.31048301</v>
      </c>
      <c r="D331" s="47">
        <v>221592323.44999999</v>
      </c>
      <c r="E331" s="168">
        <f t="shared" si="56"/>
        <v>1751109.1395169795</v>
      </c>
      <c r="G331" s="173">
        <v>639000</v>
      </c>
      <c r="H331" s="47">
        <v>1000000</v>
      </c>
      <c r="I331" s="171">
        <f t="shared" si="65"/>
        <v>361000</v>
      </c>
      <c r="J331" s="170">
        <f t="shared" si="66"/>
        <v>2112109.1395169795</v>
      </c>
    </row>
    <row r="332" spans="2:12" ht="12.65" customHeight="1">
      <c r="B332" s="33">
        <f>'Update IDR GWM'!A332</f>
        <v>43489</v>
      </c>
      <c r="C332" s="41">
        <v>219841214.31048301</v>
      </c>
      <c r="D332" s="47">
        <v>221592323.44999999</v>
      </c>
      <c r="E332" s="168">
        <f t="shared" si="56"/>
        <v>1751109.1395169795</v>
      </c>
      <c r="G332" s="173">
        <v>639000</v>
      </c>
      <c r="H332" s="47">
        <v>1000000</v>
      </c>
      <c r="I332" s="171">
        <f t="shared" si="65"/>
        <v>361000</v>
      </c>
      <c r="J332" s="170">
        <f t="shared" si="66"/>
        <v>2112109.1395169795</v>
      </c>
    </row>
    <row r="333" spans="2:12" ht="12.65" customHeight="1">
      <c r="B333" s="33">
        <f>'Update IDR GWM'!A333</f>
        <v>43490</v>
      </c>
      <c r="C333" s="41">
        <v>219841214.31048301</v>
      </c>
      <c r="D333" s="47">
        <v>221592323.44999999</v>
      </c>
      <c r="E333" s="168">
        <f t="shared" si="56"/>
        <v>1751109.1395169795</v>
      </c>
      <c r="G333" s="173">
        <v>639000</v>
      </c>
      <c r="H333" s="47">
        <v>1000000</v>
      </c>
      <c r="I333" s="171">
        <f t="shared" si="65"/>
        <v>361000</v>
      </c>
      <c r="J333" s="170">
        <f t="shared" si="66"/>
        <v>2112109.1395169795</v>
      </c>
    </row>
    <row r="334" spans="2:12" ht="12.65" customHeight="1">
      <c r="B334" s="33">
        <f>'Update IDR GWM'!A334</f>
        <v>43493</v>
      </c>
      <c r="C334" s="41">
        <v>219841214.31048301</v>
      </c>
      <c r="D334" s="47">
        <v>221592323.44999999</v>
      </c>
      <c r="E334" s="168">
        <f t="shared" si="56"/>
        <v>1751109.1395169795</v>
      </c>
      <c r="G334" s="173">
        <v>639000</v>
      </c>
      <c r="H334" s="47">
        <v>1000000</v>
      </c>
      <c r="I334" s="171">
        <f t="shared" si="65"/>
        <v>361000</v>
      </c>
      <c r="J334" s="170">
        <f t="shared" si="66"/>
        <v>2112109.1395169795</v>
      </c>
    </row>
    <row r="335" spans="2:12" ht="12.65" customHeight="1">
      <c r="B335" s="33">
        <f>'Update IDR GWM'!A335</f>
        <v>43494</v>
      </c>
      <c r="C335" s="41">
        <v>219841214.31048301</v>
      </c>
      <c r="D335" s="47">
        <v>221592323.44999999</v>
      </c>
      <c r="E335" s="168">
        <f t="shared" si="56"/>
        <v>1751109.1395169795</v>
      </c>
      <c r="G335" s="173">
        <v>639000</v>
      </c>
      <c r="H335" s="47">
        <v>1000000</v>
      </c>
      <c r="I335" s="171">
        <f t="shared" si="65"/>
        <v>361000</v>
      </c>
      <c r="J335" s="170">
        <f t="shared" si="66"/>
        <v>2112109.1395169795</v>
      </c>
    </row>
    <row r="336" spans="2:12" ht="12.65" customHeight="1">
      <c r="B336" s="33">
        <f>'Update IDR GWM'!A336</f>
        <v>43495</v>
      </c>
      <c r="C336" s="41">
        <v>219841214.31048301</v>
      </c>
      <c r="D336" s="47">
        <v>221592323.44999999</v>
      </c>
      <c r="E336" s="168">
        <f t="shared" si="56"/>
        <v>1751109.1395169795</v>
      </c>
      <c r="G336" s="173">
        <v>639000</v>
      </c>
      <c r="H336" s="47">
        <v>1000000</v>
      </c>
      <c r="I336" s="171">
        <f t="shared" si="65"/>
        <v>361000</v>
      </c>
      <c r="J336" s="170">
        <f t="shared" si="66"/>
        <v>2112109.1395169795</v>
      </c>
    </row>
    <row r="337" spans="2:10" ht="12.65" customHeight="1">
      <c r="B337" s="33">
        <f>'Update IDR GWM'!A337</f>
        <v>43496</v>
      </c>
      <c r="C337" s="41">
        <v>219841214.31048301</v>
      </c>
      <c r="D337" s="47">
        <v>221592323.44999999</v>
      </c>
      <c r="E337" s="168">
        <f t="shared" si="56"/>
        <v>1751109.1395169795</v>
      </c>
      <c r="G337" s="173">
        <v>639000</v>
      </c>
      <c r="H337" s="47">
        <v>1000000</v>
      </c>
      <c r="I337" s="171">
        <f t="shared" si="65"/>
        <v>361000</v>
      </c>
      <c r="J337" s="170">
        <f t="shared" si="66"/>
        <v>2112109.1395169795</v>
      </c>
    </row>
    <row r="338" spans="2:10" ht="12.65" customHeight="1">
      <c r="B338" s="33">
        <f>'Update IDR GWM'!A338</f>
        <v>43497</v>
      </c>
      <c r="C338" s="41">
        <v>225920519.72263601</v>
      </c>
      <c r="D338" s="47">
        <v>227592323.44999999</v>
      </c>
      <c r="E338" s="168">
        <f t="shared" si="56"/>
        <v>1671803.7273639739</v>
      </c>
      <c r="G338" s="173">
        <v>613000</v>
      </c>
      <c r="H338" s="47">
        <v>1000000</v>
      </c>
      <c r="I338" s="171">
        <f t="shared" si="65"/>
        <v>387000</v>
      </c>
      <c r="J338" s="170">
        <f t="shared" si="66"/>
        <v>2058803.7273639739</v>
      </c>
    </row>
    <row r="339" spans="2:10" ht="12.65" customHeight="1">
      <c r="B339" s="33">
        <f>'Update IDR GWM'!A339</f>
        <v>43500</v>
      </c>
      <c r="C339" s="41">
        <v>225920519.72263601</v>
      </c>
      <c r="D339" s="47">
        <v>227592323.44999999</v>
      </c>
      <c r="E339" s="168">
        <f t="shared" si="56"/>
        <v>1671803.7273639739</v>
      </c>
      <c r="G339" s="173">
        <v>613000</v>
      </c>
      <c r="H339" s="47">
        <v>1000000</v>
      </c>
      <c r="I339" s="171">
        <f t="shared" ref="I339:I349" si="67">H339-G339</f>
        <v>387000</v>
      </c>
      <c r="J339" s="170">
        <f t="shared" ref="J339:J349" si="68">E339+I339</f>
        <v>2058803.7273639739</v>
      </c>
    </row>
    <row r="340" spans="2:10" ht="12.65" customHeight="1">
      <c r="B340" s="33">
        <f>'Update IDR GWM'!A340</f>
        <v>43502</v>
      </c>
      <c r="C340" s="41">
        <v>225920519.72263601</v>
      </c>
      <c r="D340" s="47">
        <v>227592323.44999999</v>
      </c>
      <c r="E340" s="168">
        <f t="shared" si="56"/>
        <v>1671803.7273639739</v>
      </c>
      <c r="G340" s="173">
        <v>613000</v>
      </c>
      <c r="H340" s="47">
        <v>1000000</v>
      </c>
      <c r="I340" s="171">
        <f t="shared" si="67"/>
        <v>387000</v>
      </c>
      <c r="J340" s="170">
        <f t="shared" si="68"/>
        <v>2058803.7273639739</v>
      </c>
    </row>
    <row r="341" spans="2:10" ht="12.65" customHeight="1">
      <c r="B341" s="33">
        <f>'Update IDR GWM'!A341</f>
        <v>43503</v>
      </c>
      <c r="C341" s="41">
        <v>225920519.72263601</v>
      </c>
      <c r="D341" s="47">
        <v>227592323.44999999</v>
      </c>
      <c r="E341" s="168">
        <f t="shared" si="56"/>
        <v>1671803.7273639739</v>
      </c>
      <c r="G341" s="173">
        <v>613000</v>
      </c>
      <c r="H341" s="47">
        <v>1000000</v>
      </c>
      <c r="I341" s="171">
        <f t="shared" si="67"/>
        <v>387000</v>
      </c>
      <c r="J341" s="170">
        <f t="shared" si="68"/>
        <v>2058803.7273639739</v>
      </c>
    </row>
    <row r="342" spans="2:10" ht="12.65" customHeight="1">
      <c r="B342" s="33">
        <f>'Update IDR GWM'!A342</f>
        <v>43504</v>
      </c>
      <c r="C342" s="41">
        <v>225920519.72263601</v>
      </c>
      <c r="D342" s="47">
        <v>227592323.44999999</v>
      </c>
      <c r="E342" s="168">
        <f t="shared" ref="E342:E405" si="69">D342-C342</f>
        <v>1671803.7273639739</v>
      </c>
      <c r="G342" s="173">
        <v>613000</v>
      </c>
      <c r="H342" s="47">
        <v>1000000</v>
      </c>
      <c r="I342" s="171">
        <f t="shared" si="67"/>
        <v>387000</v>
      </c>
      <c r="J342" s="170">
        <f t="shared" si="68"/>
        <v>2058803.7273639739</v>
      </c>
    </row>
    <row r="343" spans="2:10" ht="12.65" customHeight="1">
      <c r="B343" s="33">
        <f>'Update IDR GWM'!A343</f>
        <v>43507</v>
      </c>
      <c r="C343" s="41">
        <v>225920519.72263601</v>
      </c>
      <c r="D343" s="47">
        <v>227592323.44999999</v>
      </c>
      <c r="E343" s="168">
        <f t="shared" si="69"/>
        <v>1671803.7273639739</v>
      </c>
      <c r="G343" s="173">
        <v>613000</v>
      </c>
      <c r="H343" s="47">
        <v>1000000</v>
      </c>
      <c r="I343" s="171">
        <f t="shared" si="67"/>
        <v>387000</v>
      </c>
      <c r="J343" s="170">
        <f t="shared" si="68"/>
        <v>2058803.7273639739</v>
      </c>
    </row>
    <row r="344" spans="2:10" ht="12.65" customHeight="1">
      <c r="B344" s="33">
        <f>'Update IDR GWM'!A344</f>
        <v>43508</v>
      </c>
      <c r="C344" s="41">
        <v>225920519.72263601</v>
      </c>
      <c r="D344" s="47">
        <v>227592323.44999999</v>
      </c>
      <c r="E344" s="168">
        <f t="shared" si="69"/>
        <v>1671803.7273639739</v>
      </c>
      <c r="G344" s="173">
        <v>613000</v>
      </c>
      <c r="H344" s="47">
        <v>1000000</v>
      </c>
      <c r="I344" s="171">
        <f t="shared" si="67"/>
        <v>387000</v>
      </c>
      <c r="J344" s="170">
        <f t="shared" si="68"/>
        <v>2058803.7273639739</v>
      </c>
    </row>
    <row r="345" spans="2:10" ht="12.65" customHeight="1">
      <c r="B345" s="33">
        <f>'Update IDR GWM'!A345</f>
        <v>43509</v>
      </c>
      <c r="C345" s="41">
        <v>225920519.72263601</v>
      </c>
      <c r="D345" s="47">
        <v>227592323.44999999</v>
      </c>
      <c r="E345" s="168">
        <f t="shared" si="69"/>
        <v>1671803.7273639739</v>
      </c>
      <c r="G345" s="173">
        <v>613000</v>
      </c>
      <c r="H345" s="47">
        <v>1000000</v>
      </c>
      <c r="I345" s="171">
        <f t="shared" si="67"/>
        <v>387000</v>
      </c>
      <c r="J345" s="170">
        <f t="shared" si="68"/>
        <v>2058803.7273639739</v>
      </c>
    </row>
    <row r="346" spans="2:10" ht="12.65" customHeight="1">
      <c r="B346" s="33">
        <f>'Update IDR GWM'!A346</f>
        <v>43510</v>
      </c>
      <c r="C346" s="41">
        <v>225920519.72263601</v>
      </c>
      <c r="D346" s="47">
        <v>227592323.44999999</v>
      </c>
      <c r="E346" s="168">
        <f t="shared" si="69"/>
        <v>1671803.7273639739</v>
      </c>
      <c r="G346" s="173">
        <v>613000</v>
      </c>
      <c r="H346" s="47">
        <v>1000000</v>
      </c>
      <c r="I346" s="171">
        <f t="shared" si="67"/>
        <v>387000</v>
      </c>
      <c r="J346" s="170">
        <f t="shared" si="68"/>
        <v>2058803.7273639739</v>
      </c>
    </row>
    <row r="347" spans="2:10" ht="12.65" customHeight="1">
      <c r="B347" s="33">
        <f>'Update IDR GWM'!A347</f>
        <v>43511</v>
      </c>
      <c r="C347" s="41">
        <v>225920519.72263601</v>
      </c>
      <c r="D347" s="47">
        <v>227592323.44999999</v>
      </c>
      <c r="E347" s="168">
        <f t="shared" si="69"/>
        <v>1671803.7273639739</v>
      </c>
      <c r="G347" s="173">
        <v>613000</v>
      </c>
      <c r="H347" s="47">
        <v>1000000</v>
      </c>
      <c r="I347" s="171">
        <f t="shared" si="67"/>
        <v>387000</v>
      </c>
      <c r="J347" s="170">
        <f t="shared" si="68"/>
        <v>2058803.7273639739</v>
      </c>
    </row>
    <row r="348" spans="2:10" ht="12.65" customHeight="1">
      <c r="B348" s="33">
        <f>'Update IDR GWM'!A348</f>
        <v>43514</v>
      </c>
      <c r="C348" s="41">
        <v>217232445.003281</v>
      </c>
      <c r="D348" s="47">
        <v>227592323.44999999</v>
      </c>
      <c r="E348" s="168">
        <f t="shared" si="69"/>
        <v>10359878.446718991</v>
      </c>
      <c r="G348" s="173">
        <v>731000</v>
      </c>
      <c r="H348" s="47">
        <v>1000000</v>
      </c>
      <c r="I348" s="171">
        <f t="shared" si="67"/>
        <v>269000</v>
      </c>
      <c r="J348" s="170">
        <f t="shared" si="68"/>
        <v>10628878.446718991</v>
      </c>
    </row>
    <row r="349" spans="2:10" ht="12.65" customHeight="1">
      <c r="B349" s="33">
        <f>'Update IDR GWM'!A349</f>
        <v>43515</v>
      </c>
      <c r="C349" s="41">
        <v>217232445.003281</v>
      </c>
      <c r="D349" s="47">
        <v>227592323.44999999</v>
      </c>
      <c r="E349" s="168">
        <f t="shared" si="69"/>
        <v>10359878.446718991</v>
      </c>
      <c r="G349" s="173">
        <v>731000</v>
      </c>
      <c r="H349" s="47">
        <v>1000000</v>
      </c>
      <c r="I349" s="171">
        <f t="shared" si="67"/>
        <v>269000</v>
      </c>
      <c r="J349" s="170">
        <f t="shared" si="68"/>
        <v>10628878.446718991</v>
      </c>
    </row>
    <row r="350" spans="2:10" ht="12.65" customHeight="1">
      <c r="B350" s="33">
        <f>'Update IDR GWM'!A350</f>
        <v>43516</v>
      </c>
      <c r="C350" s="41">
        <v>217232445.003281</v>
      </c>
      <c r="D350" s="47">
        <v>227592323.44999999</v>
      </c>
      <c r="E350" s="168">
        <f t="shared" si="69"/>
        <v>10359878.446718991</v>
      </c>
      <c r="G350" s="173">
        <v>731000</v>
      </c>
      <c r="H350" s="47">
        <v>1000000</v>
      </c>
      <c r="I350" s="171">
        <f t="shared" ref="I350:I357" si="70">H350-G350</f>
        <v>269000</v>
      </c>
      <c r="J350" s="170">
        <f t="shared" ref="J350:J357" si="71">E350+I350</f>
        <v>10628878.446718991</v>
      </c>
    </row>
    <row r="351" spans="2:10" ht="12.65" customHeight="1">
      <c r="B351" s="33">
        <f>'Update IDR GWM'!A351</f>
        <v>43517</v>
      </c>
      <c r="C351" s="41">
        <v>217232445.003281</v>
      </c>
      <c r="D351" s="47">
        <v>219092323.44999999</v>
      </c>
      <c r="E351" s="168">
        <f t="shared" si="69"/>
        <v>1859878.4467189908</v>
      </c>
      <c r="G351" s="173">
        <v>731000</v>
      </c>
      <c r="H351" s="47">
        <v>1000000</v>
      </c>
      <c r="I351" s="171">
        <f t="shared" si="70"/>
        <v>269000</v>
      </c>
      <c r="J351" s="170">
        <f t="shared" si="71"/>
        <v>2128878.4467189908</v>
      </c>
    </row>
    <row r="352" spans="2:10" ht="12.65" customHeight="1">
      <c r="B352" s="33">
        <f>'Update IDR GWM'!A352</f>
        <v>43518</v>
      </c>
      <c r="C352" s="41">
        <v>217232445.003281</v>
      </c>
      <c r="D352" s="47">
        <v>219092323.44999999</v>
      </c>
      <c r="E352" s="168">
        <f t="shared" si="69"/>
        <v>1859878.4467189908</v>
      </c>
      <c r="G352" s="173">
        <v>731000</v>
      </c>
      <c r="H352" s="47">
        <v>1000000</v>
      </c>
      <c r="I352" s="171">
        <f t="shared" si="70"/>
        <v>269000</v>
      </c>
      <c r="J352" s="170">
        <f t="shared" si="71"/>
        <v>2128878.4467189908</v>
      </c>
    </row>
    <row r="353" spans="2:10" ht="12.65" customHeight="1">
      <c r="B353" s="33">
        <f>'Update IDR GWM'!A353</f>
        <v>43521</v>
      </c>
      <c r="C353" s="41">
        <v>217232445.003281</v>
      </c>
      <c r="D353" s="47">
        <v>219092323.44999999</v>
      </c>
      <c r="E353" s="168">
        <f t="shared" si="69"/>
        <v>1859878.4467189908</v>
      </c>
      <c r="G353" s="173">
        <v>731000</v>
      </c>
      <c r="H353" s="47">
        <v>1000000</v>
      </c>
      <c r="I353" s="171">
        <f t="shared" si="70"/>
        <v>269000</v>
      </c>
      <c r="J353" s="170">
        <f t="shared" si="71"/>
        <v>2128878.4467189908</v>
      </c>
    </row>
    <row r="354" spans="2:10" ht="12.65" customHeight="1">
      <c r="B354" s="33">
        <f>'Update IDR GWM'!A354</f>
        <v>43522</v>
      </c>
      <c r="C354" s="41">
        <v>217232445.003281</v>
      </c>
      <c r="D354" s="47">
        <v>219092323.44999999</v>
      </c>
      <c r="E354" s="168">
        <f t="shared" si="69"/>
        <v>1859878.4467189908</v>
      </c>
      <c r="G354" s="173">
        <v>731000</v>
      </c>
      <c r="H354" s="47">
        <v>1000000</v>
      </c>
      <c r="I354" s="171">
        <f t="shared" si="70"/>
        <v>269000</v>
      </c>
      <c r="J354" s="170">
        <f t="shared" si="71"/>
        <v>2128878.4467189908</v>
      </c>
    </row>
    <row r="355" spans="2:10" ht="12.65" customHeight="1">
      <c r="B355" s="33">
        <f>'Update IDR GWM'!A355</f>
        <v>43523</v>
      </c>
      <c r="C355" s="41">
        <v>217232445.003281</v>
      </c>
      <c r="D355" s="47">
        <v>239092323.44999999</v>
      </c>
      <c r="E355" s="168">
        <f t="shared" si="69"/>
        <v>21859878.446718991</v>
      </c>
      <c r="G355" s="173">
        <v>731000</v>
      </c>
      <c r="H355" s="47">
        <v>1000000</v>
      </c>
      <c r="I355" s="171">
        <f t="shared" si="70"/>
        <v>269000</v>
      </c>
      <c r="J355" s="170">
        <f t="shared" si="71"/>
        <v>22128878.446718991</v>
      </c>
    </row>
    <row r="356" spans="2:10" ht="12.65" customHeight="1">
      <c r="B356" s="33">
        <f>'Update IDR GWM'!A356</f>
        <v>43524</v>
      </c>
      <c r="C356" s="41">
        <v>217232445.003281</v>
      </c>
      <c r="D356" s="47">
        <v>239092323.44999999</v>
      </c>
      <c r="E356" s="168">
        <f t="shared" si="69"/>
        <v>21859878.446718991</v>
      </c>
      <c r="G356" s="173">
        <v>731000</v>
      </c>
      <c r="H356" s="47">
        <v>1000000</v>
      </c>
      <c r="I356" s="171">
        <f t="shared" si="70"/>
        <v>269000</v>
      </c>
      <c r="J356" s="170">
        <f t="shared" si="71"/>
        <v>22128878.446718991</v>
      </c>
    </row>
    <row r="357" spans="2:10" ht="12.65" customHeight="1">
      <c r="B357" s="33">
        <f>'Update IDR GWM'!A357</f>
        <v>43525</v>
      </c>
      <c r="C357" s="41">
        <v>212225778.80914301</v>
      </c>
      <c r="D357" s="47">
        <v>239592323.44999999</v>
      </c>
      <c r="E357" s="168">
        <f t="shared" si="69"/>
        <v>27366544.640856981</v>
      </c>
      <c r="G357" s="173">
        <v>1371000</v>
      </c>
      <c r="H357" s="47">
        <v>1000000</v>
      </c>
      <c r="I357" s="171">
        <f t="shared" si="70"/>
        <v>-371000</v>
      </c>
      <c r="J357" s="170">
        <f t="shared" si="71"/>
        <v>26995544.640856981</v>
      </c>
    </row>
    <row r="358" spans="2:10" ht="12.65" customHeight="1">
      <c r="B358" s="33">
        <f>'Update IDR GWM'!A358</f>
        <v>43528</v>
      </c>
      <c r="C358" s="41">
        <v>212225778.80914301</v>
      </c>
      <c r="D358" s="47">
        <v>229729904.19999999</v>
      </c>
      <c r="E358" s="168">
        <f t="shared" si="69"/>
        <v>17504125.390856981</v>
      </c>
      <c r="G358" s="173">
        <v>1371000</v>
      </c>
      <c r="H358" s="47">
        <v>1000000</v>
      </c>
      <c r="I358" s="171">
        <f t="shared" ref="I358:I377" si="72">H358-G358</f>
        <v>-371000</v>
      </c>
      <c r="J358" s="170">
        <f t="shared" ref="J358:J377" si="73">E358+I358</f>
        <v>17133125.390856981</v>
      </c>
    </row>
    <row r="359" spans="2:10" ht="12.65" customHeight="1">
      <c r="B359" s="33">
        <f>'Update IDR GWM'!A359</f>
        <v>43529</v>
      </c>
      <c r="C359" s="41">
        <v>212225778.80914301</v>
      </c>
      <c r="D359" s="47">
        <v>215729904.19999999</v>
      </c>
      <c r="E359" s="168">
        <f t="shared" si="69"/>
        <v>3504125.3908569813</v>
      </c>
      <c r="G359" s="173">
        <v>1371000</v>
      </c>
      <c r="H359" s="47">
        <v>1600000</v>
      </c>
      <c r="I359" s="171">
        <f t="shared" si="72"/>
        <v>229000</v>
      </c>
      <c r="J359" s="170">
        <f t="shared" si="73"/>
        <v>3733125.3908569813</v>
      </c>
    </row>
    <row r="360" spans="2:10" ht="12.65" customHeight="1">
      <c r="B360" s="33">
        <f>'Update IDR GWM'!A360</f>
        <v>43530</v>
      </c>
      <c r="C360" s="41">
        <v>212225778.80914301</v>
      </c>
      <c r="D360" s="47">
        <v>215729904.19999999</v>
      </c>
      <c r="E360" s="168">
        <f t="shared" si="69"/>
        <v>3504125.3908569813</v>
      </c>
      <c r="G360" s="173">
        <v>1371000</v>
      </c>
      <c r="H360" s="47">
        <v>1600000</v>
      </c>
      <c r="I360" s="171">
        <f t="shared" si="72"/>
        <v>229000</v>
      </c>
      <c r="J360" s="170">
        <f t="shared" si="73"/>
        <v>3733125.3908569813</v>
      </c>
    </row>
    <row r="361" spans="2:10" ht="12.65" customHeight="1">
      <c r="B361" s="33">
        <f>'Update IDR GWM'!A361</f>
        <v>43531</v>
      </c>
      <c r="C361" s="41">
        <v>212225778.80914301</v>
      </c>
      <c r="E361" s="168">
        <f t="shared" si="69"/>
        <v>-212225778.80914301</v>
      </c>
      <c r="G361" s="173">
        <v>1371000</v>
      </c>
      <c r="I361" s="171">
        <f t="shared" si="72"/>
        <v>-1371000</v>
      </c>
      <c r="J361" s="170">
        <f t="shared" si="73"/>
        <v>-213596778.80914301</v>
      </c>
    </row>
    <row r="362" spans="2:10" ht="12.65" customHeight="1">
      <c r="B362" s="33">
        <f>'Update IDR GWM'!A362</f>
        <v>43532</v>
      </c>
      <c r="C362" s="41">
        <v>212225778.80914301</v>
      </c>
      <c r="D362" s="47">
        <v>215729904.19999999</v>
      </c>
      <c r="E362" s="168">
        <f t="shared" si="69"/>
        <v>3504125.3908569813</v>
      </c>
      <c r="G362" s="173">
        <v>1371000</v>
      </c>
      <c r="H362" s="47">
        <v>1600000</v>
      </c>
      <c r="I362" s="171">
        <f t="shared" si="72"/>
        <v>229000</v>
      </c>
      <c r="J362" s="170">
        <f t="shared" si="73"/>
        <v>3733125.3908569813</v>
      </c>
    </row>
    <row r="363" spans="2:10" ht="12.65" customHeight="1">
      <c r="B363" s="33">
        <f>'Update IDR GWM'!A363</f>
        <v>43535</v>
      </c>
      <c r="C363" s="41">
        <v>212225778.80914301</v>
      </c>
      <c r="D363" s="47">
        <v>215729904.19999999</v>
      </c>
      <c r="E363" s="168">
        <f t="shared" si="69"/>
        <v>3504125.3908569813</v>
      </c>
      <c r="G363" s="173">
        <v>1371000</v>
      </c>
      <c r="H363" s="47">
        <v>1600000</v>
      </c>
      <c r="I363" s="171">
        <f t="shared" si="72"/>
        <v>229000</v>
      </c>
      <c r="J363" s="170">
        <f t="shared" si="73"/>
        <v>3733125.3908569813</v>
      </c>
    </row>
    <row r="364" spans="2:10" ht="12.65" customHeight="1">
      <c r="B364" s="33">
        <f>'Update IDR GWM'!A364</f>
        <v>43536</v>
      </c>
      <c r="C364" s="41">
        <v>212225778.80914301</v>
      </c>
      <c r="D364" s="47">
        <v>215729904.19999999</v>
      </c>
      <c r="E364" s="168">
        <f t="shared" si="69"/>
        <v>3504125.3908569813</v>
      </c>
      <c r="G364" s="173">
        <v>1371000</v>
      </c>
      <c r="H364" s="47">
        <v>1600000</v>
      </c>
      <c r="I364" s="171">
        <f t="shared" si="72"/>
        <v>229000</v>
      </c>
      <c r="J364" s="170">
        <f t="shared" si="73"/>
        <v>3733125.3908569813</v>
      </c>
    </row>
    <row r="365" spans="2:10" ht="12.65" customHeight="1">
      <c r="B365" s="33">
        <f>'Update IDR GWM'!A365</f>
        <v>43537</v>
      </c>
      <c r="C365" s="41">
        <v>212225778.80914301</v>
      </c>
      <c r="D365" s="47">
        <v>215729904.19999999</v>
      </c>
      <c r="E365" s="168">
        <f t="shared" si="69"/>
        <v>3504125.3908569813</v>
      </c>
      <c r="G365" s="173">
        <v>1371000</v>
      </c>
      <c r="H365" s="47">
        <v>1600000</v>
      </c>
      <c r="I365" s="171">
        <f t="shared" si="72"/>
        <v>229000</v>
      </c>
      <c r="J365" s="170">
        <f t="shared" si="73"/>
        <v>3733125.3908569813</v>
      </c>
    </row>
    <row r="366" spans="2:10" ht="12.65" customHeight="1">
      <c r="B366" s="33">
        <f>'Update IDR GWM'!A366</f>
        <v>43538</v>
      </c>
      <c r="C366" s="41">
        <v>212225778.80914301</v>
      </c>
      <c r="D366" s="47">
        <v>215729904.19999999</v>
      </c>
      <c r="E366" s="168">
        <f t="shared" si="69"/>
        <v>3504125.3908569813</v>
      </c>
      <c r="G366" s="173">
        <v>1371000</v>
      </c>
      <c r="H366" s="47">
        <v>1600000</v>
      </c>
      <c r="I366" s="171">
        <f t="shared" si="72"/>
        <v>229000</v>
      </c>
      <c r="J366" s="170">
        <f t="shared" si="73"/>
        <v>3733125.3908569813</v>
      </c>
    </row>
    <row r="367" spans="2:10" ht="12.65" customHeight="1">
      <c r="B367" s="33">
        <f>'Update IDR GWM'!A367</f>
        <v>43539</v>
      </c>
      <c r="C367" s="41">
        <v>212225778.80914301</v>
      </c>
      <c r="D367" s="47">
        <v>215729904.19999999</v>
      </c>
      <c r="E367" s="168">
        <f t="shared" si="69"/>
        <v>3504125.3908569813</v>
      </c>
      <c r="G367" s="173">
        <v>1371000</v>
      </c>
      <c r="H367" s="47">
        <v>1600000</v>
      </c>
      <c r="I367" s="171">
        <f t="shared" si="72"/>
        <v>229000</v>
      </c>
      <c r="J367" s="170">
        <f t="shared" si="73"/>
        <v>3733125.3908569813</v>
      </c>
    </row>
    <row r="368" spans="2:10" ht="12.65" customHeight="1">
      <c r="B368" s="33">
        <f>'Update IDR GWM'!A368</f>
        <v>43542</v>
      </c>
      <c r="C368" s="41">
        <v>204483861.756861</v>
      </c>
      <c r="D368" s="47">
        <v>215729904.19999999</v>
      </c>
      <c r="E368" s="168">
        <f t="shared" si="69"/>
        <v>11246042.443138987</v>
      </c>
      <c r="G368" s="173">
        <v>1467720</v>
      </c>
      <c r="H368" s="47">
        <v>1600000</v>
      </c>
      <c r="I368" s="171">
        <f t="shared" si="72"/>
        <v>132280</v>
      </c>
      <c r="J368" s="170">
        <f t="shared" si="73"/>
        <v>11378322.443138987</v>
      </c>
    </row>
    <row r="369" spans="2:10" ht="12.65" customHeight="1">
      <c r="B369" s="33">
        <f>'Update IDR GWM'!A369</f>
        <v>43543</v>
      </c>
      <c r="C369" s="41">
        <v>204483861.756861</v>
      </c>
      <c r="D369" s="47">
        <v>215729904.19999999</v>
      </c>
      <c r="E369" s="168">
        <f t="shared" si="69"/>
        <v>11246042.443138987</v>
      </c>
      <c r="G369" s="173">
        <v>1467720</v>
      </c>
      <c r="H369" s="47">
        <v>1600000</v>
      </c>
      <c r="I369" s="171">
        <f t="shared" si="72"/>
        <v>132280</v>
      </c>
      <c r="J369" s="170">
        <f t="shared" si="73"/>
        <v>11378322.443138987</v>
      </c>
    </row>
    <row r="370" spans="2:10" ht="12.65" customHeight="1">
      <c r="B370" s="33">
        <f>'Update IDR GWM'!A370</f>
        <v>43544</v>
      </c>
      <c r="C370" s="41">
        <v>204483861.756861</v>
      </c>
      <c r="D370" s="47">
        <v>215729904.19999999</v>
      </c>
      <c r="E370" s="168">
        <f t="shared" si="69"/>
        <v>11246042.443138987</v>
      </c>
      <c r="G370" s="173">
        <v>1467720</v>
      </c>
      <c r="H370" s="47">
        <v>1600000</v>
      </c>
      <c r="I370" s="171">
        <f t="shared" si="72"/>
        <v>132280</v>
      </c>
      <c r="J370" s="170">
        <f t="shared" si="73"/>
        <v>11378322.443138987</v>
      </c>
    </row>
    <row r="371" spans="2:10" ht="12.65" customHeight="1">
      <c r="B371" s="33">
        <f>'Update IDR GWM'!A371</f>
        <v>43545</v>
      </c>
      <c r="C371" s="41">
        <v>204483861.756861</v>
      </c>
      <c r="D371" s="47">
        <v>206729904.19999999</v>
      </c>
      <c r="E371" s="168">
        <f t="shared" si="69"/>
        <v>2246042.4431389868</v>
      </c>
      <c r="G371" s="173">
        <v>1467720</v>
      </c>
      <c r="H371" s="47">
        <v>1600000</v>
      </c>
      <c r="I371" s="171">
        <f t="shared" si="72"/>
        <v>132280</v>
      </c>
      <c r="J371" s="170">
        <f t="shared" si="73"/>
        <v>2378322.4431389868</v>
      </c>
    </row>
    <row r="372" spans="2:10" ht="12.65" customHeight="1">
      <c r="B372" s="33">
        <f>'Update IDR GWM'!A372</f>
        <v>43546</v>
      </c>
      <c r="C372" s="41">
        <v>204483861.756861</v>
      </c>
      <c r="D372" s="47">
        <v>206729904.19999999</v>
      </c>
      <c r="E372" s="168">
        <f t="shared" si="69"/>
        <v>2246042.4431389868</v>
      </c>
      <c r="G372" s="173">
        <v>1467720</v>
      </c>
      <c r="H372" s="47">
        <v>1600000</v>
      </c>
      <c r="I372" s="171">
        <f t="shared" si="72"/>
        <v>132280</v>
      </c>
      <c r="J372" s="170">
        <f t="shared" si="73"/>
        <v>2378322.4431389868</v>
      </c>
    </row>
    <row r="373" spans="2:10" ht="12.65" customHeight="1">
      <c r="B373" s="33">
        <f>'Update IDR GWM'!A373</f>
        <v>43549</v>
      </c>
      <c r="C373" s="41">
        <v>204483861.756861</v>
      </c>
      <c r="D373" s="47">
        <v>206729904.19999999</v>
      </c>
      <c r="E373" s="168">
        <f t="shared" si="69"/>
        <v>2246042.4431389868</v>
      </c>
      <c r="G373" s="173">
        <v>1467720</v>
      </c>
      <c r="H373" s="47">
        <v>1600000</v>
      </c>
      <c r="I373" s="171">
        <f t="shared" si="72"/>
        <v>132280</v>
      </c>
      <c r="J373" s="170">
        <f t="shared" si="73"/>
        <v>2378322.4431389868</v>
      </c>
    </row>
    <row r="374" spans="2:10" ht="12.65" customHeight="1">
      <c r="B374" s="33">
        <f>'Update IDR GWM'!A374</f>
        <v>43550</v>
      </c>
      <c r="C374" s="41">
        <v>204483861.756861</v>
      </c>
      <c r="D374" s="47">
        <v>206729904.19999999</v>
      </c>
      <c r="E374" s="168">
        <f t="shared" si="69"/>
        <v>2246042.4431389868</v>
      </c>
      <c r="G374" s="173">
        <v>1467720</v>
      </c>
      <c r="H374" s="47">
        <v>1600000</v>
      </c>
      <c r="I374" s="171">
        <f t="shared" si="72"/>
        <v>132280</v>
      </c>
      <c r="J374" s="170">
        <f t="shared" si="73"/>
        <v>2378322.4431389868</v>
      </c>
    </row>
    <row r="375" spans="2:10" ht="12.65" customHeight="1">
      <c r="B375" s="33">
        <f>'Update IDR GWM'!A375</f>
        <v>43551</v>
      </c>
      <c r="C375" s="41">
        <v>204483861.756861</v>
      </c>
      <c r="D375" s="47">
        <v>206729904.19999999</v>
      </c>
      <c r="E375" s="168">
        <f t="shared" si="69"/>
        <v>2246042.4431389868</v>
      </c>
      <c r="G375" s="173">
        <v>1467720</v>
      </c>
      <c r="H375" s="47">
        <v>1600000</v>
      </c>
      <c r="I375" s="171">
        <f t="shared" si="72"/>
        <v>132280</v>
      </c>
      <c r="J375" s="170">
        <f t="shared" si="73"/>
        <v>2378322.4431389868</v>
      </c>
    </row>
    <row r="376" spans="2:10" ht="12.65" customHeight="1">
      <c r="B376" s="33">
        <f>'Update IDR GWM'!A376</f>
        <v>43552</v>
      </c>
      <c r="C376" s="41">
        <v>204483861.756861</v>
      </c>
      <c r="D376" s="47">
        <v>206729904.19999999</v>
      </c>
      <c r="E376" s="168">
        <f t="shared" si="69"/>
        <v>2246042.4431389868</v>
      </c>
      <c r="G376" s="173">
        <v>1467720</v>
      </c>
      <c r="H376" s="47">
        <v>2200000</v>
      </c>
      <c r="I376" s="171">
        <f t="shared" si="72"/>
        <v>732280</v>
      </c>
      <c r="J376" s="170">
        <f t="shared" si="73"/>
        <v>2978322.4431389868</v>
      </c>
    </row>
    <row r="377" spans="2:10" ht="12.65" customHeight="1">
      <c r="B377" s="33">
        <f>'Update IDR GWM'!A377</f>
        <v>43553</v>
      </c>
      <c r="C377" s="41">
        <v>204483861.756861</v>
      </c>
      <c r="D377" s="47">
        <v>206729904.19999999</v>
      </c>
      <c r="E377" s="168">
        <f t="shared" si="69"/>
        <v>2246042.4431389868</v>
      </c>
      <c r="G377" s="173">
        <v>1467720</v>
      </c>
      <c r="H377" s="47">
        <v>2200000</v>
      </c>
      <c r="I377" s="171">
        <f t="shared" si="72"/>
        <v>732280</v>
      </c>
      <c r="J377" s="170">
        <f t="shared" si="73"/>
        <v>2978322.4431389868</v>
      </c>
    </row>
    <row r="378" spans="2:10" ht="12.65" customHeight="1">
      <c r="B378" s="33">
        <f>'Update IDR GWM'!A378</f>
        <v>43555</v>
      </c>
      <c r="C378" s="41">
        <v>204483861.756861</v>
      </c>
      <c r="D378" s="47">
        <v>206729904.19999999</v>
      </c>
      <c r="E378" s="168">
        <f>D378-C378</f>
        <v>2246042.4431389868</v>
      </c>
      <c r="G378" s="173">
        <v>1467720</v>
      </c>
      <c r="H378" s="47">
        <v>2200000</v>
      </c>
      <c r="I378" s="171">
        <f>H378-G378</f>
        <v>732280</v>
      </c>
      <c r="J378" s="170">
        <f>E378+I378</f>
        <v>2978322.4431389868</v>
      </c>
    </row>
    <row r="379" spans="2:10" ht="12.65" customHeight="1">
      <c r="B379" s="33">
        <f>'Update IDR GWM'!A379</f>
        <v>43556</v>
      </c>
      <c r="C379" s="41">
        <v>204224990.51331699</v>
      </c>
      <c r="D379" s="47">
        <v>206729904.19999999</v>
      </c>
      <c r="E379" s="168">
        <f t="shared" si="69"/>
        <v>2504913.6866829991</v>
      </c>
      <c r="G379" s="173">
        <v>1934700</v>
      </c>
      <c r="H379" s="47">
        <v>2200000</v>
      </c>
      <c r="I379" s="171">
        <f t="shared" ref="I379:I390" si="74">H379-G379</f>
        <v>265300</v>
      </c>
      <c r="J379" s="170">
        <f t="shared" ref="J379:J390" si="75">E379+I379</f>
        <v>2770213.6866829991</v>
      </c>
    </row>
    <row r="380" spans="2:10" ht="12.65" customHeight="1">
      <c r="B380" s="33">
        <f>'Update IDR GWM'!A380</f>
        <v>43557</v>
      </c>
      <c r="C380" s="41">
        <v>204224990.51331699</v>
      </c>
      <c r="D380" s="47">
        <v>206729904.19999999</v>
      </c>
      <c r="E380" s="168">
        <f t="shared" si="69"/>
        <v>2504913.6866829991</v>
      </c>
      <c r="G380" s="173">
        <v>1934700</v>
      </c>
      <c r="H380" s="47">
        <v>2200000</v>
      </c>
      <c r="I380" s="171">
        <f t="shared" si="74"/>
        <v>265300</v>
      </c>
      <c r="J380" s="170">
        <f t="shared" si="75"/>
        <v>2770213.6866829991</v>
      </c>
    </row>
    <row r="381" spans="2:10" ht="12.65" customHeight="1">
      <c r="B381" s="33">
        <f>'Update IDR GWM'!A381</f>
        <v>43558</v>
      </c>
      <c r="C381" s="41">
        <v>204224990.51331699</v>
      </c>
      <c r="D381" s="88"/>
      <c r="E381" s="168">
        <f t="shared" si="69"/>
        <v>-204224990.51331699</v>
      </c>
      <c r="G381" s="173">
        <v>1934700</v>
      </c>
      <c r="H381" s="88"/>
      <c r="I381" s="171">
        <f t="shared" si="74"/>
        <v>-1934700</v>
      </c>
      <c r="J381" s="170">
        <f t="shared" si="75"/>
        <v>-206159690.51331699</v>
      </c>
    </row>
    <row r="382" spans="2:10" ht="12.65" customHeight="1">
      <c r="B382" s="33">
        <f>'Update IDR GWM'!A382</f>
        <v>43559</v>
      </c>
      <c r="C382" s="41">
        <v>204224990.51331699</v>
      </c>
      <c r="D382" s="47">
        <v>206729904.19999999</v>
      </c>
      <c r="E382" s="168">
        <f t="shared" si="69"/>
        <v>2504913.6866829991</v>
      </c>
      <c r="G382" s="173">
        <v>1934700</v>
      </c>
      <c r="H382" s="47">
        <v>2200000</v>
      </c>
      <c r="I382" s="171">
        <f t="shared" si="74"/>
        <v>265300</v>
      </c>
      <c r="J382" s="170">
        <f t="shared" si="75"/>
        <v>2770213.6866829991</v>
      </c>
    </row>
    <row r="383" spans="2:10" ht="12.65" customHeight="1">
      <c r="B383" s="33">
        <f>'Update IDR GWM'!A383</f>
        <v>43560</v>
      </c>
      <c r="C383" s="41">
        <v>204224990.51331699</v>
      </c>
      <c r="D383" s="47">
        <v>206729904.19999999</v>
      </c>
      <c r="E383" s="168">
        <f t="shared" si="69"/>
        <v>2504913.6866829991</v>
      </c>
      <c r="G383" s="173">
        <v>1934700</v>
      </c>
      <c r="H383" s="47">
        <v>2200000</v>
      </c>
      <c r="I383" s="171">
        <f t="shared" si="74"/>
        <v>265300</v>
      </c>
      <c r="J383" s="170">
        <f t="shared" si="75"/>
        <v>2770213.6866829991</v>
      </c>
    </row>
    <row r="384" spans="2:10" ht="12.65" customHeight="1">
      <c r="B384" s="33">
        <f>'Update IDR GWM'!A384</f>
        <v>43563</v>
      </c>
      <c r="C384" s="41">
        <v>204224990.51331699</v>
      </c>
      <c r="D384" s="47">
        <v>206729904.19999999</v>
      </c>
      <c r="E384" s="168">
        <f t="shared" si="69"/>
        <v>2504913.6866829991</v>
      </c>
      <c r="G384" s="173">
        <v>1934700</v>
      </c>
      <c r="H384" s="47">
        <v>2200000</v>
      </c>
      <c r="I384" s="171">
        <f t="shared" si="74"/>
        <v>265300</v>
      </c>
      <c r="J384" s="170">
        <f t="shared" si="75"/>
        <v>2770213.6866829991</v>
      </c>
    </row>
    <row r="385" spans="2:10" ht="12.65" customHeight="1">
      <c r="B385" s="33">
        <f>'Update IDR GWM'!A385</f>
        <v>43564</v>
      </c>
      <c r="C385" s="41">
        <v>204224990.51331699</v>
      </c>
      <c r="D385" s="47">
        <v>206729904.19999999</v>
      </c>
      <c r="E385" s="168">
        <f t="shared" si="69"/>
        <v>2504913.6866829991</v>
      </c>
      <c r="G385" s="173">
        <v>1934700</v>
      </c>
      <c r="H385" s="47">
        <v>2200000</v>
      </c>
      <c r="I385" s="171">
        <f t="shared" si="74"/>
        <v>265300</v>
      </c>
      <c r="J385" s="170">
        <f t="shared" si="75"/>
        <v>2770213.6866829991</v>
      </c>
    </row>
    <row r="386" spans="2:10" ht="12.65" customHeight="1">
      <c r="B386" s="33">
        <f>'Update IDR GWM'!A386</f>
        <v>43565</v>
      </c>
      <c r="C386" s="41">
        <v>204224990.51331699</v>
      </c>
      <c r="D386" s="47">
        <v>206729904.19999999</v>
      </c>
      <c r="E386" s="168">
        <f t="shared" si="69"/>
        <v>2504913.6866829991</v>
      </c>
      <c r="G386" s="173">
        <v>1934700</v>
      </c>
      <c r="H386" s="47">
        <v>2200000</v>
      </c>
      <c r="I386" s="171">
        <f t="shared" si="74"/>
        <v>265300</v>
      </c>
      <c r="J386" s="170">
        <f t="shared" si="75"/>
        <v>2770213.6866829991</v>
      </c>
    </row>
    <row r="387" spans="2:10" ht="12.65" customHeight="1">
      <c r="B387" s="33">
        <f>'Update IDR GWM'!A387</f>
        <v>43566</v>
      </c>
      <c r="C387" s="41">
        <v>204224990.51331699</v>
      </c>
      <c r="D387" s="47">
        <v>206729904.19999999</v>
      </c>
      <c r="E387" s="168">
        <f t="shared" si="69"/>
        <v>2504913.6866829991</v>
      </c>
      <c r="G387" s="173">
        <v>1934700</v>
      </c>
      <c r="H387" s="47">
        <v>2200000</v>
      </c>
      <c r="I387" s="171">
        <f t="shared" si="74"/>
        <v>265300</v>
      </c>
      <c r="J387" s="170">
        <f t="shared" si="75"/>
        <v>2770213.6866829991</v>
      </c>
    </row>
    <row r="388" spans="2:10" ht="12.65" customHeight="1">
      <c r="B388" s="33">
        <f>'Update IDR GWM'!A388</f>
        <v>43567</v>
      </c>
      <c r="C388" s="41">
        <v>204224990.51331699</v>
      </c>
      <c r="D388" s="47">
        <v>206729904.19999999</v>
      </c>
      <c r="E388" s="168">
        <f t="shared" si="69"/>
        <v>2504913.6866829991</v>
      </c>
      <c r="G388" s="173">
        <v>1934700</v>
      </c>
      <c r="H388" s="47">
        <v>2200000</v>
      </c>
      <c r="I388" s="171">
        <f t="shared" si="74"/>
        <v>265300</v>
      </c>
      <c r="J388" s="170">
        <f t="shared" si="75"/>
        <v>2770213.6866829991</v>
      </c>
    </row>
    <row r="389" spans="2:10" ht="12.65" customHeight="1">
      <c r="B389" s="33">
        <f>'Update IDR GWM'!A389</f>
        <v>43570</v>
      </c>
      <c r="C389" s="41">
        <v>204224990.51331699</v>
      </c>
      <c r="D389" s="47">
        <v>206729904.19999999</v>
      </c>
      <c r="E389" s="168">
        <f t="shared" si="69"/>
        <v>2504913.6866829991</v>
      </c>
      <c r="G389" s="173">
        <v>1934700</v>
      </c>
      <c r="H389" s="47">
        <v>2200000</v>
      </c>
      <c r="I389" s="171">
        <f t="shared" si="74"/>
        <v>265300</v>
      </c>
      <c r="J389" s="170">
        <f t="shared" si="75"/>
        <v>2770213.6866829991</v>
      </c>
    </row>
    <row r="390" spans="2:10" ht="12.65" customHeight="1">
      <c r="B390" s="33">
        <f>'Update IDR GWM'!A390</f>
        <v>43571</v>
      </c>
      <c r="C390" s="41">
        <v>215023547.40679401</v>
      </c>
      <c r="D390" s="47">
        <v>217729904.19999999</v>
      </c>
      <c r="E390" s="168">
        <f t="shared" si="69"/>
        <v>2706356.7932059765</v>
      </c>
      <c r="G390" s="173">
        <v>1895690</v>
      </c>
      <c r="H390" s="47">
        <v>2200000</v>
      </c>
      <c r="I390" s="171">
        <f t="shared" si="74"/>
        <v>304310</v>
      </c>
      <c r="J390" s="170">
        <f t="shared" si="75"/>
        <v>3010666.7932059765</v>
      </c>
    </row>
    <row r="391" spans="2:10" ht="12.65" customHeight="1">
      <c r="B391" s="33">
        <f>'Update IDR GWM'!A391</f>
        <v>43572</v>
      </c>
      <c r="C391" s="41">
        <v>215023547.40679401</v>
      </c>
      <c r="D391" s="88"/>
      <c r="E391" s="168">
        <f t="shared" si="69"/>
        <v>-215023547.40679401</v>
      </c>
      <c r="G391" s="173">
        <v>1895690</v>
      </c>
      <c r="H391" s="88"/>
      <c r="I391" s="171">
        <f t="shared" ref="I391:I400" si="76">H391-G391</f>
        <v>-1895690</v>
      </c>
      <c r="J391" s="170">
        <f t="shared" ref="J391:J400" si="77">E391+I391</f>
        <v>-216919237.40679401</v>
      </c>
    </row>
    <row r="392" spans="2:10" ht="12.65" customHeight="1">
      <c r="B392" s="33">
        <f>'Update IDR GWM'!A392</f>
        <v>43573</v>
      </c>
      <c r="C392" s="41">
        <v>215023547.40679401</v>
      </c>
      <c r="D392" s="47">
        <v>217729904.19999999</v>
      </c>
      <c r="E392" s="168">
        <f t="shared" si="69"/>
        <v>2706356.7932059765</v>
      </c>
      <c r="G392" s="173">
        <v>1895690</v>
      </c>
      <c r="H392" s="47">
        <v>2200000</v>
      </c>
      <c r="I392" s="171">
        <f t="shared" si="76"/>
        <v>304310</v>
      </c>
      <c r="J392" s="170">
        <f t="shared" si="77"/>
        <v>3010666.7932059765</v>
      </c>
    </row>
    <row r="393" spans="2:10" ht="12.65" customHeight="1">
      <c r="B393" s="33">
        <f>'Update IDR GWM'!A393</f>
        <v>43574</v>
      </c>
      <c r="C393" s="41">
        <v>215023547.40679401</v>
      </c>
      <c r="D393" s="88"/>
      <c r="E393" s="168">
        <f t="shared" si="69"/>
        <v>-215023547.40679401</v>
      </c>
      <c r="G393" s="173">
        <v>1895690</v>
      </c>
      <c r="H393" s="88"/>
      <c r="I393" s="171">
        <f t="shared" si="76"/>
        <v>-1895690</v>
      </c>
      <c r="J393" s="170">
        <f t="shared" si="77"/>
        <v>-216919237.40679401</v>
      </c>
    </row>
    <row r="394" spans="2:10" ht="12.65" customHeight="1">
      <c r="B394" s="33">
        <f>'Update IDR GWM'!A394</f>
        <v>43577</v>
      </c>
      <c r="C394" s="41">
        <v>215023547.40679401</v>
      </c>
      <c r="D394" s="47">
        <v>217729904.19999999</v>
      </c>
      <c r="E394" s="168">
        <f t="shared" si="69"/>
        <v>2706356.7932059765</v>
      </c>
      <c r="G394" s="173">
        <v>1895690</v>
      </c>
      <c r="H394" s="47">
        <v>2200000</v>
      </c>
      <c r="I394" s="171">
        <f t="shared" si="76"/>
        <v>304310</v>
      </c>
      <c r="J394" s="170">
        <f t="shared" si="77"/>
        <v>3010666.7932059765</v>
      </c>
    </row>
    <row r="395" spans="2:10" ht="12.65" customHeight="1">
      <c r="B395" s="33">
        <f>'Update IDR GWM'!A395</f>
        <v>43578</v>
      </c>
      <c r="C395" s="41">
        <v>215023547.40679401</v>
      </c>
      <c r="D395" s="47">
        <v>217729904.19999999</v>
      </c>
      <c r="E395" s="168">
        <f t="shared" si="69"/>
        <v>2706356.7932059765</v>
      </c>
      <c r="G395" s="173">
        <v>1895690</v>
      </c>
      <c r="H395" s="47">
        <v>2200000</v>
      </c>
      <c r="I395" s="171">
        <f t="shared" si="76"/>
        <v>304310</v>
      </c>
      <c r="J395" s="170">
        <f t="shared" si="77"/>
        <v>3010666.7932059765</v>
      </c>
    </row>
    <row r="396" spans="2:10" ht="12.65" customHeight="1">
      <c r="B396" s="33">
        <f>'Update IDR GWM'!A396</f>
        <v>43579</v>
      </c>
      <c r="C396" s="41">
        <v>215023547.40679401</v>
      </c>
      <c r="D396" s="47">
        <v>217729904.19999999</v>
      </c>
      <c r="E396" s="168">
        <f t="shared" si="69"/>
        <v>2706356.7932059765</v>
      </c>
      <c r="G396" s="173">
        <v>1895690</v>
      </c>
      <c r="H396" s="47">
        <v>2200000</v>
      </c>
      <c r="I396" s="171">
        <f t="shared" si="76"/>
        <v>304310</v>
      </c>
      <c r="J396" s="170">
        <f t="shared" si="77"/>
        <v>3010666.7932059765</v>
      </c>
    </row>
    <row r="397" spans="2:10" ht="12.65" customHeight="1">
      <c r="B397" s="33">
        <f>'Update IDR GWM'!A397</f>
        <v>43580</v>
      </c>
      <c r="C397" s="41">
        <v>215023547.40679401</v>
      </c>
      <c r="D397" s="47">
        <v>217729904.19999999</v>
      </c>
      <c r="E397" s="168">
        <f t="shared" si="69"/>
        <v>2706356.7932059765</v>
      </c>
      <c r="G397" s="173">
        <v>1895690</v>
      </c>
      <c r="H397" s="47">
        <v>2200000</v>
      </c>
      <c r="I397" s="171">
        <f t="shared" si="76"/>
        <v>304310</v>
      </c>
      <c r="J397" s="170">
        <f t="shared" si="77"/>
        <v>3010666.7932059765</v>
      </c>
    </row>
    <row r="398" spans="2:10" ht="12.65" customHeight="1">
      <c r="B398" s="33">
        <f>'Update IDR GWM'!A398</f>
        <v>43581</v>
      </c>
      <c r="C398" s="41">
        <v>215023547.40679401</v>
      </c>
      <c r="D398" s="47">
        <v>217729904.19999999</v>
      </c>
      <c r="E398" s="168">
        <f t="shared" si="69"/>
        <v>2706356.7932059765</v>
      </c>
      <c r="G398" s="173">
        <v>1895690</v>
      </c>
      <c r="H398" s="47">
        <v>2200000</v>
      </c>
      <c r="I398" s="171">
        <f t="shared" si="76"/>
        <v>304310</v>
      </c>
      <c r="J398" s="170">
        <f t="shared" si="77"/>
        <v>3010666.7932059765</v>
      </c>
    </row>
    <row r="399" spans="2:10" ht="12.65" customHeight="1">
      <c r="B399" s="33">
        <f>'Update IDR GWM'!A399</f>
        <v>43584</v>
      </c>
      <c r="C399" s="41">
        <v>215023547.40679401</v>
      </c>
      <c r="D399" s="47">
        <v>217729904.19999999</v>
      </c>
      <c r="E399" s="168">
        <f t="shared" si="69"/>
        <v>2706356.7932059765</v>
      </c>
      <c r="G399" s="173">
        <v>1895690</v>
      </c>
      <c r="H399" s="47">
        <v>2200000</v>
      </c>
      <c r="I399" s="171">
        <f t="shared" si="76"/>
        <v>304310</v>
      </c>
      <c r="J399" s="170">
        <f t="shared" si="77"/>
        <v>3010666.7932059765</v>
      </c>
    </row>
    <row r="400" spans="2:10" ht="12.65" customHeight="1">
      <c r="B400" s="33">
        <f>'Update IDR GWM'!A400</f>
        <v>43585</v>
      </c>
      <c r="C400" s="41">
        <v>215023547.40679401</v>
      </c>
      <c r="D400" s="47">
        <v>217729904.19999999</v>
      </c>
      <c r="E400" s="168">
        <f t="shared" si="69"/>
        <v>2706356.7932059765</v>
      </c>
      <c r="G400" s="173">
        <v>1895690</v>
      </c>
      <c r="H400" s="47">
        <v>2200000</v>
      </c>
      <c r="I400" s="171">
        <f t="shared" si="76"/>
        <v>304310</v>
      </c>
      <c r="J400" s="170">
        <f t="shared" si="77"/>
        <v>3010666.7932059765</v>
      </c>
    </row>
    <row r="401" spans="2:10" ht="12.65" customHeight="1">
      <c r="B401" s="33">
        <f>'Update IDR GWM'!A401</f>
        <v>43586</v>
      </c>
      <c r="C401" s="41">
        <v>209826502.89498299</v>
      </c>
      <c r="D401" s="88"/>
      <c r="E401" s="168">
        <f t="shared" si="69"/>
        <v>-209826502.89498299</v>
      </c>
      <c r="G401" s="173">
        <v>1636500</v>
      </c>
      <c r="H401" s="88"/>
      <c r="I401" s="171">
        <f t="shared" ref="I401:I411" si="78">H401-G401</f>
        <v>-1636500</v>
      </c>
      <c r="J401" s="170">
        <f t="shared" ref="J401:J411" si="79">E401+I401</f>
        <v>-211463002.89498299</v>
      </c>
    </row>
    <row r="402" spans="2:10" ht="12.65" customHeight="1">
      <c r="B402" s="33">
        <f>'Update IDR GWM'!A402</f>
        <v>43587</v>
      </c>
      <c r="C402" s="41">
        <v>209826502.89498299</v>
      </c>
      <c r="D402" s="47">
        <v>217729904.19999999</v>
      </c>
      <c r="E402" s="168">
        <f t="shared" si="69"/>
        <v>7903401.3050169945</v>
      </c>
      <c r="G402" s="173">
        <v>1636500</v>
      </c>
      <c r="H402" s="47">
        <v>2200000</v>
      </c>
      <c r="I402" s="171">
        <f t="shared" si="78"/>
        <v>563500</v>
      </c>
      <c r="J402" s="170">
        <f t="shared" si="79"/>
        <v>8466901.3050169945</v>
      </c>
    </row>
    <row r="403" spans="2:10" ht="12.65" customHeight="1">
      <c r="B403" s="33">
        <f>'Update IDR GWM'!A403</f>
        <v>43588</v>
      </c>
      <c r="C403" s="41">
        <v>209826502.89498299</v>
      </c>
      <c r="D403" s="47">
        <v>217729904.19999999</v>
      </c>
      <c r="E403" s="168">
        <f t="shared" si="69"/>
        <v>7903401.3050169945</v>
      </c>
      <c r="G403" s="173">
        <v>1636500</v>
      </c>
      <c r="H403" s="47">
        <v>2200000</v>
      </c>
      <c r="I403" s="171">
        <f t="shared" si="78"/>
        <v>563500</v>
      </c>
      <c r="J403" s="170">
        <f t="shared" si="79"/>
        <v>8466901.3050169945</v>
      </c>
    </row>
    <row r="404" spans="2:10" ht="12.65" customHeight="1">
      <c r="B404" s="33">
        <f>'Update IDR GWM'!A404</f>
        <v>43591</v>
      </c>
      <c r="C404" s="41">
        <v>209826502.89498299</v>
      </c>
      <c r="D404" s="47">
        <v>217729904.19999999</v>
      </c>
      <c r="E404" s="168">
        <f t="shared" si="69"/>
        <v>7903401.3050169945</v>
      </c>
      <c r="G404" s="173">
        <v>1636500</v>
      </c>
      <c r="H404" s="47">
        <v>2200000</v>
      </c>
      <c r="I404" s="171">
        <f t="shared" si="78"/>
        <v>563500</v>
      </c>
      <c r="J404" s="170">
        <f t="shared" si="79"/>
        <v>8466901.3050169945</v>
      </c>
    </row>
    <row r="405" spans="2:10" ht="12.65" customHeight="1">
      <c r="B405" s="33">
        <f>'Update IDR GWM'!A405</f>
        <v>43592</v>
      </c>
      <c r="C405" s="41">
        <v>209826502.89498299</v>
      </c>
      <c r="D405" s="47">
        <v>212729904.19999999</v>
      </c>
      <c r="E405" s="168">
        <f t="shared" si="69"/>
        <v>2903401.3050169945</v>
      </c>
      <c r="G405" s="173">
        <v>1636500</v>
      </c>
      <c r="H405" s="47">
        <v>2200000</v>
      </c>
      <c r="I405" s="171">
        <f t="shared" si="78"/>
        <v>563500</v>
      </c>
      <c r="J405" s="170">
        <f t="shared" si="79"/>
        <v>3466901.3050169945</v>
      </c>
    </row>
    <row r="406" spans="2:10" ht="12.65" customHeight="1">
      <c r="B406" s="33">
        <f>'Update IDR GWM'!A406</f>
        <v>43593</v>
      </c>
      <c r="C406" s="41">
        <v>209826502.89498299</v>
      </c>
      <c r="D406" s="47">
        <v>212729904.19999999</v>
      </c>
      <c r="E406" s="168">
        <f t="shared" ref="E406:E469" si="80">D406-C406</f>
        <v>2903401.3050169945</v>
      </c>
      <c r="G406" s="173">
        <v>1636500</v>
      </c>
      <c r="H406" s="47">
        <v>2200000</v>
      </c>
      <c r="I406" s="171">
        <f t="shared" si="78"/>
        <v>563500</v>
      </c>
      <c r="J406" s="170">
        <f t="shared" si="79"/>
        <v>3466901.3050169945</v>
      </c>
    </row>
    <row r="407" spans="2:10" ht="12.65" customHeight="1">
      <c r="B407" s="33">
        <f>'Update IDR GWM'!A407</f>
        <v>43594</v>
      </c>
      <c r="C407" s="41">
        <v>209826502.89498299</v>
      </c>
      <c r="D407" s="47">
        <v>212729904.19999999</v>
      </c>
      <c r="E407" s="168">
        <f t="shared" si="80"/>
        <v>2903401.3050169945</v>
      </c>
      <c r="G407" s="173">
        <v>1636500</v>
      </c>
      <c r="H407" s="47">
        <v>2200000</v>
      </c>
      <c r="I407" s="171">
        <f t="shared" si="78"/>
        <v>563500</v>
      </c>
      <c r="J407" s="170">
        <f t="shared" si="79"/>
        <v>3466901.3050169945</v>
      </c>
    </row>
    <row r="408" spans="2:10" ht="12.65" customHeight="1">
      <c r="B408" s="33">
        <f>'Update IDR GWM'!A408</f>
        <v>43595</v>
      </c>
      <c r="C408" s="41">
        <v>209826502.89498299</v>
      </c>
      <c r="D408" s="47">
        <v>212729904.19999999</v>
      </c>
      <c r="E408" s="168">
        <f t="shared" si="80"/>
        <v>2903401.3050169945</v>
      </c>
      <c r="G408" s="173">
        <v>1636500</v>
      </c>
      <c r="H408" s="47">
        <v>2200000</v>
      </c>
      <c r="I408" s="171">
        <f t="shared" si="78"/>
        <v>563500</v>
      </c>
      <c r="J408" s="170">
        <f t="shared" si="79"/>
        <v>3466901.3050169945</v>
      </c>
    </row>
    <row r="409" spans="2:10" ht="12.65" customHeight="1">
      <c r="B409" s="33">
        <f>'Update IDR GWM'!A409</f>
        <v>43598</v>
      </c>
      <c r="C409" s="41">
        <v>209826502.89498299</v>
      </c>
      <c r="D409" s="47">
        <v>212729904.19999999</v>
      </c>
      <c r="E409" s="168">
        <f t="shared" si="80"/>
        <v>2903401.3050169945</v>
      </c>
      <c r="G409" s="173">
        <v>1636500</v>
      </c>
      <c r="H409" s="47">
        <v>2200000</v>
      </c>
      <c r="I409" s="171">
        <f t="shared" si="78"/>
        <v>563500</v>
      </c>
      <c r="J409" s="170">
        <f t="shared" si="79"/>
        <v>3466901.3050169945</v>
      </c>
    </row>
    <row r="410" spans="2:10" ht="12.65" customHeight="1">
      <c r="B410" s="33">
        <f>'Update IDR GWM'!A410</f>
        <v>43599</v>
      </c>
      <c r="C410" s="41">
        <v>209826502.89498299</v>
      </c>
      <c r="D410" s="47">
        <v>212729904.19999999</v>
      </c>
      <c r="E410" s="168">
        <f t="shared" si="80"/>
        <v>2903401.3050169945</v>
      </c>
      <c r="G410" s="173">
        <v>1636500</v>
      </c>
      <c r="H410" s="47">
        <v>2200000</v>
      </c>
      <c r="I410" s="171">
        <f t="shared" si="78"/>
        <v>563500</v>
      </c>
      <c r="J410" s="170">
        <f t="shared" si="79"/>
        <v>3466901.3050169945</v>
      </c>
    </row>
    <row r="411" spans="2:10" ht="12.65" customHeight="1">
      <c r="B411" s="33">
        <f>'Update IDR GWM'!A411</f>
        <v>43600</v>
      </c>
      <c r="C411" s="41">
        <v>209826502.89498299</v>
      </c>
      <c r="D411" s="47">
        <v>214754904.19999999</v>
      </c>
      <c r="E411" s="168">
        <f t="shared" si="80"/>
        <v>4928401.3050169945</v>
      </c>
      <c r="G411" s="173">
        <v>1636500</v>
      </c>
      <c r="H411" s="47">
        <v>2200000</v>
      </c>
      <c r="I411" s="171">
        <f t="shared" si="78"/>
        <v>563500</v>
      </c>
      <c r="J411" s="170">
        <f t="shared" si="79"/>
        <v>5491901.3050169945</v>
      </c>
    </row>
    <row r="412" spans="2:10" ht="12.65" customHeight="1">
      <c r="B412" s="33">
        <f>'Update IDR GWM'!A412</f>
        <v>43601</v>
      </c>
      <c r="C412" s="41">
        <v>205843041.49713299</v>
      </c>
      <c r="D412" s="47">
        <v>214754904.19999999</v>
      </c>
      <c r="E412" s="168">
        <f t="shared" si="80"/>
        <v>8911862.7028670013</v>
      </c>
      <c r="G412" s="173">
        <v>1641500</v>
      </c>
      <c r="H412" s="47">
        <v>2200000</v>
      </c>
      <c r="I412" s="171">
        <f t="shared" ref="I412:I423" si="81">H412-G412</f>
        <v>558500</v>
      </c>
      <c r="J412" s="170">
        <f t="shared" ref="J412:J423" si="82">E412+I412</f>
        <v>9470362.7028670013</v>
      </c>
    </row>
    <row r="413" spans="2:10" ht="12.65" customHeight="1">
      <c r="B413" s="33">
        <f>'Update IDR GWM'!A413</f>
        <v>43602</v>
      </c>
      <c r="C413" s="41">
        <v>205843041.49713299</v>
      </c>
      <c r="D413" s="47">
        <v>214754904.19999999</v>
      </c>
      <c r="E413" s="168">
        <f t="shared" si="80"/>
        <v>8911862.7028670013</v>
      </c>
      <c r="G413" s="173">
        <v>1641500</v>
      </c>
      <c r="H413" s="47">
        <v>2200000</v>
      </c>
      <c r="I413" s="171">
        <f t="shared" si="81"/>
        <v>558500</v>
      </c>
      <c r="J413" s="170">
        <f t="shared" si="82"/>
        <v>9470362.7028670013</v>
      </c>
    </row>
    <row r="414" spans="2:10" ht="12.65" customHeight="1">
      <c r="B414" s="33">
        <f>'Update IDR GWM'!A414</f>
        <v>43605</v>
      </c>
      <c r="C414" s="41">
        <v>205843041.49713299</v>
      </c>
      <c r="D414" s="47">
        <v>212729904.19999999</v>
      </c>
      <c r="E414" s="168">
        <f t="shared" si="80"/>
        <v>6886862.7028670013</v>
      </c>
      <c r="G414" s="173">
        <v>1641500</v>
      </c>
      <c r="H414" s="47">
        <v>2200000</v>
      </c>
      <c r="I414" s="171">
        <f t="shared" si="81"/>
        <v>558500</v>
      </c>
      <c r="J414" s="170">
        <f t="shared" si="82"/>
        <v>7445362.7028670013</v>
      </c>
    </row>
    <row r="415" spans="2:10" ht="12.65" customHeight="1">
      <c r="B415" s="33">
        <f>'Update IDR GWM'!A415</f>
        <v>43606</v>
      </c>
      <c r="C415" s="41">
        <v>205843041.49713299</v>
      </c>
      <c r="D415" s="47">
        <v>212729904.19999999</v>
      </c>
      <c r="E415" s="168">
        <f t="shared" si="80"/>
        <v>6886862.7028670013</v>
      </c>
      <c r="G415" s="173">
        <v>1641500</v>
      </c>
      <c r="H415" s="47">
        <v>2200000</v>
      </c>
      <c r="I415" s="171">
        <f t="shared" si="81"/>
        <v>558500</v>
      </c>
      <c r="J415" s="170">
        <f t="shared" si="82"/>
        <v>7445362.7028670013</v>
      </c>
    </row>
    <row r="416" spans="2:10" ht="12.65" customHeight="1">
      <c r="B416" s="33">
        <f>'Update IDR GWM'!A416</f>
        <v>43607</v>
      </c>
      <c r="C416" s="41">
        <v>205843041.49713299</v>
      </c>
      <c r="D416" s="47">
        <v>212729904.19999999</v>
      </c>
      <c r="E416" s="168">
        <f t="shared" si="80"/>
        <v>6886862.7028670013</v>
      </c>
      <c r="G416" s="173">
        <v>1641500</v>
      </c>
      <c r="H416" s="47">
        <v>2200000</v>
      </c>
      <c r="I416" s="171">
        <f t="shared" si="81"/>
        <v>558500</v>
      </c>
      <c r="J416" s="170">
        <f t="shared" si="82"/>
        <v>7445362.7028670013</v>
      </c>
    </row>
    <row r="417" spans="2:10" ht="12.65" customHeight="1">
      <c r="B417" s="33">
        <f>'Update IDR GWM'!A417</f>
        <v>43608</v>
      </c>
      <c r="C417" s="41">
        <v>205843041.49713299</v>
      </c>
      <c r="D417" s="47">
        <v>207729904.19999999</v>
      </c>
      <c r="E417" s="168">
        <f t="shared" si="80"/>
        <v>1886862.7028670013</v>
      </c>
      <c r="G417" s="173">
        <v>1641500</v>
      </c>
      <c r="H417" s="47">
        <v>2200000</v>
      </c>
      <c r="I417" s="171">
        <f t="shared" si="81"/>
        <v>558500</v>
      </c>
      <c r="J417" s="170">
        <f t="shared" si="82"/>
        <v>2445362.7028670013</v>
      </c>
    </row>
    <row r="418" spans="2:10" ht="12.65" customHeight="1">
      <c r="B418" s="33">
        <f>'Update IDR GWM'!A418</f>
        <v>43609</v>
      </c>
      <c r="C418" s="41">
        <v>205843041.49713299</v>
      </c>
      <c r="D418" s="47">
        <v>207729904.19999999</v>
      </c>
      <c r="E418" s="168">
        <f t="shared" si="80"/>
        <v>1886862.7028670013</v>
      </c>
      <c r="G418" s="173">
        <v>1641500</v>
      </c>
      <c r="H418" s="47">
        <v>2200000</v>
      </c>
      <c r="I418" s="171">
        <f t="shared" si="81"/>
        <v>558500</v>
      </c>
      <c r="J418" s="170">
        <f t="shared" si="82"/>
        <v>2445362.7028670013</v>
      </c>
    </row>
    <row r="419" spans="2:10" ht="12.65" customHeight="1">
      <c r="B419" s="33">
        <f>'Update IDR GWM'!A419</f>
        <v>43612</v>
      </c>
      <c r="C419" s="41">
        <v>205843041.49713299</v>
      </c>
      <c r="D419" s="47">
        <v>207729904.19999999</v>
      </c>
      <c r="E419" s="168">
        <f t="shared" si="80"/>
        <v>1886862.7028670013</v>
      </c>
      <c r="G419" s="173">
        <v>1641500</v>
      </c>
      <c r="H419" s="47">
        <v>2200000</v>
      </c>
      <c r="I419" s="171">
        <f t="shared" si="81"/>
        <v>558500</v>
      </c>
      <c r="J419" s="170">
        <f t="shared" si="82"/>
        <v>2445362.7028670013</v>
      </c>
    </row>
    <row r="420" spans="2:10" ht="12.65" customHeight="1">
      <c r="B420" s="33">
        <f>'Update IDR GWM'!A420</f>
        <v>43613</v>
      </c>
      <c r="C420" s="41">
        <v>205843041.49713299</v>
      </c>
      <c r="D420" s="47">
        <v>207729904.19999999</v>
      </c>
      <c r="E420" s="168">
        <f t="shared" si="80"/>
        <v>1886862.7028670013</v>
      </c>
      <c r="G420" s="173">
        <v>1641500</v>
      </c>
      <c r="H420" s="47">
        <v>2200000</v>
      </c>
      <c r="I420" s="171">
        <f t="shared" si="81"/>
        <v>558500</v>
      </c>
      <c r="J420" s="170">
        <f t="shared" si="82"/>
        <v>2445362.7028670013</v>
      </c>
    </row>
    <row r="421" spans="2:10" ht="12.65" customHeight="1">
      <c r="B421" s="33">
        <f>'Update IDR GWM'!A421</f>
        <v>43614</v>
      </c>
      <c r="C421" s="41">
        <v>205843041.49713299</v>
      </c>
      <c r="D421" s="47">
        <v>207729904.19999999</v>
      </c>
      <c r="E421" s="168">
        <f t="shared" si="80"/>
        <v>1886862.7028670013</v>
      </c>
      <c r="G421" s="173">
        <v>1641500</v>
      </c>
      <c r="H421" s="47">
        <v>2200000</v>
      </c>
      <c r="I421" s="171">
        <f t="shared" si="81"/>
        <v>558500</v>
      </c>
      <c r="J421" s="170">
        <f t="shared" si="82"/>
        <v>2445362.7028670013</v>
      </c>
    </row>
    <row r="422" spans="2:10" ht="12.65" customHeight="1">
      <c r="B422" s="33">
        <f>'Update IDR GWM'!A422</f>
        <v>43615</v>
      </c>
      <c r="C422" s="41">
        <v>205843041.49713299</v>
      </c>
      <c r="E422" s="168">
        <f t="shared" si="80"/>
        <v>-205843041.49713299</v>
      </c>
      <c r="G422" s="173">
        <v>1641500</v>
      </c>
      <c r="I422" s="171">
        <f t="shared" si="81"/>
        <v>-1641500</v>
      </c>
      <c r="J422" s="170">
        <f t="shared" si="82"/>
        <v>-207484541.49713299</v>
      </c>
    </row>
    <row r="423" spans="2:10" ht="12.65" customHeight="1">
      <c r="B423" s="33">
        <f>'Update IDR GWM'!A423</f>
        <v>43616</v>
      </c>
      <c r="C423" s="41">
        <v>205843041.49713299</v>
      </c>
      <c r="D423" s="47">
        <v>207729904.19999999</v>
      </c>
      <c r="E423" s="168">
        <f t="shared" si="80"/>
        <v>1886862.7028670013</v>
      </c>
      <c r="G423" s="173">
        <v>1641500</v>
      </c>
      <c r="H423" s="47">
        <v>2200000</v>
      </c>
      <c r="I423" s="171">
        <f t="shared" si="81"/>
        <v>558500</v>
      </c>
      <c r="J423" s="170">
        <f t="shared" si="82"/>
        <v>2445362.7028670013</v>
      </c>
    </row>
    <row r="424" spans="2:10" ht="12.65" customHeight="1">
      <c r="B424" s="33">
        <f>'Update IDR GWM'!A424</f>
        <v>43619</v>
      </c>
      <c r="C424" s="41">
        <v>203925000</v>
      </c>
      <c r="D424" s="88"/>
      <c r="E424" s="168">
        <f t="shared" si="80"/>
        <v>-203925000</v>
      </c>
      <c r="G424" s="173">
        <v>1615290</v>
      </c>
      <c r="H424" s="88"/>
      <c r="I424" s="171">
        <f t="shared" ref="I424:I443" si="83">H424-G424</f>
        <v>-1615290</v>
      </c>
      <c r="J424" s="170">
        <f t="shared" ref="J424:J443" si="84">E424+I424</f>
        <v>-205540290</v>
      </c>
    </row>
    <row r="425" spans="2:10" ht="12.65" customHeight="1">
      <c r="B425" s="33">
        <f>'Update IDR GWM'!A425</f>
        <v>43620</v>
      </c>
      <c r="C425" s="41">
        <v>203925000</v>
      </c>
      <c r="D425" s="88"/>
      <c r="E425" s="168">
        <f t="shared" si="80"/>
        <v>-203925000</v>
      </c>
      <c r="G425" s="173">
        <v>1615290</v>
      </c>
      <c r="H425" s="88"/>
      <c r="I425" s="171">
        <f t="shared" si="83"/>
        <v>-1615290</v>
      </c>
      <c r="J425" s="170">
        <f t="shared" si="84"/>
        <v>-205540290</v>
      </c>
    </row>
    <row r="426" spans="2:10" ht="12.65" customHeight="1">
      <c r="B426" s="33">
        <f>'Update IDR GWM'!A426</f>
        <v>43621</v>
      </c>
      <c r="C426" s="41">
        <v>203925000</v>
      </c>
      <c r="D426" s="88"/>
      <c r="E426" s="168">
        <f t="shared" si="80"/>
        <v>-203925000</v>
      </c>
      <c r="G426" s="173">
        <v>1615290</v>
      </c>
      <c r="H426" s="88"/>
      <c r="I426" s="171">
        <f t="shared" si="83"/>
        <v>-1615290</v>
      </c>
      <c r="J426" s="170">
        <f t="shared" si="84"/>
        <v>-205540290</v>
      </c>
    </row>
    <row r="427" spans="2:10" ht="12.65" customHeight="1">
      <c r="B427" s="33">
        <f>'Update IDR GWM'!A427</f>
        <v>43622</v>
      </c>
      <c r="C427" s="41">
        <v>203925000</v>
      </c>
      <c r="D427" s="88"/>
      <c r="E427" s="168">
        <f t="shared" si="80"/>
        <v>-203925000</v>
      </c>
      <c r="G427" s="173">
        <v>1615290</v>
      </c>
      <c r="H427" s="88"/>
      <c r="I427" s="171">
        <f t="shared" si="83"/>
        <v>-1615290</v>
      </c>
      <c r="J427" s="170">
        <f t="shared" si="84"/>
        <v>-205540290</v>
      </c>
    </row>
    <row r="428" spans="2:10" ht="12.65" customHeight="1">
      <c r="B428" s="33">
        <f>'Update IDR GWM'!A428</f>
        <v>43623</v>
      </c>
      <c r="C428" s="41">
        <v>203925000</v>
      </c>
      <c r="D428" s="88"/>
      <c r="E428" s="168">
        <f t="shared" si="80"/>
        <v>-203925000</v>
      </c>
      <c r="G428" s="173">
        <v>1615290</v>
      </c>
      <c r="H428" s="88"/>
      <c r="I428" s="171">
        <f t="shared" si="83"/>
        <v>-1615290</v>
      </c>
      <c r="J428" s="170">
        <f t="shared" si="84"/>
        <v>-205540290</v>
      </c>
    </row>
    <row r="429" spans="2:10" ht="12.65" customHeight="1">
      <c r="B429" s="33">
        <f>'Update IDR GWM'!A429</f>
        <v>43626</v>
      </c>
      <c r="C429" s="41">
        <v>203925000</v>
      </c>
      <c r="D429" s="47">
        <v>207729904.19999999</v>
      </c>
      <c r="E429" s="168">
        <f t="shared" si="80"/>
        <v>3804904.1999999881</v>
      </c>
      <c r="G429" s="173">
        <v>1615290</v>
      </c>
      <c r="H429" s="47">
        <v>2200000</v>
      </c>
      <c r="I429" s="171">
        <f t="shared" si="83"/>
        <v>584710</v>
      </c>
      <c r="J429" s="170">
        <f t="shared" si="84"/>
        <v>4389614.1999999881</v>
      </c>
    </row>
    <row r="430" spans="2:10" ht="12.65" customHeight="1">
      <c r="B430" s="33">
        <f>'Update IDR GWM'!A430</f>
        <v>43627</v>
      </c>
      <c r="C430" s="41">
        <v>203925000</v>
      </c>
      <c r="D430" s="47">
        <v>207729904.19999999</v>
      </c>
      <c r="E430" s="168">
        <f t="shared" si="80"/>
        <v>3804904.1999999881</v>
      </c>
      <c r="G430" s="173">
        <v>1615290</v>
      </c>
      <c r="H430" s="47">
        <v>2200000</v>
      </c>
      <c r="I430" s="171">
        <f t="shared" si="83"/>
        <v>584710</v>
      </c>
      <c r="J430" s="170">
        <f t="shared" si="84"/>
        <v>4389614.1999999881</v>
      </c>
    </row>
    <row r="431" spans="2:10" ht="12.65" customHeight="1">
      <c r="B431" s="33">
        <f>'Update IDR GWM'!A431</f>
        <v>43628</v>
      </c>
      <c r="C431" s="41">
        <v>203925000</v>
      </c>
      <c r="D431" s="47">
        <v>207729904.19999999</v>
      </c>
      <c r="E431" s="168">
        <f t="shared" si="80"/>
        <v>3804904.1999999881</v>
      </c>
      <c r="G431" s="173">
        <v>1615290</v>
      </c>
      <c r="H431" s="47">
        <v>2200000</v>
      </c>
      <c r="I431" s="171">
        <f t="shared" si="83"/>
        <v>584710</v>
      </c>
      <c r="J431" s="170">
        <f t="shared" si="84"/>
        <v>4389614.1999999881</v>
      </c>
    </row>
    <row r="432" spans="2:10" ht="12.65" customHeight="1">
      <c r="B432" s="33">
        <f>'Update IDR GWM'!A432</f>
        <v>43629</v>
      </c>
      <c r="C432" s="41">
        <v>203925000</v>
      </c>
      <c r="D432" s="47">
        <v>207729904.19999999</v>
      </c>
      <c r="E432" s="168">
        <f t="shared" si="80"/>
        <v>3804904.1999999881</v>
      </c>
      <c r="G432" s="173">
        <v>1615290</v>
      </c>
      <c r="H432" s="47">
        <v>2200000</v>
      </c>
      <c r="I432" s="171">
        <f t="shared" si="83"/>
        <v>584710</v>
      </c>
      <c r="J432" s="170">
        <f t="shared" si="84"/>
        <v>4389614.1999999881</v>
      </c>
    </row>
    <row r="433" spans="2:10" ht="12.65" customHeight="1">
      <c r="B433" s="33">
        <f>'Update IDR GWM'!A433</f>
        <v>43630</v>
      </c>
      <c r="C433" s="41">
        <v>203925000</v>
      </c>
      <c r="D433" s="47">
        <v>207729904.19999999</v>
      </c>
      <c r="E433" s="168">
        <f t="shared" si="80"/>
        <v>3804904.1999999881</v>
      </c>
      <c r="G433" s="173">
        <v>1615290</v>
      </c>
      <c r="H433" s="47">
        <v>2200000</v>
      </c>
      <c r="I433" s="171">
        <f t="shared" si="83"/>
        <v>584710</v>
      </c>
      <c r="J433" s="170">
        <f t="shared" si="84"/>
        <v>4389614.1999999881</v>
      </c>
    </row>
    <row r="434" spans="2:10" ht="12.65" customHeight="1">
      <c r="B434" s="33">
        <f>'Update IDR GWM'!A434</f>
        <v>43633</v>
      </c>
      <c r="C434" s="41">
        <v>207882710.08265701</v>
      </c>
      <c r="D434" s="47">
        <v>209729904.19999999</v>
      </c>
      <c r="E434" s="168">
        <f t="shared" si="80"/>
        <v>1847194.1173429787</v>
      </c>
      <c r="G434" s="173">
        <v>1657370</v>
      </c>
      <c r="H434" s="47">
        <v>2200000</v>
      </c>
      <c r="I434" s="171">
        <f t="shared" si="83"/>
        <v>542630</v>
      </c>
      <c r="J434" s="170">
        <f t="shared" si="84"/>
        <v>2389824.1173429787</v>
      </c>
    </row>
    <row r="435" spans="2:10" ht="12.65" customHeight="1">
      <c r="B435" s="33">
        <f>'Update IDR GWM'!A435</f>
        <v>43634</v>
      </c>
      <c r="C435" s="41">
        <v>207882710.08265701</v>
      </c>
      <c r="D435" s="47">
        <v>209729904.19999999</v>
      </c>
      <c r="E435" s="168">
        <f t="shared" si="80"/>
        <v>1847194.1173429787</v>
      </c>
      <c r="G435" s="173">
        <v>1657370</v>
      </c>
      <c r="H435" s="47">
        <v>2200000</v>
      </c>
      <c r="I435" s="171">
        <f t="shared" si="83"/>
        <v>542630</v>
      </c>
      <c r="J435" s="170">
        <f t="shared" si="84"/>
        <v>2389824.1173429787</v>
      </c>
    </row>
    <row r="436" spans="2:10" ht="12.65" customHeight="1">
      <c r="B436" s="33">
        <f>'Update IDR GWM'!A436</f>
        <v>43635</v>
      </c>
      <c r="C436" s="41">
        <v>207882710.08265701</v>
      </c>
      <c r="D436" s="47">
        <v>209729904.19999999</v>
      </c>
      <c r="E436" s="168">
        <f t="shared" si="80"/>
        <v>1847194.1173429787</v>
      </c>
      <c r="G436" s="173">
        <v>1657370</v>
      </c>
      <c r="H436" s="47">
        <v>2200000</v>
      </c>
      <c r="I436" s="171">
        <f t="shared" si="83"/>
        <v>542630</v>
      </c>
      <c r="J436" s="170">
        <f t="shared" si="84"/>
        <v>2389824.1173429787</v>
      </c>
    </row>
    <row r="437" spans="2:10" ht="12.65" customHeight="1">
      <c r="B437" s="33">
        <f>'Update IDR GWM'!A437</f>
        <v>43636</v>
      </c>
      <c r="C437" s="41">
        <v>207882710.08265701</v>
      </c>
      <c r="D437" s="47">
        <v>209729904.19999999</v>
      </c>
      <c r="E437" s="168">
        <f t="shared" si="80"/>
        <v>1847194.1173429787</v>
      </c>
      <c r="G437" s="173">
        <v>1657370</v>
      </c>
      <c r="H437" s="47">
        <v>2200000</v>
      </c>
      <c r="I437" s="171">
        <f t="shared" si="83"/>
        <v>542630</v>
      </c>
      <c r="J437" s="170">
        <f t="shared" si="84"/>
        <v>2389824.1173429787</v>
      </c>
    </row>
    <row r="438" spans="2:10" ht="12.65" customHeight="1">
      <c r="B438" s="33">
        <f>'Update IDR GWM'!A438</f>
        <v>43637</v>
      </c>
      <c r="C438" s="41">
        <v>207882710.08265701</v>
      </c>
      <c r="D438" s="47">
        <v>209729904.19999999</v>
      </c>
      <c r="E438" s="168">
        <f t="shared" si="80"/>
        <v>1847194.1173429787</v>
      </c>
      <c r="G438" s="173">
        <v>1657370</v>
      </c>
      <c r="H438" s="47">
        <v>2200000</v>
      </c>
      <c r="I438" s="171">
        <f t="shared" si="83"/>
        <v>542630</v>
      </c>
      <c r="J438" s="170">
        <f t="shared" si="84"/>
        <v>2389824.1173429787</v>
      </c>
    </row>
    <row r="439" spans="2:10" ht="12.65" customHeight="1">
      <c r="B439" s="33">
        <f>'Update IDR GWM'!A439</f>
        <v>43640</v>
      </c>
      <c r="C439" s="41">
        <v>207882710.08265701</v>
      </c>
      <c r="D439" s="47">
        <v>209729904.19999999</v>
      </c>
      <c r="E439" s="168">
        <f t="shared" si="80"/>
        <v>1847194.1173429787</v>
      </c>
      <c r="G439" s="173">
        <v>1657370</v>
      </c>
      <c r="H439" s="47">
        <v>2200000</v>
      </c>
      <c r="I439" s="171">
        <f t="shared" si="83"/>
        <v>542630</v>
      </c>
      <c r="J439" s="170">
        <f t="shared" si="84"/>
        <v>2389824.1173429787</v>
      </c>
    </row>
    <row r="440" spans="2:10" ht="12.65" customHeight="1">
      <c r="B440" s="33">
        <f>'Update IDR GWM'!A440</f>
        <v>43641</v>
      </c>
      <c r="C440" s="41">
        <v>207882710.08265701</v>
      </c>
      <c r="D440" s="47">
        <v>209729904.19999999</v>
      </c>
      <c r="E440" s="168">
        <f t="shared" si="80"/>
        <v>1847194.1173429787</v>
      </c>
      <c r="G440" s="173">
        <v>1657370</v>
      </c>
      <c r="H440" s="47">
        <v>2200000</v>
      </c>
      <c r="I440" s="171">
        <f t="shared" si="83"/>
        <v>542630</v>
      </c>
      <c r="J440" s="170">
        <f t="shared" si="84"/>
        <v>2389824.1173429787</v>
      </c>
    </row>
    <row r="441" spans="2:10" ht="12.65" customHeight="1">
      <c r="B441" s="33">
        <f>'Update IDR GWM'!A441</f>
        <v>43642</v>
      </c>
      <c r="C441" s="41">
        <v>207882710.08265701</v>
      </c>
      <c r="D441" s="47">
        <v>209729904.19999999</v>
      </c>
      <c r="E441" s="168">
        <f t="shared" si="80"/>
        <v>1847194.1173429787</v>
      </c>
      <c r="G441" s="173">
        <v>1657370</v>
      </c>
      <c r="H441" s="47">
        <v>2200000</v>
      </c>
      <c r="I441" s="171">
        <f t="shared" si="83"/>
        <v>542630</v>
      </c>
      <c r="J441" s="170">
        <f t="shared" si="84"/>
        <v>2389824.1173429787</v>
      </c>
    </row>
    <row r="442" spans="2:10" ht="12.65" customHeight="1">
      <c r="B442" s="33">
        <f>'Update IDR GWM'!A442</f>
        <v>43643</v>
      </c>
      <c r="C442" s="41">
        <v>207882710.08265701</v>
      </c>
      <c r="D442" s="47">
        <v>209729904.19999999</v>
      </c>
      <c r="E442" s="168">
        <f t="shared" si="80"/>
        <v>1847194.1173429787</v>
      </c>
      <c r="G442" s="173">
        <v>1657370</v>
      </c>
      <c r="H442" s="47">
        <v>2200000</v>
      </c>
      <c r="I442" s="171">
        <f t="shared" si="83"/>
        <v>542630</v>
      </c>
      <c r="J442" s="170">
        <f t="shared" si="84"/>
        <v>2389824.1173429787</v>
      </c>
    </row>
    <row r="443" spans="2:10" ht="12.65" customHeight="1">
      <c r="B443" s="33">
        <f>'Update IDR GWM'!A443</f>
        <v>43644</v>
      </c>
      <c r="C443" s="41">
        <v>207882710.08265701</v>
      </c>
      <c r="D443" s="47">
        <v>229729904.19999999</v>
      </c>
      <c r="E443" s="168">
        <f t="shared" si="80"/>
        <v>21847194.117342979</v>
      </c>
      <c r="G443" s="173">
        <v>1657370</v>
      </c>
      <c r="H443" s="47">
        <v>2200000</v>
      </c>
      <c r="I443" s="171">
        <f t="shared" si="83"/>
        <v>542630</v>
      </c>
      <c r="J443" s="170">
        <f t="shared" si="84"/>
        <v>22389824.117342979</v>
      </c>
    </row>
    <row r="444" spans="2:10" ht="12.65" customHeight="1">
      <c r="B444" s="33">
        <f>'Update IDR GWM'!A444</f>
        <v>43647</v>
      </c>
      <c r="C444" s="41">
        <v>211741519.62080699</v>
      </c>
      <c r="D444" s="47">
        <v>233729904.19999999</v>
      </c>
      <c r="E444" s="168">
        <f t="shared" si="80"/>
        <v>21988384.579192996</v>
      </c>
      <c r="G444" s="173">
        <v>1662200</v>
      </c>
      <c r="H444" s="47">
        <v>2200000</v>
      </c>
      <c r="I444" s="171">
        <f t="shared" ref="I444:I455" si="85">H444-G444</f>
        <v>537800</v>
      </c>
      <c r="J444" s="170">
        <f t="shared" ref="J444:J455" si="86">E444+I444</f>
        <v>22526184.579192996</v>
      </c>
    </row>
    <row r="445" spans="2:10" ht="12.65" customHeight="1">
      <c r="B445" s="33">
        <f>'Update IDR GWM'!A445</f>
        <v>43648</v>
      </c>
      <c r="C445" s="41">
        <v>211741519.62080699</v>
      </c>
      <c r="D445" s="47">
        <v>233729904.19999999</v>
      </c>
      <c r="E445" s="168">
        <f t="shared" si="80"/>
        <v>21988384.579192996</v>
      </c>
      <c r="G445" s="173">
        <v>1662200</v>
      </c>
      <c r="H445" s="47">
        <v>2200000</v>
      </c>
      <c r="I445" s="171">
        <f t="shared" si="85"/>
        <v>537800</v>
      </c>
      <c r="J445" s="170">
        <f t="shared" si="86"/>
        <v>22526184.579192996</v>
      </c>
    </row>
    <row r="446" spans="2:10" ht="12.65" customHeight="1">
      <c r="B446" s="33">
        <f>'Update IDR GWM'!A446</f>
        <v>43649</v>
      </c>
      <c r="C446" s="41">
        <v>211741519.62080699</v>
      </c>
      <c r="D446" s="47">
        <v>233729904.19999999</v>
      </c>
      <c r="E446" s="168">
        <f t="shared" si="80"/>
        <v>21988384.579192996</v>
      </c>
      <c r="G446" s="173">
        <v>1662200</v>
      </c>
      <c r="H446" s="47">
        <v>2200000</v>
      </c>
      <c r="I446" s="171">
        <f t="shared" si="85"/>
        <v>537800</v>
      </c>
      <c r="J446" s="170">
        <f t="shared" si="86"/>
        <v>22526184.579192996</v>
      </c>
    </row>
    <row r="447" spans="2:10" ht="12.65" customHeight="1">
      <c r="B447" s="33">
        <f>'Update IDR GWM'!A447</f>
        <v>43650</v>
      </c>
      <c r="C447" s="41">
        <v>211741519.62080699</v>
      </c>
      <c r="D447" s="47">
        <v>213729904.19999999</v>
      </c>
      <c r="E447" s="168">
        <f t="shared" si="80"/>
        <v>1988384.579192996</v>
      </c>
      <c r="G447" s="173">
        <v>1662200</v>
      </c>
      <c r="H447" s="47">
        <v>2200000</v>
      </c>
      <c r="I447" s="171">
        <f t="shared" si="85"/>
        <v>537800</v>
      </c>
      <c r="J447" s="170">
        <f t="shared" si="86"/>
        <v>2526184.579192996</v>
      </c>
    </row>
    <row r="448" spans="2:10" ht="12.65" customHeight="1">
      <c r="B448" s="33">
        <f>'Update IDR GWM'!A448</f>
        <v>43651</v>
      </c>
      <c r="C448" s="41">
        <v>211741519.62080699</v>
      </c>
      <c r="D448" s="47">
        <v>213729904.19999999</v>
      </c>
      <c r="E448" s="168">
        <f t="shared" si="80"/>
        <v>1988384.579192996</v>
      </c>
      <c r="G448" s="173">
        <v>1662200</v>
      </c>
      <c r="H448" s="47">
        <v>2200000</v>
      </c>
      <c r="I448" s="171">
        <f t="shared" si="85"/>
        <v>537800</v>
      </c>
      <c r="J448" s="170">
        <f t="shared" si="86"/>
        <v>2526184.579192996</v>
      </c>
    </row>
    <row r="449" spans="2:10" ht="12.65" customHeight="1">
      <c r="B449" s="33">
        <f>'Update IDR GWM'!A449</f>
        <v>43654</v>
      </c>
      <c r="C449" s="41">
        <v>211741519.62080699</v>
      </c>
      <c r="D449" s="47">
        <v>213729904.19999999</v>
      </c>
      <c r="E449" s="168">
        <f t="shared" si="80"/>
        <v>1988384.579192996</v>
      </c>
      <c r="G449" s="173">
        <v>1662200</v>
      </c>
      <c r="H449" s="47">
        <v>2200000</v>
      </c>
      <c r="I449" s="171">
        <f t="shared" si="85"/>
        <v>537800</v>
      </c>
      <c r="J449" s="170">
        <f t="shared" si="86"/>
        <v>2526184.579192996</v>
      </c>
    </row>
    <row r="450" spans="2:10" ht="12.65" customHeight="1">
      <c r="B450" s="33">
        <f>'Update IDR GWM'!A450</f>
        <v>43655</v>
      </c>
      <c r="C450" s="41">
        <v>211741519.62080699</v>
      </c>
      <c r="D450" s="47">
        <v>213729904.19999999</v>
      </c>
      <c r="E450" s="168">
        <f t="shared" si="80"/>
        <v>1988384.579192996</v>
      </c>
      <c r="G450" s="173">
        <v>1662200</v>
      </c>
      <c r="H450" s="47">
        <v>2200000</v>
      </c>
      <c r="I450" s="171">
        <f t="shared" si="85"/>
        <v>537800</v>
      </c>
      <c r="J450" s="170">
        <f t="shared" si="86"/>
        <v>2526184.579192996</v>
      </c>
    </row>
    <row r="451" spans="2:10" ht="12.65" customHeight="1">
      <c r="B451" s="33">
        <f>'Update IDR GWM'!A451</f>
        <v>43656</v>
      </c>
      <c r="C451" s="41">
        <v>211741519.62080699</v>
      </c>
      <c r="D451" s="47">
        <v>213729904.19999999</v>
      </c>
      <c r="E451" s="168">
        <f t="shared" si="80"/>
        <v>1988384.579192996</v>
      </c>
      <c r="G451" s="173">
        <v>1662200</v>
      </c>
      <c r="H451" s="47">
        <v>2200000</v>
      </c>
      <c r="I451" s="171">
        <f t="shared" si="85"/>
        <v>537800</v>
      </c>
      <c r="J451" s="170">
        <f t="shared" si="86"/>
        <v>2526184.579192996</v>
      </c>
    </row>
    <row r="452" spans="2:10" ht="12.65" customHeight="1">
      <c r="B452" s="33">
        <f>'Update IDR GWM'!A452</f>
        <v>43657</v>
      </c>
      <c r="C452" s="41">
        <v>211741519.62080699</v>
      </c>
      <c r="D452" s="47">
        <v>215729904.19999999</v>
      </c>
      <c r="E452" s="168">
        <f t="shared" si="80"/>
        <v>3988384.579192996</v>
      </c>
      <c r="G452" s="173">
        <v>1662200</v>
      </c>
      <c r="H452" s="47">
        <v>2200000</v>
      </c>
      <c r="I452" s="171">
        <f t="shared" si="85"/>
        <v>537800</v>
      </c>
      <c r="J452" s="170">
        <f t="shared" si="86"/>
        <v>4526184.579192996</v>
      </c>
    </row>
    <row r="453" spans="2:10" ht="12.65" customHeight="1">
      <c r="B453" s="33">
        <f>'Update IDR GWM'!A453</f>
        <v>43658</v>
      </c>
      <c r="C453" s="41">
        <v>211741519.62080699</v>
      </c>
      <c r="D453" s="47">
        <v>215729904.19999999</v>
      </c>
      <c r="E453" s="168">
        <f t="shared" si="80"/>
        <v>3988384.579192996</v>
      </c>
      <c r="G453" s="173">
        <v>1662200</v>
      </c>
      <c r="H453" s="47">
        <v>2200000</v>
      </c>
      <c r="I453" s="171">
        <f t="shared" si="85"/>
        <v>537800</v>
      </c>
      <c r="J453" s="170">
        <f t="shared" si="86"/>
        <v>4526184.579192996</v>
      </c>
    </row>
    <row r="454" spans="2:10" ht="12.65" customHeight="1">
      <c r="B454" s="33">
        <f>'Update IDR GWM'!A454</f>
        <v>43661</v>
      </c>
      <c r="C454" s="41">
        <v>211741519.62080699</v>
      </c>
      <c r="D454" s="47">
        <v>215729904.19999999</v>
      </c>
      <c r="E454" s="168">
        <f t="shared" si="80"/>
        <v>3988384.579192996</v>
      </c>
      <c r="G454" s="173">
        <v>1662200</v>
      </c>
      <c r="H454" s="47">
        <v>2200000</v>
      </c>
      <c r="I454" s="171">
        <f t="shared" si="85"/>
        <v>537800</v>
      </c>
      <c r="J454" s="170">
        <f t="shared" si="86"/>
        <v>4526184.579192996</v>
      </c>
    </row>
    <row r="455" spans="2:10" ht="12.65" customHeight="1">
      <c r="B455" s="33">
        <f>'Update IDR GWM'!A455</f>
        <v>43662</v>
      </c>
      <c r="C455" s="41">
        <v>219863369.999046</v>
      </c>
      <c r="D455" s="47">
        <v>221729904.19999999</v>
      </c>
      <c r="E455" s="168">
        <f t="shared" si="80"/>
        <v>1866534.2009539902</v>
      </c>
      <c r="G455" s="173">
        <v>1697960</v>
      </c>
      <c r="H455" s="47">
        <v>2200000</v>
      </c>
      <c r="I455" s="171">
        <f t="shared" si="85"/>
        <v>502040</v>
      </c>
      <c r="J455" s="170">
        <f t="shared" si="86"/>
        <v>2368574.2009539902</v>
      </c>
    </row>
    <row r="456" spans="2:10" ht="12.65" customHeight="1">
      <c r="B456" s="33">
        <f>'Update IDR GWM'!A456</f>
        <v>43663</v>
      </c>
      <c r="C456" s="41">
        <v>219863369.999046</v>
      </c>
      <c r="D456" s="47">
        <v>221729904.19999999</v>
      </c>
      <c r="E456" s="168">
        <f t="shared" si="80"/>
        <v>1866534.2009539902</v>
      </c>
      <c r="G456" s="173">
        <v>1697960</v>
      </c>
      <c r="H456" s="47">
        <v>2200000</v>
      </c>
      <c r="I456" s="171">
        <f t="shared" ref="I456:I467" si="87">H456-G456</f>
        <v>502040</v>
      </c>
      <c r="J456" s="170">
        <f t="shared" ref="J456:J467" si="88">E456+I456</f>
        <v>2368574.2009539902</v>
      </c>
    </row>
    <row r="457" spans="2:10" ht="12.65" customHeight="1">
      <c r="B457" s="33">
        <f>'Update IDR GWM'!A457</f>
        <v>43664</v>
      </c>
      <c r="C457" s="41">
        <v>219863369.999046</v>
      </c>
      <c r="D457" s="47">
        <v>221729904.19999999</v>
      </c>
      <c r="E457" s="168">
        <f t="shared" si="80"/>
        <v>1866534.2009539902</v>
      </c>
      <c r="G457" s="173">
        <v>1697960</v>
      </c>
      <c r="H457" s="47">
        <v>2200000</v>
      </c>
      <c r="I457" s="171">
        <f t="shared" si="87"/>
        <v>502040</v>
      </c>
      <c r="J457" s="170">
        <f t="shared" si="88"/>
        <v>2368574.2009539902</v>
      </c>
    </row>
    <row r="458" spans="2:10" ht="12.65" customHeight="1">
      <c r="B458" s="33">
        <f>'Update IDR GWM'!A458</f>
        <v>43665</v>
      </c>
      <c r="C458" s="41">
        <v>219863369.999046</v>
      </c>
      <c r="D458" s="47">
        <v>221729904.19999999</v>
      </c>
      <c r="E458" s="168">
        <f t="shared" si="80"/>
        <v>1866534.2009539902</v>
      </c>
      <c r="G458" s="173">
        <v>1697960</v>
      </c>
      <c r="H458" s="47">
        <v>2200000</v>
      </c>
      <c r="I458" s="171">
        <f t="shared" si="87"/>
        <v>502040</v>
      </c>
      <c r="J458" s="170">
        <f t="shared" si="88"/>
        <v>2368574.2009539902</v>
      </c>
    </row>
    <row r="459" spans="2:10" ht="12.65" customHeight="1">
      <c r="B459" s="81">
        <v>43666</v>
      </c>
      <c r="C459" s="41">
        <v>219863369.999046</v>
      </c>
      <c r="D459" s="88">
        <v>221729904.19999999</v>
      </c>
      <c r="E459" s="169">
        <f>D459-C459</f>
        <v>1866534.2009539902</v>
      </c>
      <c r="F459" s="87"/>
      <c r="G459" s="173">
        <v>1697960</v>
      </c>
      <c r="H459" s="88">
        <v>2200000</v>
      </c>
      <c r="I459" s="172">
        <f>H459-G459</f>
        <v>502040</v>
      </c>
      <c r="J459" s="170">
        <f>E459+I459</f>
        <v>2368574.2009539902</v>
      </c>
    </row>
    <row r="460" spans="2:10" ht="12.65" customHeight="1">
      <c r="B460" s="33">
        <f>'Update IDR GWM'!A460</f>
        <v>43668</v>
      </c>
      <c r="C460" s="41">
        <v>219863369.999046</v>
      </c>
      <c r="D460" s="47">
        <v>221729904.19999999</v>
      </c>
      <c r="E460" s="168">
        <f t="shared" si="80"/>
        <v>1866534.2009539902</v>
      </c>
      <c r="G460" s="173">
        <v>1697960</v>
      </c>
      <c r="H460" s="47">
        <v>2200000</v>
      </c>
      <c r="I460" s="171">
        <f t="shared" si="87"/>
        <v>502040</v>
      </c>
      <c r="J460" s="170">
        <f t="shared" si="88"/>
        <v>2368574.2009539902</v>
      </c>
    </row>
    <row r="461" spans="2:10" ht="12.65" customHeight="1">
      <c r="B461" s="33">
        <f>'Update IDR GWM'!A461</f>
        <v>43669</v>
      </c>
      <c r="C461" s="41">
        <v>219863369.999046</v>
      </c>
      <c r="D461" s="47">
        <v>221729904.19999999</v>
      </c>
      <c r="E461" s="168">
        <f t="shared" si="80"/>
        <v>1866534.2009539902</v>
      </c>
      <c r="G461" s="173">
        <v>1697960</v>
      </c>
      <c r="H461" s="47">
        <v>2200000</v>
      </c>
      <c r="I461" s="171">
        <f t="shared" si="87"/>
        <v>502040</v>
      </c>
      <c r="J461" s="170">
        <f t="shared" si="88"/>
        <v>2368574.2009539902</v>
      </c>
    </row>
    <row r="462" spans="2:10" ht="12.65" customHeight="1">
      <c r="B462" s="33">
        <f>'Update IDR GWM'!A462</f>
        <v>43670</v>
      </c>
      <c r="C462" s="41">
        <v>219863369.999046</v>
      </c>
      <c r="D462" s="47">
        <v>221729904.19999999</v>
      </c>
      <c r="E462" s="168">
        <f t="shared" si="80"/>
        <v>1866534.2009539902</v>
      </c>
      <c r="G462" s="173">
        <v>1697960</v>
      </c>
      <c r="H462" s="47">
        <v>2200000</v>
      </c>
      <c r="I462" s="171">
        <f t="shared" si="87"/>
        <v>502040</v>
      </c>
      <c r="J462" s="170">
        <f t="shared" si="88"/>
        <v>2368574.2009539902</v>
      </c>
    </row>
    <row r="463" spans="2:10" ht="12.65" customHeight="1">
      <c r="B463" s="33">
        <f>'Update IDR GWM'!A463</f>
        <v>43671</v>
      </c>
      <c r="C463" s="41">
        <v>219863369.999046</v>
      </c>
      <c r="D463" s="47">
        <v>221729904.19999999</v>
      </c>
      <c r="E463" s="168">
        <f t="shared" si="80"/>
        <v>1866534.2009539902</v>
      </c>
      <c r="G463" s="173">
        <v>1697960</v>
      </c>
      <c r="H463" s="47">
        <v>2200000</v>
      </c>
      <c r="I463" s="171">
        <f t="shared" si="87"/>
        <v>502040</v>
      </c>
      <c r="J463" s="170">
        <f t="shared" si="88"/>
        <v>2368574.2009539902</v>
      </c>
    </row>
    <row r="464" spans="2:10" ht="12.65" customHeight="1">
      <c r="B464" s="33">
        <f>'Update IDR GWM'!A464</f>
        <v>43672</v>
      </c>
      <c r="C464" s="41">
        <v>219863369.999046</v>
      </c>
      <c r="D464" s="47">
        <v>221729904.19999999</v>
      </c>
      <c r="E464" s="168">
        <f t="shared" si="80"/>
        <v>1866534.2009539902</v>
      </c>
      <c r="G464" s="173">
        <v>1697960</v>
      </c>
      <c r="H464" s="47">
        <v>2200000</v>
      </c>
      <c r="I464" s="171">
        <f t="shared" si="87"/>
        <v>502040</v>
      </c>
      <c r="J464" s="170">
        <f t="shared" si="88"/>
        <v>2368574.2009539902</v>
      </c>
    </row>
    <row r="465" spans="2:10" ht="12.65" customHeight="1">
      <c r="B465" s="33">
        <f>'Update IDR GWM'!A465</f>
        <v>43675</v>
      </c>
      <c r="C465" s="41">
        <v>219863369.999046</v>
      </c>
      <c r="D465" s="47">
        <v>221729904.19999999</v>
      </c>
      <c r="E465" s="168">
        <f t="shared" si="80"/>
        <v>1866534.2009539902</v>
      </c>
      <c r="G465" s="173">
        <v>1697960</v>
      </c>
      <c r="H465" s="47">
        <v>2200000</v>
      </c>
      <c r="I465" s="171">
        <f t="shared" si="87"/>
        <v>502040</v>
      </c>
      <c r="J465" s="170">
        <f t="shared" si="88"/>
        <v>2368574.2009539902</v>
      </c>
    </row>
    <row r="466" spans="2:10" ht="12.65" customHeight="1">
      <c r="B466" s="33">
        <f>'Update IDR GWM'!A466</f>
        <v>43676</v>
      </c>
      <c r="C466" s="41">
        <v>219863369.999046</v>
      </c>
      <c r="D466" s="47">
        <v>221729904.19999999</v>
      </c>
      <c r="E466" s="168">
        <f t="shared" si="80"/>
        <v>1866534.2009539902</v>
      </c>
      <c r="G466" s="173">
        <v>1697960</v>
      </c>
      <c r="H466" s="47">
        <v>2200000</v>
      </c>
      <c r="I466" s="171">
        <f t="shared" si="87"/>
        <v>502040</v>
      </c>
      <c r="J466" s="170">
        <f t="shared" si="88"/>
        <v>2368574.2009539902</v>
      </c>
    </row>
    <row r="467" spans="2:10" ht="12.65" customHeight="1">
      <c r="B467" s="33">
        <f>'Update IDR GWM'!A467</f>
        <v>43677</v>
      </c>
      <c r="C467" s="41">
        <v>219863369.999046</v>
      </c>
      <c r="D467" s="47">
        <v>221729904.19999999</v>
      </c>
      <c r="E467" s="168">
        <f t="shared" si="80"/>
        <v>1866534.2009539902</v>
      </c>
      <c r="G467" s="173">
        <v>1697960</v>
      </c>
      <c r="H467" s="47">
        <v>2200000</v>
      </c>
      <c r="I467" s="171">
        <f t="shared" si="87"/>
        <v>502040</v>
      </c>
      <c r="J467" s="170">
        <f t="shared" si="88"/>
        <v>2368574.2009539902</v>
      </c>
    </row>
    <row r="468" spans="2:10" ht="12.65" customHeight="1">
      <c r="B468" s="33">
        <f>'Update IDR GWM'!A468</f>
        <v>43678</v>
      </c>
      <c r="C468" s="41">
        <v>241666527.38034001</v>
      </c>
      <c r="D468" s="47">
        <v>243229904.19999999</v>
      </c>
      <c r="E468" s="168">
        <f t="shared" si="80"/>
        <v>1563376.8196599782</v>
      </c>
      <c r="G468" s="173">
        <v>1517000</v>
      </c>
      <c r="H468" s="47">
        <v>2200000</v>
      </c>
      <c r="I468" s="171">
        <f t="shared" ref="I468:I531" si="89">H468-G468</f>
        <v>683000</v>
      </c>
      <c r="J468" s="170">
        <f t="shared" ref="J468:J531" si="90">E468+I468</f>
        <v>2246376.8196599782</v>
      </c>
    </row>
    <row r="469" spans="2:10" ht="12.65" customHeight="1">
      <c r="B469" s="33">
        <f>'Update IDR GWM'!A469</f>
        <v>43679</v>
      </c>
      <c r="C469" s="41">
        <v>241666527.38034001</v>
      </c>
      <c r="D469" s="47">
        <v>243229904.19999999</v>
      </c>
      <c r="E469" s="168">
        <f t="shared" si="80"/>
        <v>1563376.8196599782</v>
      </c>
      <c r="G469" s="173">
        <v>1517000</v>
      </c>
      <c r="H469" s="47">
        <v>2200000</v>
      </c>
      <c r="I469" s="171">
        <f t="shared" si="89"/>
        <v>683000</v>
      </c>
      <c r="J469" s="170">
        <f t="shared" si="90"/>
        <v>2246376.8196599782</v>
      </c>
    </row>
    <row r="470" spans="2:10" ht="12.65" customHeight="1">
      <c r="B470" s="33">
        <f>'Update IDR GWM'!A470</f>
        <v>43682</v>
      </c>
      <c r="C470" s="41">
        <v>241666527.38034001</v>
      </c>
      <c r="D470" s="47">
        <v>243229904.19999999</v>
      </c>
      <c r="E470" s="168">
        <f t="shared" ref="E470:E534" si="91">D470-C470</f>
        <v>1563376.8196599782</v>
      </c>
      <c r="G470" s="173">
        <v>1517000</v>
      </c>
      <c r="H470" s="47">
        <v>2200000</v>
      </c>
      <c r="I470" s="171">
        <f t="shared" si="89"/>
        <v>683000</v>
      </c>
      <c r="J470" s="170">
        <f t="shared" si="90"/>
        <v>2246376.8196599782</v>
      </c>
    </row>
    <row r="471" spans="2:10" ht="12.65" customHeight="1">
      <c r="B471" s="33">
        <f>'Update IDR GWM'!A471</f>
        <v>43683</v>
      </c>
      <c r="C471" s="41">
        <v>241666527.38034001</v>
      </c>
      <c r="D471" s="47">
        <v>243229904.19999999</v>
      </c>
      <c r="E471" s="168">
        <f t="shared" si="91"/>
        <v>1563376.8196599782</v>
      </c>
      <c r="G471" s="173">
        <v>1517000</v>
      </c>
      <c r="H471" s="47">
        <v>2200000</v>
      </c>
      <c r="I471" s="171">
        <f t="shared" si="89"/>
        <v>683000</v>
      </c>
      <c r="J471" s="170">
        <f t="shared" si="90"/>
        <v>2246376.8196599782</v>
      </c>
    </row>
    <row r="472" spans="2:10" ht="12.65" customHeight="1">
      <c r="B472" s="33">
        <f>'Update IDR GWM'!A472</f>
        <v>43684</v>
      </c>
      <c r="C472" s="41">
        <v>241666527.38034001</v>
      </c>
      <c r="D472" s="47">
        <v>243229904.19999999</v>
      </c>
      <c r="E472" s="168">
        <f t="shared" si="91"/>
        <v>1563376.8196599782</v>
      </c>
      <c r="G472" s="173">
        <v>1517000</v>
      </c>
      <c r="H472" s="47">
        <v>2200000</v>
      </c>
      <c r="I472" s="171">
        <f t="shared" si="89"/>
        <v>683000</v>
      </c>
      <c r="J472" s="170">
        <f t="shared" si="90"/>
        <v>2246376.8196599782</v>
      </c>
    </row>
    <row r="473" spans="2:10" ht="12.65" customHeight="1">
      <c r="B473" s="33">
        <f>'Update IDR GWM'!A473</f>
        <v>43685</v>
      </c>
      <c r="C473" s="41">
        <v>241666527.38034001</v>
      </c>
      <c r="D473" s="47">
        <v>243229904</v>
      </c>
      <c r="E473" s="168">
        <f t="shared" si="91"/>
        <v>1563376.6196599901</v>
      </c>
      <c r="G473" s="173">
        <v>1517000</v>
      </c>
      <c r="H473" s="47">
        <v>2200000</v>
      </c>
      <c r="I473" s="171">
        <f t="shared" si="89"/>
        <v>683000</v>
      </c>
      <c r="J473" s="170">
        <f t="shared" si="90"/>
        <v>2246376.6196599901</v>
      </c>
    </row>
    <row r="474" spans="2:10" ht="12.65" customHeight="1">
      <c r="B474" s="33">
        <f>'Update IDR GWM'!A474</f>
        <v>43686</v>
      </c>
      <c r="C474" s="41">
        <v>241666527.38034001</v>
      </c>
      <c r="D474" s="47">
        <v>243229904.19999999</v>
      </c>
      <c r="E474" s="168">
        <f t="shared" si="91"/>
        <v>1563376.8196599782</v>
      </c>
      <c r="G474" s="173">
        <v>1517000</v>
      </c>
      <c r="H474" s="47">
        <v>2200000</v>
      </c>
      <c r="I474" s="171">
        <f t="shared" si="89"/>
        <v>683000</v>
      </c>
      <c r="J474" s="170">
        <f t="shared" si="90"/>
        <v>2246376.8196599782</v>
      </c>
    </row>
    <row r="475" spans="2:10" ht="12.65" customHeight="1">
      <c r="B475" s="33">
        <f>'Update IDR GWM'!A475</f>
        <v>43689</v>
      </c>
      <c r="C475" s="41">
        <v>241666527.38034001</v>
      </c>
      <c r="D475" s="47">
        <v>243229904.19999999</v>
      </c>
      <c r="E475" s="168">
        <f t="shared" si="91"/>
        <v>1563376.8196599782</v>
      </c>
      <c r="G475" s="173">
        <v>1517000</v>
      </c>
      <c r="H475" s="47">
        <v>2200000</v>
      </c>
      <c r="I475" s="171">
        <f t="shared" si="89"/>
        <v>683000</v>
      </c>
      <c r="J475" s="170">
        <f t="shared" si="90"/>
        <v>2246376.8196599782</v>
      </c>
    </row>
    <row r="476" spans="2:10" ht="12.65" customHeight="1">
      <c r="B476" s="33">
        <f>'Update IDR GWM'!A476</f>
        <v>43690</v>
      </c>
      <c r="C476" s="41">
        <v>241666527.38034001</v>
      </c>
      <c r="D476" s="47">
        <v>243229904.19999999</v>
      </c>
      <c r="E476" s="168">
        <f t="shared" si="91"/>
        <v>1563376.8196599782</v>
      </c>
      <c r="G476" s="173">
        <v>1517000</v>
      </c>
      <c r="H476" s="47">
        <v>2200000</v>
      </c>
      <c r="I476" s="171">
        <f t="shared" si="89"/>
        <v>683000</v>
      </c>
      <c r="J476" s="170">
        <f t="shared" si="90"/>
        <v>2246376.8196599782</v>
      </c>
    </row>
    <row r="477" spans="2:10" ht="12.65" customHeight="1">
      <c r="B477" s="33">
        <f>'Update IDR GWM'!A477</f>
        <v>43691</v>
      </c>
      <c r="C477" s="41">
        <v>241666527.38034001</v>
      </c>
      <c r="D477" s="47">
        <v>243229904.19999999</v>
      </c>
      <c r="E477" s="168">
        <f t="shared" si="91"/>
        <v>1563376.8196599782</v>
      </c>
      <c r="G477" s="173">
        <v>1517000</v>
      </c>
      <c r="H477" s="47">
        <v>2200000</v>
      </c>
      <c r="I477" s="171">
        <f t="shared" si="89"/>
        <v>683000</v>
      </c>
      <c r="J477" s="170">
        <f t="shared" si="90"/>
        <v>2246376.8196599782</v>
      </c>
    </row>
    <row r="478" spans="2:10" ht="12.65" customHeight="1">
      <c r="B478" s="33">
        <f>'Update IDR GWM'!A478</f>
        <v>43692</v>
      </c>
      <c r="C478" s="41">
        <v>241666527.38034001</v>
      </c>
      <c r="D478" s="47">
        <v>243229904.19999999</v>
      </c>
      <c r="E478" s="168">
        <f t="shared" si="91"/>
        <v>1563376.8196599782</v>
      </c>
      <c r="G478" s="173">
        <v>1517000</v>
      </c>
      <c r="H478" s="47">
        <v>2200000</v>
      </c>
      <c r="I478" s="171">
        <f t="shared" si="89"/>
        <v>683000</v>
      </c>
      <c r="J478" s="170">
        <f t="shared" si="90"/>
        <v>2246376.8196599782</v>
      </c>
    </row>
    <row r="479" spans="2:10" ht="12.65" customHeight="1">
      <c r="B479" s="33">
        <f>'Update IDR GWM'!A479</f>
        <v>43693</v>
      </c>
      <c r="C479" s="41">
        <v>225823238.88000101</v>
      </c>
      <c r="D479" s="47">
        <v>243229904.19999999</v>
      </c>
      <c r="E479" s="168">
        <f t="shared" si="91"/>
        <v>17406665.31999898</v>
      </c>
      <c r="G479" s="173">
        <v>1111000</v>
      </c>
      <c r="H479" s="47">
        <v>2200000</v>
      </c>
      <c r="I479" s="171">
        <f t="shared" si="89"/>
        <v>1089000</v>
      </c>
      <c r="J479" s="170">
        <f t="shared" si="90"/>
        <v>18495665.31999898</v>
      </c>
    </row>
    <row r="480" spans="2:10" ht="12.65" customHeight="1">
      <c r="B480" s="33">
        <f>'Update IDR GWM'!A480</f>
        <v>43696</v>
      </c>
      <c r="C480" s="41">
        <v>225823238.88000101</v>
      </c>
      <c r="D480" s="47">
        <v>243229904.19999999</v>
      </c>
      <c r="E480" s="168">
        <f t="shared" si="91"/>
        <v>17406665.31999898</v>
      </c>
      <c r="G480" s="173">
        <v>1111000</v>
      </c>
      <c r="H480" s="47">
        <v>2200000</v>
      </c>
      <c r="I480" s="171">
        <f t="shared" si="89"/>
        <v>1089000</v>
      </c>
      <c r="J480" s="170">
        <f t="shared" si="90"/>
        <v>18495665.31999898</v>
      </c>
    </row>
    <row r="481" spans="2:10" ht="12.65" customHeight="1">
      <c r="B481" s="33">
        <f>'Update IDR GWM'!A481</f>
        <v>43697</v>
      </c>
      <c r="C481" s="41">
        <v>225823238.88000101</v>
      </c>
      <c r="D481" s="47">
        <v>227229904.19999999</v>
      </c>
      <c r="E481" s="168">
        <f t="shared" si="91"/>
        <v>1406665.3199989796</v>
      </c>
      <c r="G481" s="173">
        <v>1111000</v>
      </c>
      <c r="H481" s="47">
        <v>2200000</v>
      </c>
      <c r="I481" s="171">
        <f t="shared" si="89"/>
        <v>1089000</v>
      </c>
      <c r="J481" s="170">
        <f t="shared" si="90"/>
        <v>2495665.3199989796</v>
      </c>
    </row>
    <row r="482" spans="2:10" ht="12.65" customHeight="1">
      <c r="B482" s="33">
        <f>'Update IDR GWM'!A482</f>
        <v>43698</v>
      </c>
      <c r="C482" s="41">
        <v>225823238.88000101</v>
      </c>
      <c r="D482" s="47">
        <v>227229904.19999999</v>
      </c>
      <c r="E482" s="168">
        <f t="shared" si="91"/>
        <v>1406665.3199989796</v>
      </c>
      <c r="G482" s="173">
        <v>1111000</v>
      </c>
      <c r="H482" s="47">
        <v>2200000</v>
      </c>
      <c r="I482" s="171">
        <f t="shared" si="89"/>
        <v>1089000</v>
      </c>
      <c r="J482" s="170">
        <f t="shared" si="90"/>
        <v>2495665.3199989796</v>
      </c>
    </row>
    <row r="483" spans="2:10" ht="12.65" customHeight="1">
      <c r="B483" s="33">
        <f>'Update IDR GWM'!A483</f>
        <v>43699</v>
      </c>
      <c r="C483" s="41">
        <v>225823238.88000101</v>
      </c>
      <c r="D483" s="47">
        <v>227229904.19999999</v>
      </c>
      <c r="E483" s="168">
        <f t="shared" si="91"/>
        <v>1406665.3199989796</v>
      </c>
      <c r="G483" s="173">
        <v>1111000</v>
      </c>
      <c r="H483" s="47">
        <v>2200000</v>
      </c>
      <c r="I483" s="171">
        <f t="shared" si="89"/>
        <v>1089000</v>
      </c>
      <c r="J483" s="170">
        <f t="shared" si="90"/>
        <v>2495665.3199989796</v>
      </c>
    </row>
    <row r="484" spans="2:10" ht="12.65" customHeight="1">
      <c r="B484" s="33">
        <f>'Update IDR GWM'!A484</f>
        <v>43700</v>
      </c>
      <c r="C484" s="41">
        <v>225823238.88000101</v>
      </c>
      <c r="D484" s="47">
        <v>227229904.19999999</v>
      </c>
      <c r="E484" s="168">
        <f t="shared" si="91"/>
        <v>1406665.3199989796</v>
      </c>
      <c r="G484" s="173">
        <v>1111000</v>
      </c>
      <c r="H484" s="47">
        <v>2200000</v>
      </c>
      <c r="I484" s="171">
        <f t="shared" si="89"/>
        <v>1089000</v>
      </c>
      <c r="J484" s="170">
        <f t="shared" si="90"/>
        <v>2495665.3199989796</v>
      </c>
    </row>
    <row r="485" spans="2:10" ht="12.65" customHeight="1">
      <c r="B485" s="33">
        <f>'Update IDR GWM'!A485</f>
        <v>43703</v>
      </c>
      <c r="C485" s="41">
        <v>225823238.88000101</v>
      </c>
      <c r="D485" s="47">
        <v>227229904.19999999</v>
      </c>
      <c r="E485" s="168">
        <f t="shared" si="91"/>
        <v>1406665.3199989796</v>
      </c>
      <c r="G485" s="173">
        <v>1111000</v>
      </c>
      <c r="H485" s="47">
        <v>2200000</v>
      </c>
      <c r="I485" s="171">
        <f t="shared" si="89"/>
        <v>1089000</v>
      </c>
      <c r="J485" s="170">
        <f t="shared" si="90"/>
        <v>2495665.3199989796</v>
      </c>
    </row>
    <row r="486" spans="2:10" ht="12.65" customHeight="1">
      <c r="B486" s="33">
        <f>'Update IDR GWM'!A486</f>
        <v>43704</v>
      </c>
      <c r="C486" s="41">
        <v>225823238.88000101</v>
      </c>
      <c r="D486" s="47">
        <v>227229904.19999999</v>
      </c>
      <c r="E486" s="168">
        <f t="shared" si="91"/>
        <v>1406665.3199989796</v>
      </c>
      <c r="G486" s="173">
        <v>1111000</v>
      </c>
      <c r="H486" s="47">
        <v>2200000</v>
      </c>
      <c r="I486" s="171">
        <f t="shared" si="89"/>
        <v>1089000</v>
      </c>
      <c r="J486" s="170">
        <f t="shared" si="90"/>
        <v>2495665.3199989796</v>
      </c>
    </row>
    <row r="487" spans="2:10" ht="12.65" customHeight="1">
      <c r="B487" s="33">
        <f>'Update IDR GWM'!A487</f>
        <v>43705</v>
      </c>
      <c r="C487" s="41">
        <v>225823238.88000101</v>
      </c>
      <c r="D487" s="47">
        <v>227229904.19999999</v>
      </c>
      <c r="E487" s="168">
        <f t="shared" si="91"/>
        <v>1406665.3199989796</v>
      </c>
      <c r="G487" s="173">
        <v>1111000</v>
      </c>
      <c r="H487" s="47">
        <v>2200000</v>
      </c>
      <c r="I487" s="171">
        <f t="shared" si="89"/>
        <v>1089000</v>
      </c>
      <c r="J487" s="170">
        <f t="shared" si="90"/>
        <v>2495665.3199989796</v>
      </c>
    </row>
    <row r="488" spans="2:10" ht="12.65" customHeight="1">
      <c r="B488" s="33">
        <f>'Update IDR GWM'!A488</f>
        <v>43706</v>
      </c>
      <c r="C488" s="41">
        <v>225823238.88000101</v>
      </c>
      <c r="D488" s="47">
        <v>227229904.19999999</v>
      </c>
      <c r="E488" s="168">
        <f t="shared" si="91"/>
        <v>1406665.3199989796</v>
      </c>
      <c r="G488" s="173">
        <v>1111000</v>
      </c>
      <c r="H488" s="47">
        <v>2200000</v>
      </c>
      <c r="I488" s="171">
        <f t="shared" si="89"/>
        <v>1089000</v>
      </c>
      <c r="J488" s="170">
        <f t="shared" si="90"/>
        <v>2495665.3199989796</v>
      </c>
    </row>
    <row r="489" spans="2:10" ht="12.65" customHeight="1">
      <c r="B489" s="33">
        <f>'Update IDR GWM'!A489</f>
        <v>43707</v>
      </c>
      <c r="C489" s="41">
        <v>225823238.88000101</v>
      </c>
      <c r="D489" s="47">
        <v>237229904.19999999</v>
      </c>
      <c r="E489" s="168">
        <f t="shared" si="91"/>
        <v>11406665.31999898</v>
      </c>
      <c r="G489" s="173">
        <v>1111000</v>
      </c>
      <c r="H489" s="47">
        <v>2200000</v>
      </c>
      <c r="I489" s="171">
        <f t="shared" si="89"/>
        <v>1089000</v>
      </c>
      <c r="J489" s="170">
        <f t="shared" si="90"/>
        <v>12495665.31999898</v>
      </c>
    </row>
    <row r="490" spans="2:10" ht="12.65" customHeight="1">
      <c r="B490" s="33">
        <f>'Update IDR GWM'!A490</f>
        <v>43708</v>
      </c>
      <c r="C490" s="41">
        <v>225823238.88000101</v>
      </c>
      <c r="D490" s="47">
        <v>237229904.19999999</v>
      </c>
      <c r="E490" s="168">
        <f t="shared" si="91"/>
        <v>11406665.31999898</v>
      </c>
      <c r="G490" s="173">
        <v>1111000</v>
      </c>
      <c r="H490" s="47">
        <v>2200000</v>
      </c>
      <c r="I490" s="171">
        <f>H490-G490</f>
        <v>1089000</v>
      </c>
      <c r="J490" s="170">
        <f>E490+I490</f>
        <v>12495665.31999898</v>
      </c>
    </row>
    <row r="491" spans="2:10" ht="12.65" customHeight="1">
      <c r="B491" s="33">
        <f>'Update IDR GWM'!A491</f>
        <v>43710</v>
      </c>
      <c r="C491" s="41">
        <v>217669770.64442098</v>
      </c>
      <c r="D491" s="47">
        <v>227335945.44999999</v>
      </c>
      <c r="E491" s="168">
        <f t="shared" si="91"/>
        <v>9666174.8055790067</v>
      </c>
      <c r="G491" s="173">
        <v>1113000</v>
      </c>
      <c r="H491" s="47">
        <v>2200000</v>
      </c>
      <c r="I491" s="171">
        <f t="shared" si="89"/>
        <v>1087000</v>
      </c>
      <c r="J491" s="170">
        <f t="shared" si="90"/>
        <v>10753174.805579007</v>
      </c>
    </row>
    <row r="492" spans="2:10" ht="12.65" customHeight="1">
      <c r="B492" s="33">
        <f>'Update IDR GWM'!A492</f>
        <v>43711</v>
      </c>
      <c r="C492" s="41">
        <v>217669770.64442098</v>
      </c>
      <c r="D492" s="47">
        <v>237335945.44999999</v>
      </c>
      <c r="E492" s="168">
        <f t="shared" si="91"/>
        <v>19666174.805579007</v>
      </c>
      <c r="G492" s="173">
        <v>1113000</v>
      </c>
      <c r="H492" s="47">
        <v>2200000</v>
      </c>
      <c r="I492" s="171">
        <f t="shared" si="89"/>
        <v>1087000</v>
      </c>
      <c r="J492" s="170">
        <f t="shared" si="90"/>
        <v>20753174.805579007</v>
      </c>
    </row>
    <row r="493" spans="2:10" ht="12.65" customHeight="1">
      <c r="B493" s="33">
        <f>'Update IDR GWM'!A493</f>
        <v>43712</v>
      </c>
      <c r="C493" s="41">
        <v>217669770.64442098</v>
      </c>
      <c r="D493" s="47">
        <v>229335945.44999999</v>
      </c>
      <c r="E493" s="168">
        <f t="shared" si="91"/>
        <v>11666174.805579007</v>
      </c>
      <c r="G493" s="173">
        <v>1113000</v>
      </c>
      <c r="H493" s="47">
        <v>2200000</v>
      </c>
      <c r="I493" s="171">
        <f t="shared" si="89"/>
        <v>1087000</v>
      </c>
      <c r="J493" s="170">
        <f t="shared" si="90"/>
        <v>12753174.805579007</v>
      </c>
    </row>
    <row r="494" spans="2:10" ht="12.65" customHeight="1">
      <c r="B494" s="33">
        <f>'Update IDR GWM'!A494</f>
        <v>43713</v>
      </c>
      <c r="C494" s="41">
        <v>217669770.64442098</v>
      </c>
      <c r="D494" s="47">
        <v>229335945.44999999</v>
      </c>
      <c r="E494" s="168">
        <f t="shared" si="91"/>
        <v>11666174.805579007</v>
      </c>
      <c r="G494" s="173">
        <v>1113000</v>
      </c>
      <c r="H494" s="47">
        <v>2200000</v>
      </c>
      <c r="I494" s="171">
        <f t="shared" si="89"/>
        <v>1087000</v>
      </c>
      <c r="J494" s="170">
        <f t="shared" si="90"/>
        <v>12753174.805579007</v>
      </c>
    </row>
    <row r="495" spans="2:10" ht="12.65" customHeight="1">
      <c r="B495" s="33">
        <f>'Update IDR GWM'!A495</f>
        <v>43714</v>
      </c>
      <c r="C495" s="41">
        <v>217669770.64442098</v>
      </c>
      <c r="D495" s="47">
        <v>219335945.44999999</v>
      </c>
      <c r="E495" s="168">
        <f t="shared" si="91"/>
        <v>1666174.8055790067</v>
      </c>
      <c r="G495" s="173">
        <v>1113000</v>
      </c>
      <c r="H495" s="47">
        <v>2200000</v>
      </c>
      <c r="I495" s="171">
        <f t="shared" si="89"/>
        <v>1087000</v>
      </c>
      <c r="J495" s="170">
        <f t="shared" si="90"/>
        <v>2753174.8055790067</v>
      </c>
    </row>
    <row r="496" spans="2:10" ht="12.65" customHeight="1">
      <c r="B496" s="33">
        <f>'Update IDR GWM'!A496</f>
        <v>43717</v>
      </c>
      <c r="C496" s="41">
        <v>217669770.64442098</v>
      </c>
      <c r="D496" s="47">
        <v>219335945.44999999</v>
      </c>
      <c r="E496" s="168">
        <f t="shared" si="91"/>
        <v>1666174.8055790067</v>
      </c>
      <c r="G496" s="173">
        <v>1113000</v>
      </c>
      <c r="H496" s="47">
        <v>2200000</v>
      </c>
      <c r="I496" s="171">
        <f t="shared" si="89"/>
        <v>1087000</v>
      </c>
      <c r="J496" s="170">
        <f t="shared" si="90"/>
        <v>2753174.8055790067</v>
      </c>
    </row>
    <row r="497" spans="2:10" ht="12.65" customHeight="1">
      <c r="B497" s="33">
        <f>'Update IDR GWM'!A497</f>
        <v>43718</v>
      </c>
      <c r="C497" s="41">
        <v>217669770.64442098</v>
      </c>
      <c r="D497" s="47">
        <v>219335945.44999999</v>
      </c>
      <c r="E497" s="168">
        <f t="shared" si="91"/>
        <v>1666174.8055790067</v>
      </c>
      <c r="G497" s="173">
        <v>1113000</v>
      </c>
      <c r="H497" s="47">
        <v>2200000</v>
      </c>
      <c r="I497" s="171">
        <f t="shared" si="89"/>
        <v>1087000</v>
      </c>
      <c r="J497" s="170">
        <f t="shared" si="90"/>
        <v>2753174.8055790067</v>
      </c>
    </row>
    <row r="498" spans="2:10" ht="12.65" customHeight="1">
      <c r="B498" s="33">
        <f>'Update IDR GWM'!A498</f>
        <v>43719</v>
      </c>
      <c r="C498" s="41">
        <v>217669770.64442098</v>
      </c>
      <c r="D498" s="47">
        <v>219335945.44999999</v>
      </c>
      <c r="E498" s="168">
        <f t="shared" si="91"/>
        <v>1666174.8055790067</v>
      </c>
      <c r="G498" s="173">
        <v>1113000</v>
      </c>
      <c r="H498" s="47">
        <v>2200000</v>
      </c>
      <c r="I498" s="171">
        <f t="shared" si="89"/>
        <v>1087000</v>
      </c>
      <c r="J498" s="170">
        <f t="shared" si="90"/>
        <v>2753174.8055790067</v>
      </c>
    </row>
    <row r="499" spans="2:10" ht="12.65" customHeight="1">
      <c r="B499" s="33">
        <f>'Update IDR GWM'!A499</f>
        <v>43720</v>
      </c>
      <c r="C499" s="41">
        <v>217669770.64442098</v>
      </c>
      <c r="D499" s="47">
        <v>219335945.44999999</v>
      </c>
      <c r="E499" s="168">
        <f t="shared" si="91"/>
        <v>1666174.8055790067</v>
      </c>
      <c r="G499" s="173">
        <v>1113000</v>
      </c>
      <c r="H499" s="47">
        <v>2200000</v>
      </c>
      <c r="I499" s="171">
        <f t="shared" si="89"/>
        <v>1087000</v>
      </c>
      <c r="J499" s="170">
        <f t="shared" si="90"/>
        <v>2753174.8055790067</v>
      </c>
    </row>
    <row r="500" spans="2:10" ht="12.65" customHeight="1">
      <c r="B500" s="33">
        <f>'Update IDR GWM'!A500</f>
        <v>43721</v>
      </c>
      <c r="C500" s="41">
        <v>217669770.64442098</v>
      </c>
      <c r="D500" s="47">
        <v>219335945.44999999</v>
      </c>
      <c r="E500" s="168">
        <f t="shared" si="91"/>
        <v>1666174.8055790067</v>
      </c>
      <c r="G500" s="173">
        <v>1113000</v>
      </c>
      <c r="H500" s="47">
        <v>2200000</v>
      </c>
      <c r="I500" s="171">
        <f t="shared" si="89"/>
        <v>1087000</v>
      </c>
      <c r="J500" s="170">
        <f t="shared" si="90"/>
        <v>2753174.8055790067</v>
      </c>
    </row>
    <row r="501" spans="2:10" ht="12.65" customHeight="1">
      <c r="B501" s="33">
        <f>'Update IDR GWM'!A501</f>
        <v>43724</v>
      </c>
      <c r="C501" s="41">
        <v>207826160.641875</v>
      </c>
      <c r="D501" s="47">
        <v>219335945.44999999</v>
      </c>
      <c r="E501" s="168">
        <f t="shared" si="91"/>
        <v>11509784.808124989</v>
      </c>
      <c r="G501" s="173">
        <v>1046000</v>
      </c>
      <c r="H501" s="47">
        <v>2200000</v>
      </c>
      <c r="I501" s="171">
        <f t="shared" si="89"/>
        <v>1154000</v>
      </c>
      <c r="J501" s="170">
        <f t="shared" si="90"/>
        <v>12663784.808124989</v>
      </c>
    </row>
    <row r="502" spans="2:10" ht="12.65" customHeight="1">
      <c r="B502" s="33">
        <f>'Update IDR GWM'!A502</f>
        <v>43725</v>
      </c>
      <c r="C502" s="41">
        <v>207826160.641875</v>
      </c>
      <c r="D502" s="47">
        <v>219335945.44999999</v>
      </c>
      <c r="E502" s="168">
        <f t="shared" si="91"/>
        <v>11509784.808124989</v>
      </c>
      <c r="G502" s="173">
        <v>1046000</v>
      </c>
      <c r="H502" s="47">
        <v>2200000</v>
      </c>
      <c r="I502" s="171">
        <f t="shared" si="89"/>
        <v>1154000</v>
      </c>
      <c r="J502" s="170">
        <f t="shared" si="90"/>
        <v>12663784.808124989</v>
      </c>
    </row>
    <row r="503" spans="2:10" ht="12.65" customHeight="1">
      <c r="B503" s="33">
        <f>'Update IDR GWM'!A503</f>
        <v>43726</v>
      </c>
      <c r="C503" s="41">
        <v>207826160.641875</v>
      </c>
      <c r="D503" s="47">
        <v>209335945.44999999</v>
      </c>
      <c r="E503" s="168">
        <f t="shared" si="91"/>
        <v>1509784.8081249893</v>
      </c>
      <c r="G503" s="173">
        <v>1046000</v>
      </c>
      <c r="H503" s="47">
        <v>2200000</v>
      </c>
      <c r="I503" s="171">
        <f t="shared" si="89"/>
        <v>1154000</v>
      </c>
      <c r="J503" s="170">
        <f t="shared" si="90"/>
        <v>2663784.8081249893</v>
      </c>
    </row>
    <row r="504" spans="2:10" ht="12.65" customHeight="1">
      <c r="B504" s="33">
        <f>'Update IDR GWM'!A504</f>
        <v>43727</v>
      </c>
      <c r="C504" s="41">
        <v>207826160.641875</v>
      </c>
      <c r="D504" s="47">
        <v>209335945.44999999</v>
      </c>
      <c r="E504" s="168">
        <f t="shared" si="91"/>
        <v>1509784.8081249893</v>
      </c>
      <c r="G504" s="173">
        <v>1046000</v>
      </c>
      <c r="H504" s="47">
        <v>2200000</v>
      </c>
      <c r="I504" s="171">
        <f t="shared" si="89"/>
        <v>1154000</v>
      </c>
      <c r="J504" s="170">
        <f t="shared" si="90"/>
        <v>2663784.8081249893</v>
      </c>
    </row>
    <row r="505" spans="2:10" ht="12.65" customHeight="1">
      <c r="B505" s="33">
        <f>'Update IDR GWM'!A505</f>
        <v>43728</v>
      </c>
      <c r="C505" s="41">
        <v>207826160.641875</v>
      </c>
      <c r="D505" s="47">
        <v>209335945.44999999</v>
      </c>
      <c r="E505" s="168">
        <f t="shared" si="91"/>
        <v>1509784.8081249893</v>
      </c>
      <c r="G505" s="173">
        <v>1046000</v>
      </c>
      <c r="H505" s="47">
        <v>2200000</v>
      </c>
      <c r="I505" s="171">
        <f t="shared" si="89"/>
        <v>1154000</v>
      </c>
      <c r="J505" s="170">
        <f t="shared" si="90"/>
        <v>2663784.8081249893</v>
      </c>
    </row>
    <row r="506" spans="2:10" ht="12.65" customHeight="1">
      <c r="B506" s="33">
        <f>'Update IDR GWM'!A506</f>
        <v>43731</v>
      </c>
      <c r="C506" s="41">
        <v>207826160.641875</v>
      </c>
      <c r="D506" s="47">
        <v>209335945.44999999</v>
      </c>
      <c r="E506" s="168">
        <f t="shared" si="91"/>
        <v>1509784.8081249893</v>
      </c>
      <c r="G506" s="173">
        <v>1046000</v>
      </c>
      <c r="H506" s="47">
        <v>2200000</v>
      </c>
      <c r="I506" s="171">
        <f t="shared" si="89"/>
        <v>1154000</v>
      </c>
      <c r="J506" s="170">
        <f t="shared" si="90"/>
        <v>2663784.8081249893</v>
      </c>
    </row>
    <row r="507" spans="2:10" ht="12.65" customHeight="1">
      <c r="B507" s="33">
        <f>'Update IDR GWM'!A507</f>
        <v>43732</v>
      </c>
      <c r="C507" s="41">
        <v>207826160.641875</v>
      </c>
      <c r="D507" s="47">
        <v>209335945.44999999</v>
      </c>
      <c r="E507" s="168">
        <f t="shared" si="91"/>
        <v>1509784.8081249893</v>
      </c>
      <c r="G507" s="173">
        <v>1046000</v>
      </c>
      <c r="H507" s="47">
        <v>2000000</v>
      </c>
      <c r="I507" s="171">
        <f t="shared" si="89"/>
        <v>954000</v>
      </c>
      <c r="J507" s="170">
        <f t="shared" si="90"/>
        <v>2463784.8081249893</v>
      </c>
    </row>
    <row r="508" spans="2:10" ht="12.65" customHeight="1">
      <c r="B508" s="33">
        <f>'Update IDR GWM'!A508</f>
        <v>43733</v>
      </c>
      <c r="C508" s="41">
        <v>207826160.641875</v>
      </c>
      <c r="D508" s="47">
        <v>209335945.44999999</v>
      </c>
      <c r="E508" s="168">
        <f t="shared" si="91"/>
        <v>1509784.8081249893</v>
      </c>
      <c r="G508" s="173">
        <v>1046000</v>
      </c>
      <c r="H508" s="47">
        <v>2000000</v>
      </c>
      <c r="I508" s="171">
        <f t="shared" si="89"/>
        <v>954000</v>
      </c>
      <c r="J508" s="170">
        <f t="shared" si="90"/>
        <v>2463784.8081249893</v>
      </c>
    </row>
    <row r="509" spans="2:10" ht="12.65" customHeight="1">
      <c r="B509" s="33">
        <f>'Update IDR GWM'!A509</f>
        <v>43734</v>
      </c>
      <c r="C509" s="41">
        <v>207826160.641875</v>
      </c>
      <c r="D509" s="47">
        <v>209335945.44999999</v>
      </c>
      <c r="E509" s="168">
        <f t="shared" si="91"/>
        <v>1509784.8081249893</v>
      </c>
      <c r="G509" s="173">
        <v>1046000</v>
      </c>
      <c r="H509" s="47">
        <v>2000000</v>
      </c>
      <c r="I509" s="171">
        <f t="shared" si="89"/>
        <v>954000</v>
      </c>
      <c r="J509" s="170">
        <f t="shared" si="90"/>
        <v>2463784.8081249893</v>
      </c>
    </row>
    <row r="510" spans="2:10" ht="12.65" customHeight="1">
      <c r="B510" s="33">
        <f>'Update IDR GWM'!A510</f>
        <v>43735</v>
      </c>
      <c r="C510" s="41">
        <v>207826160.641875</v>
      </c>
      <c r="D510" s="47">
        <v>209335945.44999999</v>
      </c>
      <c r="E510" s="168">
        <f t="shared" si="91"/>
        <v>1509784.8081249893</v>
      </c>
      <c r="G510" s="173">
        <v>1046000</v>
      </c>
      <c r="H510" s="47">
        <v>2000000</v>
      </c>
      <c r="I510" s="171">
        <f t="shared" si="89"/>
        <v>954000</v>
      </c>
      <c r="J510" s="170">
        <f t="shared" si="90"/>
        <v>2463784.8081249893</v>
      </c>
    </row>
    <row r="511" spans="2:10" ht="12.65" customHeight="1">
      <c r="B511" s="33">
        <f>'Update IDR GWM'!A511</f>
        <v>43738</v>
      </c>
      <c r="C511" s="41">
        <v>207826160.641875</v>
      </c>
      <c r="D511" s="47">
        <v>209335945.44999999</v>
      </c>
      <c r="E511" s="168">
        <f t="shared" si="91"/>
        <v>1509784.8081249893</v>
      </c>
      <c r="G511" s="173">
        <v>1046000</v>
      </c>
      <c r="H511" s="47">
        <v>2000000</v>
      </c>
      <c r="I511" s="171">
        <f t="shared" si="89"/>
        <v>954000</v>
      </c>
      <c r="J511" s="170">
        <f t="shared" si="90"/>
        <v>2463784.8081249893</v>
      </c>
    </row>
    <row r="512" spans="2:10" ht="12.65" customHeight="1">
      <c r="B512" s="33">
        <f>'Update IDR GWM'!A512</f>
        <v>43739</v>
      </c>
      <c r="C512" s="41">
        <v>200873648.129058</v>
      </c>
      <c r="D512" s="47">
        <v>209335945.44999999</v>
      </c>
      <c r="E512" s="168">
        <f t="shared" si="91"/>
        <v>8462297.3209419847</v>
      </c>
      <c r="G512" s="173">
        <v>1065000</v>
      </c>
      <c r="H512" s="47">
        <v>2000000</v>
      </c>
      <c r="I512" s="171">
        <f t="shared" si="89"/>
        <v>935000</v>
      </c>
      <c r="J512" s="170">
        <f t="shared" si="90"/>
        <v>9397297.3209419847</v>
      </c>
    </row>
    <row r="513" spans="2:10" ht="12.65" customHeight="1">
      <c r="B513" s="33">
        <f>'Update IDR GWM'!A513</f>
        <v>43740</v>
      </c>
      <c r="C513" s="41">
        <v>200873648.129058</v>
      </c>
      <c r="D513" s="47">
        <v>209335945.44999999</v>
      </c>
      <c r="E513" s="168">
        <f t="shared" si="91"/>
        <v>8462297.3209419847</v>
      </c>
      <c r="G513" s="173">
        <v>1065000</v>
      </c>
      <c r="H513" s="47">
        <v>2000000</v>
      </c>
      <c r="I513" s="171">
        <f t="shared" si="89"/>
        <v>935000</v>
      </c>
      <c r="J513" s="170">
        <f t="shared" si="90"/>
        <v>9397297.3209419847</v>
      </c>
    </row>
    <row r="514" spans="2:10" ht="12.65" customHeight="1">
      <c r="B514" s="33">
        <f>'Update IDR GWM'!A514</f>
        <v>43741</v>
      </c>
      <c r="C514" s="41">
        <v>200873648.129058</v>
      </c>
      <c r="D514" s="47">
        <v>202335945.44999999</v>
      </c>
      <c r="E514" s="168">
        <f t="shared" si="91"/>
        <v>1462297.3209419847</v>
      </c>
      <c r="G514" s="173">
        <v>1065000</v>
      </c>
      <c r="H514" s="47">
        <v>2000000</v>
      </c>
      <c r="I514" s="171">
        <f t="shared" si="89"/>
        <v>935000</v>
      </c>
      <c r="J514" s="170">
        <f t="shared" si="90"/>
        <v>2397297.3209419847</v>
      </c>
    </row>
    <row r="515" spans="2:10" ht="12.65" customHeight="1">
      <c r="B515" s="33">
        <f>'Update IDR GWM'!A515</f>
        <v>43742</v>
      </c>
      <c r="C515" s="41">
        <v>200873648.129058</v>
      </c>
      <c r="D515" s="47">
        <v>202335945.44999999</v>
      </c>
      <c r="E515" s="168">
        <f t="shared" si="91"/>
        <v>1462297.3209419847</v>
      </c>
      <c r="G515" s="173">
        <v>1065000</v>
      </c>
      <c r="H515" s="47">
        <v>2000000</v>
      </c>
      <c r="I515" s="171">
        <f t="shared" si="89"/>
        <v>935000</v>
      </c>
      <c r="J515" s="170">
        <f t="shared" si="90"/>
        <v>2397297.3209419847</v>
      </c>
    </row>
    <row r="516" spans="2:10" ht="12.65" customHeight="1">
      <c r="B516" s="33">
        <f>'Update IDR GWM'!A516</f>
        <v>43745</v>
      </c>
      <c r="C516" s="41">
        <v>200873648.129058</v>
      </c>
      <c r="D516" s="47">
        <v>202335945.44999999</v>
      </c>
      <c r="E516" s="168">
        <f t="shared" si="91"/>
        <v>1462297.3209419847</v>
      </c>
      <c r="G516" s="173">
        <v>1065000</v>
      </c>
      <c r="H516" s="47">
        <v>2000000</v>
      </c>
      <c r="I516" s="171">
        <f t="shared" si="89"/>
        <v>935000</v>
      </c>
      <c r="J516" s="170">
        <f t="shared" si="90"/>
        <v>2397297.3209419847</v>
      </c>
    </row>
    <row r="517" spans="2:10" ht="12.65" customHeight="1">
      <c r="B517" s="33">
        <f>'Update IDR GWM'!A517</f>
        <v>43746</v>
      </c>
      <c r="C517" s="41">
        <v>200873648.129058</v>
      </c>
      <c r="D517" s="47">
        <v>202335945.44999999</v>
      </c>
      <c r="E517" s="168">
        <f t="shared" si="91"/>
        <v>1462297.3209419847</v>
      </c>
      <c r="G517" s="173">
        <v>1065000</v>
      </c>
      <c r="H517" s="47">
        <v>2000000</v>
      </c>
      <c r="I517" s="171">
        <f t="shared" si="89"/>
        <v>935000</v>
      </c>
      <c r="J517" s="170">
        <f t="shared" si="90"/>
        <v>2397297.3209419847</v>
      </c>
    </row>
    <row r="518" spans="2:10" ht="12.65" customHeight="1">
      <c r="B518" s="33">
        <f>'Update IDR GWM'!A518</f>
        <v>43747</v>
      </c>
      <c r="C518" s="41">
        <v>200873648.129058</v>
      </c>
      <c r="D518" s="47">
        <v>202335945.44999999</v>
      </c>
      <c r="E518" s="168">
        <f t="shared" si="91"/>
        <v>1462297.3209419847</v>
      </c>
      <c r="G518" s="173">
        <v>1065000</v>
      </c>
      <c r="H518" s="47">
        <v>2000000</v>
      </c>
      <c r="I518" s="171">
        <f t="shared" si="89"/>
        <v>935000</v>
      </c>
      <c r="J518" s="170">
        <f t="shared" si="90"/>
        <v>2397297.3209419847</v>
      </c>
    </row>
    <row r="519" spans="2:10" ht="12.65" customHeight="1">
      <c r="B519" s="33">
        <f>'Update IDR GWM'!A519</f>
        <v>43748</v>
      </c>
      <c r="C519" s="41">
        <v>200873648.129058</v>
      </c>
      <c r="D519" s="47">
        <v>202335945.44999999</v>
      </c>
      <c r="E519" s="168">
        <f t="shared" si="91"/>
        <v>1462297.3209419847</v>
      </c>
      <c r="G519" s="173">
        <v>1065000</v>
      </c>
      <c r="H519" s="47">
        <v>2000000</v>
      </c>
      <c r="I519" s="171">
        <f t="shared" si="89"/>
        <v>935000</v>
      </c>
      <c r="J519" s="170">
        <f t="shared" si="90"/>
        <v>2397297.3209419847</v>
      </c>
    </row>
    <row r="520" spans="2:10" ht="12.65" customHeight="1">
      <c r="B520" s="33">
        <f>'Update IDR GWM'!A520</f>
        <v>43749</v>
      </c>
      <c r="C520" s="41">
        <v>200873648.129058</v>
      </c>
      <c r="D520" s="47">
        <v>202335945.44999999</v>
      </c>
      <c r="E520" s="168">
        <f t="shared" si="91"/>
        <v>1462297.3209419847</v>
      </c>
      <c r="G520" s="173">
        <v>1065000</v>
      </c>
      <c r="H520" s="47">
        <v>2000000</v>
      </c>
      <c r="I520" s="171">
        <f t="shared" si="89"/>
        <v>935000</v>
      </c>
      <c r="J520" s="170">
        <f t="shared" si="90"/>
        <v>2397297.3209419847</v>
      </c>
    </row>
    <row r="521" spans="2:10" ht="12.65" customHeight="1">
      <c r="B521" s="33">
        <f>'Update IDR GWM'!A521</f>
        <v>43752</v>
      </c>
      <c r="C521" s="41">
        <v>200873648.129058</v>
      </c>
      <c r="D521" s="47">
        <v>202335945.44999999</v>
      </c>
      <c r="E521" s="168">
        <f t="shared" si="91"/>
        <v>1462297.3209419847</v>
      </c>
      <c r="G521" s="173">
        <v>1065000</v>
      </c>
      <c r="H521" s="47">
        <v>2000000</v>
      </c>
      <c r="I521" s="171">
        <f t="shared" si="89"/>
        <v>935000</v>
      </c>
      <c r="J521" s="170">
        <f t="shared" si="90"/>
        <v>2397297.3209419847</v>
      </c>
    </row>
    <row r="522" spans="2:10" ht="12.65" customHeight="1">
      <c r="B522" s="33">
        <f>'Update IDR GWM'!A522</f>
        <v>43753</v>
      </c>
      <c r="C522" s="41">
        <v>200873648.129058</v>
      </c>
      <c r="D522" s="47">
        <v>202335945.44999999</v>
      </c>
      <c r="E522" s="168">
        <f t="shared" si="91"/>
        <v>1462297.3209419847</v>
      </c>
      <c r="G522" s="173">
        <v>1065000</v>
      </c>
      <c r="H522" s="47">
        <v>2000000</v>
      </c>
      <c r="I522" s="171">
        <f t="shared" si="89"/>
        <v>935000</v>
      </c>
      <c r="J522" s="170">
        <f t="shared" si="90"/>
        <v>2397297.3209419847</v>
      </c>
    </row>
    <row r="523" spans="2:10" ht="12.65" customHeight="1">
      <c r="B523" s="33">
        <f>'Update IDR GWM'!A523</f>
        <v>43754</v>
      </c>
      <c r="C523" s="41">
        <v>202313703.108522</v>
      </c>
      <c r="D523" s="47">
        <v>203835945.44999999</v>
      </c>
      <c r="E523" s="168">
        <f t="shared" si="91"/>
        <v>1522242.3414779902</v>
      </c>
      <c r="G523" s="173">
        <v>1076000</v>
      </c>
      <c r="H523" s="47">
        <v>2000000</v>
      </c>
      <c r="I523" s="171">
        <f t="shared" si="89"/>
        <v>924000</v>
      </c>
      <c r="J523" s="170">
        <f t="shared" si="90"/>
        <v>2446242.3414779902</v>
      </c>
    </row>
    <row r="524" spans="2:10" ht="12.65" customHeight="1">
      <c r="B524" s="33">
        <f>'Update IDR GWM'!A524</f>
        <v>43755</v>
      </c>
      <c r="C524" s="41">
        <v>202313703.108522</v>
      </c>
      <c r="D524" s="47">
        <v>203835945.44999999</v>
      </c>
      <c r="E524" s="168">
        <f t="shared" si="91"/>
        <v>1522242.3414779902</v>
      </c>
      <c r="G524" s="173">
        <v>1076000</v>
      </c>
      <c r="H524" s="47">
        <v>2000000</v>
      </c>
      <c r="I524" s="171">
        <f t="shared" si="89"/>
        <v>924000</v>
      </c>
      <c r="J524" s="170">
        <f t="shared" si="90"/>
        <v>2446242.3414779902</v>
      </c>
    </row>
    <row r="525" spans="2:10" ht="12.65" customHeight="1">
      <c r="B525" s="33">
        <f>'Update IDR GWM'!A525</f>
        <v>43756</v>
      </c>
      <c r="C525" s="41">
        <v>202313703.108522</v>
      </c>
      <c r="D525" s="47">
        <v>203835945.44999999</v>
      </c>
      <c r="E525" s="168">
        <f t="shared" si="91"/>
        <v>1522242.3414779902</v>
      </c>
      <c r="G525" s="173">
        <v>1076000</v>
      </c>
      <c r="H525" s="47">
        <v>2000000</v>
      </c>
      <c r="I525" s="171">
        <f t="shared" si="89"/>
        <v>924000</v>
      </c>
      <c r="J525" s="170">
        <f t="shared" si="90"/>
        <v>2446242.3414779902</v>
      </c>
    </row>
    <row r="526" spans="2:10" ht="12.65" customHeight="1">
      <c r="B526" s="33">
        <f>'Update IDR GWM'!A526</f>
        <v>43759</v>
      </c>
      <c r="C526" s="41">
        <v>202313703.108522</v>
      </c>
      <c r="D526" s="47">
        <v>203835945.44999999</v>
      </c>
      <c r="E526" s="168">
        <f t="shared" si="91"/>
        <v>1522242.3414779902</v>
      </c>
      <c r="G526" s="173">
        <v>1076000</v>
      </c>
      <c r="H526" s="47">
        <v>2000000</v>
      </c>
      <c r="I526" s="171">
        <f t="shared" si="89"/>
        <v>924000</v>
      </c>
      <c r="J526" s="170">
        <f t="shared" si="90"/>
        <v>2446242.3414779902</v>
      </c>
    </row>
    <row r="527" spans="2:10" ht="12.65" customHeight="1">
      <c r="B527" s="33">
        <f>'Update IDR GWM'!A527</f>
        <v>43760</v>
      </c>
      <c r="C527" s="41">
        <v>202313703.108522</v>
      </c>
      <c r="D527" s="47">
        <v>203835945.44999999</v>
      </c>
      <c r="E527" s="168">
        <f t="shared" si="91"/>
        <v>1522242.3414779902</v>
      </c>
      <c r="G527" s="173">
        <v>1076000</v>
      </c>
      <c r="H527" s="47">
        <v>2000000</v>
      </c>
      <c r="I527" s="171">
        <f t="shared" si="89"/>
        <v>924000</v>
      </c>
      <c r="J527" s="170">
        <f t="shared" si="90"/>
        <v>2446242.3414779902</v>
      </c>
    </row>
    <row r="528" spans="2:10" ht="12.65" customHeight="1">
      <c r="B528" s="33">
        <f>'Update IDR GWM'!A528</f>
        <v>43761</v>
      </c>
      <c r="C528" s="41">
        <v>202313703.108522</v>
      </c>
      <c r="D528" s="47">
        <v>203835945.44999999</v>
      </c>
      <c r="E528" s="168">
        <f t="shared" si="91"/>
        <v>1522242.3414779902</v>
      </c>
      <c r="G528" s="173">
        <v>1076000</v>
      </c>
      <c r="H528" s="47">
        <v>2000000</v>
      </c>
      <c r="I528" s="171">
        <f t="shared" si="89"/>
        <v>924000</v>
      </c>
      <c r="J528" s="170">
        <f t="shared" si="90"/>
        <v>2446242.3414779902</v>
      </c>
    </row>
    <row r="529" spans="2:10" ht="12.65" customHeight="1">
      <c r="B529" s="33">
        <f>'Update IDR GWM'!A529</f>
        <v>43762</v>
      </c>
      <c r="C529" s="41">
        <v>202313703.108522</v>
      </c>
      <c r="D529" s="47">
        <v>203835945.44999999</v>
      </c>
      <c r="E529" s="168">
        <f t="shared" si="91"/>
        <v>1522242.3414779902</v>
      </c>
      <c r="G529" s="173">
        <v>1076000</v>
      </c>
      <c r="H529" s="47">
        <v>2000000</v>
      </c>
      <c r="I529" s="171">
        <f t="shared" si="89"/>
        <v>924000</v>
      </c>
      <c r="J529" s="170">
        <f t="shared" si="90"/>
        <v>2446242.3414779902</v>
      </c>
    </row>
    <row r="530" spans="2:10" ht="12.65" customHeight="1">
      <c r="B530" s="33">
        <f>'Update IDR GWM'!A530</f>
        <v>43763</v>
      </c>
      <c r="C530" s="41">
        <v>202313703.108522</v>
      </c>
      <c r="D530" s="47">
        <v>203835945.44999999</v>
      </c>
      <c r="E530" s="168">
        <f t="shared" si="91"/>
        <v>1522242.3414779902</v>
      </c>
      <c r="G530" s="173">
        <v>1076000</v>
      </c>
      <c r="H530" s="47">
        <v>2000000</v>
      </c>
      <c r="I530" s="171">
        <f t="shared" si="89"/>
        <v>924000</v>
      </c>
      <c r="J530" s="170">
        <f t="shared" si="90"/>
        <v>2446242.3414779902</v>
      </c>
    </row>
    <row r="531" spans="2:10" ht="12.65" customHeight="1">
      <c r="B531" s="33">
        <f>'Update IDR GWM'!A531</f>
        <v>43766</v>
      </c>
      <c r="C531" s="41">
        <v>202313703.108522</v>
      </c>
      <c r="D531" s="47">
        <v>203835945.44999999</v>
      </c>
      <c r="E531" s="168">
        <f t="shared" si="91"/>
        <v>1522242.3414779902</v>
      </c>
      <c r="G531" s="173">
        <v>1076000</v>
      </c>
      <c r="H531" s="47">
        <v>2000000</v>
      </c>
      <c r="I531" s="171">
        <f t="shared" si="89"/>
        <v>924000</v>
      </c>
      <c r="J531" s="170">
        <f t="shared" si="90"/>
        <v>2446242.3414779902</v>
      </c>
    </row>
    <row r="532" spans="2:10" ht="12.65" customHeight="1">
      <c r="B532" s="33">
        <f>'Update IDR GWM'!A532</f>
        <v>43767</v>
      </c>
      <c r="C532" s="41">
        <v>202313703.108522</v>
      </c>
      <c r="D532" s="47">
        <v>203835945.44999999</v>
      </c>
      <c r="E532" s="168">
        <f t="shared" si="91"/>
        <v>1522242.3414779902</v>
      </c>
      <c r="G532" s="173">
        <v>1076000</v>
      </c>
      <c r="H532" s="47">
        <v>2000000</v>
      </c>
      <c r="I532" s="171">
        <f>H532-G532</f>
        <v>924000</v>
      </c>
      <c r="J532" s="170">
        <f>E532+I532</f>
        <v>2446242.3414779902</v>
      </c>
    </row>
    <row r="533" spans="2:10" ht="12.65" customHeight="1">
      <c r="B533" s="33">
        <f>'Update IDR GWM'!A533</f>
        <v>43768</v>
      </c>
      <c r="C533" s="41">
        <v>202313703.108522</v>
      </c>
      <c r="D533" s="47">
        <v>203835945.44999999</v>
      </c>
      <c r="E533" s="168">
        <f t="shared" si="91"/>
        <v>1522242.3414779902</v>
      </c>
      <c r="G533" s="173">
        <v>1076000</v>
      </c>
      <c r="H533" s="47">
        <v>2000000</v>
      </c>
      <c r="I533" s="171">
        <f>H533-G533</f>
        <v>924000</v>
      </c>
      <c r="J533" s="170">
        <f>E533+I533</f>
        <v>2446242.3414779902</v>
      </c>
    </row>
    <row r="534" spans="2:10" ht="12.65" customHeight="1">
      <c r="B534" s="33">
        <f>'Update IDR GWM'!A534</f>
        <v>43769</v>
      </c>
      <c r="C534" s="41">
        <v>202313703.108522</v>
      </c>
      <c r="D534" s="47">
        <v>203835945.44999999</v>
      </c>
      <c r="E534" s="168">
        <f t="shared" si="91"/>
        <v>1522242.3414779902</v>
      </c>
      <c r="G534" s="173">
        <v>1076000</v>
      </c>
      <c r="H534" s="47">
        <v>2000000</v>
      </c>
      <c r="I534" s="171">
        <f>H534-G534</f>
        <v>924000</v>
      </c>
      <c r="J534" s="170">
        <f>E534+I534</f>
        <v>2446242.3414779902</v>
      </c>
    </row>
    <row r="535" spans="2:10" ht="12.65" customHeight="1">
      <c r="B535" s="33">
        <f>'Update IDR GWM'!A535</f>
        <v>43770</v>
      </c>
      <c r="C535" s="41">
        <v>203530534.96090299</v>
      </c>
      <c r="D535" s="47">
        <v>205435663.28999999</v>
      </c>
      <c r="E535" s="168">
        <f t="shared" ref="E535:E599" si="92">D535-C535</f>
        <v>1905128.3290970027</v>
      </c>
      <c r="G535" s="173">
        <v>942000</v>
      </c>
      <c r="H535" s="47">
        <v>2000000</v>
      </c>
      <c r="I535" s="171">
        <f t="shared" ref="I535:I555" si="93">H535-G535</f>
        <v>1058000</v>
      </c>
      <c r="J535" s="170">
        <f t="shared" ref="J535:J600" si="94">E535+I535</f>
        <v>2963128.3290970027</v>
      </c>
    </row>
    <row r="536" spans="2:10" ht="12.65" customHeight="1">
      <c r="B536" s="33">
        <f>'Update IDR GWM'!A536</f>
        <v>43773</v>
      </c>
      <c r="C536" s="41">
        <v>203530534.96090299</v>
      </c>
      <c r="D536" s="47">
        <v>205435663.28999999</v>
      </c>
      <c r="E536" s="168">
        <f t="shared" si="92"/>
        <v>1905128.3290970027</v>
      </c>
      <c r="G536" s="173">
        <v>942000</v>
      </c>
      <c r="H536" s="47">
        <v>2000000</v>
      </c>
      <c r="I536" s="171">
        <f t="shared" si="93"/>
        <v>1058000</v>
      </c>
      <c r="J536" s="170">
        <f t="shared" si="94"/>
        <v>2963128.3290970027</v>
      </c>
    </row>
    <row r="537" spans="2:10" ht="12.65" customHeight="1">
      <c r="B537" s="33">
        <f>'Update IDR GWM'!A537</f>
        <v>43774</v>
      </c>
      <c r="C537" s="41">
        <v>203530534.96090299</v>
      </c>
      <c r="D537" s="47">
        <v>205435663.28999999</v>
      </c>
      <c r="E537" s="168">
        <f t="shared" si="92"/>
        <v>1905128.3290970027</v>
      </c>
      <c r="G537" s="173">
        <v>942000</v>
      </c>
      <c r="H537" s="47">
        <v>2000000</v>
      </c>
      <c r="I537" s="171">
        <f t="shared" si="93"/>
        <v>1058000</v>
      </c>
      <c r="J537" s="170">
        <f t="shared" si="94"/>
        <v>2963128.3290970027</v>
      </c>
    </row>
    <row r="538" spans="2:10" ht="12.65" customHeight="1">
      <c r="B538" s="33">
        <f>'Update IDR GWM'!A538</f>
        <v>43775</v>
      </c>
      <c r="C538" s="41">
        <v>203530534.96090299</v>
      </c>
      <c r="D538" s="47">
        <v>205435663.28999999</v>
      </c>
      <c r="E538" s="168">
        <f t="shared" si="92"/>
        <v>1905128.3290970027</v>
      </c>
      <c r="G538" s="173">
        <v>942000</v>
      </c>
      <c r="H538" s="47">
        <v>2000000</v>
      </c>
      <c r="I538" s="171">
        <f t="shared" si="93"/>
        <v>1058000</v>
      </c>
      <c r="J538" s="170">
        <f t="shared" si="94"/>
        <v>2963128.3290970027</v>
      </c>
    </row>
    <row r="539" spans="2:10" ht="12.65" customHeight="1">
      <c r="B539" s="33">
        <f>'Update IDR GWM'!A539</f>
        <v>43776</v>
      </c>
      <c r="C539" s="41">
        <v>203530534.96090299</v>
      </c>
      <c r="D539" s="47">
        <v>205435663.28999999</v>
      </c>
      <c r="E539" s="168">
        <f t="shared" si="92"/>
        <v>1905128.3290970027</v>
      </c>
      <c r="G539" s="173">
        <v>942000</v>
      </c>
      <c r="H539" s="47">
        <v>2000000</v>
      </c>
      <c r="I539" s="171">
        <f t="shared" si="93"/>
        <v>1058000</v>
      </c>
      <c r="J539" s="170">
        <f t="shared" si="94"/>
        <v>2963128.3290970027</v>
      </c>
    </row>
    <row r="540" spans="2:10" ht="12.65" customHeight="1">
      <c r="B540" s="33">
        <f>'Update IDR GWM'!A540</f>
        <v>43777</v>
      </c>
      <c r="C540" s="41">
        <v>203530534.96090299</v>
      </c>
      <c r="D540" s="47">
        <v>205435663.28999999</v>
      </c>
      <c r="E540" s="168">
        <f t="shared" si="92"/>
        <v>1905128.3290970027</v>
      </c>
      <c r="G540" s="173">
        <v>942000</v>
      </c>
      <c r="H540" s="47">
        <v>2000000</v>
      </c>
      <c r="I540" s="171">
        <f t="shared" si="93"/>
        <v>1058000</v>
      </c>
      <c r="J540" s="170">
        <f t="shared" si="94"/>
        <v>2963128.3290970027</v>
      </c>
    </row>
    <row r="541" spans="2:10" ht="12.65" customHeight="1">
      <c r="B541" s="33">
        <f>'Update IDR GWM'!A541</f>
        <v>43780</v>
      </c>
      <c r="C541" s="41">
        <v>203530534.96090299</v>
      </c>
      <c r="D541" s="47">
        <v>205435663.28999999</v>
      </c>
      <c r="E541" s="168">
        <f t="shared" si="92"/>
        <v>1905128.3290970027</v>
      </c>
      <c r="G541" s="173">
        <v>942000</v>
      </c>
      <c r="H541" s="47">
        <v>2000000</v>
      </c>
      <c r="I541" s="171">
        <f t="shared" si="93"/>
        <v>1058000</v>
      </c>
      <c r="J541" s="170">
        <f t="shared" si="94"/>
        <v>2963128.3290970027</v>
      </c>
    </row>
    <row r="542" spans="2:10" ht="12.65" customHeight="1">
      <c r="B542" s="33">
        <f>'Update IDR GWM'!A542</f>
        <v>43781</v>
      </c>
      <c r="C542" s="41">
        <v>203530534.96090299</v>
      </c>
      <c r="D542" s="47">
        <v>205435663.28999999</v>
      </c>
      <c r="E542" s="168">
        <f t="shared" si="92"/>
        <v>1905128.3290970027</v>
      </c>
      <c r="G542" s="173">
        <v>942000</v>
      </c>
      <c r="H542" s="47">
        <v>2000000</v>
      </c>
      <c r="I542" s="171">
        <f t="shared" si="93"/>
        <v>1058000</v>
      </c>
      <c r="J542" s="170">
        <f t="shared" si="94"/>
        <v>2963128.3290970027</v>
      </c>
    </row>
    <row r="543" spans="2:10" ht="12.65" customHeight="1">
      <c r="B543" s="33">
        <f>'Update IDR GWM'!A543</f>
        <v>43782</v>
      </c>
      <c r="C543" s="41">
        <v>203530534.96090299</v>
      </c>
      <c r="D543" s="47">
        <v>205435663.28999999</v>
      </c>
      <c r="E543" s="168">
        <f t="shared" si="92"/>
        <v>1905128.3290970027</v>
      </c>
      <c r="G543" s="173">
        <v>942000</v>
      </c>
      <c r="H543" s="47">
        <v>2000000</v>
      </c>
      <c r="I543" s="171">
        <f t="shared" si="93"/>
        <v>1058000</v>
      </c>
      <c r="J543" s="170">
        <f t="shared" si="94"/>
        <v>2963128.3290970027</v>
      </c>
    </row>
    <row r="544" spans="2:10" ht="12.65" customHeight="1">
      <c r="B544" s="33">
        <f>'Update IDR GWM'!A544</f>
        <v>43783</v>
      </c>
      <c r="C544" s="41">
        <v>203530534.96090299</v>
      </c>
      <c r="D544" s="47">
        <v>205435663.28999999</v>
      </c>
      <c r="E544" s="168">
        <f t="shared" si="92"/>
        <v>1905128.3290970027</v>
      </c>
      <c r="G544" s="173">
        <v>942000</v>
      </c>
      <c r="H544" s="47">
        <v>2000000</v>
      </c>
      <c r="I544" s="171">
        <f t="shared" si="93"/>
        <v>1058000</v>
      </c>
      <c r="J544" s="170">
        <f t="shared" si="94"/>
        <v>2963128.3290970027</v>
      </c>
    </row>
    <row r="545" spans="2:10" ht="12.65" customHeight="1">
      <c r="B545" s="33">
        <f>'Update IDR GWM'!A545</f>
        <v>43784</v>
      </c>
      <c r="C545" s="41">
        <v>203530534.96090299</v>
      </c>
      <c r="D545" s="47">
        <v>205435663.28999999</v>
      </c>
      <c r="E545" s="168">
        <f t="shared" si="92"/>
        <v>1905128.3290970027</v>
      </c>
      <c r="G545" s="173">
        <v>942000</v>
      </c>
      <c r="H545" s="47">
        <v>2000000</v>
      </c>
      <c r="I545" s="171">
        <f t="shared" si="93"/>
        <v>1058000</v>
      </c>
      <c r="J545" s="170">
        <f t="shared" si="94"/>
        <v>2963128.3290970027</v>
      </c>
    </row>
    <row r="546" spans="2:10" ht="12.65" customHeight="1">
      <c r="B546" s="33">
        <f>'Update IDR GWM'!A546</f>
        <v>43787</v>
      </c>
      <c r="C546" s="41">
        <v>213017760.02610502</v>
      </c>
      <c r="D546" s="47">
        <v>216460663.28999999</v>
      </c>
      <c r="E546" s="168">
        <f t="shared" si="92"/>
        <v>3442903.2638949752</v>
      </c>
      <c r="G546" s="173">
        <v>949000</v>
      </c>
      <c r="H546" s="47">
        <v>2000000</v>
      </c>
      <c r="I546" s="171">
        <f t="shared" si="93"/>
        <v>1051000</v>
      </c>
      <c r="J546" s="170">
        <f t="shared" si="94"/>
        <v>4493903.2638949752</v>
      </c>
    </row>
    <row r="547" spans="2:10" ht="12.65" customHeight="1">
      <c r="B547" s="33">
        <f>'Update IDR GWM'!A547</f>
        <v>43788</v>
      </c>
      <c r="C547" s="41">
        <v>213017760.02610502</v>
      </c>
      <c r="D547" s="47">
        <v>216460663.28999999</v>
      </c>
      <c r="E547" s="168">
        <f t="shared" si="92"/>
        <v>3442903.2638949752</v>
      </c>
      <c r="G547" s="173">
        <v>949000</v>
      </c>
      <c r="H547" s="47">
        <v>2000000</v>
      </c>
      <c r="I547" s="171">
        <f t="shared" si="93"/>
        <v>1051000</v>
      </c>
      <c r="J547" s="170">
        <f t="shared" si="94"/>
        <v>4493903.2638949752</v>
      </c>
    </row>
    <row r="548" spans="2:10" ht="12.65" customHeight="1">
      <c r="B548" s="33">
        <f>'Update IDR GWM'!A548</f>
        <v>43789</v>
      </c>
      <c r="C548" s="41">
        <v>213017760.02610502</v>
      </c>
      <c r="D548" s="47">
        <v>216460663.28999999</v>
      </c>
      <c r="E548" s="168">
        <f t="shared" si="92"/>
        <v>3442903.2638949752</v>
      </c>
      <c r="G548" s="173">
        <v>949000</v>
      </c>
      <c r="H548" s="47">
        <v>2000000</v>
      </c>
      <c r="I548" s="171">
        <f t="shared" si="93"/>
        <v>1051000</v>
      </c>
      <c r="J548" s="170">
        <f t="shared" si="94"/>
        <v>4493903.2638949752</v>
      </c>
    </row>
    <row r="549" spans="2:10" ht="12.65" customHeight="1">
      <c r="B549" s="33">
        <f>'Update IDR GWM'!A549</f>
        <v>43790</v>
      </c>
      <c r="C549" s="41">
        <v>213017760.02610502</v>
      </c>
      <c r="D549" s="47">
        <v>214435663.28999999</v>
      </c>
      <c r="E549" s="168">
        <f t="shared" si="92"/>
        <v>1417903.2638949752</v>
      </c>
      <c r="G549" s="173">
        <v>949000</v>
      </c>
      <c r="H549" s="47">
        <v>2000000</v>
      </c>
      <c r="I549" s="171">
        <f t="shared" si="93"/>
        <v>1051000</v>
      </c>
      <c r="J549" s="170">
        <f t="shared" si="94"/>
        <v>2468903.2638949752</v>
      </c>
    </row>
    <row r="550" spans="2:10" ht="12.65" customHeight="1">
      <c r="B550" s="33">
        <f>'Update IDR GWM'!A550</f>
        <v>43791</v>
      </c>
      <c r="C550" s="41">
        <v>213017760.02610502</v>
      </c>
      <c r="D550" s="47">
        <v>214435663.28999999</v>
      </c>
      <c r="E550" s="168">
        <f t="shared" si="92"/>
        <v>1417903.2638949752</v>
      </c>
      <c r="G550" s="173">
        <v>949000</v>
      </c>
      <c r="H550" s="47">
        <v>2000000</v>
      </c>
      <c r="I550" s="171">
        <f t="shared" si="93"/>
        <v>1051000</v>
      </c>
      <c r="J550" s="170">
        <f t="shared" si="94"/>
        <v>2468903.2638949752</v>
      </c>
    </row>
    <row r="551" spans="2:10" ht="12.65" customHeight="1">
      <c r="B551" s="33">
        <f>'Update IDR GWM'!A551</f>
        <v>43794</v>
      </c>
      <c r="C551" s="41">
        <v>213017760.02610502</v>
      </c>
      <c r="D551" s="47">
        <v>214435663.28999999</v>
      </c>
      <c r="E551" s="168">
        <f t="shared" si="92"/>
        <v>1417903.2638949752</v>
      </c>
      <c r="G551" s="173">
        <v>949000</v>
      </c>
      <c r="H551" s="47">
        <v>2000000</v>
      </c>
      <c r="I551" s="171">
        <f t="shared" si="93"/>
        <v>1051000</v>
      </c>
      <c r="J551" s="170">
        <f t="shared" si="94"/>
        <v>2468903.2638949752</v>
      </c>
    </row>
    <row r="552" spans="2:10" ht="12.65" customHeight="1">
      <c r="B552" s="33">
        <f>'Update IDR GWM'!A552</f>
        <v>43795</v>
      </c>
      <c r="C552" s="41">
        <v>213017760.02610502</v>
      </c>
      <c r="D552" s="47">
        <v>214435663.28999999</v>
      </c>
      <c r="E552" s="168">
        <f t="shared" si="92"/>
        <v>1417903.2638949752</v>
      </c>
      <c r="G552" s="173">
        <v>949000</v>
      </c>
      <c r="H552" s="47">
        <v>2000000</v>
      </c>
      <c r="I552" s="171">
        <f t="shared" si="93"/>
        <v>1051000</v>
      </c>
      <c r="J552" s="170">
        <f t="shared" si="94"/>
        <v>2468903.2638949752</v>
      </c>
    </row>
    <row r="553" spans="2:10" ht="12.65" customHeight="1">
      <c r="B553" s="33">
        <f>'Update IDR GWM'!A553</f>
        <v>43796</v>
      </c>
      <c r="C553" s="41">
        <v>213017760.02610502</v>
      </c>
      <c r="D553" s="47">
        <v>214435663.28999999</v>
      </c>
      <c r="E553" s="168">
        <f t="shared" si="92"/>
        <v>1417903.2638949752</v>
      </c>
      <c r="G553" s="173">
        <v>949000</v>
      </c>
      <c r="H553" s="47">
        <v>2000000</v>
      </c>
      <c r="I553" s="171">
        <f t="shared" si="93"/>
        <v>1051000</v>
      </c>
      <c r="J553" s="170">
        <f t="shared" si="94"/>
        <v>2468903.2638949752</v>
      </c>
    </row>
    <row r="554" spans="2:10" ht="12.65" customHeight="1">
      <c r="B554" s="33">
        <f>'Update IDR GWM'!A554</f>
        <v>43797</v>
      </c>
      <c r="C554" s="41">
        <v>213017760.02610502</v>
      </c>
      <c r="D554" s="47">
        <v>214435663.28999999</v>
      </c>
      <c r="E554" s="168">
        <f t="shared" si="92"/>
        <v>1417903.2638949752</v>
      </c>
      <c r="G554" s="173">
        <v>949000</v>
      </c>
      <c r="H554" s="47">
        <v>2000000</v>
      </c>
      <c r="I554" s="171">
        <f t="shared" si="93"/>
        <v>1051000</v>
      </c>
      <c r="J554" s="170">
        <f t="shared" si="94"/>
        <v>2468903.2638949752</v>
      </c>
    </row>
    <row r="555" spans="2:10" ht="12.65" customHeight="1">
      <c r="B555" s="33">
        <f>'Update IDR GWM'!A555</f>
        <v>43798</v>
      </c>
      <c r="C555" s="41">
        <v>213017760.02610502</v>
      </c>
      <c r="D555" s="47">
        <v>214435663.28999999</v>
      </c>
      <c r="E555" s="168">
        <f t="shared" si="92"/>
        <v>1417903.2638949752</v>
      </c>
      <c r="G555" s="173">
        <v>949000</v>
      </c>
      <c r="H555" s="47">
        <v>2000000</v>
      </c>
      <c r="I555" s="171">
        <f t="shared" si="93"/>
        <v>1051000</v>
      </c>
      <c r="J555" s="170">
        <f t="shared" si="94"/>
        <v>2468903.2638949752</v>
      </c>
    </row>
    <row r="556" spans="2:10" ht="12.65" customHeight="1">
      <c r="B556" s="33">
        <f>'Update IDR GWM'!A556</f>
        <v>43799</v>
      </c>
      <c r="C556" s="41">
        <v>213017760.02610502</v>
      </c>
      <c r="D556" s="47">
        <v>214435663.28999999</v>
      </c>
      <c r="E556" s="168">
        <f>D556-C556</f>
        <v>1417903.2638949752</v>
      </c>
      <c r="G556" s="173">
        <v>949000</v>
      </c>
      <c r="H556" s="47">
        <v>2000000</v>
      </c>
      <c r="I556" s="171">
        <f t="shared" ref="I556:I608" si="95">H556-G556</f>
        <v>1051000</v>
      </c>
      <c r="J556" s="170">
        <f>E556+I556</f>
        <v>2468903.2638949752</v>
      </c>
    </row>
    <row r="557" spans="2:10" ht="12.65" customHeight="1">
      <c r="B557" s="33">
        <f>'Update IDR GWM'!A557</f>
        <v>43801</v>
      </c>
      <c r="C557" s="41">
        <v>224240963.076121</v>
      </c>
      <c r="D557" s="47">
        <v>225435663.28999999</v>
      </c>
      <c r="E557" s="168">
        <f t="shared" si="92"/>
        <v>1194700.2138789892</v>
      </c>
      <c r="G557" s="173">
        <v>1033000</v>
      </c>
      <c r="H557" s="47">
        <v>2000000</v>
      </c>
      <c r="I557" s="171">
        <f t="shared" si="95"/>
        <v>967000</v>
      </c>
      <c r="J557" s="170">
        <f t="shared" si="94"/>
        <v>2161700.2138789892</v>
      </c>
    </row>
    <row r="558" spans="2:10" ht="12.65" customHeight="1">
      <c r="B558" s="33">
        <f>'Update IDR GWM'!A558</f>
        <v>43802</v>
      </c>
      <c r="C558" s="41">
        <v>224240963.076121</v>
      </c>
      <c r="D558" s="47">
        <v>225435663.28999999</v>
      </c>
      <c r="E558" s="168">
        <f t="shared" si="92"/>
        <v>1194700.2138789892</v>
      </c>
      <c r="G558" s="173">
        <v>1033000</v>
      </c>
      <c r="H558" s="47">
        <v>2000000</v>
      </c>
      <c r="I558" s="171">
        <f t="shared" si="95"/>
        <v>967000</v>
      </c>
      <c r="J558" s="170">
        <f t="shared" si="94"/>
        <v>2161700.2138789892</v>
      </c>
    </row>
    <row r="559" spans="2:10" ht="12.65" customHeight="1">
      <c r="B559" s="33">
        <f>'Update IDR GWM'!A559</f>
        <v>43803</v>
      </c>
      <c r="C559" s="41">
        <v>224240963.076121</v>
      </c>
      <c r="D559" s="47">
        <v>225435663.28999999</v>
      </c>
      <c r="E559" s="168">
        <f t="shared" si="92"/>
        <v>1194700.2138789892</v>
      </c>
      <c r="G559" s="173">
        <v>1033000</v>
      </c>
      <c r="H559" s="47">
        <v>2000000</v>
      </c>
      <c r="I559" s="171">
        <f t="shared" si="95"/>
        <v>967000</v>
      </c>
      <c r="J559" s="170">
        <f t="shared" si="94"/>
        <v>2161700.2138789892</v>
      </c>
    </row>
    <row r="560" spans="2:10" ht="12.65" customHeight="1">
      <c r="B560" s="33">
        <f>'Update IDR GWM'!A560</f>
        <v>43804</v>
      </c>
      <c r="C560" s="41">
        <v>224240963.076121</v>
      </c>
      <c r="D560" s="47">
        <v>225435663.28999999</v>
      </c>
      <c r="E560" s="168">
        <f t="shared" si="92"/>
        <v>1194700.2138789892</v>
      </c>
      <c r="G560" s="173">
        <v>1033000</v>
      </c>
      <c r="H560" s="47">
        <v>2000000</v>
      </c>
      <c r="I560" s="171">
        <f t="shared" si="95"/>
        <v>967000</v>
      </c>
      <c r="J560" s="170">
        <f t="shared" si="94"/>
        <v>2161700.2138789892</v>
      </c>
    </row>
    <row r="561" spans="2:10" ht="12.65" customHeight="1">
      <c r="B561" s="33">
        <f>'Update IDR GWM'!A561</f>
        <v>43805</v>
      </c>
      <c r="C561" s="41">
        <v>224240963.076121</v>
      </c>
      <c r="D561" s="47">
        <v>225435663.28999999</v>
      </c>
      <c r="E561" s="168">
        <f t="shared" si="92"/>
        <v>1194700.2138789892</v>
      </c>
      <c r="G561" s="173">
        <v>1033000</v>
      </c>
      <c r="H561" s="47">
        <v>2000000</v>
      </c>
      <c r="I561" s="171">
        <f t="shared" si="95"/>
        <v>967000</v>
      </c>
      <c r="J561" s="170">
        <f t="shared" si="94"/>
        <v>2161700.2138789892</v>
      </c>
    </row>
    <row r="562" spans="2:10" ht="12.65" customHeight="1">
      <c r="B562" s="33">
        <f>'Update IDR GWM'!A562</f>
        <v>43808</v>
      </c>
      <c r="C562" s="41">
        <v>224240963.076121</v>
      </c>
      <c r="D562" s="47">
        <v>225435663.28999999</v>
      </c>
      <c r="E562" s="168">
        <f t="shared" si="92"/>
        <v>1194700.2138789892</v>
      </c>
      <c r="G562" s="173">
        <v>1033000</v>
      </c>
      <c r="H562" s="47">
        <v>2000000</v>
      </c>
      <c r="I562" s="171">
        <f t="shared" si="95"/>
        <v>967000</v>
      </c>
      <c r="J562" s="170">
        <f t="shared" si="94"/>
        <v>2161700.2138789892</v>
      </c>
    </row>
    <row r="563" spans="2:10" ht="12.65" customHeight="1">
      <c r="B563" s="33">
        <f>'Update IDR GWM'!A563</f>
        <v>43809</v>
      </c>
      <c r="C563" s="41">
        <v>224240963.076121</v>
      </c>
      <c r="D563" s="47">
        <v>225435663.28999999</v>
      </c>
      <c r="E563" s="168">
        <f t="shared" si="92"/>
        <v>1194700.2138789892</v>
      </c>
      <c r="G563" s="173">
        <v>1033000</v>
      </c>
      <c r="H563" s="47">
        <v>2000000</v>
      </c>
      <c r="I563" s="171">
        <f t="shared" si="95"/>
        <v>967000</v>
      </c>
      <c r="J563" s="170">
        <f t="shared" si="94"/>
        <v>2161700.2138789892</v>
      </c>
    </row>
    <row r="564" spans="2:10" ht="12.65" customHeight="1">
      <c r="B564" s="33">
        <f>'Update IDR GWM'!A564</f>
        <v>43810</v>
      </c>
      <c r="C564" s="41">
        <v>224240963.076121</v>
      </c>
      <c r="D564" s="47">
        <v>225435663.28999999</v>
      </c>
      <c r="E564" s="168">
        <f t="shared" si="92"/>
        <v>1194700.2138789892</v>
      </c>
      <c r="G564" s="173">
        <v>1033000</v>
      </c>
      <c r="H564" s="47">
        <v>2000000</v>
      </c>
      <c r="I564" s="171">
        <f t="shared" si="95"/>
        <v>967000</v>
      </c>
      <c r="J564" s="170">
        <f t="shared" si="94"/>
        <v>2161700.2138789892</v>
      </c>
    </row>
    <row r="565" spans="2:10" ht="12.65" customHeight="1">
      <c r="B565" s="33">
        <f>'Update IDR GWM'!A565</f>
        <v>43811</v>
      </c>
      <c r="C565" s="41">
        <v>224240963.076121</v>
      </c>
      <c r="D565" s="47">
        <v>225435663.28999999</v>
      </c>
      <c r="E565" s="168">
        <f t="shared" si="92"/>
        <v>1194700.2138789892</v>
      </c>
      <c r="G565" s="173">
        <v>1033000</v>
      </c>
      <c r="H565" s="47">
        <v>2000000</v>
      </c>
      <c r="I565" s="171">
        <f t="shared" si="95"/>
        <v>967000</v>
      </c>
      <c r="J565" s="170">
        <f t="shared" si="94"/>
        <v>2161700.2138789892</v>
      </c>
    </row>
    <row r="566" spans="2:10" ht="12.65" customHeight="1">
      <c r="B566" s="33">
        <f>'Update IDR GWM'!A566</f>
        <v>43812</v>
      </c>
      <c r="C566" s="41">
        <v>224240963.076121</v>
      </c>
      <c r="D566" s="47">
        <v>225435663.28999999</v>
      </c>
      <c r="E566" s="168">
        <f t="shared" si="92"/>
        <v>1194700.2138789892</v>
      </c>
      <c r="G566" s="173">
        <v>1033000</v>
      </c>
      <c r="H566" s="47">
        <v>2000000</v>
      </c>
      <c r="I566" s="171">
        <f t="shared" si="95"/>
        <v>967000</v>
      </c>
      <c r="J566" s="170">
        <f t="shared" si="94"/>
        <v>2161700.2138789892</v>
      </c>
    </row>
    <row r="567" spans="2:10" ht="12.65" customHeight="1">
      <c r="B567" s="33">
        <f>'Update IDR GWM'!A567</f>
        <v>43815</v>
      </c>
      <c r="C567" s="41">
        <v>216157193.09773299</v>
      </c>
      <c r="D567" s="47">
        <v>225435663.28999999</v>
      </c>
      <c r="E567" s="168">
        <f t="shared" si="92"/>
        <v>9278470.1922670007</v>
      </c>
      <c r="G567" s="173">
        <v>1081000</v>
      </c>
      <c r="H567" s="47">
        <v>2000000</v>
      </c>
      <c r="I567" s="171">
        <f t="shared" si="95"/>
        <v>919000</v>
      </c>
      <c r="J567" s="170">
        <f t="shared" si="94"/>
        <v>10197470.192267001</v>
      </c>
    </row>
    <row r="568" spans="2:10" ht="12.65" customHeight="1">
      <c r="B568" s="33">
        <f>'Update IDR GWM'!A568</f>
        <v>43816</v>
      </c>
      <c r="C568" s="41">
        <v>216157193.09773299</v>
      </c>
      <c r="D568" s="47">
        <v>225435663.28999999</v>
      </c>
      <c r="E568" s="168">
        <f t="shared" si="92"/>
        <v>9278470.1922670007</v>
      </c>
      <c r="G568" s="173">
        <v>1081000</v>
      </c>
      <c r="H568" s="47">
        <v>2000000</v>
      </c>
      <c r="I568" s="171">
        <f t="shared" si="95"/>
        <v>919000</v>
      </c>
      <c r="J568" s="170">
        <f t="shared" si="94"/>
        <v>10197470.192267001</v>
      </c>
    </row>
    <row r="569" spans="2:10" ht="12.65" customHeight="1">
      <c r="B569" s="33">
        <f>'Update IDR GWM'!A569</f>
        <v>43817</v>
      </c>
      <c r="C569" s="41">
        <v>216157193.09773299</v>
      </c>
      <c r="D569" s="47">
        <v>217435663.28999999</v>
      </c>
      <c r="E569" s="168">
        <f t="shared" si="92"/>
        <v>1278470.1922670007</v>
      </c>
      <c r="G569" s="173">
        <v>1081000</v>
      </c>
      <c r="H569" s="47">
        <v>2000000</v>
      </c>
      <c r="I569" s="171">
        <f t="shared" si="95"/>
        <v>919000</v>
      </c>
      <c r="J569" s="170">
        <f t="shared" si="94"/>
        <v>2197470.1922670007</v>
      </c>
    </row>
    <row r="570" spans="2:10" ht="12.65" customHeight="1">
      <c r="B570" s="33">
        <f>'Update IDR GWM'!A570</f>
        <v>43818</v>
      </c>
      <c r="C570" s="41">
        <v>216157193.09773299</v>
      </c>
      <c r="D570" s="47">
        <v>217435663.28999999</v>
      </c>
      <c r="E570" s="168">
        <f t="shared" si="92"/>
        <v>1278470.1922670007</v>
      </c>
      <c r="G570" s="173">
        <v>1081000</v>
      </c>
      <c r="H570" s="47">
        <v>2000000</v>
      </c>
      <c r="I570" s="171">
        <f t="shared" si="95"/>
        <v>919000</v>
      </c>
      <c r="J570" s="170">
        <f t="shared" si="94"/>
        <v>2197470.1922670007</v>
      </c>
    </row>
    <row r="571" spans="2:10" ht="12.65" customHeight="1">
      <c r="B571" s="33">
        <f>'Update IDR GWM'!A571</f>
        <v>43819</v>
      </c>
      <c r="C571" s="41">
        <v>216157193.09773299</v>
      </c>
      <c r="D571" s="47">
        <v>217435663.28999999</v>
      </c>
      <c r="E571" s="168">
        <f t="shared" si="92"/>
        <v>1278470.1922670007</v>
      </c>
      <c r="G571" s="173">
        <v>1081000</v>
      </c>
      <c r="H571" s="47">
        <v>2000000</v>
      </c>
      <c r="I571" s="171">
        <f t="shared" si="95"/>
        <v>919000</v>
      </c>
      <c r="J571" s="170">
        <f t="shared" si="94"/>
        <v>2197470.1922670007</v>
      </c>
    </row>
    <row r="572" spans="2:10" ht="12.65" customHeight="1">
      <c r="B572" s="33">
        <f>'Update IDR GWM'!A572</f>
        <v>43822</v>
      </c>
      <c r="C572" s="41">
        <v>216157193.09773299</v>
      </c>
      <c r="D572" s="47">
        <v>217435663.28999999</v>
      </c>
      <c r="E572" s="168">
        <f t="shared" si="92"/>
        <v>1278470.1922670007</v>
      </c>
      <c r="G572" s="173">
        <v>1081000</v>
      </c>
      <c r="H572" s="47">
        <v>2000000</v>
      </c>
      <c r="I572" s="171">
        <f t="shared" si="95"/>
        <v>919000</v>
      </c>
      <c r="J572" s="170">
        <f t="shared" si="94"/>
        <v>2197470.1922670007</v>
      </c>
    </row>
    <row r="573" spans="2:10" ht="12.65" customHeight="1">
      <c r="B573" s="33">
        <f>'Update IDR GWM'!A573</f>
        <v>43825</v>
      </c>
      <c r="C573" s="41">
        <v>216157193.09773299</v>
      </c>
      <c r="D573" s="47">
        <v>217435663.28999999</v>
      </c>
      <c r="E573" s="168">
        <f t="shared" si="92"/>
        <v>1278470.1922670007</v>
      </c>
      <c r="G573" s="173">
        <v>1081000</v>
      </c>
      <c r="H573" s="47">
        <v>2000000</v>
      </c>
      <c r="I573" s="171">
        <f t="shared" si="95"/>
        <v>919000</v>
      </c>
      <c r="J573" s="170">
        <f t="shared" si="94"/>
        <v>2197470.1922670007</v>
      </c>
    </row>
    <row r="574" spans="2:10" ht="12.65" customHeight="1">
      <c r="B574" s="33">
        <f>'Update IDR GWM'!A574</f>
        <v>43826</v>
      </c>
      <c r="C574" s="41">
        <v>216157193.09773299</v>
      </c>
      <c r="D574" s="47">
        <v>217435663.28999999</v>
      </c>
      <c r="E574" s="168">
        <f t="shared" si="92"/>
        <v>1278470.1922670007</v>
      </c>
      <c r="G574" s="173">
        <v>1081000</v>
      </c>
      <c r="H574" s="47">
        <v>2000000</v>
      </c>
      <c r="I574" s="171">
        <f t="shared" si="95"/>
        <v>919000</v>
      </c>
      <c r="J574" s="170">
        <f t="shared" si="94"/>
        <v>2197470.1922670007</v>
      </c>
    </row>
    <row r="575" spans="2:10" ht="12.65" customHeight="1">
      <c r="B575" s="33">
        <f>'Update IDR GWM'!A575</f>
        <v>43829</v>
      </c>
      <c r="C575" s="41">
        <v>216157193.09773299</v>
      </c>
      <c r="D575" s="47">
        <v>217435663.28999999</v>
      </c>
      <c r="E575" s="168">
        <f t="shared" si="92"/>
        <v>1278470.1922670007</v>
      </c>
      <c r="G575" s="173">
        <v>1081000</v>
      </c>
      <c r="H575" s="47">
        <v>2000000</v>
      </c>
      <c r="I575" s="171">
        <f t="shared" si="95"/>
        <v>919000</v>
      </c>
      <c r="J575" s="170">
        <f t="shared" si="94"/>
        <v>2197470.1922670007</v>
      </c>
    </row>
    <row r="576" spans="2:10" ht="12.65" customHeight="1">
      <c r="B576" s="33">
        <f>'Update IDR GWM'!A576</f>
        <v>43830</v>
      </c>
      <c r="C576" s="41">
        <v>216157193.09773299</v>
      </c>
      <c r="D576" s="47">
        <v>217435663.28999999</v>
      </c>
      <c r="E576" s="168">
        <f t="shared" si="92"/>
        <v>1278470.1922670007</v>
      </c>
      <c r="G576" s="173">
        <v>1081000</v>
      </c>
      <c r="H576" s="47">
        <v>2000000</v>
      </c>
      <c r="I576" s="171">
        <f t="shared" si="95"/>
        <v>919000</v>
      </c>
      <c r="J576" s="170">
        <f t="shared" si="94"/>
        <v>2197470.1922670007</v>
      </c>
    </row>
    <row r="577" spans="2:10" ht="12.65" customHeight="1">
      <c r="B577" s="33">
        <f>'Update IDR GWM'!A577</f>
        <v>43832</v>
      </c>
      <c r="C577" s="41">
        <v>218300225.906371</v>
      </c>
      <c r="D577" s="47">
        <v>219435663.28999999</v>
      </c>
      <c r="E577" s="168">
        <f t="shared" si="92"/>
        <v>1135437.3836289942</v>
      </c>
      <c r="G577" s="173">
        <v>964000</v>
      </c>
      <c r="H577" s="47">
        <v>2000000</v>
      </c>
      <c r="I577" s="171">
        <f t="shared" si="95"/>
        <v>1036000</v>
      </c>
      <c r="J577" s="170">
        <f t="shared" si="94"/>
        <v>2171437.3836289942</v>
      </c>
    </row>
    <row r="578" spans="2:10" ht="12.65" customHeight="1">
      <c r="B578" s="33">
        <f>'Update IDR GWM'!A578</f>
        <v>43833</v>
      </c>
      <c r="C578" s="41">
        <v>218300225.906371</v>
      </c>
      <c r="D578" s="47">
        <v>219435663.28999999</v>
      </c>
      <c r="E578" s="168">
        <f t="shared" si="92"/>
        <v>1135437.3836289942</v>
      </c>
      <c r="G578" s="173">
        <v>964000</v>
      </c>
      <c r="H578" s="47">
        <v>2000000</v>
      </c>
      <c r="I578" s="171">
        <f t="shared" si="95"/>
        <v>1036000</v>
      </c>
      <c r="J578" s="170">
        <f t="shared" si="94"/>
        <v>2171437.3836289942</v>
      </c>
    </row>
    <row r="579" spans="2:10" ht="12.65" customHeight="1">
      <c r="B579" s="33">
        <f>'Update IDR GWM'!A579</f>
        <v>43836</v>
      </c>
      <c r="C579" s="41">
        <v>218300225.906371</v>
      </c>
      <c r="D579" s="47">
        <v>219435663.28999999</v>
      </c>
      <c r="E579" s="168">
        <f t="shared" si="92"/>
        <v>1135437.3836289942</v>
      </c>
      <c r="G579" s="173">
        <v>964000</v>
      </c>
      <c r="H579" s="47">
        <v>2000000</v>
      </c>
      <c r="I579" s="171">
        <f t="shared" si="95"/>
        <v>1036000</v>
      </c>
      <c r="J579" s="170">
        <f t="shared" si="94"/>
        <v>2171437.3836289942</v>
      </c>
    </row>
    <row r="580" spans="2:10" ht="12.65" customHeight="1">
      <c r="B580" s="33">
        <f>'Update IDR GWM'!A580</f>
        <v>43837</v>
      </c>
      <c r="C580" s="41">
        <v>218300225.906371</v>
      </c>
      <c r="D580" s="47">
        <v>219435663.28999999</v>
      </c>
      <c r="E580" s="168">
        <f t="shared" si="92"/>
        <v>1135437.3836289942</v>
      </c>
      <c r="G580" s="173">
        <v>964000</v>
      </c>
      <c r="H580" s="47">
        <v>2000000</v>
      </c>
      <c r="I580" s="171">
        <f t="shared" si="95"/>
        <v>1036000</v>
      </c>
      <c r="J580" s="170">
        <f t="shared" si="94"/>
        <v>2171437.3836289942</v>
      </c>
    </row>
    <row r="581" spans="2:10" ht="12.65" customHeight="1">
      <c r="B581" s="33">
        <f>'Update IDR GWM'!A581</f>
        <v>43838</v>
      </c>
      <c r="C581" s="41">
        <v>218300225.906371</v>
      </c>
      <c r="D581" s="47">
        <v>219435663.28999999</v>
      </c>
      <c r="E581" s="168">
        <f t="shared" si="92"/>
        <v>1135437.3836289942</v>
      </c>
      <c r="G581" s="173">
        <v>964000</v>
      </c>
      <c r="H581" s="47">
        <v>2000000</v>
      </c>
      <c r="I581" s="171">
        <f t="shared" si="95"/>
        <v>1036000</v>
      </c>
      <c r="J581" s="170">
        <f t="shared" si="94"/>
        <v>2171437.3836289942</v>
      </c>
    </row>
    <row r="582" spans="2:10" ht="12.65" customHeight="1">
      <c r="B582" s="33">
        <f>'Update IDR GWM'!A582</f>
        <v>43839</v>
      </c>
      <c r="C582" s="41">
        <v>218300225.906371</v>
      </c>
      <c r="D582" s="47">
        <v>219435663.28999999</v>
      </c>
      <c r="E582" s="168">
        <f t="shared" si="92"/>
        <v>1135437.3836289942</v>
      </c>
      <c r="G582" s="173">
        <v>964000</v>
      </c>
      <c r="H582" s="47">
        <v>2000000</v>
      </c>
      <c r="I582" s="171">
        <f t="shared" si="95"/>
        <v>1036000</v>
      </c>
      <c r="J582" s="170">
        <f t="shared" si="94"/>
        <v>2171437.3836289942</v>
      </c>
    </row>
    <row r="583" spans="2:10" ht="12.65" customHeight="1">
      <c r="B583" s="33">
        <f>'Update IDR GWM'!A583</f>
        <v>43840</v>
      </c>
      <c r="C583" s="41">
        <v>218300225.906371</v>
      </c>
      <c r="D583" s="47">
        <v>219435663.28999999</v>
      </c>
      <c r="E583" s="168">
        <f t="shared" si="92"/>
        <v>1135437.3836289942</v>
      </c>
      <c r="G583" s="173">
        <v>964000</v>
      </c>
      <c r="H583" s="47">
        <v>2000000</v>
      </c>
      <c r="I583" s="171">
        <f t="shared" si="95"/>
        <v>1036000</v>
      </c>
      <c r="J583" s="170">
        <f t="shared" si="94"/>
        <v>2171437.3836289942</v>
      </c>
    </row>
    <row r="584" spans="2:10" ht="12.65" customHeight="1">
      <c r="B584" s="33">
        <f>'Update IDR GWM'!A584</f>
        <v>43843</v>
      </c>
      <c r="C584" s="41">
        <v>218300225.906371</v>
      </c>
      <c r="D584" s="47">
        <v>219435663.28999999</v>
      </c>
      <c r="E584" s="168">
        <f t="shared" si="92"/>
        <v>1135437.3836289942</v>
      </c>
      <c r="G584" s="173">
        <v>964000</v>
      </c>
      <c r="H584" s="47">
        <v>2000000</v>
      </c>
      <c r="I584" s="171">
        <f t="shared" si="95"/>
        <v>1036000</v>
      </c>
      <c r="J584" s="170">
        <f t="shared" si="94"/>
        <v>2171437.3836289942</v>
      </c>
    </row>
    <row r="585" spans="2:10" ht="12.65" customHeight="1">
      <c r="B585" s="33">
        <f>'Update IDR GWM'!A585</f>
        <v>43844</v>
      </c>
      <c r="C585" s="41">
        <v>218300225.906371</v>
      </c>
      <c r="D585" s="47">
        <v>221435663.28999999</v>
      </c>
      <c r="E585" s="168">
        <f t="shared" si="92"/>
        <v>3135437.3836289942</v>
      </c>
      <c r="G585" s="173">
        <v>964000</v>
      </c>
      <c r="H585" s="47">
        <v>2000000</v>
      </c>
      <c r="I585" s="171">
        <f t="shared" si="95"/>
        <v>1036000</v>
      </c>
      <c r="J585" s="170">
        <f t="shared" si="94"/>
        <v>4171437.3836289942</v>
      </c>
    </row>
    <row r="586" spans="2:10" ht="12.65" customHeight="1">
      <c r="B586" s="33">
        <f>'Update IDR GWM'!A586</f>
        <v>43845</v>
      </c>
      <c r="C586" s="41">
        <v>218300225.906371</v>
      </c>
      <c r="D586" s="47">
        <v>221435663.28999999</v>
      </c>
      <c r="E586" s="168">
        <f t="shared" si="92"/>
        <v>3135437.3836289942</v>
      </c>
      <c r="G586" s="173">
        <v>964000</v>
      </c>
      <c r="H586" s="47">
        <v>2000000</v>
      </c>
      <c r="I586" s="171">
        <f t="shared" si="95"/>
        <v>1036000</v>
      </c>
      <c r="J586" s="170">
        <f t="shared" si="94"/>
        <v>4171437.3836289942</v>
      </c>
    </row>
    <row r="587" spans="2:10" ht="12.65" customHeight="1">
      <c r="B587" s="33">
        <f>'Update IDR GWM'!A587</f>
        <v>43846</v>
      </c>
      <c r="C587" s="41">
        <v>209800066.51303899</v>
      </c>
      <c r="D587" s="47">
        <v>221435663.28999999</v>
      </c>
      <c r="E587" s="168">
        <f t="shared" si="92"/>
        <v>11635596.776960999</v>
      </c>
      <c r="G587" s="173">
        <v>999000</v>
      </c>
      <c r="H587" s="47">
        <v>2000000</v>
      </c>
      <c r="I587" s="171">
        <f t="shared" si="95"/>
        <v>1001000</v>
      </c>
      <c r="J587" s="170">
        <f t="shared" si="94"/>
        <v>12636596.776960999</v>
      </c>
    </row>
    <row r="588" spans="2:10" ht="12.65" customHeight="1">
      <c r="B588" s="33">
        <f>'Update IDR GWM'!A588</f>
        <v>43847</v>
      </c>
      <c r="C588" s="41">
        <v>209800066.51303899</v>
      </c>
      <c r="D588" s="47">
        <v>211435663.28999999</v>
      </c>
      <c r="E588" s="168">
        <f t="shared" si="92"/>
        <v>1635596.7769609988</v>
      </c>
      <c r="G588" s="173">
        <v>999000</v>
      </c>
      <c r="H588" s="47">
        <v>2000000</v>
      </c>
      <c r="I588" s="171">
        <f t="shared" si="95"/>
        <v>1001000</v>
      </c>
      <c r="J588" s="170">
        <f t="shared" si="94"/>
        <v>2636596.7769609988</v>
      </c>
    </row>
    <row r="589" spans="2:10" ht="12.65" customHeight="1">
      <c r="B589" s="33">
        <f>'Update IDR GWM'!A589</f>
        <v>43850</v>
      </c>
      <c r="C589" s="41">
        <v>209800066.51303899</v>
      </c>
      <c r="D589" s="47">
        <v>211435663.28999999</v>
      </c>
      <c r="E589" s="168">
        <f t="shared" si="92"/>
        <v>1635596.7769609988</v>
      </c>
      <c r="G589" s="173">
        <v>999000</v>
      </c>
      <c r="H589" s="47">
        <v>2000000</v>
      </c>
      <c r="I589" s="171">
        <f t="shared" si="95"/>
        <v>1001000</v>
      </c>
      <c r="J589" s="170">
        <f t="shared" si="94"/>
        <v>2636596.7769609988</v>
      </c>
    </row>
    <row r="590" spans="2:10" ht="12.65" customHeight="1">
      <c r="B590" s="33">
        <f>'Update IDR GWM'!A590</f>
        <v>43851</v>
      </c>
      <c r="C590" s="41">
        <v>209800066.51303899</v>
      </c>
      <c r="D590" s="47">
        <v>211435663.28999999</v>
      </c>
      <c r="E590" s="168">
        <f t="shared" si="92"/>
        <v>1635596.7769609988</v>
      </c>
      <c r="G590" s="173">
        <v>999000</v>
      </c>
      <c r="H590" s="47">
        <v>2000000</v>
      </c>
      <c r="I590" s="171">
        <f t="shared" si="95"/>
        <v>1001000</v>
      </c>
      <c r="J590" s="170">
        <f t="shared" si="94"/>
        <v>2636596.7769609988</v>
      </c>
    </row>
    <row r="591" spans="2:10" ht="12.65" customHeight="1">
      <c r="B591" s="33">
        <f>'Update IDR GWM'!A591</f>
        <v>43852</v>
      </c>
      <c r="C591" s="41">
        <v>209800066.51303899</v>
      </c>
      <c r="D591" s="47">
        <v>211435663.28999999</v>
      </c>
      <c r="E591" s="168">
        <f t="shared" si="92"/>
        <v>1635596.7769609988</v>
      </c>
      <c r="G591" s="173">
        <v>999000</v>
      </c>
      <c r="H591" s="47">
        <v>2000000</v>
      </c>
      <c r="I591" s="171">
        <f t="shared" si="95"/>
        <v>1001000</v>
      </c>
      <c r="J591" s="170">
        <f t="shared" si="94"/>
        <v>2636596.7769609988</v>
      </c>
    </row>
    <row r="592" spans="2:10" ht="12.65" customHeight="1">
      <c r="B592" s="33">
        <f>'Update IDR GWM'!A592</f>
        <v>43853</v>
      </c>
      <c r="C592" s="41">
        <v>209800066.51303899</v>
      </c>
      <c r="D592" s="47">
        <v>211435663.28999999</v>
      </c>
      <c r="E592" s="168">
        <f t="shared" si="92"/>
        <v>1635596.7769609988</v>
      </c>
      <c r="G592" s="173">
        <v>999000</v>
      </c>
      <c r="H592" s="47">
        <v>2000000</v>
      </c>
      <c r="I592" s="171">
        <f t="shared" si="95"/>
        <v>1001000</v>
      </c>
      <c r="J592" s="170">
        <f t="shared" si="94"/>
        <v>2636596.7769609988</v>
      </c>
    </row>
    <row r="593" spans="2:10" ht="12.65" customHeight="1">
      <c r="B593" s="33">
        <f>'Update IDR GWM'!A593</f>
        <v>43854</v>
      </c>
      <c r="C593" s="41">
        <v>209800066.51303899</v>
      </c>
      <c r="D593" s="47">
        <v>211435663.28999999</v>
      </c>
      <c r="E593" s="168">
        <f t="shared" si="92"/>
        <v>1635596.7769609988</v>
      </c>
      <c r="G593" s="173">
        <v>999000</v>
      </c>
      <c r="H593" s="47">
        <v>2000000</v>
      </c>
      <c r="I593" s="171">
        <f t="shared" si="95"/>
        <v>1001000</v>
      </c>
      <c r="J593" s="170">
        <f t="shared" si="94"/>
        <v>2636596.7769609988</v>
      </c>
    </row>
    <row r="594" spans="2:10" ht="12.65" customHeight="1">
      <c r="B594" s="33">
        <f>'Update IDR GWM'!A594</f>
        <v>43857</v>
      </c>
      <c r="C594" s="41">
        <v>209800066.51303899</v>
      </c>
      <c r="D594" s="47">
        <v>211435663.28999999</v>
      </c>
      <c r="E594" s="168">
        <f t="shared" si="92"/>
        <v>1635596.7769609988</v>
      </c>
      <c r="G594" s="173">
        <v>999000</v>
      </c>
      <c r="H594" s="47">
        <v>2000000</v>
      </c>
      <c r="I594" s="171">
        <f t="shared" si="95"/>
        <v>1001000</v>
      </c>
      <c r="J594" s="170">
        <f t="shared" si="94"/>
        <v>2636596.7769609988</v>
      </c>
    </row>
    <row r="595" spans="2:10" ht="12.65" customHeight="1">
      <c r="B595" s="33">
        <f>'Update IDR GWM'!A595</f>
        <v>43858</v>
      </c>
      <c r="C595" s="41">
        <v>209800066.51303899</v>
      </c>
      <c r="D595" s="47">
        <v>211435663.28999999</v>
      </c>
      <c r="E595" s="168">
        <f t="shared" si="92"/>
        <v>1635596.7769609988</v>
      </c>
      <c r="G595" s="173">
        <v>999000</v>
      </c>
      <c r="H595" s="47">
        <v>2000000</v>
      </c>
      <c r="I595" s="171">
        <f t="shared" si="95"/>
        <v>1001000</v>
      </c>
      <c r="J595" s="170">
        <f t="shared" si="94"/>
        <v>2636596.7769609988</v>
      </c>
    </row>
    <row r="596" spans="2:10" ht="12.65" customHeight="1">
      <c r="B596" s="33">
        <f>'Update IDR GWM'!A596</f>
        <v>43859</v>
      </c>
      <c r="C596" s="41">
        <v>209800066.51303899</v>
      </c>
      <c r="D596" s="47">
        <v>211435663.28999999</v>
      </c>
      <c r="E596" s="168">
        <f t="shared" si="92"/>
        <v>1635596.7769609988</v>
      </c>
      <c r="G596" s="173">
        <v>999000</v>
      </c>
      <c r="H596" s="47">
        <v>2000000</v>
      </c>
      <c r="I596" s="171">
        <f t="shared" si="95"/>
        <v>1001000</v>
      </c>
      <c r="J596" s="170">
        <f t="shared" si="94"/>
        <v>2636596.7769609988</v>
      </c>
    </row>
    <row r="597" spans="2:10" ht="12.65" customHeight="1">
      <c r="B597" s="33">
        <f>'Update IDR GWM'!A597</f>
        <v>43860</v>
      </c>
      <c r="C597" s="41">
        <v>209800066.51303899</v>
      </c>
      <c r="D597" s="47">
        <v>211435663.28999999</v>
      </c>
      <c r="E597" s="168">
        <f t="shared" si="92"/>
        <v>1635596.7769609988</v>
      </c>
      <c r="G597" s="173">
        <v>999000</v>
      </c>
      <c r="H597" s="47">
        <v>2000000</v>
      </c>
      <c r="I597" s="171">
        <f t="shared" si="95"/>
        <v>1001000</v>
      </c>
      <c r="J597" s="170">
        <f t="shared" si="94"/>
        <v>2636596.7769609988</v>
      </c>
    </row>
    <row r="598" spans="2:10" ht="12.65" customHeight="1">
      <c r="B598" s="33">
        <f>'Update IDR GWM'!A598</f>
        <v>43861</v>
      </c>
      <c r="C598" s="41">
        <v>209800066.51303899</v>
      </c>
      <c r="D598" s="47">
        <v>211435663.28999999</v>
      </c>
      <c r="E598" s="168">
        <f t="shared" si="92"/>
        <v>1635596.7769609988</v>
      </c>
      <c r="G598" s="173">
        <v>999000</v>
      </c>
      <c r="H598" s="47">
        <v>2000000</v>
      </c>
      <c r="I598" s="171">
        <f t="shared" si="95"/>
        <v>1001000</v>
      </c>
      <c r="J598" s="170">
        <f t="shared" si="94"/>
        <v>2636596.7769609988</v>
      </c>
    </row>
    <row r="599" spans="2:10" ht="12.65" customHeight="1">
      <c r="B599" s="33">
        <f>'Update IDR GWM'!A599</f>
        <v>43864</v>
      </c>
      <c r="C599" s="41">
        <v>221074607.500586</v>
      </c>
      <c r="D599" s="47">
        <v>222435663.28999999</v>
      </c>
      <c r="E599" s="168">
        <f t="shared" si="92"/>
        <v>1361055.7894139886</v>
      </c>
      <c r="G599" s="173">
        <v>1018000</v>
      </c>
      <c r="H599" s="47">
        <v>2000000</v>
      </c>
      <c r="I599" s="171">
        <f t="shared" si="95"/>
        <v>982000</v>
      </c>
      <c r="J599" s="170">
        <f t="shared" si="94"/>
        <v>2343055.7894139886</v>
      </c>
    </row>
    <row r="600" spans="2:10" ht="12.65" customHeight="1">
      <c r="B600" s="33">
        <f>'Update IDR GWM'!A600</f>
        <v>43865</v>
      </c>
      <c r="C600" s="41">
        <v>221074607.500586</v>
      </c>
      <c r="D600" s="47">
        <v>222435663.28999999</v>
      </c>
      <c r="E600" s="168">
        <f t="shared" ref="E600:E618" si="96">D600-C600</f>
        <v>1361055.7894139886</v>
      </c>
      <c r="G600" s="173">
        <v>1018000</v>
      </c>
      <c r="H600" s="47">
        <v>2000000</v>
      </c>
      <c r="I600" s="171">
        <f t="shared" si="95"/>
        <v>982000</v>
      </c>
      <c r="J600" s="170">
        <f t="shared" si="94"/>
        <v>2343055.7894139886</v>
      </c>
    </row>
    <row r="601" spans="2:10" ht="12.65" customHeight="1">
      <c r="B601" s="33">
        <f>'Update IDR GWM'!A601</f>
        <v>43866</v>
      </c>
      <c r="C601" s="41">
        <v>221074607.500586</v>
      </c>
      <c r="D601" s="47">
        <v>222435663.28999999</v>
      </c>
      <c r="E601" s="168">
        <f t="shared" si="96"/>
        <v>1361055.7894139886</v>
      </c>
      <c r="G601" s="173">
        <v>1018000</v>
      </c>
      <c r="H601" s="47">
        <v>2000000</v>
      </c>
      <c r="I601" s="171">
        <f t="shared" si="95"/>
        <v>982000</v>
      </c>
      <c r="J601" s="170">
        <f t="shared" ref="J601:J608" si="97">E601+I601</f>
        <v>2343055.7894139886</v>
      </c>
    </row>
    <row r="602" spans="2:10" ht="12.65" customHeight="1">
      <c r="B602" s="33">
        <f>'Update IDR GWM'!A602</f>
        <v>43867</v>
      </c>
      <c r="C602" s="41">
        <v>221074607.500586</v>
      </c>
      <c r="D602" s="47">
        <v>222435663.28999999</v>
      </c>
      <c r="E602" s="168">
        <f t="shared" si="96"/>
        <v>1361055.7894139886</v>
      </c>
      <c r="G602" s="173">
        <v>1018000</v>
      </c>
      <c r="H602" s="47">
        <v>2000000</v>
      </c>
      <c r="I602" s="171">
        <f t="shared" si="95"/>
        <v>982000</v>
      </c>
      <c r="J602" s="170">
        <f t="shared" si="97"/>
        <v>2343055.7894139886</v>
      </c>
    </row>
    <row r="603" spans="2:10" ht="12.65" customHeight="1">
      <c r="B603" s="33">
        <f>'Update IDR GWM'!A603</f>
        <v>43868</v>
      </c>
      <c r="C603" s="41">
        <v>221074607.500586</v>
      </c>
      <c r="D603" s="47">
        <v>222435663.28999999</v>
      </c>
      <c r="E603" s="168">
        <f t="shared" si="96"/>
        <v>1361055.7894139886</v>
      </c>
      <c r="G603" s="173">
        <v>1018000</v>
      </c>
      <c r="H603" s="47">
        <v>2000000</v>
      </c>
      <c r="I603" s="171">
        <f t="shared" si="95"/>
        <v>982000</v>
      </c>
      <c r="J603" s="170">
        <f t="shared" si="97"/>
        <v>2343055.7894139886</v>
      </c>
    </row>
    <row r="604" spans="2:10" ht="12.65" customHeight="1">
      <c r="B604" s="33">
        <f>'Update IDR GWM'!A604</f>
        <v>43871</v>
      </c>
      <c r="C604" s="41">
        <v>221074607.500586</v>
      </c>
      <c r="D604" s="47">
        <v>222435663.28999999</v>
      </c>
      <c r="E604" s="168">
        <f t="shared" si="96"/>
        <v>1361055.7894139886</v>
      </c>
      <c r="G604" s="173">
        <v>1018000</v>
      </c>
      <c r="H604" s="47">
        <v>2000000</v>
      </c>
      <c r="I604" s="171">
        <f t="shared" si="95"/>
        <v>982000</v>
      </c>
      <c r="J604" s="170">
        <f t="shared" si="97"/>
        <v>2343055.7894139886</v>
      </c>
    </row>
    <row r="605" spans="2:10" ht="12.65" customHeight="1">
      <c r="B605" s="33">
        <f>'Update IDR GWM'!A605</f>
        <v>43872</v>
      </c>
      <c r="C605" s="41">
        <v>221074607.500586</v>
      </c>
      <c r="D605" s="47">
        <v>222435663.28999999</v>
      </c>
      <c r="E605" s="168">
        <f t="shared" si="96"/>
        <v>1361055.7894139886</v>
      </c>
      <c r="G605" s="173">
        <v>1018000</v>
      </c>
      <c r="H605" s="47">
        <v>2000000</v>
      </c>
      <c r="I605" s="171">
        <f t="shared" si="95"/>
        <v>982000</v>
      </c>
      <c r="J605" s="170">
        <f t="shared" si="97"/>
        <v>2343055.7894139886</v>
      </c>
    </row>
    <row r="606" spans="2:10" ht="12.65" customHeight="1">
      <c r="B606" s="33">
        <f>'Update IDR GWM'!A606</f>
        <v>43873</v>
      </c>
      <c r="C606" s="41">
        <v>221074607.500586</v>
      </c>
      <c r="D606" s="47">
        <v>222435663.28999999</v>
      </c>
      <c r="E606" s="168">
        <f t="shared" si="96"/>
        <v>1361055.7894139886</v>
      </c>
      <c r="G606" s="173">
        <v>1018000</v>
      </c>
      <c r="H606" s="47">
        <v>2000000</v>
      </c>
      <c r="I606" s="171">
        <f t="shared" si="95"/>
        <v>982000</v>
      </c>
      <c r="J606" s="170">
        <f t="shared" si="97"/>
        <v>2343055.7894139886</v>
      </c>
    </row>
    <row r="607" spans="2:10" ht="12.65" customHeight="1">
      <c r="B607" s="33">
        <f>'Update IDR GWM'!A607</f>
        <v>43874</v>
      </c>
      <c r="C607" s="41">
        <v>221074607.500586</v>
      </c>
      <c r="D607" s="47">
        <v>222435663.28999999</v>
      </c>
      <c r="E607" s="168">
        <f t="shared" si="96"/>
        <v>1361055.7894139886</v>
      </c>
      <c r="G607" s="173">
        <v>1018000</v>
      </c>
      <c r="H607" s="47">
        <v>2000000</v>
      </c>
      <c r="I607" s="171">
        <f t="shared" si="95"/>
        <v>982000</v>
      </c>
      <c r="J607" s="170">
        <f t="shared" si="97"/>
        <v>2343055.7894139886</v>
      </c>
    </row>
    <row r="608" spans="2:10" ht="12.65" customHeight="1">
      <c r="B608" s="33">
        <f>'Update IDR GWM'!A608</f>
        <v>43875</v>
      </c>
      <c r="C608" s="41">
        <v>221074607.500586</v>
      </c>
      <c r="D608" s="47">
        <v>222435663.28999999</v>
      </c>
      <c r="E608" s="168">
        <f t="shared" si="96"/>
        <v>1361055.7894139886</v>
      </c>
      <c r="G608" s="173">
        <v>1018000</v>
      </c>
      <c r="H608" s="47">
        <v>2000000</v>
      </c>
      <c r="I608" s="171">
        <f t="shared" si="95"/>
        <v>982000</v>
      </c>
      <c r="J608" s="170">
        <f t="shared" si="97"/>
        <v>2343055.7894139886</v>
      </c>
    </row>
    <row r="609" spans="2:10" ht="12.65" customHeight="1">
      <c r="B609" s="33">
        <f>'Update IDR GWM'!A609</f>
        <v>43878</v>
      </c>
      <c r="C609" s="41">
        <v>226558603.61745602</v>
      </c>
      <c r="D609" s="47">
        <v>228435663.28999999</v>
      </c>
      <c r="E609" s="168">
        <f t="shared" si="96"/>
        <v>1877059.6725439727</v>
      </c>
      <c r="G609" s="173">
        <v>1062000</v>
      </c>
      <c r="H609" s="47">
        <v>2000000</v>
      </c>
      <c r="I609" s="171">
        <f t="shared" ref="I609:I618" si="98">H609-G609</f>
        <v>938000</v>
      </c>
      <c r="J609" s="170">
        <f t="shared" ref="J609:J618" si="99">E609+I609</f>
        <v>2815059.6725439727</v>
      </c>
    </row>
    <row r="610" spans="2:10" ht="12.65" customHeight="1">
      <c r="B610" s="33">
        <f>'Update IDR GWM'!A610</f>
        <v>43879</v>
      </c>
      <c r="C610" s="41">
        <v>226558603.61745602</v>
      </c>
      <c r="D610" s="47">
        <v>228435663.28999999</v>
      </c>
      <c r="E610" s="168">
        <f t="shared" si="96"/>
        <v>1877059.6725439727</v>
      </c>
      <c r="G610" s="173">
        <v>1062000</v>
      </c>
      <c r="H610" s="47">
        <v>2000000</v>
      </c>
      <c r="I610" s="171">
        <f t="shared" si="98"/>
        <v>938000</v>
      </c>
      <c r="J610" s="170">
        <f t="shared" si="99"/>
        <v>2815059.6725439727</v>
      </c>
    </row>
    <row r="611" spans="2:10" ht="12.65" customHeight="1">
      <c r="B611" s="33">
        <f>'Update IDR GWM'!A611</f>
        <v>43880</v>
      </c>
      <c r="C611" s="41">
        <v>226558603.61745602</v>
      </c>
      <c r="D611" s="47">
        <v>228435663.28999999</v>
      </c>
      <c r="E611" s="168">
        <f t="shared" si="96"/>
        <v>1877059.6725439727</v>
      </c>
      <c r="G611" s="173">
        <v>1062000</v>
      </c>
      <c r="H611" s="47">
        <v>2000000</v>
      </c>
      <c r="I611" s="171">
        <f t="shared" si="98"/>
        <v>938000</v>
      </c>
      <c r="J611" s="170">
        <f t="shared" si="99"/>
        <v>2815059.6725439727</v>
      </c>
    </row>
    <row r="612" spans="2:10" ht="12.65" customHeight="1">
      <c r="B612" s="33">
        <f>'Update IDR GWM'!A612</f>
        <v>43881</v>
      </c>
      <c r="C612" s="41">
        <v>226558603.61745602</v>
      </c>
      <c r="D612" s="47">
        <v>228435663.28999999</v>
      </c>
      <c r="E612" s="168">
        <f t="shared" si="96"/>
        <v>1877059.6725439727</v>
      </c>
      <c r="G612" s="173">
        <v>1062000</v>
      </c>
      <c r="H612" s="47">
        <v>2000000</v>
      </c>
      <c r="I612" s="171">
        <f t="shared" si="98"/>
        <v>938000</v>
      </c>
      <c r="J612" s="170">
        <f t="shared" si="99"/>
        <v>2815059.6725439727</v>
      </c>
    </row>
    <row r="613" spans="2:10" ht="12.65" customHeight="1">
      <c r="B613" s="33">
        <f>'Update IDR GWM'!A613</f>
        <v>43882</v>
      </c>
      <c r="C613" s="41">
        <v>226558603.61745602</v>
      </c>
      <c r="D613" s="47">
        <v>228435663.28999999</v>
      </c>
      <c r="E613" s="168">
        <f t="shared" si="96"/>
        <v>1877059.6725439727</v>
      </c>
      <c r="G613" s="173">
        <v>1062000</v>
      </c>
      <c r="H613" s="47">
        <v>2000000</v>
      </c>
      <c r="I613" s="171">
        <f t="shared" si="98"/>
        <v>938000</v>
      </c>
      <c r="J613" s="170">
        <f t="shared" si="99"/>
        <v>2815059.6725439727</v>
      </c>
    </row>
    <row r="614" spans="2:10" ht="12.65" customHeight="1">
      <c r="B614" s="33">
        <f>'Update IDR GWM'!A614</f>
        <v>43885</v>
      </c>
      <c r="C614" s="41">
        <v>226558603.61745602</v>
      </c>
      <c r="D614" s="47">
        <v>228435663.28999999</v>
      </c>
      <c r="E614" s="168">
        <f t="shared" si="96"/>
        <v>1877059.6725439727</v>
      </c>
      <c r="G614" s="173">
        <v>1062000</v>
      </c>
      <c r="H614" s="47">
        <v>2000000</v>
      </c>
      <c r="I614" s="171">
        <f t="shared" si="98"/>
        <v>938000</v>
      </c>
      <c r="J614" s="170">
        <f t="shared" si="99"/>
        <v>2815059.6725439727</v>
      </c>
    </row>
    <row r="615" spans="2:10" ht="12.65" customHeight="1">
      <c r="B615" s="33">
        <f>'Update IDR GWM'!A615</f>
        <v>43886</v>
      </c>
      <c r="C615" s="41">
        <v>226558603.61745602</v>
      </c>
      <c r="D615" s="47">
        <v>228435663.28999999</v>
      </c>
      <c r="E615" s="168">
        <f t="shared" si="96"/>
        <v>1877059.6725439727</v>
      </c>
      <c r="G615" s="173">
        <v>1062000</v>
      </c>
      <c r="H615" s="47">
        <v>2000000</v>
      </c>
      <c r="I615" s="171">
        <f t="shared" si="98"/>
        <v>938000</v>
      </c>
      <c r="J615" s="170">
        <f t="shared" si="99"/>
        <v>2815059.6725439727</v>
      </c>
    </row>
    <row r="616" spans="2:10" ht="12.65" customHeight="1">
      <c r="B616" s="33">
        <f>'Update IDR GWM'!A616</f>
        <v>43887</v>
      </c>
      <c r="C616" s="41">
        <v>226558603.61745602</v>
      </c>
      <c r="D616" s="47">
        <v>228435663.28999999</v>
      </c>
      <c r="E616" s="168">
        <f t="shared" si="96"/>
        <v>1877059.6725439727</v>
      </c>
      <c r="G616" s="173">
        <v>1062000</v>
      </c>
      <c r="H616" s="47">
        <v>2000000</v>
      </c>
      <c r="I616" s="171">
        <f t="shared" si="98"/>
        <v>938000</v>
      </c>
      <c r="J616" s="170">
        <f t="shared" si="99"/>
        <v>2815059.6725439727</v>
      </c>
    </row>
    <row r="617" spans="2:10" ht="12.65" customHeight="1">
      <c r="B617" s="33">
        <f>'Update IDR GWM'!A617</f>
        <v>43888</v>
      </c>
      <c r="C617" s="41">
        <v>226558603.61745602</v>
      </c>
      <c r="D617" s="47">
        <v>228435663.28999999</v>
      </c>
      <c r="E617" s="168">
        <f t="shared" si="96"/>
        <v>1877059.6725439727</v>
      </c>
      <c r="G617" s="173">
        <v>1062000</v>
      </c>
      <c r="H617" s="47">
        <v>2000000</v>
      </c>
      <c r="I617" s="171">
        <f t="shared" si="98"/>
        <v>938000</v>
      </c>
      <c r="J617" s="170">
        <f t="shared" si="99"/>
        <v>2815059.6725439727</v>
      </c>
    </row>
    <row r="618" spans="2:10" ht="12.65" customHeight="1">
      <c r="B618" s="33">
        <f>'Update IDR GWM'!A618</f>
        <v>43889</v>
      </c>
      <c r="C618" s="41">
        <v>226558603.61745602</v>
      </c>
      <c r="D618" s="47">
        <v>237608872.34</v>
      </c>
      <c r="E618" s="168">
        <f t="shared" si="96"/>
        <v>11050268.722543985</v>
      </c>
      <c r="G618" s="173">
        <v>1062000</v>
      </c>
      <c r="H618" s="47">
        <v>2000000</v>
      </c>
      <c r="I618" s="171">
        <f t="shared" si="98"/>
        <v>938000</v>
      </c>
      <c r="J618" s="170">
        <f t="shared" si="99"/>
        <v>11988268.722543985</v>
      </c>
    </row>
    <row r="619" spans="2:10" ht="12.65" customHeight="1">
      <c r="B619" s="33">
        <f>'Update IDR GWM'!A619</f>
        <v>43890</v>
      </c>
      <c r="C619" s="41">
        <v>226558603.61745602</v>
      </c>
      <c r="D619" s="47">
        <v>237608872.34</v>
      </c>
      <c r="E619" s="168">
        <f>D619-C619</f>
        <v>11050268.722543985</v>
      </c>
      <c r="G619" s="173">
        <v>1062000</v>
      </c>
      <c r="H619" s="47">
        <v>2000000</v>
      </c>
      <c r="I619" s="171">
        <f>H619-G619</f>
        <v>938000</v>
      </c>
      <c r="J619" s="170">
        <f>E619+I619</f>
        <v>11988268.722543985</v>
      </c>
    </row>
    <row r="620" spans="2:10" ht="12.65" customHeight="1">
      <c r="B620" s="33">
        <f>'Update IDR GWM'!A620</f>
        <v>43892</v>
      </c>
      <c r="C620" s="41">
        <v>225752657.098434</v>
      </c>
      <c r="D620" s="47">
        <v>237608872.34</v>
      </c>
      <c r="E620" s="168">
        <f t="shared" ref="E620:E683" si="100">D620-C620</f>
        <v>11856215.241566002</v>
      </c>
      <c r="G620" s="173">
        <v>1097000</v>
      </c>
      <c r="H620" s="47">
        <v>2000000</v>
      </c>
      <c r="I620" s="171">
        <f t="shared" ref="I620:I641" si="101">H620-G620</f>
        <v>903000</v>
      </c>
      <c r="J620" s="170">
        <f t="shared" ref="J620:J641" si="102">E620+I620</f>
        <v>12759215.241566002</v>
      </c>
    </row>
    <row r="621" spans="2:10" ht="12.65" customHeight="1">
      <c r="B621" s="33">
        <f>'Update IDR GWM'!A621</f>
        <v>43893</v>
      </c>
      <c r="C621" s="41">
        <v>225752657.098434</v>
      </c>
      <c r="D621" s="47">
        <v>237608872.34</v>
      </c>
      <c r="E621" s="168">
        <f t="shared" si="100"/>
        <v>11856215.241566002</v>
      </c>
      <c r="G621" s="173">
        <v>1097000</v>
      </c>
      <c r="H621" s="47">
        <v>2000000</v>
      </c>
      <c r="I621" s="171">
        <f t="shared" si="101"/>
        <v>903000</v>
      </c>
      <c r="J621" s="170">
        <f t="shared" si="102"/>
        <v>12759215.241566002</v>
      </c>
    </row>
    <row r="622" spans="2:10" ht="12.65" customHeight="1">
      <c r="B622" s="33">
        <f>'Update IDR GWM'!A622</f>
        <v>43894</v>
      </c>
      <c r="C622" s="41">
        <v>225752657.098434</v>
      </c>
      <c r="D622" s="47">
        <v>237608872.34</v>
      </c>
      <c r="E622" s="168">
        <f t="shared" si="100"/>
        <v>11856215.241566002</v>
      </c>
      <c r="G622" s="173">
        <v>1097000</v>
      </c>
      <c r="H622" s="47">
        <v>2000000</v>
      </c>
      <c r="I622" s="171">
        <f t="shared" si="101"/>
        <v>903000</v>
      </c>
      <c r="J622" s="170">
        <f t="shared" si="102"/>
        <v>12759215.241566002</v>
      </c>
    </row>
    <row r="623" spans="2:10" ht="12.65" customHeight="1">
      <c r="B623" s="33">
        <f>'Update IDR GWM'!A623</f>
        <v>43895</v>
      </c>
      <c r="C623" s="41">
        <v>225752657.098434</v>
      </c>
      <c r="D623" s="47">
        <v>227608872.34</v>
      </c>
      <c r="E623" s="168">
        <f t="shared" si="100"/>
        <v>1856215.2415660024</v>
      </c>
      <c r="G623" s="173">
        <v>1097000</v>
      </c>
      <c r="H623" s="47">
        <v>2000000</v>
      </c>
      <c r="I623" s="171">
        <f t="shared" si="101"/>
        <v>903000</v>
      </c>
      <c r="J623" s="170">
        <f t="shared" si="102"/>
        <v>2759215.2415660024</v>
      </c>
    </row>
    <row r="624" spans="2:10" ht="12.65" customHeight="1">
      <c r="B624" s="33">
        <f>'Update IDR GWM'!A624</f>
        <v>43896</v>
      </c>
      <c r="C624" s="41">
        <v>225752657.098434</v>
      </c>
      <c r="D624" s="47">
        <v>227608872.34</v>
      </c>
      <c r="E624" s="168">
        <f t="shared" si="100"/>
        <v>1856215.2415660024</v>
      </c>
      <c r="G624" s="173">
        <v>1097000</v>
      </c>
      <c r="H624" s="47">
        <v>2000000</v>
      </c>
      <c r="I624" s="171">
        <f t="shared" si="101"/>
        <v>903000</v>
      </c>
      <c r="J624" s="170">
        <f t="shared" si="102"/>
        <v>2759215.2415660024</v>
      </c>
    </row>
    <row r="625" spans="2:14" ht="12.65" customHeight="1">
      <c r="B625" s="33">
        <f>'Update IDR GWM'!A625</f>
        <v>43899</v>
      </c>
      <c r="C625" s="41">
        <v>225752657.098434</v>
      </c>
      <c r="D625" s="47">
        <v>227608872.34</v>
      </c>
      <c r="E625" s="168">
        <f t="shared" si="100"/>
        <v>1856215.2415660024</v>
      </c>
      <c r="G625" s="173">
        <v>1097000</v>
      </c>
      <c r="H625" s="47">
        <v>2000000</v>
      </c>
      <c r="I625" s="171">
        <f t="shared" si="101"/>
        <v>903000</v>
      </c>
      <c r="J625" s="170">
        <f t="shared" si="102"/>
        <v>2759215.2415660024</v>
      </c>
    </row>
    <row r="626" spans="2:14" ht="12.65" customHeight="1">
      <c r="B626" s="33">
        <f>'Update IDR GWM'!A626</f>
        <v>43900</v>
      </c>
      <c r="C626" s="41">
        <v>225752657.098434</v>
      </c>
      <c r="D626" s="47">
        <v>227608872.34</v>
      </c>
      <c r="E626" s="168">
        <f t="shared" si="100"/>
        <v>1856215.2415660024</v>
      </c>
      <c r="G626" s="173">
        <v>1097000</v>
      </c>
      <c r="H626" s="47">
        <v>2000000</v>
      </c>
      <c r="I626" s="171">
        <f t="shared" si="101"/>
        <v>903000</v>
      </c>
      <c r="J626" s="170">
        <f t="shared" si="102"/>
        <v>2759215.2415660024</v>
      </c>
    </row>
    <row r="627" spans="2:14" ht="12.65" customHeight="1">
      <c r="B627" s="33">
        <f>'Update IDR GWM'!A627</f>
        <v>43901</v>
      </c>
      <c r="C627" s="41">
        <v>225752657.098434</v>
      </c>
      <c r="D627" s="47">
        <v>227608872.34</v>
      </c>
      <c r="E627" s="168">
        <f t="shared" si="100"/>
        <v>1856215.2415660024</v>
      </c>
      <c r="G627" s="173">
        <v>1097000</v>
      </c>
      <c r="H627" s="47">
        <v>2000000</v>
      </c>
      <c r="I627" s="171">
        <f t="shared" si="101"/>
        <v>903000</v>
      </c>
      <c r="J627" s="170">
        <f t="shared" si="102"/>
        <v>2759215.2415660024</v>
      </c>
    </row>
    <row r="628" spans="2:14" ht="12.65" customHeight="1">
      <c r="B628" s="33">
        <f>'Update IDR GWM'!A628</f>
        <v>43902</v>
      </c>
      <c r="C628" s="41">
        <v>225752657.098434</v>
      </c>
      <c r="D628" s="47">
        <v>227608872.34</v>
      </c>
      <c r="E628" s="168">
        <f t="shared" si="100"/>
        <v>1856215.2415660024</v>
      </c>
      <c r="G628" s="173">
        <v>1097000</v>
      </c>
      <c r="H628" s="47">
        <v>2000000</v>
      </c>
      <c r="I628" s="171">
        <f t="shared" si="101"/>
        <v>903000</v>
      </c>
      <c r="J628" s="170">
        <f t="shared" si="102"/>
        <v>2759215.2415660024</v>
      </c>
    </row>
    <row r="629" spans="2:14" ht="12.65" customHeight="1">
      <c r="B629" s="33">
        <f>'Update IDR GWM'!A629</f>
        <v>43903</v>
      </c>
      <c r="C629" s="41">
        <v>225752657.098434</v>
      </c>
      <c r="D629" s="47">
        <v>227608872.34</v>
      </c>
      <c r="E629" s="168">
        <f t="shared" si="100"/>
        <v>1856215.2415660024</v>
      </c>
      <c r="G629" s="173">
        <v>1097000</v>
      </c>
      <c r="H629" s="47">
        <v>2000000</v>
      </c>
      <c r="I629" s="171">
        <f t="shared" si="101"/>
        <v>903000</v>
      </c>
      <c r="J629" s="170">
        <f t="shared" si="102"/>
        <v>2759215.2415660024</v>
      </c>
    </row>
    <row r="630" spans="2:14" ht="12.65" customHeight="1">
      <c r="B630" s="33">
        <f>'Update IDR GWM'!A630</f>
        <v>43906</v>
      </c>
      <c r="C630" s="41">
        <v>113595599.717794</v>
      </c>
      <c r="D630" s="47">
        <v>227608872.34</v>
      </c>
      <c r="E630" s="168">
        <f t="shared" si="100"/>
        <v>114013272.622206</v>
      </c>
      <c r="G630" s="173">
        <v>1097000</v>
      </c>
      <c r="H630" s="47">
        <v>2000000</v>
      </c>
      <c r="I630" s="171">
        <f t="shared" si="101"/>
        <v>903000</v>
      </c>
      <c r="J630" s="170">
        <f t="shared" si="102"/>
        <v>114916272.622206</v>
      </c>
    </row>
    <row r="631" spans="2:14" ht="12.65" customHeight="1">
      <c r="B631" s="33">
        <f>'Update IDR GWM'!A631</f>
        <v>43907</v>
      </c>
      <c r="C631" s="41">
        <v>113595599.717794</v>
      </c>
      <c r="D631" s="47">
        <v>115608723</v>
      </c>
      <c r="E631" s="168">
        <f t="shared" si="100"/>
        <v>2013123.2822059989</v>
      </c>
      <c r="G631" s="173">
        <v>1097000</v>
      </c>
      <c r="H631" s="47">
        <v>2000000</v>
      </c>
      <c r="I631" s="171">
        <f t="shared" si="101"/>
        <v>903000</v>
      </c>
      <c r="J631" s="170">
        <f t="shared" si="102"/>
        <v>2916123.2822059989</v>
      </c>
      <c r="K631" s="31" t="s">
        <v>101</v>
      </c>
      <c r="L631" s="32"/>
      <c r="M631" s="52"/>
      <c r="N631" s="55"/>
    </row>
    <row r="632" spans="2:14" ht="12.65" customHeight="1">
      <c r="B632" s="33">
        <f>'Update IDR GWM'!A632</f>
        <v>43908</v>
      </c>
      <c r="C632" s="41">
        <v>113595599.717794</v>
      </c>
      <c r="D632" s="47">
        <v>115608872.34</v>
      </c>
      <c r="E632" s="168">
        <f t="shared" si="100"/>
        <v>2013272.6222060025</v>
      </c>
      <c r="G632" s="173">
        <v>1097000</v>
      </c>
      <c r="H632" s="47">
        <v>2000000</v>
      </c>
      <c r="I632" s="171">
        <f t="shared" si="101"/>
        <v>903000</v>
      </c>
      <c r="J632" s="170">
        <f t="shared" si="102"/>
        <v>2916272.6222060025</v>
      </c>
    </row>
    <row r="633" spans="2:14" ht="12.65" customHeight="1">
      <c r="B633" s="33">
        <f>'Update IDR GWM'!A633</f>
        <v>43909</v>
      </c>
      <c r="C633" s="41">
        <v>113595599.717794</v>
      </c>
      <c r="D633" s="47">
        <v>115608872.34</v>
      </c>
      <c r="E633" s="168">
        <f t="shared" si="100"/>
        <v>2013272.6222060025</v>
      </c>
      <c r="G633" s="173">
        <v>1097000</v>
      </c>
      <c r="H633" s="47">
        <v>2000000</v>
      </c>
      <c r="I633" s="171">
        <f t="shared" si="101"/>
        <v>903000</v>
      </c>
      <c r="J633" s="170">
        <f t="shared" si="102"/>
        <v>2916272.6222060025</v>
      </c>
    </row>
    <row r="634" spans="2:14" ht="12.65" customHeight="1">
      <c r="B634" s="33">
        <f>'Update IDR GWM'!A634</f>
        <v>43910</v>
      </c>
      <c r="C634" s="41">
        <v>113595599.717794</v>
      </c>
      <c r="D634" s="47">
        <v>115608872</v>
      </c>
      <c r="E634" s="168">
        <f t="shared" si="100"/>
        <v>2013272.2822059989</v>
      </c>
      <c r="G634" s="173">
        <v>1097000</v>
      </c>
      <c r="H634" s="47">
        <v>2000000</v>
      </c>
      <c r="I634" s="171">
        <f t="shared" si="101"/>
        <v>903000</v>
      </c>
      <c r="J634" s="170">
        <f t="shared" si="102"/>
        <v>2916272.2822059989</v>
      </c>
    </row>
    <row r="635" spans="2:14" ht="12.65" customHeight="1">
      <c r="B635" s="33">
        <f>'Update IDR GWM'!A635</f>
        <v>43913</v>
      </c>
      <c r="C635" s="41">
        <v>113595599.717794</v>
      </c>
      <c r="D635" s="47">
        <v>115608872.34</v>
      </c>
      <c r="E635" s="168">
        <f t="shared" si="100"/>
        <v>2013272.6222060025</v>
      </c>
      <c r="G635" s="173">
        <v>1097000</v>
      </c>
      <c r="H635" s="47">
        <v>2000000</v>
      </c>
      <c r="I635" s="171">
        <f t="shared" si="101"/>
        <v>903000</v>
      </c>
      <c r="J635" s="170">
        <f t="shared" si="102"/>
        <v>2916272.6222060025</v>
      </c>
    </row>
    <row r="636" spans="2:14" ht="12.65" customHeight="1">
      <c r="B636" s="33">
        <f>'Update IDR GWM'!A636</f>
        <v>43914</v>
      </c>
      <c r="C636" s="41">
        <v>113595599.717794</v>
      </c>
      <c r="D636" s="47">
        <v>115608872.34</v>
      </c>
      <c r="E636" s="168">
        <f t="shared" si="100"/>
        <v>2013272.6222060025</v>
      </c>
      <c r="G636" s="173">
        <v>1097000</v>
      </c>
      <c r="H636" s="47">
        <v>2000000</v>
      </c>
      <c r="I636" s="171">
        <f t="shared" si="101"/>
        <v>903000</v>
      </c>
      <c r="J636" s="170">
        <f t="shared" si="102"/>
        <v>2916272.6222060025</v>
      </c>
    </row>
    <row r="637" spans="2:14" ht="12.65" customHeight="1">
      <c r="B637" s="33">
        <f>'Update IDR GWM'!A637</f>
        <v>43915</v>
      </c>
      <c r="C637" s="41">
        <v>113595599.717794</v>
      </c>
      <c r="D637" s="47">
        <v>115608872.34</v>
      </c>
      <c r="E637" s="168">
        <f t="shared" si="100"/>
        <v>2013272.6222060025</v>
      </c>
      <c r="G637" s="173">
        <v>1097000</v>
      </c>
      <c r="H637" s="47">
        <v>2000000</v>
      </c>
      <c r="I637" s="171">
        <f t="shared" si="101"/>
        <v>903000</v>
      </c>
      <c r="J637" s="170">
        <f t="shared" si="102"/>
        <v>2916272.6222060025</v>
      </c>
    </row>
    <row r="638" spans="2:14" ht="12.65" customHeight="1">
      <c r="B638" s="33">
        <f>'Update IDR GWM'!A638</f>
        <v>43916</v>
      </c>
      <c r="C638" s="41">
        <v>113595599.717794</v>
      </c>
      <c r="D638" s="47">
        <v>115608872.34</v>
      </c>
      <c r="E638" s="168">
        <f t="shared" si="100"/>
        <v>2013272.6222060025</v>
      </c>
      <c r="G638" s="173">
        <v>1097000</v>
      </c>
      <c r="H638" s="47">
        <v>2000000</v>
      </c>
      <c r="I638" s="171">
        <f t="shared" si="101"/>
        <v>903000</v>
      </c>
      <c r="J638" s="170">
        <f t="shared" si="102"/>
        <v>2916272.6222060025</v>
      </c>
    </row>
    <row r="639" spans="2:14" ht="12.65" customHeight="1">
      <c r="B639" s="33">
        <f>'Update IDR GWM'!A639</f>
        <v>43917</v>
      </c>
      <c r="C639" s="41">
        <v>113595599.717794</v>
      </c>
      <c r="D639" s="47">
        <v>115608872.34</v>
      </c>
      <c r="E639" s="168">
        <f t="shared" si="100"/>
        <v>2013272.6222060025</v>
      </c>
      <c r="G639" s="173">
        <v>1097000</v>
      </c>
      <c r="H639" s="47">
        <v>2000000</v>
      </c>
      <c r="I639" s="171">
        <f t="shared" si="101"/>
        <v>903000</v>
      </c>
      <c r="J639" s="170">
        <f t="shared" si="102"/>
        <v>2916272.6222060025</v>
      </c>
    </row>
    <row r="640" spans="2:14" ht="12.65" customHeight="1">
      <c r="B640" s="33">
        <f>'Update IDR GWM'!A640</f>
        <v>43920</v>
      </c>
      <c r="C640" s="41">
        <v>113595599.717794</v>
      </c>
      <c r="D640" s="47">
        <v>115608872.34</v>
      </c>
      <c r="E640" s="168">
        <f t="shared" si="100"/>
        <v>2013272.6222060025</v>
      </c>
      <c r="G640" s="173">
        <v>1097000</v>
      </c>
      <c r="H640" s="47">
        <v>2000000</v>
      </c>
      <c r="I640" s="171">
        <f t="shared" si="101"/>
        <v>903000</v>
      </c>
      <c r="J640" s="170">
        <f t="shared" si="102"/>
        <v>2916272.6222060025</v>
      </c>
    </row>
    <row r="641" spans="2:10" ht="12.65" customHeight="1">
      <c r="B641" s="33">
        <f>'Update IDR GWM'!A641</f>
        <v>43921</v>
      </c>
      <c r="C641" s="41">
        <v>113595599.717794</v>
      </c>
      <c r="D641" s="47">
        <v>115608872.34</v>
      </c>
      <c r="E641" s="168">
        <f t="shared" si="100"/>
        <v>2013272.6222060025</v>
      </c>
      <c r="G641" s="173">
        <v>1097000</v>
      </c>
      <c r="H641" s="47">
        <v>2000000</v>
      </c>
      <c r="I641" s="171">
        <f t="shared" si="101"/>
        <v>903000</v>
      </c>
      <c r="J641" s="170">
        <f t="shared" si="102"/>
        <v>2916272.6222060025</v>
      </c>
    </row>
    <row r="642" spans="2:10" ht="12.65" customHeight="1">
      <c r="B642" s="33">
        <f>'Update IDR GWM'!A642</f>
        <v>43922</v>
      </c>
      <c r="C642" s="41">
        <v>110855980.25361499</v>
      </c>
      <c r="D642" s="47">
        <v>115608872.34</v>
      </c>
      <c r="E642" s="168">
        <f t="shared" si="100"/>
        <v>4752892.0863850117</v>
      </c>
      <c r="G642" s="173">
        <v>1177000</v>
      </c>
      <c r="H642" s="47">
        <v>2000000</v>
      </c>
      <c r="I642" s="171">
        <f t="shared" ref="I642:I652" si="103">H642-G642</f>
        <v>823000</v>
      </c>
      <c r="J642" s="170">
        <f t="shared" ref="J642:J652" si="104">E642+I642</f>
        <v>5575892.0863850117</v>
      </c>
    </row>
    <row r="643" spans="2:10" ht="12.65" customHeight="1">
      <c r="B643" s="33">
        <f>'Update IDR GWM'!A643</f>
        <v>43923</v>
      </c>
      <c r="C643" s="41">
        <v>110855980.25361499</v>
      </c>
      <c r="D643" s="47">
        <v>112608872.34</v>
      </c>
      <c r="E643" s="168">
        <f t="shared" si="100"/>
        <v>1752892.0863850117</v>
      </c>
      <c r="G643" s="173">
        <v>1177000</v>
      </c>
      <c r="H643" s="47">
        <v>2000000</v>
      </c>
      <c r="I643" s="171">
        <f t="shared" si="103"/>
        <v>823000</v>
      </c>
      <c r="J643" s="170">
        <f t="shared" si="104"/>
        <v>2575892.0863850117</v>
      </c>
    </row>
    <row r="644" spans="2:10" ht="12.65" customHeight="1">
      <c r="B644" s="33">
        <f>'Update IDR GWM'!A644</f>
        <v>43924</v>
      </c>
      <c r="C644" s="41">
        <v>110855980.25361499</v>
      </c>
      <c r="D644" s="47">
        <v>112608872.34</v>
      </c>
      <c r="E644" s="168">
        <f t="shared" si="100"/>
        <v>1752892.0863850117</v>
      </c>
      <c r="G644" s="173">
        <v>1177000</v>
      </c>
      <c r="H644" s="47">
        <v>2000000</v>
      </c>
      <c r="I644" s="171">
        <f t="shared" si="103"/>
        <v>823000</v>
      </c>
      <c r="J644" s="170">
        <f t="shared" si="104"/>
        <v>2575892.0863850117</v>
      </c>
    </row>
    <row r="645" spans="2:10" ht="12.65" customHeight="1">
      <c r="B645" s="33">
        <f>'Update IDR GWM'!A645</f>
        <v>43927</v>
      </c>
      <c r="C645" s="41">
        <v>110855980.25361499</v>
      </c>
      <c r="D645" s="47">
        <v>112608872.34</v>
      </c>
      <c r="E645" s="168">
        <f t="shared" si="100"/>
        <v>1752892.0863850117</v>
      </c>
      <c r="G645" s="173">
        <v>1177000</v>
      </c>
      <c r="H645" s="47">
        <v>2000000</v>
      </c>
      <c r="I645" s="171">
        <f t="shared" si="103"/>
        <v>823000</v>
      </c>
      <c r="J645" s="170">
        <f t="shared" si="104"/>
        <v>2575892.0863850117</v>
      </c>
    </row>
    <row r="646" spans="2:10" ht="12.65" customHeight="1">
      <c r="B646" s="33">
        <f>'Update IDR GWM'!A646</f>
        <v>43928</v>
      </c>
      <c r="C646" s="41">
        <v>110855980.25361499</v>
      </c>
      <c r="D646" s="47">
        <v>112608872.34</v>
      </c>
      <c r="E646" s="168">
        <f t="shared" si="100"/>
        <v>1752892.0863850117</v>
      </c>
      <c r="G646" s="173">
        <v>1177000</v>
      </c>
      <c r="H646" s="47">
        <v>2000000</v>
      </c>
      <c r="I646" s="171">
        <f t="shared" si="103"/>
        <v>823000</v>
      </c>
      <c r="J646" s="170">
        <f t="shared" si="104"/>
        <v>2575892.0863850117</v>
      </c>
    </row>
    <row r="647" spans="2:10" ht="12.65" customHeight="1">
      <c r="B647" s="33">
        <f>'Update IDR GWM'!A647</f>
        <v>43929</v>
      </c>
      <c r="C647" s="41">
        <v>110855980.25361499</v>
      </c>
      <c r="D647" s="47">
        <v>112608872.34</v>
      </c>
      <c r="E647" s="168">
        <f t="shared" si="100"/>
        <v>1752892.0863850117</v>
      </c>
      <c r="G647" s="173">
        <v>1177000</v>
      </c>
      <c r="H647" s="47">
        <v>2000000</v>
      </c>
      <c r="I647" s="171">
        <f t="shared" si="103"/>
        <v>823000</v>
      </c>
      <c r="J647" s="170">
        <f t="shared" si="104"/>
        <v>2575892.0863850117</v>
      </c>
    </row>
    <row r="648" spans="2:10" ht="12.65" customHeight="1">
      <c r="B648" s="33">
        <f>'Update IDR GWM'!A648</f>
        <v>43930</v>
      </c>
      <c r="C648" s="41">
        <v>110855980.25361499</v>
      </c>
      <c r="D648" s="47">
        <v>112608872.34</v>
      </c>
      <c r="E648" s="168">
        <f t="shared" si="100"/>
        <v>1752892.0863850117</v>
      </c>
      <c r="G648" s="173">
        <v>1177000</v>
      </c>
      <c r="H648" s="47">
        <v>2000000</v>
      </c>
      <c r="I648" s="171">
        <f t="shared" si="103"/>
        <v>823000</v>
      </c>
      <c r="J648" s="170">
        <f t="shared" si="104"/>
        <v>2575892.0863850117</v>
      </c>
    </row>
    <row r="649" spans="2:10" ht="12.65" customHeight="1">
      <c r="B649" s="33">
        <f>'Update IDR GWM'!A649</f>
        <v>43934</v>
      </c>
      <c r="C649" s="41">
        <v>110855980.25361499</v>
      </c>
      <c r="D649" s="47">
        <v>112608872.34</v>
      </c>
      <c r="E649" s="168">
        <f t="shared" si="100"/>
        <v>1752892.0863850117</v>
      </c>
      <c r="G649" s="173">
        <v>1177000</v>
      </c>
      <c r="H649" s="47">
        <v>2000000</v>
      </c>
      <c r="I649" s="171">
        <f t="shared" si="103"/>
        <v>823000</v>
      </c>
      <c r="J649" s="170">
        <f t="shared" si="104"/>
        <v>2575892.0863850117</v>
      </c>
    </row>
    <row r="650" spans="2:10" ht="12.65" customHeight="1">
      <c r="B650" s="33">
        <f>'Update IDR GWM'!A650</f>
        <v>43935</v>
      </c>
      <c r="C650" s="41">
        <v>110855980.25361499</v>
      </c>
      <c r="D650" s="47">
        <v>112608872.34</v>
      </c>
      <c r="E650" s="168">
        <f t="shared" si="100"/>
        <v>1752892.0863850117</v>
      </c>
      <c r="G650" s="173">
        <v>1177000</v>
      </c>
      <c r="H650" s="47">
        <v>2000000</v>
      </c>
      <c r="I650" s="171">
        <f t="shared" si="103"/>
        <v>823000</v>
      </c>
      <c r="J650" s="170">
        <f t="shared" si="104"/>
        <v>2575892.0863850117</v>
      </c>
    </row>
    <row r="651" spans="2:10" ht="12.65" customHeight="1">
      <c r="B651" s="33">
        <f>'Update IDR GWM'!A651</f>
        <v>43936</v>
      </c>
      <c r="C651" s="41">
        <v>110855980.25361499</v>
      </c>
      <c r="D651" s="47">
        <v>112608872.34</v>
      </c>
      <c r="E651" s="168">
        <f t="shared" si="100"/>
        <v>1752892.0863850117</v>
      </c>
      <c r="G651" s="173">
        <v>1177000</v>
      </c>
      <c r="H651" s="47">
        <v>2000000</v>
      </c>
      <c r="I651" s="171">
        <f t="shared" si="103"/>
        <v>823000</v>
      </c>
      <c r="J651" s="170">
        <f t="shared" si="104"/>
        <v>2575892.0863850117</v>
      </c>
    </row>
    <row r="652" spans="2:10" ht="12.65" customHeight="1">
      <c r="B652" s="33">
        <f>'Update IDR GWM'!A652</f>
        <v>43937</v>
      </c>
      <c r="C652" s="41">
        <v>102161244.044846</v>
      </c>
      <c r="D652" s="47">
        <v>112608872.34</v>
      </c>
      <c r="E652" s="168">
        <f t="shared" si="100"/>
        <v>10447628.295154005</v>
      </c>
      <c r="G652" s="173">
        <v>1223000</v>
      </c>
      <c r="H652" s="47">
        <v>2000000</v>
      </c>
      <c r="I652" s="171">
        <f t="shared" si="103"/>
        <v>777000</v>
      </c>
      <c r="J652" s="170">
        <f t="shared" si="104"/>
        <v>11224628.295154005</v>
      </c>
    </row>
    <row r="653" spans="2:10" ht="12.65" customHeight="1">
      <c r="B653" s="33">
        <f>'Update IDR GWM'!A653</f>
        <v>43938</v>
      </c>
      <c r="C653" s="41">
        <v>102161245.044846</v>
      </c>
      <c r="D653" s="47">
        <v>103608872.34</v>
      </c>
      <c r="E653" s="168">
        <f t="shared" si="100"/>
        <v>1447627.2951540053</v>
      </c>
      <c r="G653" s="173">
        <v>1223000</v>
      </c>
      <c r="H653" s="47">
        <v>2000000</v>
      </c>
      <c r="I653" s="171">
        <f t="shared" ref="I653:I663" si="105">H653-G653</f>
        <v>777000</v>
      </c>
      <c r="J653" s="170">
        <f t="shared" ref="J653:J663" si="106">E653+I653</f>
        <v>2224627.2951540053</v>
      </c>
    </row>
    <row r="654" spans="2:10" ht="12.65" customHeight="1">
      <c r="B654" s="33">
        <f>'Update IDR GWM'!A654</f>
        <v>43941</v>
      </c>
      <c r="C654" s="41">
        <v>102161246.044846</v>
      </c>
      <c r="D654" s="47">
        <v>103608872.34</v>
      </c>
      <c r="E654" s="168">
        <f t="shared" si="100"/>
        <v>1447626.2951540053</v>
      </c>
      <c r="G654" s="173">
        <v>1223000</v>
      </c>
      <c r="H654" s="47">
        <v>2000000</v>
      </c>
      <c r="I654" s="171">
        <f t="shared" si="105"/>
        <v>777000</v>
      </c>
      <c r="J654" s="170">
        <f t="shared" si="106"/>
        <v>2224626.2951540053</v>
      </c>
    </row>
    <row r="655" spans="2:10" ht="12.65" customHeight="1">
      <c r="B655" s="33">
        <f>'Update IDR GWM'!A655</f>
        <v>43942</v>
      </c>
      <c r="C655" s="41">
        <v>102161247.044846</v>
      </c>
      <c r="D655" s="47">
        <v>103608872.34</v>
      </c>
      <c r="E655" s="168">
        <f t="shared" si="100"/>
        <v>1447625.2951540053</v>
      </c>
      <c r="G655" s="173">
        <v>1223000</v>
      </c>
      <c r="H655" s="47">
        <v>2000000</v>
      </c>
      <c r="I655" s="171">
        <f t="shared" si="105"/>
        <v>777000</v>
      </c>
      <c r="J655" s="170">
        <f t="shared" si="106"/>
        <v>2224625.2951540053</v>
      </c>
    </row>
    <row r="656" spans="2:10" ht="12.65" customHeight="1">
      <c r="B656" s="33">
        <f>'Update IDR GWM'!A656</f>
        <v>43943</v>
      </c>
      <c r="C656" s="41">
        <v>102161248.044846</v>
      </c>
      <c r="D656" s="47">
        <v>103608872.34</v>
      </c>
      <c r="E656" s="168">
        <f t="shared" si="100"/>
        <v>1447624.2951540053</v>
      </c>
      <c r="G656" s="173">
        <v>1223000</v>
      </c>
      <c r="H656" s="47">
        <v>2000000</v>
      </c>
      <c r="I656" s="171">
        <f t="shared" si="105"/>
        <v>777000</v>
      </c>
      <c r="J656" s="170">
        <f t="shared" si="106"/>
        <v>2224624.2951540053</v>
      </c>
    </row>
    <row r="657" spans="2:10" ht="12.65" customHeight="1">
      <c r="B657" s="33">
        <f>'Update IDR GWM'!A657</f>
        <v>43944</v>
      </c>
      <c r="C657" s="41">
        <v>102161249.044846</v>
      </c>
      <c r="D657" s="47">
        <v>103608872.34</v>
      </c>
      <c r="E657" s="168">
        <f t="shared" si="100"/>
        <v>1447623.2951540053</v>
      </c>
      <c r="G657" s="173">
        <v>1223000</v>
      </c>
      <c r="H657" s="47">
        <v>2000000</v>
      </c>
      <c r="I657" s="171">
        <f t="shared" si="105"/>
        <v>777000</v>
      </c>
      <c r="J657" s="170">
        <f t="shared" si="106"/>
        <v>2224623.2951540053</v>
      </c>
    </row>
    <row r="658" spans="2:10" ht="12.65" customHeight="1">
      <c r="B658" s="33">
        <f>'Update IDR GWM'!A658</f>
        <v>43945</v>
      </c>
      <c r="C658" s="41">
        <v>102161250.044846</v>
      </c>
      <c r="D658" s="47">
        <v>103608872.34</v>
      </c>
      <c r="E658" s="168">
        <f t="shared" si="100"/>
        <v>1447622.2951540053</v>
      </c>
      <c r="G658" s="173">
        <v>1223000</v>
      </c>
      <c r="H658" s="47">
        <v>2000000</v>
      </c>
      <c r="I658" s="171">
        <f t="shared" si="105"/>
        <v>777000</v>
      </c>
      <c r="J658" s="170">
        <f t="shared" si="106"/>
        <v>2224622.2951540053</v>
      </c>
    </row>
    <row r="659" spans="2:10" ht="12.65" customHeight="1">
      <c r="B659" s="33">
        <f>'Update IDR GWM'!A659</f>
        <v>43948</v>
      </c>
      <c r="C659" s="41">
        <v>102161251.044846</v>
      </c>
      <c r="D659" s="47">
        <v>103608872.34</v>
      </c>
      <c r="E659" s="168">
        <f t="shared" si="100"/>
        <v>1447621.2951540053</v>
      </c>
      <c r="G659" s="173">
        <v>1223000</v>
      </c>
      <c r="H659" s="47">
        <v>2000000</v>
      </c>
      <c r="I659" s="171">
        <f t="shared" si="105"/>
        <v>777000</v>
      </c>
      <c r="J659" s="170">
        <f t="shared" si="106"/>
        <v>2224621.2951540053</v>
      </c>
    </row>
    <row r="660" spans="2:10" ht="12.65" customHeight="1">
      <c r="B660" s="33">
        <f>'Update IDR GWM'!A660</f>
        <v>43949</v>
      </c>
      <c r="C660" s="41">
        <v>102161252.044846</v>
      </c>
      <c r="D660" s="47">
        <v>103608872.34</v>
      </c>
      <c r="E660" s="168">
        <f t="shared" si="100"/>
        <v>1447620.2951540053</v>
      </c>
      <c r="G660" s="173">
        <v>1223000</v>
      </c>
      <c r="H660" s="47">
        <v>2000000</v>
      </c>
      <c r="I660" s="171">
        <f t="shared" si="105"/>
        <v>777000</v>
      </c>
      <c r="J660" s="170">
        <f t="shared" si="106"/>
        <v>2224620.2951540053</v>
      </c>
    </row>
    <row r="661" spans="2:10" ht="12.65" customHeight="1">
      <c r="B661" s="33">
        <f>'Update IDR GWM'!A661</f>
        <v>43950</v>
      </c>
      <c r="C661" s="41">
        <v>102161253.044846</v>
      </c>
      <c r="D661" s="47">
        <v>103608872.34</v>
      </c>
      <c r="E661" s="168">
        <f t="shared" si="100"/>
        <v>1447619.2951540053</v>
      </c>
      <c r="G661" s="173">
        <v>1223000</v>
      </c>
      <c r="H661" s="47">
        <v>2000000</v>
      </c>
      <c r="I661" s="171">
        <f t="shared" si="105"/>
        <v>777000</v>
      </c>
      <c r="J661" s="170">
        <f t="shared" si="106"/>
        <v>2224619.2951540053</v>
      </c>
    </row>
    <row r="662" spans="2:10" ht="12.65" customHeight="1">
      <c r="B662" s="33">
        <f>'Update IDR GWM'!A662</f>
        <v>43951</v>
      </c>
      <c r="C662" s="41">
        <v>102161254.044846</v>
      </c>
      <c r="D662" s="47">
        <v>103608872.34</v>
      </c>
      <c r="E662" s="168">
        <f t="shared" si="100"/>
        <v>1447618.2951540053</v>
      </c>
      <c r="G662" s="173">
        <v>1223000</v>
      </c>
      <c r="H662" s="47">
        <v>2000000</v>
      </c>
      <c r="I662" s="171">
        <f t="shared" si="105"/>
        <v>777000</v>
      </c>
      <c r="J662" s="170">
        <f t="shared" si="106"/>
        <v>2224618.2951540053</v>
      </c>
    </row>
    <row r="663" spans="2:10" ht="12.65" customHeight="1">
      <c r="B663" s="33">
        <f>'Update IDR GWM'!A663</f>
        <v>43955</v>
      </c>
      <c r="C663" s="41">
        <v>94397006.796070397</v>
      </c>
      <c r="D663" s="47">
        <v>103608872.34</v>
      </c>
      <c r="E663" s="168">
        <f t="shared" si="100"/>
        <v>9211865.5439296067</v>
      </c>
      <c r="G663" s="173">
        <v>1254000</v>
      </c>
      <c r="H663" s="47">
        <v>2000000</v>
      </c>
      <c r="I663" s="171">
        <f t="shared" si="105"/>
        <v>746000</v>
      </c>
      <c r="J663" s="170">
        <f t="shared" si="106"/>
        <v>9957865.5439296067</v>
      </c>
    </row>
    <row r="664" spans="2:10" ht="12.65" customHeight="1">
      <c r="B664" s="33">
        <f>'Update IDR GWM'!A664</f>
        <v>43956</v>
      </c>
      <c r="C664" s="41">
        <v>94397006.796070397</v>
      </c>
      <c r="D664" s="47">
        <v>105608872.34</v>
      </c>
      <c r="E664" s="168">
        <f t="shared" si="100"/>
        <v>11211865.543929607</v>
      </c>
      <c r="G664" s="173">
        <v>1254000</v>
      </c>
      <c r="H664" s="47">
        <v>2000000</v>
      </c>
      <c r="I664" s="171">
        <f t="shared" ref="I664:I678" si="107">H664-G664</f>
        <v>746000</v>
      </c>
      <c r="J664" s="170">
        <f t="shared" ref="J664:J678" si="108">E664+I664</f>
        <v>11957865.543929607</v>
      </c>
    </row>
    <row r="665" spans="2:10" ht="12.65" customHeight="1">
      <c r="B665" s="33">
        <f>'Update IDR GWM'!A665</f>
        <v>43957</v>
      </c>
      <c r="C665" s="41">
        <v>94397006.796070397</v>
      </c>
      <c r="D665" s="47">
        <v>105608872.34</v>
      </c>
      <c r="E665" s="168">
        <f t="shared" si="100"/>
        <v>11211865.543929607</v>
      </c>
      <c r="G665" s="173">
        <v>1254000</v>
      </c>
      <c r="H665" s="47">
        <v>2000000</v>
      </c>
      <c r="I665" s="171">
        <f t="shared" si="107"/>
        <v>746000</v>
      </c>
      <c r="J665" s="170">
        <f t="shared" si="108"/>
        <v>11957865.543929607</v>
      </c>
    </row>
    <row r="666" spans="2:10" ht="12.65" customHeight="1">
      <c r="B666" s="33">
        <f>'Update IDR GWM'!A666</f>
        <v>43959</v>
      </c>
      <c r="C666" s="41">
        <v>94397006.796070397</v>
      </c>
      <c r="D666" s="47">
        <v>105608872.34</v>
      </c>
      <c r="E666" s="168">
        <f t="shared" si="100"/>
        <v>11211865.543929607</v>
      </c>
      <c r="G666" s="173">
        <v>1254000</v>
      </c>
      <c r="H666" s="47">
        <v>2000000</v>
      </c>
      <c r="I666" s="171">
        <f t="shared" si="107"/>
        <v>746000</v>
      </c>
      <c r="J666" s="170">
        <f t="shared" si="108"/>
        <v>11957865.543929607</v>
      </c>
    </row>
    <row r="667" spans="2:10" ht="12.65" customHeight="1">
      <c r="B667" s="33">
        <f>'Update IDR GWM'!A667</f>
        <v>43962</v>
      </c>
      <c r="C667" s="41">
        <v>94397006.796070397</v>
      </c>
      <c r="D667" s="47">
        <v>95608872.340000004</v>
      </c>
      <c r="E667" s="168">
        <f t="shared" si="100"/>
        <v>1211865.5439296067</v>
      </c>
      <c r="G667" s="173">
        <v>1254000</v>
      </c>
      <c r="H667" s="47">
        <v>2000000</v>
      </c>
      <c r="I667" s="171">
        <f t="shared" si="107"/>
        <v>746000</v>
      </c>
      <c r="J667" s="170">
        <f t="shared" si="108"/>
        <v>1957865.5439296067</v>
      </c>
    </row>
    <row r="668" spans="2:10" ht="12.65" customHeight="1">
      <c r="B668" s="33">
        <f>'Update IDR GWM'!A668</f>
        <v>43963</v>
      </c>
      <c r="C668" s="41">
        <v>94397006.796070397</v>
      </c>
      <c r="D668" s="47">
        <v>95608872.340000004</v>
      </c>
      <c r="E668" s="168">
        <f t="shared" si="100"/>
        <v>1211865.5439296067</v>
      </c>
      <c r="G668" s="173">
        <v>1254000</v>
      </c>
      <c r="H668" s="47">
        <v>2000000</v>
      </c>
      <c r="I668" s="171">
        <f t="shared" si="107"/>
        <v>746000</v>
      </c>
      <c r="J668" s="170">
        <f t="shared" si="108"/>
        <v>1957865.5439296067</v>
      </c>
    </row>
    <row r="669" spans="2:10" ht="12.65" customHeight="1">
      <c r="B669" s="33">
        <f>'Update IDR GWM'!A669</f>
        <v>43964</v>
      </c>
      <c r="C669" s="41">
        <v>94397006.796070397</v>
      </c>
      <c r="D669" s="47">
        <v>95608872.340000004</v>
      </c>
      <c r="E669" s="168">
        <f t="shared" si="100"/>
        <v>1211865.5439296067</v>
      </c>
      <c r="G669" s="173">
        <v>1254000</v>
      </c>
      <c r="H669" s="47">
        <v>2000000</v>
      </c>
      <c r="I669" s="171">
        <f t="shared" si="107"/>
        <v>746000</v>
      </c>
      <c r="J669" s="170">
        <f t="shared" si="108"/>
        <v>1957865.5439296067</v>
      </c>
    </row>
    <row r="670" spans="2:10" ht="12.65" customHeight="1">
      <c r="B670" s="33">
        <f>'Update IDR GWM'!A670</f>
        <v>43965</v>
      </c>
      <c r="C670" s="41">
        <v>94397006.796070397</v>
      </c>
      <c r="D670" s="47">
        <v>95608872.340000004</v>
      </c>
      <c r="E670" s="168">
        <f t="shared" si="100"/>
        <v>1211865.5439296067</v>
      </c>
      <c r="G670" s="173">
        <v>1254000</v>
      </c>
      <c r="H670" s="47">
        <v>2000000</v>
      </c>
      <c r="I670" s="171">
        <f t="shared" si="107"/>
        <v>746000</v>
      </c>
      <c r="J670" s="170">
        <f t="shared" si="108"/>
        <v>1957865.5439296067</v>
      </c>
    </row>
    <row r="671" spans="2:10" ht="12.65" customHeight="1">
      <c r="B671" s="33">
        <f>'Update IDR GWM'!A671</f>
        <v>43966</v>
      </c>
      <c r="C671" s="41">
        <v>94397006.796070397</v>
      </c>
      <c r="D671" s="47">
        <v>95608872.340000004</v>
      </c>
      <c r="E671" s="168">
        <f t="shared" si="100"/>
        <v>1211865.5439296067</v>
      </c>
      <c r="G671" s="173">
        <v>1254000</v>
      </c>
      <c r="H671" s="47">
        <v>2000000</v>
      </c>
      <c r="I671" s="171">
        <f t="shared" si="107"/>
        <v>746000</v>
      </c>
      <c r="J671" s="170">
        <f t="shared" si="108"/>
        <v>1957865.5439296067</v>
      </c>
    </row>
    <row r="672" spans="2:10" ht="12.65" customHeight="1">
      <c r="B672" s="33">
        <f>'Update IDR GWM'!A672</f>
        <v>43969</v>
      </c>
      <c r="C672" s="41">
        <v>92631552.925523192</v>
      </c>
      <c r="D672" s="47">
        <v>95608872.340000004</v>
      </c>
      <c r="E672" s="168">
        <f t="shared" si="100"/>
        <v>2977319.4144768119</v>
      </c>
      <c r="G672" s="173">
        <v>1223000</v>
      </c>
      <c r="H672" s="47">
        <v>2000000</v>
      </c>
      <c r="I672" s="171">
        <f t="shared" si="107"/>
        <v>777000</v>
      </c>
      <c r="J672" s="170">
        <f t="shared" si="108"/>
        <v>3754319.4144768119</v>
      </c>
    </row>
    <row r="673" spans="2:10" ht="12.65" customHeight="1">
      <c r="B673" s="33">
        <f>'Update IDR GWM'!A673</f>
        <v>43970</v>
      </c>
      <c r="C673" s="41">
        <v>92631552.925523192</v>
      </c>
      <c r="D673" s="47">
        <v>95608872.340000004</v>
      </c>
      <c r="E673" s="168">
        <f t="shared" si="100"/>
        <v>2977319.4144768119</v>
      </c>
      <c r="G673" s="173">
        <v>1223000</v>
      </c>
      <c r="H673" s="47">
        <v>2000000</v>
      </c>
      <c r="I673" s="171">
        <f t="shared" si="107"/>
        <v>777000</v>
      </c>
      <c r="J673" s="170">
        <f t="shared" si="108"/>
        <v>3754319.4144768119</v>
      </c>
    </row>
    <row r="674" spans="2:10" ht="12.65" customHeight="1">
      <c r="B674" s="33">
        <f>'Update IDR GWM'!A674</f>
        <v>43971</v>
      </c>
      <c r="C674" s="41">
        <v>92631552.925523192</v>
      </c>
      <c r="D674" s="47">
        <v>95608872.340000004</v>
      </c>
      <c r="E674" s="168">
        <f t="shared" si="100"/>
        <v>2977319.4144768119</v>
      </c>
      <c r="G674" s="173">
        <v>1223000</v>
      </c>
      <c r="H674" s="47">
        <v>2000000</v>
      </c>
      <c r="I674" s="171">
        <f t="shared" si="107"/>
        <v>777000</v>
      </c>
      <c r="J674" s="170">
        <f t="shared" si="108"/>
        <v>3754319.4144768119</v>
      </c>
    </row>
    <row r="675" spans="2:10" ht="12.65" customHeight="1">
      <c r="B675" s="33">
        <f>'Update IDR GWM'!A675</f>
        <v>43977</v>
      </c>
      <c r="C675" s="41">
        <v>92631552.925523192</v>
      </c>
      <c r="D675" s="47">
        <v>95608872.340000004</v>
      </c>
      <c r="E675" s="168">
        <f t="shared" si="100"/>
        <v>2977319.4144768119</v>
      </c>
      <c r="G675" s="173">
        <v>1223000</v>
      </c>
      <c r="H675" s="47">
        <v>2000000</v>
      </c>
      <c r="I675" s="171">
        <f t="shared" si="107"/>
        <v>777000</v>
      </c>
      <c r="J675" s="170">
        <f t="shared" si="108"/>
        <v>3754319.4144768119</v>
      </c>
    </row>
    <row r="676" spans="2:10" ht="12.65" customHeight="1">
      <c r="B676" s="33">
        <f>'Update IDR GWM'!A676</f>
        <v>43978</v>
      </c>
      <c r="C676" s="41">
        <v>92631552.925523192</v>
      </c>
      <c r="D676" s="47">
        <v>95608872.340000004</v>
      </c>
      <c r="E676" s="168">
        <f t="shared" si="100"/>
        <v>2977319.4144768119</v>
      </c>
      <c r="G676" s="173">
        <v>1223000</v>
      </c>
      <c r="H676" s="47">
        <v>2000000</v>
      </c>
      <c r="I676" s="171">
        <f t="shared" si="107"/>
        <v>777000</v>
      </c>
      <c r="J676" s="170">
        <f t="shared" si="108"/>
        <v>3754319.4144768119</v>
      </c>
    </row>
    <row r="677" spans="2:10" ht="12.65" customHeight="1">
      <c r="B677" s="33">
        <f>'Update IDR GWM'!A677</f>
        <v>43979</v>
      </c>
      <c r="C677" s="41">
        <v>92631552.925523192</v>
      </c>
      <c r="D677" s="47">
        <v>95608872.340000004</v>
      </c>
      <c r="E677" s="168">
        <f t="shared" si="100"/>
        <v>2977319.4144768119</v>
      </c>
      <c r="G677" s="173">
        <v>1223000</v>
      </c>
      <c r="H677" s="47">
        <v>2000000</v>
      </c>
      <c r="I677" s="171">
        <f t="shared" si="107"/>
        <v>777000</v>
      </c>
      <c r="J677" s="170">
        <f t="shared" si="108"/>
        <v>3754319.4144768119</v>
      </c>
    </row>
    <row r="678" spans="2:10" ht="12.65" customHeight="1">
      <c r="B678" s="33">
        <f>'Update IDR GWM'!A678</f>
        <v>43980</v>
      </c>
      <c r="C678" s="41">
        <v>92631552.925523192</v>
      </c>
      <c r="D678" s="47">
        <v>94133872.340000004</v>
      </c>
      <c r="E678" s="168">
        <f t="shared" si="100"/>
        <v>1502319.4144768119</v>
      </c>
      <c r="G678" s="173">
        <v>1223000</v>
      </c>
      <c r="H678" s="47">
        <v>2000000</v>
      </c>
      <c r="I678" s="171">
        <f t="shared" si="107"/>
        <v>777000</v>
      </c>
      <c r="J678" s="170">
        <f t="shared" si="108"/>
        <v>2279319.4144768119</v>
      </c>
    </row>
    <row r="679" spans="2:10" ht="12.65" customHeight="1">
      <c r="B679" s="33">
        <f>'Update IDR GWM'!A679</f>
        <v>43982</v>
      </c>
      <c r="C679" s="41">
        <v>92631552.925523192</v>
      </c>
      <c r="D679" s="47">
        <v>94133872.340000004</v>
      </c>
      <c r="E679" s="168">
        <f>D679-C679</f>
        <v>1502319.4144768119</v>
      </c>
      <c r="G679" s="173">
        <v>1223000</v>
      </c>
      <c r="H679" s="47">
        <v>2000000</v>
      </c>
      <c r="I679" s="171">
        <f>H679-G679</f>
        <v>777000</v>
      </c>
      <c r="J679" s="170">
        <f>E679+I679</f>
        <v>2279319.4144768119</v>
      </c>
    </row>
    <row r="680" spans="2:10" ht="12.65" customHeight="1">
      <c r="B680" s="33">
        <f>'Update IDR GWM'!A680</f>
        <v>43984</v>
      </c>
      <c r="C680" s="41">
        <v>91124153.20185411</v>
      </c>
      <c r="D680" s="47">
        <v>94133872.340000004</v>
      </c>
      <c r="E680" s="168">
        <f t="shared" si="100"/>
        <v>3009719.1381458938</v>
      </c>
      <c r="G680" s="173">
        <v>1270000</v>
      </c>
      <c r="H680" s="47">
        <v>2000000</v>
      </c>
      <c r="I680" s="171">
        <f t="shared" ref="I680:I688" si="109">H680-G680</f>
        <v>730000</v>
      </c>
      <c r="J680" s="170">
        <f t="shared" ref="J680:J688" si="110">E680+I680</f>
        <v>3739719.1381458938</v>
      </c>
    </row>
    <row r="681" spans="2:10" ht="12.65" customHeight="1">
      <c r="B681" s="33">
        <f>'Update IDR GWM'!A681</f>
        <v>43985</v>
      </c>
      <c r="C681" s="41">
        <v>91124153.20185411</v>
      </c>
      <c r="D681" s="47">
        <v>94133872.340000004</v>
      </c>
      <c r="E681" s="168">
        <f t="shared" si="100"/>
        <v>3009719.1381458938</v>
      </c>
      <c r="G681" s="173">
        <v>1270000</v>
      </c>
      <c r="H681" s="47">
        <v>2000000</v>
      </c>
      <c r="I681" s="171">
        <f t="shared" si="109"/>
        <v>730000</v>
      </c>
      <c r="J681" s="170">
        <f t="shared" si="110"/>
        <v>3739719.1381458938</v>
      </c>
    </row>
    <row r="682" spans="2:10" ht="12.65" customHeight="1">
      <c r="B682" s="33">
        <f>'Update IDR GWM'!A682</f>
        <v>43986</v>
      </c>
      <c r="C682" s="41">
        <v>91124153.20185411</v>
      </c>
      <c r="D682" s="47">
        <v>94133872.340000004</v>
      </c>
      <c r="E682" s="168">
        <f t="shared" si="100"/>
        <v>3009719.1381458938</v>
      </c>
      <c r="G682" s="173">
        <v>1270000</v>
      </c>
      <c r="H682" s="47">
        <v>2000000</v>
      </c>
      <c r="I682" s="171">
        <f t="shared" si="109"/>
        <v>730000</v>
      </c>
      <c r="J682" s="170">
        <f t="shared" si="110"/>
        <v>3739719.1381458938</v>
      </c>
    </row>
    <row r="683" spans="2:10" ht="12.65" customHeight="1">
      <c r="B683" s="33">
        <f>'Update IDR GWM'!A683</f>
        <v>43987</v>
      </c>
      <c r="C683" s="41">
        <v>91124153.20185411</v>
      </c>
      <c r="D683" s="47">
        <v>94133872.340000004</v>
      </c>
      <c r="E683" s="168">
        <f t="shared" si="100"/>
        <v>3009719.1381458938</v>
      </c>
      <c r="G683" s="173">
        <v>1270000</v>
      </c>
      <c r="H683" s="47">
        <v>2000000</v>
      </c>
      <c r="I683" s="171">
        <f t="shared" si="109"/>
        <v>730000</v>
      </c>
      <c r="J683" s="170">
        <f t="shared" si="110"/>
        <v>3739719.1381458938</v>
      </c>
    </row>
    <row r="684" spans="2:10" ht="12.65" customHeight="1">
      <c r="B684" s="33">
        <f>'Update IDR GWM'!A684</f>
        <v>43990</v>
      </c>
      <c r="C684" s="41">
        <v>91124153.20185411</v>
      </c>
      <c r="D684" s="47">
        <v>94133872.340000004</v>
      </c>
      <c r="E684" s="168">
        <f t="shared" ref="E684:E747" si="111">D684-C684</f>
        <v>3009719.1381458938</v>
      </c>
      <c r="G684" s="173">
        <v>1270000</v>
      </c>
      <c r="H684" s="47">
        <v>2000000</v>
      </c>
      <c r="I684" s="171">
        <f t="shared" si="109"/>
        <v>730000</v>
      </c>
      <c r="J684" s="170">
        <f t="shared" si="110"/>
        <v>3739719.1381458938</v>
      </c>
    </row>
    <row r="685" spans="2:10" ht="12.65" customHeight="1">
      <c r="B685" s="33">
        <f>'Update IDR GWM'!A685</f>
        <v>43991</v>
      </c>
      <c r="C685" s="41">
        <v>91124153.20185411</v>
      </c>
      <c r="D685" s="47">
        <v>94133872.340000004</v>
      </c>
      <c r="E685" s="168">
        <f t="shared" si="111"/>
        <v>3009719.1381458938</v>
      </c>
      <c r="G685" s="173">
        <v>1270000</v>
      </c>
      <c r="H685" s="47">
        <v>2000000</v>
      </c>
      <c r="I685" s="171">
        <f t="shared" si="109"/>
        <v>730000</v>
      </c>
      <c r="J685" s="170">
        <f t="shared" si="110"/>
        <v>3739719.1381458938</v>
      </c>
    </row>
    <row r="686" spans="2:10" ht="12.65" customHeight="1">
      <c r="B686" s="33">
        <f>'Update IDR GWM'!A686</f>
        <v>43992</v>
      </c>
      <c r="C686" s="41">
        <v>91124153.20185411</v>
      </c>
      <c r="D686" s="47">
        <v>94133872.340000004</v>
      </c>
      <c r="E686" s="168">
        <f t="shared" si="111"/>
        <v>3009719.1381458938</v>
      </c>
      <c r="G686" s="173">
        <v>1270000</v>
      </c>
      <c r="H686" s="47">
        <v>2000000</v>
      </c>
      <c r="I686" s="171">
        <f t="shared" si="109"/>
        <v>730000</v>
      </c>
      <c r="J686" s="170">
        <f t="shared" si="110"/>
        <v>3739719.1381458938</v>
      </c>
    </row>
    <row r="687" spans="2:10" ht="12.65" customHeight="1">
      <c r="B687" s="33">
        <f>'Update IDR GWM'!A687</f>
        <v>43993</v>
      </c>
      <c r="C687" s="41">
        <v>91124153.20185411</v>
      </c>
      <c r="D687" s="47">
        <v>94133872.340000004</v>
      </c>
      <c r="E687" s="168">
        <f t="shared" si="111"/>
        <v>3009719.1381458938</v>
      </c>
      <c r="G687" s="173">
        <v>1270000</v>
      </c>
      <c r="H687" s="47">
        <v>2000000</v>
      </c>
      <c r="I687" s="171">
        <f t="shared" si="109"/>
        <v>730000</v>
      </c>
      <c r="J687" s="170">
        <f t="shared" si="110"/>
        <v>3739719.1381458938</v>
      </c>
    </row>
    <row r="688" spans="2:10" ht="12.65" customHeight="1">
      <c r="B688" s="33">
        <f>'Update IDR GWM'!A688</f>
        <v>43994</v>
      </c>
      <c r="C688" s="41">
        <v>91124153.20185411</v>
      </c>
      <c r="D688" s="47">
        <v>94133872.340000004</v>
      </c>
      <c r="E688" s="168">
        <f t="shared" si="111"/>
        <v>3009719.1381458938</v>
      </c>
      <c r="G688" s="173">
        <v>1270000</v>
      </c>
      <c r="H688" s="47">
        <v>2000000</v>
      </c>
      <c r="I688" s="171">
        <f t="shared" si="109"/>
        <v>730000</v>
      </c>
      <c r="J688" s="170">
        <f t="shared" si="110"/>
        <v>3739719.1381458938</v>
      </c>
    </row>
    <row r="689" spans="2:10" ht="12.65" customHeight="1">
      <c r="B689" s="33">
        <f>'Update IDR GWM'!A689</f>
        <v>43997</v>
      </c>
      <c r="C689" s="41">
        <v>89326690.311252505</v>
      </c>
      <c r="D689" s="47">
        <v>94133872.340000004</v>
      </c>
      <c r="E689" s="168">
        <f t="shared" si="111"/>
        <v>4807182.028747499</v>
      </c>
      <c r="G689" s="173">
        <v>1292000</v>
      </c>
      <c r="H689" s="47">
        <v>2000000</v>
      </c>
      <c r="I689" s="171">
        <f t="shared" ref="I689:I701" si="112">H689-G689</f>
        <v>708000</v>
      </c>
      <c r="J689" s="170">
        <f t="shared" ref="J689:J701" si="113">E689+I689</f>
        <v>5515182.028747499</v>
      </c>
    </row>
    <row r="690" spans="2:10" ht="12.65" customHeight="1">
      <c r="B690" s="33">
        <f>'Update IDR GWM'!A690</f>
        <v>43998</v>
      </c>
      <c r="C690" s="41">
        <v>89326690.311252505</v>
      </c>
      <c r="D690" s="47">
        <v>94133872.340000004</v>
      </c>
      <c r="E690" s="168">
        <f t="shared" si="111"/>
        <v>4807182.028747499</v>
      </c>
      <c r="G690" s="173">
        <v>1292000</v>
      </c>
      <c r="H690" s="47">
        <v>2000000</v>
      </c>
      <c r="I690" s="171">
        <f t="shared" si="112"/>
        <v>708000</v>
      </c>
      <c r="J690" s="170">
        <f t="shared" si="113"/>
        <v>5515182.028747499</v>
      </c>
    </row>
    <row r="691" spans="2:10" ht="12.65" customHeight="1">
      <c r="B691" s="33">
        <f>'Update IDR GWM'!A691</f>
        <v>43999</v>
      </c>
      <c r="C691" s="41">
        <v>89326690.311252505</v>
      </c>
      <c r="D691" s="47">
        <v>94133872.340000004</v>
      </c>
      <c r="E691" s="168">
        <f t="shared" si="111"/>
        <v>4807182.028747499</v>
      </c>
      <c r="G691" s="173">
        <v>1292000</v>
      </c>
      <c r="H691" s="47">
        <v>2000000</v>
      </c>
      <c r="I691" s="171">
        <f t="shared" si="112"/>
        <v>708000</v>
      </c>
      <c r="J691" s="170">
        <f t="shared" si="113"/>
        <v>5515182.028747499</v>
      </c>
    </row>
    <row r="692" spans="2:10" ht="12.65" customHeight="1">
      <c r="B692" s="33">
        <f>'Update IDR GWM'!A692</f>
        <v>44000</v>
      </c>
      <c r="C692" s="41">
        <v>89326690.311252505</v>
      </c>
      <c r="D692" s="47">
        <v>90633872.340000004</v>
      </c>
      <c r="E692" s="168">
        <f t="shared" si="111"/>
        <v>1307182.028747499</v>
      </c>
      <c r="G692" s="173">
        <v>1292000</v>
      </c>
      <c r="H692" s="47">
        <v>2000000</v>
      </c>
      <c r="I692" s="171">
        <f t="shared" si="112"/>
        <v>708000</v>
      </c>
      <c r="J692" s="170">
        <f t="shared" si="113"/>
        <v>2015182.028747499</v>
      </c>
    </row>
    <row r="693" spans="2:10" ht="12.65" customHeight="1">
      <c r="B693" s="33">
        <f>'Update IDR GWM'!A693</f>
        <v>44001</v>
      </c>
      <c r="C693" s="41">
        <v>89326690.311252505</v>
      </c>
      <c r="D693" s="47">
        <v>90633872.340000004</v>
      </c>
      <c r="E693" s="168">
        <f t="shared" si="111"/>
        <v>1307182.028747499</v>
      </c>
      <c r="G693" s="173">
        <v>1292000</v>
      </c>
      <c r="H693" s="47">
        <v>2000000</v>
      </c>
      <c r="I693" s="171">
        <f t="shared" si="112"/>
        <v>708000</v>
      </c>
      <c r="J693" s="170">
        <f t="shared" si="113"/>
        <v>2015182.028747499</v>
      </c>
    </row>
    <row r="694" spans="2:10" ht="12.65" customHeight="1">
      <c r="B694" s="33">
        <f>'Update IDR GWM'!A694</f>
        <v>44004</v>
      </c>
      <c r="C694" s="41">
        <v>89326690.311252505</v>
      </c>
      <c r="D694" s="47">
        <v>90633872.340000004</v>
      </c>
      <c r="E694" s="168">
        <f t="shared" si="111"/>
        <v>1307182.028747499</v>
      </c>
      <c r="G694" s="173">
        <v>1292000</v>
      </c>
      <c r="H694" s="47">
        <v>2000000</v>
      </c>
      <c r="I694" s="171">
        <f t="shared" si="112"/>
        <v>708000</v>
      </c>
      <c r="J694" s="170">
        <f t="shared" si="113"/>
        <v>2015182.028747499</v>
      </c>
    </row>
    <row r="695" spans="2:10" ht="12.65" customHeight="1">
      <c r="B695" s="33">
        <f>'Update IDR GWM'!A695</f>
        <v>44005</v>
      </c>
      <c r="C695" s="41">
        <v>89326690.311252505</v>
      </c>
      <c r="D695" s="47">
        <v>90633872.340000004</v>
      </c>
      <c r="E695" s="168">
        <f t="shared" si="111"/>
        <v>1307182.028747499</v>
      </c>
      <c r="G695" s="173">
        <v>1292000</v>
      </c>
      <c r="H695" s="47">
        <v>2000000</v>
      </c>
      <c r="I695" s="171">
        <f t="shared" si="112"/>
        <v>708000</v>
      </c>
      <c r="J695" s="170">
        <f t="shared" si="113"/>
        <v>2015182.028747499</v>
      </c>
    </row>
    <row r="696" spans="2:10" ht="12.65" customHeight="1">
      <c r="B696" s="33">
        <f>'Update IDR GWM'!A696</f>
        <v>44006</v>
      </c>
      <c r="C696" s="41">
        <v>89326690.311252505</v>
      </c>
      <c r="D696" s="47">
        <v>90633872.340000004</v>
      </c>
      <c r="E696" s="168">
        <f t="shared" si="111"/>
        <v>1307182.028747499</v>
      </c>
      <c r="G696" s="173">
        <v>1292000</v>
      </c>
      <c r="H696" s="47">
        <v>2000000</v>
      </c>
      <c r="I696" s="171">
        <f t="shared" si="112"/>
        <v>708000</v>
      </c>
      <c r="J696" s="170">
        <f t="shared" si="113"/>
        <v>2015182.028747499</v>
      </c>
    </row>
    <row r="697" spans="2:10" ht="12.65" customHeight="1">
      <c r="B697" s="33">
        <f>'Update IDR GWM'!A697</f>
        <v>44007</v>
      </c>
      <c r="C697" s="41">
        <v>89326690.311252505</v>
      </c>
      <c r="D697" s="47">
        <v>90633872.340000004</v>
      </c>
      <c r="E697" s="168">
        <f t="shared" si="111"/>
        <v>1307182.028747499</v>
      </c>
      <c r="G697" s="173">
        <v>1292000</v>
      </c>
      <c r="H697" s="47">
        <v>2000000</v>
      </c>
      <c r="I697" s="171">
        <f t="shared" si="112"/>
        <v>708000</v>
      </c>
      <c r="J697" s="170">
        <f t="shared" si="113"/>
        <v>2015182.028747499</v>
      </c>
    </row>
    <row r="698" spans="2:10" ht="12.65" customHeight="1">
      <c r="B698" s="33">
        <f>'Update IDR GWM'!A698</f>
        <v>44008</v>
      </c>
      <c r="C698" s="41">
        <v>89326690.311252505</v>
      </c>
      <c r="D698" s="47">
        <v>90633872.340000004</v>
      </c>
      <c r="E698" s="168">
        <f t="shared" si="111"/>
        <v>1307182.028747499</v>
      </c>
      <c r="G698" s="173">
        <v>1292000</v>
      </c>
      <c r="H698" s="47">
        <v>2000000</v>
      </c>
      <c r="I698" s="171">
        <f t="shared" si="112"/>
        <v>708000</v>
      </c>
      <c r="J698" s="170">
        <f t="shared" si="113"/>
        <v>2015182.028747499</v>
      </c>
    </row>
    <row r="699" spans="2:10" ht="12.65" customHeight="1">
      <c r="B699" s="33">
        <f>'Update IDR GWM'!A699</f>
        <v>44011</v>
      </c>
      <c r="C699" s="41">
        <v>89326690.311252505</v>
      </c>
      <c r="D699" s="47">
        <v>90633872.340000004</v>
      </c>
      <c r="E699" s="168">
        <f t="shared" si="111"/>
        <v>1307182.028747499</v>
      </c>
      <c r="G699" s="173">
        <v>1292000</v>
      </c>
      <c r="H699" s="47">
        <v>2000000</v>
      </c>
      <c r="I699" s="171">
        <f t="shared" si="112"/>
        <v>708000</v>
      </c>
      <c r="J699" s="170">
        <f t="shared" si="113"/>
        <v>2015182.028747499</v>
      </c>
    </row>
    <row r="700" spans="2:10" ht="12.65" customHeight="1">
      <c r="B700" s="33">
        <f>'Update IDR GWM'!A700</f>
        <v>44012</v>
      </c>
      <c r="C700" s="41">
        <v>89326690.311252505</v>
      </c>
      <c r="D700" s="47">
        <v>90633872.340000004</v>
      </c>
      <c r="E700" s="168">
        <f t="shared" si="111"/>
        <v>1307182.028747499</v>
      </c>
      <c r="G700" s="173">
        <v>1292000</v>
      </c>
      <c r="H700" s="47">
        <v>2000000</v>
      </c>
      <c r="I700" s="171">
        <f t="shared" si="112"/>
        <v>708000</v>
      </c>
      <c r="J700" s="170">
        <f t="shared" si="113"/>
        <v>2015182.028747499</v>
      </c>
    </row>
    <row r="701" spans="2:10" ht="12.65" customHeight="1">
      <c r="B701" s="33">
        <f>'Update IDR GWM'!A701</f>
        <v>44013</v>
      </c>
      <c r="C701" s="41">
        <v>92209588.131505191</v>
      </c>
      <c r="D701" s="47">
        <v>93633872.340000004</v>
      </c>
      <c r="E701" s="168">
        <f t="shared" si="111"/>
        <v>1424284.2084948123</v>
      </c>
      <c r="G701" s="173">
        <v>1321000</v>
      </c>
      <c r="H701" s="47">
        <v>2000000</v>
      </c>
      <c r="I701" s="171">
        <f t="shared" si="112"/>
        <v>679000</v>
      </c>
      <c r="J701" s="170">
        <f t="shared" si="113"/>
        <v>2103284.2084948123</v>
      </c>
    </row>
    <row r="702" spans="2:10" ht="12.65" customHeight="1">
      <c r="B702" s="33">
        <f>'Update IDR GWM'!A702</f>
        <v>44014</v>
      </c>
      <c r="C702" s="41">
        <v>92209588.131505191</v>
      </c>
      <c r="D702" s="47">
        <v>93633872.340000004</v>
      </c>
      <c r="E702" s="168">
        <f t="shared" si="111"/>
        <v>1424284.2084948123</v>
      </c>
      <c r="G702" s="173">
        <v>1321000</v>
      </c>
      <c r="H702" s="47">
        <v>2000000</v>
      </c>
      <c r="I702" s="171">
        <f t="shared" ref="I702:I744" si="114">H702-G702</f>
        <v>679000</v>
      </c>
      <c r="J702" s="170">
        <f t="shared" ref="J702:J744" si="115">E702+I702</f>
        <v>2103284.2084948123</v>
      </c>
    </row>
    <row r="703" spans="2:10" ht="12.65" customHeight="1">
      <c r="B703" s="33">
        <f>'Update IDR GWM'!A703</f>
        <v>44015</v>
      </c>
      <c r="C703" s="41">
        <v>92209588.131505191</v>
      </c>
      <c r="D703" s="47">
        <v>93633872.340000004</v>
      </c>
      <c r="E703" s="168">
        <f t="shared" si="111"/>
        <v>1424284.2084948123</v>
      </c>
      <c r="G703" s="173">
        <v>1321000</v>
      </c>
      <c r="H703" s="47">
        <v>2000000</v>
      </c>
      <c r="I703" s="171">
        <f t="shared" si="114"/>
        <v>679000</v>
      </c>
      <c r="J703" s="170">
        <f t="shared" si="115"/>
        <v>2103284.2084948123</v>
      </c>
    </row>
    <row r="704" spans="2:10" ht="12.65" customHeight="1">
      <c r="B704" s="33">
        <f>'Update IDR GWM'!A704</f>
        <v>44018</v>
      </c>
      <c r="C704" s="41">
        <v>92209588.131505191</v>
      </c>
      <c r="D704" s="47">
        <v>93633872.340000004</v>
      </c>
      <c r="E704" s="168">
        <f t="shared" si="111"/>
        <v>1424284.2084948123</v>
      </c>
      <c r="G704" s="173">
        <v>1321000</v>
      </c>
      <c r="H704" s="47">
        <v>2000000</v>
      </c>
      <c r="I704" s="171">
        <f t="shared" si="114"/>
        <v>679000</v>
      </c>
      <c r="J704" s="170">
        <f t="shared" si="115"/>
        <v>2103284.2084948123</v>
      </c>
    </row>
    <row r="705" spans="2:10" ht="12.65" customHeight="1">
      <c r="B705" s="33">
        <f>'Update IDR GWM'!A705</f>
        <v>44019</v>
      </c>
      <c r="C705" s="41">
        <v>92209588.131505191</v>
      </c>
      <c r="D705" s="47">
        <v>93633872.340000004</v>
      </c>
      <c r="E705" s="168">
        <f t="shared" si="111"/>
        <v>1424284.2084948123</v>
      </c>
      <c r="G705" s="173">
        <v>1321000</v>
      </c>
      <c r="H705" s="47">
        <v>2000000</v>
      </c>
      <c r="I705" s="171">
        <f t="shared" si="114"/>
        <v>679000</v>
      </c>
      <c r="J705" s="170">
        <f t="shared" si="115"/>
        <v>2103284.2084948123</v>
      </c>
    </row>
    <row r="706" spans="2:10" ht="12.65" customHeight="1">
      <c r="B706" s="33">
        <f>'Update IDR GWM'!A706</f>
        <v>44020</v>
      </c>
      <c r="C706" s="41">
        <v>92209588.131505191</v>
      </c>
      <c r="D706" s="47">
        <v>93633872.340000004</v>
      </c>
      <c r="E706" s="168">
        <f t="shared" si="111"/>
        <v>1424284.2084948123</v>
      </c>
      <c r="G706" s="173">
        <v>1321000</v>
      </c>
      <c r="H706" s="47">
        <v>2000000</v>
      </c>
      <c r="I706" s="171">
        <f t="shared" si="114"/>
        <v>679000</v>
      </c>
      <c r="J706" s="170">
        <f t="shared" si="115"/>
        <v>2103284.2084948123</v>
      </c>
    </row>
    <row r="707" spans="2:10" ht="12.65" customHeight="1">
      <c r="B707" s="33">
        <f>'Update IDR GWM'!A707</f>
        <v>44021</v>
      </c>
      <c r="C707" s="41">
        <v>92209588.131505191</v>
      </c>
      <c r="D707" s="47">
        <v>93633872.340000004</v>
      </c>
      <c r="E707" s="168">
        <f t="shared" si="111"/>
        <v>1424284.2084948123</v>
      </c>
      <c r="G707" s="173">
        <v>1321000</v>
      </c>
      <c r="H707" s="47">
        <v>2000000</v>
      </c>
      <c r="I707" s="171">
        <f t="shared" si="114"/>
        <v>679000</v>
      </c>
      <c r="J707" s="170">
        <f t="shared" si="115"/>
        <v>2103284.2084948123</v>
      </c>
    </row>
    <row r="708" spans="2:10" ht="12.65" customHeight="1">
      <c r="B708" s="33">
        <f>'Update IDR GWM'!A708</f>
        <v>44022</v>
      </c>
      <c r="C708" s="41">
        <v>92209588.131505191</v>
      </c>
      <c r="D708" s="47">
        <v>93633872.340000004</v>
      </c>
      <c r="E708" s="168">
        <f t="shared" si="111"/>
        <v>1424284.2084948123</v>
      </c>
      <c r="G708" s="173">
        <v>1321000</v>
      </c>
      <c r="H708" s="47">
        <v>2000000</v>
      </c>
      <c r="I708" s="171">
        <f t="shared" si="114"/>
        <v>679000</v>
      </c>
      <c r="J708" s="170">
        <f t="shared" si="115"/>
        <v>2103284.2084948123</v>
      </c>
    </row>
    <row r="709" spans="2:10" ht="12.65" customHeight="1">
      <c r="B709" s="33">
        <f>'Update IDR GWM'!A709</f>
        <v>44025</v>
      </c>
      <c r="C709" s="41">
        <v>92209588.131505191</v>
      </c>
      <c r="D709" s="47">
        <v>93633972.340000004</v>
      </c>
      <c r="E709" s="168">
        <f t="shared" si="111"/>
        <v>1424384.2084948123</v>
      </c>
      <c r="G709" s="173">
        <v>1321000</v>
      </c>
      <c r="H709" s="47">
        <v>2000000</v>
      </c>
      <c r="I709" s="171">
        <f t="shared" si="114"/>
        <v>679000</v>
      </c>
      <c r="J709" s="170">
        <f t="shared" si="115"/>
        <v>2103384.2084948123</v>
      </c>
    </row>
    <row r="710" spans="2:10" ht="12.65" customHeight="1">
      <c r="B710" s="33">
        <f>'Update IDR GWM'!A710</f>
        <v>44026</v>
      </c>
      <c r="C710" s="41">
        <v>92209588.131505191</v>
      </c>
      <c r="D710" s="47">
        <v>95633972.340000004</v>
      </c>
      <c r="E710" s="168">
        <f t="shared" si="111"/>
        <v>3424384.2084948123</v>
      </c>
      <c r="G710" s="173">
        <v>1321000</v>
      </c>
      <c r="H710" s="47">
        <v>2000000</v>
      </c>
      <c r="I710" s="171">
        <f t="shared" si="114"/>
        <v>679000</v>
      </c>
      <c r="J710" s="170">
        <f t="shared" si="115"/>
        <v>4103384.2084948123</v>
      </c>
    </row>
    <row r="711" spans="2:10" ht="12.65" customHeight="1">
      <c r="B711" s="33">
        <f>'Update IDR GWM'!A711</f>
        <v>44027</v>
      </c>
      <c r="C711" s="41">
        <v>92209588.131505191</v>
      </c>
      <c r="D711" s="47">
        <v>95633972.340000004</v>
      </c>
      <c r="E711" s="168">
        <f t="shared" si="111"/>
        <v>3424384.2084948123</v>
      </c>
      <c r="G711" s="173">
        <v>1321000</v>
      </c>
      <c r="H711" s="47">
        <v>2000000</v>
      </c>
      <c r="I711" s="171">
        <f t="shared" si="114"/>
        <v>679000</v>
      </c>
      <c r="J711" s="170">
        <f t="shared" si="115"/>
        <v>4103384.2084948123</v>
      </c>
    </row>
    <row r="712" spans="2:10" ht="12.65" customHeight="1">
      <c r="B712" s="33">
        <f>'Update IDR GWM'!A712</f>
        <v>44028</v>
      </c>
      <c r="C712" s="41">
        <v>91898014.176990002</v>
      </c>
      <c r="D712" s="47">
        <v>95633972.340000004</v>
      </c>
      <c r="E712" s="168">
        <f t="shared" si="111"/>
        <v>3735958.1630100012</v>
      </c>
      <c r="G712" s="173">
        <v>1204000</v>
      </c>
      <c r="H712" s="47">
        <v>2000000</v>
      </c>
      <c r="I712" s="171">
        <f t="shared" si="114"/>
        <v>796000</v>
      </c>
      <c r="J712" s="170">
        <f t="shared" si="115"/>
        <v>4531958.1630100012</v>
      </c>
    </row>
    <row r="713" spans="2:10" ht="12.65" customHeight="1">
      <c r="B713" s="33">
        <f>'Update IDR GWM'!A713</f>
        <v>44029</v>
      </c>
      <c r="C713" s="41">
        <v>91898014.176990002</v>
      </c>
      <c r="D713" s="47">
        <v>95633972.340000004</v>
      </c>
      <c r="E713" s="168">
        <f t="shared" si="111"/>
        <v>3735958.1630100012</v>
      </c>
      <c r="G713" s="173">
        <v>1204000</v>
      </c>
      <c r="H713" s="47">
        <v>2000000</v>
      </c>
      <c r="I713" s="171">
        <f t="shared" si="114"/>
        <v>796000</v>
      </c>
      <c r="J713" s="170">
        <f t="shared" si="115"/>
        <v>4531958.1630100012</v>
      </c>
    </row>
    <row r="714" spans="2:10" ht="12.65" customHeight="1">
      <c r="B714" s="33">
        <f>'Update IDR GWM'!A714</f>
        <v>44032</v>
      </c>
      <c r="C714" s="41">
        <v>91898014.176990002</v>
      </c>
      <c r="D714" s="47">
        <v>95633872.340000004</v>
      </c>
      <c r="E714" s="168">
        <f t="shared" si="111"/>
        <v>3735858.1630100012</v>
      </c>
      <c r="G714" s="173">
        <v>1204000</v>
      </c>
      <c r="H714" s="47">
        <v>2000000</v>
      </c>
      <c r="I714" s="171">
        <f t="shared" si="114"/>
        <v>796000</v>
      </c>
      <c r="J714" s="170">
        <f t="shared" si="115"/>
        <v>4531858.1630100012</v>
      </c>
    </row>
    <row r="715" spans="2:10" ht="12.65" customHeight="1">
      <c r="B715" s="33">
        <f>'Update IDR GWM'!A715</f>
        <v>44033</v>
      </c>
      <c r="C715" s="41">
        <v>91898014.176990002</v>
      </c>
      <c r="D715" s="47">
        <v>95633872.340000004</v>
      </c>
      <c r="E715" s="168">
        <f t="shared" si="111"/>
        <v>3735858.1630100012</v>
      </c>
      <c r="G715" s="173">
        <v>1204000</v>
      </c>
      <c r="H715" s="47">
        <v>2000000</v>
      </c>
      <c r="I715" s="171">
        <f t="shared" si="114"/>
        <v>796000</v>
      </c>
      <c r="J715" s="170">
        <f t="shared" si="115"/>
        <v>4531858.1630100012</v>
      </c>
    </row>
    <row r="716" spans="2:10" ht="12.65" customHeight="1">
      <c r="B716" s="33">
        <f>'Update IDR GWM'!A716</f>
        <v>44034</v>
      </c>
      <c r="C716" s="41">
        <v>91898014.176990002</v>
      </c>
      <c r="D716" s="47">
        <v>95633872.340000004</v>
      </c>
      <c r="E716" s="168">
        <f t="shared" si="111"/>
        <v>3735858.1630100012</v>
      </c>
      <c r="G716" s="173">
        <v>1204000</v>
      </c>
      <c r="H716" s="47">
        <v>2000000</v>
      </c>
      <c r="I716" s="171">
        <f t="shared" si="114"/>
        <v>796000</v>
      </c>
      <c r="J716" s="170">
        <f t="shared" si="115"/>
        <v>4531858.1630100012</v>
      </c>
    </row>
    <row r="717" spans="2:10" ht="12.65" customHeight="1">
      <c r="B717" s="33">
        <f>'Update IDR GWM'!A717</f>
        <v>44035</v>
      </c>
      <c r="C717" s="41">
        <v>91898014.176990002</v>
      </c>
      <c r="D717" s="47">
        <v>120633872.34</v>
      </c>
      <c r="E717" s="168">
        <f t="shared" si="111"/>
        <v>28735858.163010001</v>
      </c>
      <c r="G717" s="173">
        <v>1204000</v>
      </c>
      <c r="H717" s="47">
        <v>2000000</v>
      </c>
      <c r="I717" s="171">
        <f t="shared" si="114"/>
        <v>796000</v>
      </c>
      <c r="J717" s="170">
        <f t="shared" si="115"/>
        <v>29531858.163010001</v>
      </c>
    </row>
    <row r="718" spans="2:10" ht="12.65" customHeight="1">
      <c r="B718" s="33">
        <f>'Update IDR GWM'!A718</f>
        <v>44036</v>
      </c>
      <c r="C718" s="41">
        <v>91898014.176990002</v>
      </c>
      <c r="D718" s="47">
        <v>95633872.340000004</v>
      </c>
      <c r="E718" s="168">
        <f t="shared" si="111"/>
        <v>3735858.1630100012</v>
      </c>
      <c r="G718" s="173">
        <v>1204000</v>
      </c>
      <c r="H718" s="47">
        <v>2000000</v>
      </c>
      <c r="I718" s="171">
        <f t="shared" si="114"/>
        <v>796000</v>
      </c>
      <c r="J718" s="170">
        <f t="shared" si="115"/>
        <v>4531858.1630100012</v>
      </c>
    </row>
    <row r="719" spans="2:10" ht="12.65" customHeight="1">
      <c r="B719" s="33">
        <f>'Update IDR GWM'!A719</f>
        <v>44039</v>
      </c>
      <c r="C719" s="41">
        <v>91898014.176990002</v>
      </c>
      <c r="D719" s="47">
        <v>95633872.340000004</v>
      </c>
      <c r="E719" s="168">
        <f t="shared" si="111"/>
        <v>3735858.1630100012</v>
      </c>
      <c r="G719" s="173">
        <v>1204000</v>
      </c>
      <c r="H719" s="47">
        <v>2000000</v>
      </c>
      <c r="I719" s="171">
        <f t="shared" si="114"/>
        <v>796000</v>
      </c>
      <c r="J719" s="170">
        <f t="shared" si="115"/>
        <v>4531858.1630100012</v>
      </c>
    </row>
    <row r="720" spans="2:10" ht="12.65" customHeight="1">
      <c r="B720" s="33">
        <f>'Update IDR GWM'!A720</f>
        <v>44040</v>
      </c>
      <c r="C720" s="41">
        <v>91898014.176990002</v>
      </c>
      <c r="D720" s="47">
        <v>95633872.340000004</v>
      </c>
      <c r="E720" s="168">
        <f t="shared" si="111"/>
        <v>3735858.1630100012</v>
      </c>
      <c r="G720" s="173">
        <v>1204000</v>
      </c>
      <c r="H720" s="47">
        <v>2000000</v>
      </c>
      <c r="I720" s="171">
        <f t="shared" si="114"/>
        <v>796000</v>
      </c>
      <c r="J720" s="170">
        <f t="shared" si="115"/>
        <v>4531858.1630100012</v>
      </c>
    </row>
    <row r="721" spans="2:10" ht="12.65" customHeight="1">
      <c r="B721" s="33">
        <f>'Update IDR GWM'!A721</f>
        <v>44041</v>
      </c>
      <c r="C721" s="41">
        <v>91898014.176990002</v>
      </c>
      <c r="D721" s="47">
        <v>95633872.340000004</v>
      </c>
      <c r="E721" s="168">
        <f t="shared" si="111"/>
        <v>3735858.1630100012</v>
      </c>
      <c r="G721" s="173">
        <v>1204000</v>
      </c>
      <c r="H721" s="47">
        <v>2000000</v>
      </c>
      <c r="I721" s="171">
        <f t="shared" si="114"/>
        <v>796000</v>
      </c>
      <c r="J721" s="170">
        <f t="shared" si="115"/>
        <v>4531858.1630100012</v>
      </c>
    </row>
    <row r="722" spans="2:10" ht="12.65" customHeight="1">
      <c r="B722" s="33">
        <f>'Update IDR GWM'!A722</f>
        <v>44042</v>
      </c>
      <c r="C722" s="41">
        <v>91898014.176990002</v>
      </c>
      <c r="D722" s="47">
        <v>95633872.340000004</v>
      </c>
      <c r="E722" s="168">
        <f t="shared" si="111"/>
        <v>3735858.1630100012</v>
      </c>
      <c r="G722" s="173">
        <v>1204000</v>
      </c>
      <c r="H722" s="47">
        <v>2000000</v>
      </c>
      <c r="I722" s="171">
        <f t="shared" si="114"/>
        <v>796000</v>
      </c>
      <c r="J722" s="170">
        <f t="shared" si="115"/>
        <v>4531858.1630100012</v>
      </c>
    </row>
    <row r="723" spans="2:10" ht="12.65" customHeight="1">
      <c r="B723" s="33">
        <f>'Update IDR GWM'!A723</f>
        <v>44043</v>
      </c>
      <c r="C723" s="41">
        <v>91898014.176990002</v>
      </c>
      <c r="D723" s="47">
        <v>95633872.340000004</v>
      </c>
      <c r="E723" s="168">
        <f t="shared" si="111"/>
        <v>3735858.1630100012</v>
      </c>
      <c r="G723" s="173">
        <v>1204000</v>
      </c>
      <c r="H723" s="47">
        <v>2000000</v>
      </c>
      <c r="I723" s="171">
        <f t="shared" si="114"/>
        <v>796000</v>
      </c>
      <c r="J723" s="170">
        <f t="shared" si="115"/>
        <v>4531858.1630100012</v>
      </c>
    </row>
    <row r="724" spans="2:10" ht="12.65" customHeight="1">
      <c r="B724" s="33">
        <f>'Update IDR GWM'!A724</f>
        <v>44046</v>
      </c>
      <c r="C724" s="41">
        <v>91178851.005349994</v>
      </c>
      <c r="D724" s="47">
        <v>95633872.340000004</v>
      </c>
      <c r="E724" s="168">
        <f t="shared" si="111"/>
        <v>4455021.3346500099</v>
      </c>
      <c r="G724" s="173">
        <v>1052000</v>
      </c>
      <c r="H724" s="47">
        <v>2000000</v>
      </c>
      <c r="I724" s="171">
        <f t="shared" si="114"/>
        <v>948000</v>
      </c>
      <c r="J724" s="170">
        <f t="shared" si="115"/>
        <v>5403021.3346500099</v>
      </c>
    </row>
    <row r="725" spans="2:10" ht="12.65" customHeight="1">
      <c r="B725" s="33">
        <f>'Update IDR GWM'!A725</f>
        <v>44047</v>
      </c>
      <c r="C725" s="41">
        <v>91178851.005349994</v>
      </c>
      <c r="D725" s="47">
        <v>95678244.819999993</v>
      </c>
      <c r="E725" s="168">
        <f t="shared" si="111"/>
        <v>4499393.8146499991</v>
      </c>
      <c r="G725" s="173">
        <v>1052000</v>
      </c>
      <c r="H725" s="47">
        <v>2000000</v>
      </c>
      <c r="I725" s="171">
        <f t="shared" si="114"/>
        <v>948000</v>
      </c>
      <c r="J725" s="170">
        <f t="shared" si="115"/>
        <v>5447393.8146499991</v>
      </c>
    </row>
    <row r="726" spans="2:10" ht="12.65" customHeight="1">
      <c r="B726" s="33">
        <f>'Update IDR GWM'!A726</f>
        <v>44048</v>
      </c>
      <c r="C726" s="41">
        <v>91178851.005349994</v>
      </c>
      <c r="D726" s="47">
        <v>92678244.819999993</v>
      </c>
      <c r="E726" s="168">
        <f t="shared" si="111"/>
        <v>1499393.8146499991</v>
      </c>
      <c r="G726" s="173">
        <v>1052000</v>
      </c>
      <c r="H726" s="47">
        <v>2000000</v>
      </c>
      <c r="I726" s="171">
        <f t="shared" si="114"/>
        <v>948000</v>
      </c>
      <c r="J726" s="170">
        <f t="shared" si="115"/>
        <v>2447393.8146499991</v>
      </c>
    </row>
    <row r="727" spans="2:10" ht="12.65" customHeight="1">
      <c r="B727" s="33">
        <f>'Update IDR GWM'!A727</f>
        <v>44049</v>
      </c>
      <c r="C727" s="41">
        <v>91178851.005349994</v>
      </c>
      <c r="D727" s="47">
        <v>92678244.819999993</v>
      </c>
      <c r="E727" s="168">
        <f t="shared" si="111"/>
        <v>1499393.8146499991</v>
      </c>
      <c r="G727" s="173">
        <v>1052000</v>
      </c>
      <c r="H727" s="47">
        <v>2000000</v>
      </c>
      <c r="I727" s="171">
        <f t="shared" si="114"/>
        <v>948000</v>
      </c>
      <c r="J727" s="170">
        <f t="shared" si="115"/>
        <v>2447393.8146499991</v>
      </c>
    </row>
    <row r="728" spans="2:10" ht="12.65" customHeight="1">
      <c r="B728" s="33">
        <f>'Update IDR GWM'!A728</f>
        <v>44050</v>
      </c>
      <c r="C728" s="41">
        <v>91178851.005349994</v>
      </c>
      <c r="D728" s="47">
        <v>92678244.819999993</v>
      </c>
      <c r="E728" s="168">
        <f t="shared" si="111"/>
        <v>1499393.8146499991</v>
      </c>
      <c r="G728" s="173">
        <v>1052000</v>
      </c>
      <c r="H728" s="47">
        <v>2000000</v>
      </c>
      <c r="I728" s="171">
        <f t="shared" si="114"/>
        <v>948000</v>
      </c>
      <c r="J728" s="170">
        <f t="shared" si="115"/>
        <v>2447393.8146499991</v>
      </c>
    </row>
    <row r="729" spans="2:10" ht="12.65" customHeight="1">
      <c r="B729" s="33">
        <f>'Update IDR GWM'!A729</f>
        <v>44053</v>
      </c>
      <c r="C729" s="41">
        <v>91178851.005349994</v>
      </c>
      <c r="D729" s="47">
        <v>92678244.819999993</v>
      </c>
      <c r="E729" s="168">
        <f t="shared" si="111"/>
        <v>1499393.8146499991</v>
      </c>
      <c r="G729" s="173">
        <v>1052000</v>
      </c>
      <c r="H729" s="47">
        <v>2000000</v>
      </c>
      <c r="I729" s="171">
        <f t="shared" si="114"/>
        <v>948000</v>
      </c>
      <c r="J729" s="170">
        <f t="shared" si="115"/>
        <v>2447393.8146499991</v>
      </c>
    </row>
    <row r="730" spans="2:10" ht="12.65" customHeight="1">
      <c r="B730" s="33">
        <f>'Update IDR GWM'!A730</f>
        <v>44054</v>
      </c>
      <c r="C730" s="41">
        <v>91178851.005349994</v>
      </c>
      <c r="D730" s="47">
        <v>92678244.819999993</v>
      </c>
      <c r="E730" s="168">
        <f t="shared" si="111"/>
        <v>1499393.8146499991</v>
      </c>
      <c r="G730" s="173">
        <v>1052000</v>
      </c>
      <c r="H730" s="47">
        <v>2000000</v>
      </c>
      <c r="I730" s="171">
        <f t="shared" si="114"/>
        <v>948000</v>
      </c>
      <c r="J730" s="170">
        <f t="shared" si="115"/>
        <v>2447393.8146499991</v>
      </c>
    </row>
    <row r="731" spans="2:10" ht="12.65" customHeight="1">
      <c r="B731" s="33">
        <f>'Update IDR GWM'!A731</f>
        <v>44055</v>
      </c>
      <c r="C731" s="41">
        <v>91178851.005349994</v>
      </c>
      <c r="D731" s="47">
        <v>92678244.819999993</v>
      </c>
      <c r="E731" s="168">
        <f t="shared" si="111"/>
        <v>1499393.8146499991</v>
      </c>
      <c r="G731" s="173">
        <v>1052000</v>
      </c>
      <c r="H731" s="47">
        <v>2000000</v>
      </c>
      <c r="I731" s="171">
        <f t="shared" si="114"/>
        <v>948000</v>
      </c>
      <c r="J731" s="170">
        <f t="shared" si="115"/>
        <v>2447393.8146499991</v>
      </c>
    </row>
    <row r="732" spans="2:10" ht="12.65" customHeight="1">
      <c r="B732" s="33">
        <f>'Update IDR GWM'!A732</f>
        <v>44056</v>
      </c>
      <c r="C732" s="41">
        <v>91178851.005349994</v>
      </c>
      <c r="D732" s="47">
        <v>92678244.819999993</v>
      </c>
      <c r="E732" s="168">
        <f t="shared" si="111"/>
        <v>1499393.8146499991</v>
      </c>
      <c r="G732" s="173">
        <v>1052000</v>
      </c>
      <c r="H732" s="47">
        <v>2000000</v>
      </c>
      <c r="I732" s="171">
        <f t="shared" si="114"/>
        <v>948000</v>
      </c>
      <c r="J732" s="170">
        <f t="shared" si="115"/>
        <v>2447393.8146499991</v>
      </c>
    </row>
    <row r="733" spans="2:10" ht="12.65" customHeight="1">
      <c r="B733" s="33">
        <f>'Update IDR GWM'!A733</f>
        <v>44057</v>
      </c>
      <c r="C733" s="41">
        <v>91178851.005349994</v>
      </c>
      <c r="D733" s="47">
        <v>92678244.819999993</v>
      </c>
      <c r="E733" s="168">
        <f t="shared" si="111"/>
        <v>1499393.8146499991</v>
      </c>
      <c r="G733" s="173">
        <v>1052000</v>
      </c>
      <c r="H733" s="47">
        <v>2000000</v>
      </c>
      <c r="I733" s="171">
        <f t="shared" si="114"/>
        <v>948000</v>
      </c>
      <c r="J733" s="170">
        <f t="shared" si="115"/>
        <v>2447393.8146499991</v>
      </c>
    </row>
    <row r="734" spans="2:10" ht="12.65" customHeight="1">
      <c r="B734" s="33">
        <f>'Update IDR GWM'!A734</f>
        <v>44060</v>
      </c>
      <c r="C734" s="41">
        <v>91898014</v>
      </c>
      <c r="D734" s="47">
        <v>92678244.819999993</v>
      </c>
      <c r="E734" s="168">
        <f t="shared" si="111"/>
        <v>780230.81999999285</v>
      </c>
      <c r="G734" s="173">
        <v>1103000</v>
      </c>
      <c r="H734" s="47">
        <v>2000000</v>
      </c>
      <c r="I734" s="171">
        <f t="shared" si="114"/>
        <v>897000</v>
      </c>
      <c r="J734" s="170">
        <f t="shared" si="115"/>
        <v>1677230.8199999928</v>
      </c>
    </row>
    <row r="735" spans="2:10" ht="12.65" customHeight="1">
      <c r="B735" s="33">
        <f>'Update IDR GWM'!A735</f>
        <v>44061</v>
      </c>
      <c r="C735" s="41">
        <v>91898014</v>
      </c>
      <c r="D735" s="47">
        <v>92678244.819999993</v>
      </c>
      <c r="E735" s="168">
        <f t="shared" si="111"/>
        <v>780230.81999999285</v>
      </c>
      <c r="G735" s="173">
        <v>1103000</v>
      </c>
      <c r="H735" s="47">
        <v>2000000</v>
      </c>
      <c r="I735" s="171">
        <f t="shared" si="114"/>
        <v>897000</v>
      </c>
      <c r="J735" s="170">
        <f t="shared" si="115"/>
        <v>1677230.8199999928</v>
      </c>
    </row>
    <row r="736" spans="2:10" ht="12.65" customHeight="1">
      <c r="B736" s="33">
        <f>'Update IDR GWM'!A736</f>
        <v>44062</v>
      </c>
      <c r="C736" s="41">
        <v>91898014</v>
      </c>
      <c r="D736" s="47">
        <v>92678244.819999993</v>
      </c>
      <c r="E736" s="168">
        <f t="shared" si="111"/>
        <v>780230.81999999285</v>
      </c>
      <c r="G736" s="173">
        <v>1103000</v>
      </c>
      <c r="H736" s="47">
        <v>2000000</v>
      </c>
      <c r="I736" s="171">
        <f t="shared" si="114"/>
        <v>897000</v>
      </c>
      <c r="J736" s="170">
        <f t="shared" si="115"/>
        <v>1677230.8199999928</v>
      </c>
    </row>
    <row r="737" spans="2:10" ht="12.65" customHeight="1">
      <c r="B737" s="33">
        <f>'Update IDR GWM'!A737</f>
        <v>44063</v>
      </c>
      <c r="C737" s="41">
        <v>91898014</v>
      </c>
      <c r="D737" s="47">
        <v>92678244.819999993</v>
      </c>
      <c r="E737" s="168">
        <f t="shared" si="111"/>
        <v>780230.81999999285</v>
      </c>
      <c r="G737" s="173">
        <v>1103000</v>
      </c>
      <c r="H737" s="47">
        <v>2000000</v>
      </c>
      <c r="I737" s="171">
        <f t="shared" si="114"/>
        <v>897000</v>
      </c>
      <c r="J737" s="170">
        <f t="shared" si="115"/>
        <v>1677230.8199999928</v>
      </c>
    </row>
    <row r="738" spans="2:10" ht="12.65" customHeight="1">
      <c r="B738" s="33">
        <f>'Update IDR GWM'!A738</f>
        <v>44064</v>
      </c>
      <c r="C738" s="41">
        <v>91898014</v>
      </c>
      <c r="D738" s="47">
        <v>92678244.819999993</v>
      </c>
      <c r="E738" s="168">
        <f t="shared" si="111"/>
        <v>780230.81999999285</v>
      </c>
      <c r="G738" s="173">
        <v>1103000</v>
      </c>
      <c r="H738" s="47">
        <v>2000000</v>
      </c>
      <c r="I738" s="171">
        <f t="shared" si="114"/>
        <v>897000</v>
      </c>
      <c r="J738" s="170">
        <f t="shared" si="115"/>
        <v>1677230.8199999928</v>
      </c>
    </row>
    <row r="739" spans="2:10" ht="12.65" customHeight="1">
      <c r="B739" s="33">
        <f>'Update IDR GWM'!A739</f>
        <v>44067</v>
      </c>
      <c r="C739" s="41">
        <v>91898014</v>
      </c>
      <c r="D739" s="47">
        <v>92678244.819999993</v>
      </c>
      <c r="E739" s="168">
        <f t="shared" si="111"/>
        <v>780230.81999999285</v>
      </c>
      <c r="G739" s="173">
        <v>1103000</v>
      </c>
      <c r="H739" s="47">
        <v>2000000</v>
      </c>
      <c r="I739" s="171">
        <f t="shared" si="114"/>
        <v>897000</v>
      </c>
      <c r="J739" s="170">
        <f t="shared" si="115"/>
        <v>1677230.8199999928</v>
      </c>
    </row>
    <row r="740" spans="2:10" ht="12.65" customHeight="1">
      <c r="B740" s="33">
        <f>'Update IDR GWM'!A740</f>
        <v>44068</v>
      </c>
      <c r="C740" s="41">
        <v>91898014</v>
      </c>
      <c r="D740" s="47">
        <v>92678244.819999993</v>
      </c>
      <c r="E740" s="168">
        <f t="shared" si="111"/>
        <v>780230.81999999285</v>
      </c>
      <c r="G740" s="173">
        <v>1103000</v>
      </c>
      <c r="H740" s="47">
        <v>2000000</v>
      </c>
      <c r="I740" s="171">
        <f t="shared" si="114"/>
        <v>897000</v>
      </c>
      <c r="J740" s="170">
        <f t="shared" si="115"/>
        <v>1677230.8199999928</v>
      </c>
    </row>
    <row r="741" spans="2:10" ht="12.65" customHeight="1">
      <c r="B741" s="33">
        <f>'Update IDR GWM'!A741</f>
        <v>44069</v>
      </c>
      <c r="C741" s="41">
        <v>91898014</v>
      </c>
      <c r="D741" s="47">
        <v>92678244.819999993</v>
      </c>
      <c r="E741" s="168">
        <f t="shared" si="111"/>
        <v>780230.81999999285</v>
      </c>
      <c r="G741" s="173">
        <v>1103000</v>
      </c>
      <c r="H741" s="47">
        <v>2000000</v>
      </c>
      <c r="I741" s="171">
        <f t="shared" si="114"/>
        <v>897000</v>
      </c>
      <c r="J741" s="170">
        <f t="shared" si="115"/>
        <v>1677230.8199999928</v>
      </c>
    </row>
    <row r="742" spans="2:10" ht="12.65" customHeight="1">
      <c r="B742" s="33">
        <f>'Update IDR GWM'!A742</f>
        <v>44070</v>
      </c>
      <c r="C742" s="41">
        <v>91898014</v>
      </c>
      <c r="D742" s="47">
        <v>92678244.819999993</v>
      </c>
      <c r="E742" s="168">
        <f t="shared" si="111"/>
        <v>780230.81999999285</v>
      </c>
      <c r="G742" s="173">
        <v>1103000</v>
      </c>
      <c r="H742" s="47">
        <v>2000000</v>
      </c>
      <c r="I742" s="171">
        <f t="shared" si="114"/>
        <v>897000</v>
      </c>
      <c r="J742" s="170">
        <f t="shared" si="115"/>
        <v>1677230.8199999928</v>
      </c>
    </row>
    <row r="743" spans="2:10" ht="12.65" customHeight="1">
      <c r="B743" s="33">
        <f>'Update IDR GWM'!A743</f>
        <v>44071</v>
      </c>
      <c r="C743" s="41">
        <v>91898014</v>
      </c>
      <c r="D743" s="47">
        <v>92678244.819999993</v>
      </c>
      <c r="E743" s="168">
        <f t="shared" si="111"/>
        <v>780230.81999999285</v>
      </c>
      <c r="G743" s="173">
        <v>1103000</v>
      </c>
      <c r="H743" s="47">
        <v>2000000</v>
      </c>
      <c r="I743" s="171">
        <f t="shared" si="114"/>
        <v>897000</v>
      </c>
      <c r="J743" s="170">
        <f t="shared" si="115"/>
        <v>1677230.8199999928</v>
      </c>
    </row>
    <row r="744" spans="2:10" ht="12.65" customHeight="1">
      <c r="B744" s="33">
        <f>'Update IDR GWM'!A744</f>
        <v>44074</v>
      </c>
      <c r="C744" s="41">
        <v>91898014</v>
      </c>
      <c r="D744" s="47">
        <v>112678244.81999999</v>
      </c>
      <c r="E744" s="168">
        <f t="shared" si="111"/>
        <v>20780230.819999993</v>
      </c>
      <c r="G744" s="173">
        <v>1103000</v>
      </c>
      <c r="H744" s="47">
        <v>2000000</v>
      </c>
      <c r="I744" s="171">
        <f t="shared" si="114"/>
        <v>897000</v>
      </c>
      <c r="J744" s="170">
        <f t="shared" si="115"/>
        <v>21677230.819999993</v>
      </c>
    </row>
    <row r="745" spans="2:10" ht="12.65" customHeight="1">
      <c r="B745" s="33">
        <f>'Update IDR GWM'!A745</f>
        <v>44075</v>
      </c>
      <c r="C745" s="41">
        <v>92314206</v>
      </c>
      <c r="D745" s="47">
        <v>113678244.81999999</v>
      </c>
      <c r="E745" s="168">
        <f t="shared" si="111"/>
        <v>21364038.819999993</v>
      </c>
      <c r="G745" s="173">
        <v>1060000</v>
      </c>
      <c r="H745" s="47">
        <v>2000000</v>
      </c>
      <c r="I745" s="171">
        <f t="shared" ref="I745:I756" si="116">H745-G745</f>
        <v>940000</v>
      </c>
      <c r="J745" s="170">
        <f t="shared" ref="J745:J756" si="117">E745+I745</f>
        <v>22304038.819999993</v>
      </c>
    </row>
    <row r="746" spans="2:10" ht="12.65" customHeight="1">
      <c r="B746" s="33">
        <f>'Update IDR GWM'!A746</f>
        <v>44076</v>
      </c>
      <c r="C746" s="41">
        <v>92314206</v>
      </c>
      <c r="D746" s="47">
        <v>113678244.81999999</v>
      </c>
      <c r="E746" s="168">
        <f t="shared" si="111"/>
        <v>21364038.819999993</v>
      </c>
      <c r="G746" s="173">
        <v>1060000</v>
      </c>
      <c r="H746" s="47">
        <v>2000000</v>
      </c>
      <c r="I746" s="171">
        <f t="shared" si="116"/>
        <v>940000</v>
      </c>
      <c r="J746" s="170">
        <f t="shared" si="117"/>
        <v>22304038.819999993</v>
      </c>
    </row>
    <row r="747" spans="2:10" ht="12.65" customHeight="1">
      <c r="B747" s="33">
        <f>'Update IDR GWM'!A747</f>
        <v>44077</v>
      </c>
      <c r="C747" s="41">
        <v>92314206</v>
      </c>
      <c r="D747" s="47">
        <v>113678244.81999999</v>
      </c>
      <c r="E747" s="168">
        <f t="shared" si="111"/>
        <v>21364038.819999993</v>
      </c>
      <c r="G747" s="173">
        <v>1060000</v>
      </c>
      <c r="H747" s="47">
        <v>2000000</v>
      </c>
      <c r="I747" s="171">
        <f t="shared" si="116"/>
        <v>940000</v>
      </c>
      <c r="J747" s="170">
        <f t="shared" si="117"/>
        <v>22304038.819999993</v>
      </c>
    </row>
    <row r="748" spans="2:10" ht="12.65" customHeight="1">
      <c r="B748" s="33">
        <f>'Update IDR GWM'!A748</f>
        <v>44078</v>
      </c>
      <c r="C748" s="41">
        <v>92314206</v>
      </c>
      <c r="D748" s="47">
        <v>93678244.819999993</v>
      </c>
      <c r="E748" s="168">
        <f t="shared" ref="E748:E813" si="118">D748-C748</f>
        <v>1364038.8199999928</v>
      </c>
      <c r="G748" s="173">
        <v>1060000</v>
      </c>
      <c r="H748" s="47">
        <v>2000000</v>
      </c>
      <c r="I748" s="171">
        <f t="shared" si="116"/>
        <v>940000</v>
      </c>
      <c r="J748" s="170">
        <f t="shared" si="117"/>
        <v>2304038.8199999928</v>
      </c>
    </row>
    <row r="749" spans="2:10" ht="12.65" customHeight="1">
      <c r="B749" s="33">
        <f>'Update IDR GWM'!A749</f>
        <v>44081</v>
      </c>
      <c r="C749" s="41">
        <v>92314206</v>
      </c>
      <c r="D749" s="47">
        <v>93678244.819999993</v>
      </c>
      <c r="E749" s="168">
        <f t="shared" si="118"/>
        <v>1364038.8199999928</v>
      </c>
      <c r="G749" s="173">
        <v>1060000</v>
      </c>
      <c r="H749" s="47">
        <v>2000000</v>
      </c>
      <c r="I749" s="171">
        <f t="shared" si="116"/>
        <v>940000</v>
      </c>
      <c r="J749" s="170">
        <f t="shared" si="117"/>
        <v>2304038.8199999928</v>
      </c>
    </row>
    <row r="750" spans="2:10" ht="12.65" customHeight="1">
      <c r="B750" s="33">
        <f>'Update IDR GWM'!A750</f>
        <v>44082</v>
      </c>
      <c r="C750" s="41">
        <v>92314206</v>
      </c>
      <c r="D750" s="47">
        <v>93678244.819999993</v>
      </c>
      <c r="E750" s="168">
        <f t="shared" si="118"/>
        <v>1364038.8199999928</v>
      </c>
      <c r="G750" s="173">
        <v>1060000</v>
      </c>
      <c r="H750" s="47">
        <v>2000000</v>
      </c>
      <c r="I750" s="171">
        <f t="shared" si="116"/>
        <v>940000</v>
      </c>
      <c r="J750" s="170">
        <f t="shared" si="117"/>
        <v>2304038.8199999928</v>
      </c>
    </row>
    <row r="751" spans="2:10" ht="12.65" customHeight="1">
      <c r="B751" s="33">
        <f>'Update IDR GWM'!A751</f>
        <v>44083</v>
      </c>
      <c r="C751" s="41">
        <v>92314206</v>
      </c>
      <c r="D751" s="47">
        <v>93678244.819999993</v>
      </c>
      <c r="E751" s="168">
        <f t="shared" si="118"/>
        <v>1364038.8199999928</v>
      </c>
      <c r="G751" s="173">
        <v>1060000</v>
      </c>
      <c r="H751" s="47">
        <v>2000000</v>
      </c>
      <c r="I751" s="171">
        <f t="shared" si="116"/>
        <v>940000</v>
      </c>
      <c r="J751" s="170">
        <f t="shared" si="117"/>
        <v>2304038.8199999928</v>
      </c>
    </row>
    <row r="752" spans="2:10" ht="12.65" customHeight="1">
      <c r="B752" s="33">
        <f>'Update IDR GWM'!A752</f>
        <v>44084</v>
      </c>
      <c r="C752" s="41">
        <v>92314206</v>
      </c>
      <c r="D752" s="47">
        <v>93678244.819999993</v>
      </c>
      <c r="E752" s="168">
        <f t="shared" si="118"/>
        <v>1364038.8199999928</v>
      </c>
      <c r="G752" s="173">
        <v>1060000</v>
      </c>
      <c r="H752" s="47">
        <v>2000000</v>
      </c>
      <c r="I752" s="171">
        <f t="shared" si="116"/>
        <v>940000</v>
      </c>
      <c r="J752" s="170">
        <f t="shared" si="117"/>
        <v>2304038.8199999928</v>
      </c>
    </row>
    <row r="753" spans="2:10" ht="12.65" customHeight="1">
      <c r="B753" s="33">
        <f>'Update IDR GWM'!A753</f>
        <v>44085</v>
      </c>
      <c r="C753" s="41">
        <v>92314206</v>
      </c>
      <c r="D753" s="47">
        <v>93678244.819999993</v>
      </c>
      <c r="E753" s="168">
        <f t="shared" si="118"/>
        <v>1364038.8199999928</v>
      </c>
      <c r="G753" s="173">
        <v>1060000</v>
      </c>
      <c r="H753" s="47">
        <v>2000000</v>
      </c>
      <c r="I753" s="171">
        <f t="shared" si="116"/>
        <v>940000</v>
      </c>
      <c r="J753" s="170">
        <f t="shared" si="117"/>
        <v>2304038.8199999928</v>
      </c>
    </row>
    <row r="754" spans="2:10" ht="12.65" customHeight="1">
      <c r="B754" s="33">
        <f>'Update IDR GWM'!A754</f>
        <v>44088</v>
      </c>
      <c r="C754" s="41">
        <v>92314206</v>
      </c>
      <c r="D754" s="47">
        <v>93678244.819999993</v>
      </c>
      <c r="E754" s="168">
        <f t="shared" si="118"/>
        <v>1364038.8199999928</v>
      </c>
      <c r="G754" s="173">
        <v>1060000</v>
      </c>
      <c r="H754" s="47">
        <v>2000000</v>
      </c>
      <c r="I754" s="171">
        <f t="shared" si="116"/>
        <v>940000</v>
      </c>
      <c r="J754" s="170">
        <f t="shared" si="117"/>
        <v>2304038.8199999928</v>
      </c>
    </row>
    <row r="755" spans="2:10" ht="12.65" customHeight="1">
      <c r="B755" s="33">
        <f>'Update IDR GWM'!A755</f>
        <v>44089</v>
      </c>
      <c r="C755" s="41">
        <v>92314206</v>
      </c>
      <c r="D755" s="47">
        <v>93678244.819999993</v>
      </c>
      <c r="E755" s="168">
        <f t="shared" si="118"/>
        <v>1364038.8199999928</v>
      </c>
      <c r="G755" s="173">
        <v>1060000</v>
      </c>
      <c r="H755" s="47">
        <v>2000000</v>
      </c>
      <c r="I755" s="171">
        <f t="shared" si="116"/>
        <v>940000</v>
      </c>
      <c r="J755" s="170">
        <f t="shared" si="117"/>
        <v>2304038.8199999928</v>
      </c>
    </row>
    <row r="756" spans="2:10" ht="12.65" customHeight="1">
      <c r="B756" s="33">
        <f>'Update IDR GWM'!A756</f>
        <v>44090</v>
      </c>
      <c r="C756" s="41">
        <v>93033904</v>
      </c>
      <c r="D756" s="47">
        <v>94678244.819999993</v>
      </c>
      <c r="E756" s="168">
        <f t="shared" si="118"/>
        <v>1644340.8199999928</v>
      </c>
      <c r="G756" s="173">
        <v>1081000</v>
      </c>
      <c r="H756" s="47">
        <v>2000000</v>
      </c>
      <c r="I756" s="171">
        <f t="shared" si="116"/>
        <v>919000</v>
      </c>
      <c r="J756" s="170">
        <f t="shared" si="117"/>
        <v>2563340.8199999928</v>
      </c>
    </row>
    <row r="757" spans="2:10" ht="12.65" customHeight="1">
      <c r="B757" s="33">
        <f>'Update IDR GWM'!A757</f>
        <v>44091</v>
      </c>
      <c r="C757" s="41">
        <v>93033904</v>
      </c>
      <c r="D757" s="47">
        <v>94678244.819999993</v>
      </c>
      <c r="E757" s="168">
        <f t="shared" si="118"/>
        <v>1644340.8199999928</v>
      </c>
      <c r="G757" s="173">
        <v>1081000</v>
      </c>
      <c r="H757" s="47">
        <v>2000000</v>
      </c>
      <c r="I757" s="171">
        <f t="shared" ref="I757:I767" si="119">H757-G757</f>
        <v>919000</v>
      </c>
      <c r="J757" s="170">
        <f t="shared" ref="J757:J767" si="120">E757+I757</f>
        <v>2563340.8199999928</v>
      </c>
    </row>
    <row r="758" spans="2:10" ht="12.65" customHeight="1">
      <c r="B758" s="33">
        <f>'Update IDR GWM'!A758</f>
        <v>44092</v>
      </c>
      <c r="C758" s="41">
        <v>93033904</v>
      </c>
      <c r="D758" s="47">
        <v>94678244.819999993</v>
      </c>
      <c r="E758" s="168">
        <f t="shared" si="118"/>
        <v>1644340.8199999928</v>
      </c>
      <c r="G758" s="173">
        <v>1081000</v>
      </c>
      <c r="H758" s="47">
        <v>2000000</v>
      </c>
      <c r="I758" s="171">
        <f t="shared" si="119"/>
        <v>919000</v>
      </c>
      <c r="J758" s="170">
        <f t="shared" si="120"/>
        <v>2563340.8199999928</v>
      </c>
    </row>
    <row r="759" spans="2:10" ht="12.65" customHeight="1">
      <c r="B759" s="33">
        <f>'Update IDR GWM'!A759</f>
        <v>44095</v>
      </c>
      <c r="C759" s="41">
        <v>93033904</v>
      </c>
      <c r="D759" s="47">
        <v>94678244.819999993</v>
      </c>
      <c r="E759" s="168">
        <f t="shared" si="118"/>
        <v>1644340.8199999928</v>
      </c>
      <c r="G759" s="173">
        <v>1081000</v>
      </c>
      <c r="H759" s="47">
        <v>2000000</v>
      </c>
      <c r="I759" s="171">
        <f t="shared" si="119"/>
        <v>919000</v>
      </c>
      <c r="J759" s="170">
        <f t="shared" si="120"/>
        <v>2563340.8199999928</v>
      </c>
    </row>
    <row r="760" spans="2:10" ht="12.65" customHeight="1">
      <c r="B760" s="33">
        <f>'Update IDR GWM'!A760</f>
        <v>44096</v>
      </c>
      <c r="C760" s="41">
        <v>93033904</v>
      </c>
      <c r="D760" s="47">
        <v>94678244.819999993</v>
      </c>
      <c r="E760" s="168">
        <f t="shared" si="118"/>
        <v>1644340.8199999928</v>
      </c>
      <c r="G760" s="173">
        <v>1081000</v>
      </c>
      <c r="H760" s="47">
        <v>2000000</v>
      </c>
      <c r="I760" s="171">
        <f t="shared" si="119"/>
        <v>919000</v>
      </c>
      <c r="J760" s="170">
        <f t="shared" si="120"/>
        <v>2563340.8199999928</v>
      </c>
    </row>
    <row r="761" spans="2:10" ht="12.65" customHeight="1">
      <c r="B761" s="33">
        <f>'Update IDR GWM'!A761</f>
        <v>44097</v>
      </c>
      <c r="C761" s="41">
        <v>93033904</v>
      </c>
      <c r="D761" s="47">
        <v>94678244.819999993</v>
      </c>
      <c r="E761" s="168">
        <f t="shared" si="118"/>
        <v>1644340.8199999928</v>
      </c>
      <c r="G761" s="173">
        <v>1081000</v>
      </c>
      <c r="H761" s="47">
        <v>2000000</v>
      </c>
      <c r="I761" s="171">
        <f t="shared" si="119"/>
        <v>919000</v>
      </c>
      <c r="J761" s="170">
        <f t="shared" si="120"/>
        <v>2563340.8199999928</v>
      </c>
    </row>
    <row r="762" spans="2:10" ht="12.65" customHeight="1">
      <c r="B762" s="33">
        <f>'Update IDR GWM'!A762</f>
        <v>44098</v>
      </c>
      <c r="C762" s="41">
        <v>93033904</v>
      </c>
      <c r="D762" s="47">
        <v>94678244.819999993</v>
      </c>
      <c r="E762" s="168">
        <f t="shared" si="118"/>
        <v>1644340.8199999928</v>
      </c>
      <c r="G762" s="173">
        <v>1081000</v>
      </c>
      <c r="H762" s="47">
        <v>2000000</v>
      </c>
      <c r="I762" s="171">
        <f t="shared" si="119"/>
        <v>919000</v>
      </c>
      <c r="J762" s="170">
        <f t="shared" si="120"/>
        <v>2563340.8199999928</v>
      </c>
    </row>
    <row r="763" spans="2:10" ht="12.65" customHeight="1">
      <c r="B763" s="33">
        <f>'Update IDR GWM'!A763</f>
        <v>44099</v>
      </c>
      <c r="C763" s="41">
        <v>93033904</v>
      </c>
      <c r="D763" s="47">
        <v>94678244.819999993</v>
      </c>
      <c r="E763" s="168">
        <f t="shared" si="118"/>
        <v>1644340.8199999928</v>
      </c>
      <c r="G763" s="173">
        <v>1081000</v>
      </c>
      <c r="H763" s="47">
        <v>2000000</v>
      </c>
      <c r="I763" s="171">
        <f t="shared" si="119"/>
        <v>919000</v>
      </c>
      <c r="J763" s="170">
        <f t="shared" si="120"/>
        <v>2563340.8199999928</v>
      </c>
    </row>
    <row r="764" spans="2:10" ht="12.65" customHeight="1">
      <c r="B764" s="33">
        <f>'Update IDR GWM'!A764</f>
        <v>44102</v>
      </c>
      <c r="C764" s="41">
        <v>93033904</v>
      </c>
      <c r="D764" s="47">
        <v>94678244.819999993</v>
      </c>
      <c r="E764" s="168">
        <f t="shared" si="118"/>
        <v>1644340.8199999928</v>
      </c>
      <c r="G764" s="173">
        <v>1081000</v>
      </c>
      <c r="H764" s="47">
        <v>2000000</v>
      </c>
      <c r="I764" s="171">
        <f t="shared" si="119"/>
        <v>919000</v>
      </c>
      <c r="J764" s="170">
        <f t="shared" si="120"/>
        <v>2563340.8199999928</v>
      </c>
    </row>
    <row r="765" spans="2:10" ht="12.65" customHeight="1">
      <c r="B765" s="33">
        <f>'Update IDR GWM'!A765</f>
        <v>44103</v>
      </c>
      <c r="C765" s="41">
        <v>93033904</v>
      </c>
      <c r="D765" s="47">
        <v>94678244.819999993</v>
      </c>
      <c r="E765" s="168">
        <f t="shared" si="118"/>
        <v>1644340.8199999928</v>
      </c>
      <c r="G765" s="173">
        <v>1081000</v>
      </c>
      <c r="H765" s="47">
        <v>2000000</v>
      </c>
      <c r="I765" s="171">
        <f t="shared" si="119"/>
        <v>919000</v>
      </c>
      <c r="J765" s="170">
        <f t="shared" si="120"/>
        <v>2563340.8199999928</v>
      </c>
    </row>
    <row r="766" spans="2:10" ht="12.65" customHeight="1">
      <c r="B766" s="33">
        <f>'Update IDR GWM'!A766</f>
        <v>44104</v>
      </c>
      <c r="C766" s="41">
        <v>93033904</v>
      </c>
      <c r="D766" s="47">
        <v>94678244.819999993</v>
      </c>
      <c r="E766" s="168">
        <f t="shared" si="118"/>
        <v>1644340.8199999928</v>
      </c>
      <c r="G766" s="173">
        <v>1081000</v>
      </c>
      <c r="H766" s="47">
        <v>2000000</v>
      </c>
      <c r="I766" s="171">
        <f t="shared" si="119"/>
        <v>919000</v>
      </c>
      <c r="J766" s="170">
        <f t="shared" si="120"/>
        <v>2563340.8199999928</v>
      </c>
    </row>
    <row r="767" spans="2:10" ht="12.65" customHeight="1">
      <c r="B767" s="33">
        <f>'Update IDR GWM'!A767</f>
        <v>44105</v>
      </c>
      <c r="C767" s="41">
        <v>95050939.5</v>
      </c>
      <c r="D767" s="47">
        <v>94678244.819999993</v>
      </c>
      <c r="E767" s="168">
        <f t="shared" si="118"/>
        <v>-372694.68000000715</v>
      </c>
      <c r="G767" s="173">
        <v>1070000</v>
      </c>
      <c r="H767" s="47">
        <v>2000000</v>
      </c>
      <c r="I767" s="171">
        <f t="shared" si="119"/>
        <v>930000</v>
      </c>
      <c r="J767" s="170">
        <f t="shared" si="120"/>
        <v>557305.31999999285</v>
      </c>
    </row>
    <row r="768" spans="2:10" ht="12.65" customHeight="1">
      <c r="B768" s="33">
        <f>'Update IDR GWM'!A768</f>
        <v>44106</v>
      </c>
      <c r="C768" s="41">
        <v>95050939.5</v>
      </c>
      <c r="D768" s="47">
        <v>96178244.819999993</v>
      </c>
      <c r="E768" s="168">
        <f t="shared" si="118"/>
        <v>1127305.3199999928</v>
      </c>
      <c r="G768" s="173">
        <v>1070000</v>
      </c>
      <c r="H768" s="47">
        <v>2000000</v>
      </c>
      <c r="I768" s="171">
        <f t="shared" ref="I768:I778" si="121">H768-G768</f>
        <v>930000</v>
      </c>
      <c r="J768" s="170">
        <f t="shared" ref="J768:J778" si="122">E768+I768</f>
        <v>2057305.3199999928</v>
      </c>
    </row>
    <row r="769" spans="2:10" ht="12.65" customHeight="1">
      <c r="B769" s="33">
        <f>'Update IDR GWM'!A769</f>
        <v>44109</v>
      </c>
      <c r="C769" s="41">
        <v>95050939.5</v>
      </c>
      <c r="D769" s="47">
        <v>96178244.819999993</v>
      </c>
      <c r="E769" s="168">
        <f t="shared" si="118"/>
        <v>1127305.3199999928</v>
      </c>
      <c r="G769" s="173">
        <v>1070000</v>
      </c>
      <c r="H769" s="47">
        <v>2000000</v>
      </c>
      <c r="I769" s="171">
        <f t="shared" si="121"/>
        <v>930000</v>
      </c>
      <c r="J769" s="170">
        <f t="shared" si="122"/>
        <v>2057305.3199999928</v>
      </c>
    </row>
    <row r="770" spans="2:10" ht="12.65" customHeight="1">
      <c r="B770" s="33">
        <f>'Update IDR GWM'!A770</f>
        <v>44110</v>
      </c>
      <c r="C770" s="41">
        <v>95050939.5</v>
      </c>
      <c r="D770" s="47">
        <v>96178244.819999993</v>
      </c>
      <c r="E770" s="168">
        <f t="shared" si="118"/>
        <v>1127305.3199999928</v>
      </c>
      <c r="G770" s="173">
        <v>1070000</v>
      </c>
      <c r="H770" s="47">
        <v>2000000</v>
      </c>
      <c r="I770" s="171">
        <f t="shared" si="121"/>
        <v>930000</v>
      </c>
      <c r="J770" s="170">
        <f t="shared" si="122"/>
        <v>2057305.3199999928</v>
      </c>
    </row>
    <row r="771" spans="2:10" ht="12.65" customHeight="1">
      <c r="B771" s="33">
        <f>'Update IDR GWM'!A771</f>
        <v>44111</v>
      </c>
      <c r="C771" s="41">
        <v>95050939.5</v>
      </c>
      <c r="D771" s="47">
        <v>96178244.819999993</v>
      </c>
      <c r="E771" s="168">
        <f t="shared" si="118"/>
        <v>1127305.3199999928</v>
      </c>
      <c r="G771" s="173">
        <v>1070000</v>
      </c>
      <c r="H771" s="47">
        <v>2000000</v>
      </c>
      <c r="I771" s="171">
        <f t="shared" si="121"/>
        <v>930000</v>
      </c>
      <c r="J771" s="170">
        <f t="shared" si="122"/>
        <v>2057305.3199999928</v>
      </c>
    </row>
    <row r="772" spans="2:10" ht="12.65" customHeight="1">
      <c r="B772" s="33">
        <f>'Update IDR GWM'!A772</f>
        <v>44112</v>
      </c>
      <c r="C772" s="41">
        <v>95050939.5</v>
      </c>
      <c r="D772" s="47">
        <v>96178244.819999993</v>
      </c>
      <c r="E772" s="168">
        <f t="shared" si="118"/>
        <v>1127305.3199999928</v>
      </c>
      <c r="G772" s="173">
        <v>1070000</v>
      </c>
      <c r="H772" s="47">
        <v>2000000</v>
      </c>
      <c r="I772" s="171">
        <f t="shared" si="121"/>
        <v>930000</v>
      </c>
      <c r="J772" s="170">
        <f t="shared" si="122"/>
        <v>2057305.3199999928</v>
      </c>
    </row>
    <row r="773" spans="2:10" ht="12.65" customHeight="1">
      <c r="B773" s="33">
        <f>'Update IDR GWM'!A773</f>
        <v>44113</v>
      </c>
      <c r="C773" s="41">
        <v>95050939.5</v>
      </c>
      <c r="D773" s="47">
        <v>96178244.819999993</v>
      </c>
      <c r="E773" s="168">
        <f t="shared" si="118"/>
        <v>1127305.3199999928</v>
      </c>
      <c r="G773" s="173">
        <v>1070000</v>
      </c>
      <c r="H773" s="47">
        <v>2000000</v>
      </c>
      <c r="I773" s="171">
        <f t="shared" si="121"/>
        <v>930000</v>
      </c>
      <c r="J773" s="170">
        <f t="shared" si="122"/>
        <v>2057305.3199999928</v>
      </c>
    </row>
    <row r="774" spans="2:10" ht="12.65" customHeight="1">
      <c r="B774" s="33">
        <f>'Update IDR GWM'!A774</f>
        <v>44116</v>
      </c>
      <c r="C774" s="41">
        <v>95050939.5</v>
      </c>
      <c r="D774" s="47">
        <v>96178244.819999993</v>
      </c>
      <c r="E774" s="168">
        <f t="shared" si="118"/>
        <v>1127305.3199999928</v>
      </c>
      <c r="G774" s="173">
        <v>1070000</v>
      </c>
      <c r="H774" s="47">
        <v>2000000</v>
      </c>
      <c r="I774" s="171">
        <f t="shared" si="121"/>
        <v>930000</v>
      </c>
      <c r="J774" s="170">
        <f t="shared" si="122"/>
        <v>2057305.3199999928</v>
      </c>
    </row>
    <row r="775" spans="2:10" ht="12.65" customHeight="1">
      <c r="B775" s="33">
        <f>'Update IDR GWM'!A775</f>
        <v>44117</v>
      </c>
      <c r="C775" s="41">
        <v>95050939.5</v>
      </c>
      <c r="D775" s="47">
        <v>96178244.819999993</v>
      </c>
      <c r="E775" s="168">
        <f t="shared" si="118"/>
        <v>1127305.3199999928</v>
      </c>
      <c r="G775" s="173">
        <v>1070000</v>
      </c>
      <c r="H775" s="47">
        <v>2000000</v>
      </c>
      <c r="I775" s="171">
        <f t="shared" si="121"/>
        <v>930000</v>
      </c>
      <c r="J775" s="170">
        <f t="shared" si="122"/>
        <v>2057305.3199999928</v>
      </c>
    </row>
    <row r="776" spans="2:10" ht="12.65" customHeight="1">
      <c r="B776" s="33">
        <f>'Update IDR GWM'!A776</f>
        <v>44118</v>
      </c>
      <c r="C776" s="41">
        <v>95050939.5</v>
      </c>
      <c r="D776" s="47">
        <v>96178244.819999993</v>
      </c>
      <c r="E776" s="168">
        <f t="shared" si="118"/>
        <v>1127305.3199999928</v>
      </c>
      <c r="G776" s="173">
        <v>1070000</v>
      </c>
      <c r="H776" s="47">
        <v>2000000</v>
      </c>
      <c r="I776" s="171">
        <f t="shared" si="121"/>
        <v>930000</v>
      </c>
      <c r="J776" s="170">
        <f t="shared" si="122"/>
        <v>2057305.3199999928</v>
      </c>
    </row>
    <row r="777" spans="2:10" ht="12.65" customHeight="1">
      <c r="B777" s="33">
        <f>'Update IDR GWM'!A777</f>
        <v>44119</v>
      </c>
      <c r="C777" s="41">
        <v>95050939.5</v>
      </c>
      <c r="D777" s="47">
        <v>96178244.819999993</v>
      </c>
      <c r="E777" s="168">
        <f t="shared" si="118"/>
        <v>1127305.3199999928</v>
      </c>
      <c r="G777" s="173">
        <v>1070000</v>
      </c>
      <c r="H777" s="47">
        <v>2000000</v>
      </c>
      <c r="I777" s="171">
        <f t="shared" si="121"/>
        <v>930000</v>
      </c>
      <c r="J777" s="170">
        <f t="shared" si="122"/>
        <v>2057305.3199999928</v>
      </c>
    </row>
    <row r="778" spans="2:10" ht="12.65" customHeight="1">
      <c r="B778" s="33">
        <f>'Update IDR GWM'!A778</f>
        <v>44120</v>
      </c>
      <c r="C778" s="41">
        <v>96004000</v>
      </c>
      <c r="D778" s="47">
        <v>96178244.819999993</v>
      </c>
      <c r="E778" s="168">
        <f t="shared" si="118"/>
        <v>174244.81999999285</v>
      </c>
      <c r="G778" s="173">
        <v>1109000</v>
      </c>
      <c r="H778" s="47">
        <v>2000000</v>
      </c>
      <c r="I778" s="171">
        <f t="shared" si="121"/>
        <v>891000</v>
      </c>
      <c r="J778" s="170">
        <f t="shared" si="122"/>
        <v>1065244.8199999928</v>
      </c>
    </row>
    <row r="779" spans="2:10" ht="12.65" customHeight="1">
      <c r="B779" s="33">
        <f>'Update IDR GWM'!A779</f>
        <v>44123</v>
      </c>
      <c r="C779" s="41">
        <v>96004000</v>
      </c>
      <c r="D779" s="47">
        <v>97178244.819999993</v>
      </c>
      <c r="E779" s="168">
        <f t="shared" si="118"/>
        <v>1174244.8199999928</v>
      </c>
      <c r="G779" s="173">
        <v>1109000</v>
      </c>
      <c r="H779" s="47">
        <v>2000000</v>
      </c>
      <c r="I779" s="171">
        <f t="shared" ref="I779:I788" si="123">H779-G779</f>
        <v>891000</v>
      </c>
      <c r="J779" s="170">
        <f t="shared" ref="J779:J788" si="124">E779+I779</f>
        <v>2065244.8199999928</v>
      </c>
    </row>
    <row r="780" spans="2:10" ht="12.65" customHeight="1">
      <c r="B780" s="33">
        <f>'Update IDR GWM'!A780</f>
        <v>44124</v>
      </c>
      <c r="C780" s="41">
        <v>96004000</v>
      </c>
      <c r="D780" s="47">
        <v>97178244.819999993</v>
      </c>
      <c r="E780" s="168">
        <f t="shared" si="118"/>
        <v>1174244.8199999928</v>
      </c>
      <c r="G780" s="173">
        <v>1109000</v>
      </c>
      <c r="H780" s="47">
        <v>2000000</v>
      </c>
      <c r="I780" s="171">
        <f t="shared" si="123"/>
        <v>891000</v>
      </c>
      <c r="J780" s="170">
        <f t="shared" si="124"/>
        <v>2065244.8199999928</v>
      </c>
    </row>
    <row r="781" spans="2:10" ht="12.65" customHeight="1">
      <c r="B781" s="33">
        <f>'Update IDR GWM'!A781</f>
        <v>44125</v>
      </c>
      <c r="C781" s="41">
        <v>96004000</v>
      </c>
      <c r="D781" s="47">
        <v>97178244.819999993</v>
      </c>
      <c r="E781" s="168">
        <f t="shared" si="118"/>
        <v>1174244.8199999928</v>
      </c>
      <c r="G781" s="173">
        <v>1109000</v>
      </c>
      <c r="H781" s="47">
        <v>2000000</v>
      </c>
      <c r="I781" s="171">
        <f t="shared" si="123"/>
        <v>891000</v>
      </c>
      <c r="J781" s="170">
        <f t="shared" si="124"/>
        <v>2065244.8199999928</v>
      </c>
    </row>
    <row r="782" spans="2:10" ht="12.65" customHeight="1">
      <c r="B782" s="33">
        <f>'Update IDR GWM'!A782</f>
        <v>44126</v>
      </c>
      <c r="C782" s="41">
        <v>96004000</v>
      </c>
      <c r="D782" s="47">
        <v>97178244.819999993</v>
      </c>
      <c r="E782" s="168">
        <f t="shared" si="118"/>
        <v>1174244.8199999928</v>
      </c>
      <c r="G782" s="173">
        <v>1109000</v>
      </c>
      <c r="H782" s="47">
        <v>2000000</v>
      </c>
      <c r="I782" s="171">
        <f t="shared" si="123"/>
        <v>891000</v>
      </c>
      <c r="J782" s="170">
        <f t="shared" si="124"/>
        <v>2065244.8199999928</v>
      </c>
    </row>
    <row r="783" spans="2:10" ht="12.65" customHeight="1">
      <c r="B783" s="33">
        <f>'Update IDR GWM'!A783</f>
        <v>44127</v>
      </c>
      <c r="C783" s="41">
        <v>96004000</v>
      </c>
      <c r="D783" s="47">
        <v>97178244.819999993</v>
      </c>
      <c r="E783" s="168">
        <f t="shared" si="118"/>
        <v>1174244.8199999928</v>
      </c>
      <c r="G783" s="173">
        <v>1109000</v>
      </c>
      <c r="H783" s="47">
        <v>2000000</v>
      </c>
      <c r="I783" s="171">
        <f t="shared" si="123"/>
        <v>891000</v>
      </c>
      <c r="J783" s="170">
        <f t="shared" si="124"/>
        <v>2065244.8199999928</v>
      </c>
    </row>
    <row r="784" spans="2:10" ht="12.65" customHeight="1">
      <c r="B784" s="33">
        <f>'Update IDR GWM'!A784</f>
        <v>44130</v>
      </c>
      <c r="C784" s="41">
        <v>96004000</v>
      </c>
      <c r="D784" s="47">
        <v>97178244.819999993</v>
      </c>
      <c r="E784" s="168">
        <f t="shared" si="118"/>
        <v>1174244.8199999928</v>
      </c>
      <c r="G784" s="173">
        <v>1109000</v>
      </c>
      <c r="H784" s="47">
        <v>2000000</v>
      </c>
      <c r="I784" s="171">
        <f t="shared" si="123"/>
        <v>891000</v>
      </c>
      <c r="J784" s="170">
        <f t="shared" si="124"/>
        <v>2065244.8199999928</v>
      </c>
    </row>
    <row r="785" spans="2:10" ht="12.65" customHeight="1">
      <c r="B785" s="33">
        <f>'Update IDR GWM'!A785</f>
        <v>44131</v>
      </c>
      <c r="C785" s="41">
        <v>96004000</v>
      </c>
      <c r="D785" s="47">
        <v>97178244.819999993</v>
      </c>
      <c r="E785" s="168">
        <f t="shared" si="118"/>
        <v>1174244.8199999928</v>
      </c>
      <c r="G785" s="173">
        <v>1109000</v>
      </c>
      <c r="H785" s="47">
        <v>2000000</v>
      </c>
      <c r="I785" s="171">
        <f t="shared" si="123"/>
        <v>891000</v>
      </c>
      <c r="J785" s="170">
        <f t="shared" si="124"/>
        <v>2065244.8199999928</v>
      </c>
    </row>
    <row r="786" spans="2:10" ht="12.65" customHeight="1">
      <c r="B786" s="33">
        <f>'Update IDR GWM'!A786</f>
        <v>44132</v>
      </c>
      <c r="C786" s="41">
        <v>96004000</v>
      </c>
      <c r="D786" s="47">
        <v>97178244.819999993</v>
      </c>
      <c r="E786" s="168">
        <f t="shared" si="118"/>
        <v>1174244.8199999928</v>
      </c>
      <c r="G786" s="173">
        <v>1109000</v>
      </c>
      <c r="H786" s="47">
        <v>2000000</v>
      </c>
      <c r="I786" s="171">
        <f t="shared" si="123"/>
        <v>891000</v>
      </c>
      <c r="J786" s="170">
        <f t="shared" si="124"/>
        <v>2065244.8199999928</v>
      </c>
    </row>
    <row r="787" spans="2:10" ht="12.65" customHeight="1">
      <c r="B787" s="33">
        <f>'Update IDR GWM'!A787</f>
        <v>44133</v>
      </c>
      <c r="C787" s="41">
        <v>96004000</v>
      </c>
      <c r="D787" s="47">
        <v>97178244.819999993</v>
      </c>
      <c r="E787" s="168">
        <f t="shared" si="118"/>
        <v>1174244.8199999928</v>
      </c>
      <c r="G787" s="173">
        <v>1109000</v>
      </c>
      <c r="H787" s="47">
        <v>2000000</v>
      </c>
      <c r="I787" s="171">
        <f t="shared" si="123"/>
        <v>891000</v>
      </c>
      <c r="J787" s="170">
        <f t="shared" si="124"/>
        <v>2065244.8199999928</v>
      </c>
    </row>
    <row r="788" spans="2:10" ht="12.65" customHeight="1">
      <c r="B788" s="33">
        <f>'Update IDR GWM'!A788</f>
        <v>44134</v>
      </c>
      <c r="C788" s="41">
        <v>96004000</v>
      </c>
      <c r="D788" s="47">
        <v>97178244.819999993</v>
      </c>
      <c r="E788" s="168">
        <f t="shared" si="118"/>
        <v>1174244.8199999928</v>
      </c>
      <c r="G788" s="173">
        <v>1109000</v>
      </c>
      <c r="H788" s="47">
        <v>2000000</v>
      </c>
      <c r="I788" s="171">
        <f t="shared" si="123"/>
        <v>891000</v>
      </c>
      <c r="J788" s="170">
        <f t="shared" si="124"/>
        <v>2065244.8199999928</v>
      </c>
    </row>
    <row r="789" spans="2:10" ht="12.65" customHeight="1">
      <c r="B789" s="33">
        <v>44135</v>
      </c>
      <c r="C789" s="41">
        <v>96004000</v>
      </c>
      <c r="D789" s="47">
        <v>97178244.819999993</v>
      </c>
      <c r="E789" s="168">
        <f t="shared" si="118"/>
        <v>1174244.8199999928</v>
      </c>
      <c r="G789" s="173">
        <v>1109000</v>
      </c>
      <c r="H789" s="47">
        <v>2000000</v>
      </c>
      <c r="I789" s="171">
        <f>H789-G789</f>
        <v>891000</v>
      </c>
      <c r="J789" s="170">
        <f>E789+I789</f>
        <v>2065244.8199999928</v>
      </c>
    </row>
    <row r="790" spans="2:10" ht="12.65" customHeight="1">
      <c r="B790" s="33">
        <f>'Update IDR GWM'!A790</f>
        <v>44137</v>
      </c>
      <c r="C790" s="41">
        <v>97462000</v>
      </c>
      <c r="D790" s="47">
        <v>98578244.819999993</v>
      </c>
      <c r="E790" s="168">
        <f t="shared" si="118"/>
        <v>1116244.8199999928</v>
      </c>
      <c r="G790" s="173">
        <v>1117000</v>
      </c>
      <c r="H790" s="47">
        <v>2000000</v>
      </c>
      <c r="I790" s="171">
        <f>H790-G790</f>
        <v>883000</v>
      </c>
      <c r="J790" s="170">
        <f>E790+I790</f>
        <v>1999244.8199999928</v>
      </c>
    </row>
    <row r="791" spans="2:10" ht="12.65" customHeight="1">
      <c r="B791" s="33">
        <f>'Update IDR GWM'!A791</f>
        <v>44138</v>
      </c>
      <c r="C791" s="41">
        <v>97462000</v>
      </c>
      <c r="D791" s="47">
        <v>98578244.819999993</v>
      </c>
      <c r="E791" s="168">
        <f t="shared" si="118"/>
        <v>1116244.8199999928</v>
      </c>
      <c r="G791" s="173">
        <v>1117000</v>
      </c>
      <c r="H791" s="47">
        <v>2000000</v>
      </c>
      <c r="I791" s="171">
        <f t="shared" ref="I791:I800" si="125">H791-G791</f>
        <v>883000</v>
      </c>
      <c r="J791" s="170">
        <f t="shared" ref="J791:J800" si="126">E791+I791</f>
        <v>1999244.8199999928</v>
      </c>
    </row>
    <row r="792" spans="2:10" ht="12.65" customHeight="1">
      <c r="B792" s="33">
        <f>'Update IDR GWM'!A792</f>
        <v>44139</v>
      </c>
      <c r="C792" s="41">
        <v>97462000</v>
      </c>
      <c r="D792" s="47">
        <v>98578244.819999993</v>
      </c>
      <c r="E792" s="168">
        <f t="shared" si="118"/>
        <v>1116244.8199999928</v>
      </c>
      <c r="G792" s="173">
        <v>1117000</v>
      </c>
      <c r="H792" s="47">
        <v>2000000</v>
      </c>
      <c r="I792" s="171">
        <f t="shared" si="125"/>
        <v>883000</v>
      </c>
      <c r="J792" s="170">
        <f t="shared" si="126"/>
        <v>1999244.8199999928</v>
      </c>
    </row>
    <row r="793" spans="2:10" ht="12.65" customHeight="1">
      <c r="B793" s="33">
        <f>'Update IDR GWM'!A793</f>
        <v>44140</v>
      </c>
      <c r="C793" s="41">
        <v>97462000</v>
      </c>
      <c r="D793" s="47">
        <v>98578244.819999993</v>
      </c>
      <c r="E793" s="168">
        <f t="shared" si="118"/>
        <v>1116244.8199999928</v>
      </c>
      <c r="G793" s="173">
        <v>1117000</v>
      </c>
      <c r="H793" s="47">
        <v>2000000</v>
      </c>
      <c r="I793" s="171">
        <f t="shared" si="125"/>
        <v>883000</v>
      </c>
      <c r="J793" s="170">
        <f t="shared" si="126"/>
        <v>1999244.8199999928</v>
      </c>
    </row>
    <row r="794" spans="2:10" ht="12.65" customHeight="1">
      <c r="B794" s="33">
        <f>'Update IDR GWM'!A794</f>
        <v>44141</v>
      </c>
      <c r="C794" s="41">
        <v>97462000</v>
      </c>
      <c r="D794" s="47">
        <v>98578244.819999993</v>
      </c>
      <c r="E794" s="168">
        <f t="shared" si="118"/>
        <v>1116244.8199999928</v>
      </c>
      <c r="G794" s="173">
        <v>1117000</v>
      </c>
      <c r="H794" s="47">
        <v>2000000</v>
      </c>
      <c r="I794" s="171">
        <f t="shared" si="125"/>
        <v>883000</v>
      </c>
      <c r="J794" s="170">
        <f t="shared" si="126"/>
        <v>1999244.8199999928</v>
      </c>
    </row>
    <row r="795" spans="2:10" ht="12.65" customHeight="1">
      <c r="B795" s="33">
        <f>'Update IDR GWM'!A795</f>
        <v>44144</v>
      </c>
      <c r="C795" s="41">
        <v>97462000</v>
      </c>
      <c r="D795" s="47">
        <v>98579711.379999995</v>
      </c>
      <c r="E795" s="168">
        <f t="shared" si="118"/>
        <v>1117711.3799999952</v>
      </c>
      <c r="G795" s="173">
        <v>1117000</v>
      </c>
      <c r="H795" s="47">
        <v>2000000</v>
      </c>
      <c r="I795" s="171">
        <f t="shared" si="125"/>
        <v>883000</v>
      </c>
      <c r="J795" s="170">
        <f t="shared" si="126"/>
        <v>2000711.3799999952</v>
      </c>
    </row>
    <row r="796" spans="2:10" ht="12.65" customHeight="1">
      <c r="B796" s="33">
        <f>'Update IDR GWM'!A796</f>
        <v>44145</v>
      </c>
      <c r="C796" s="41">
        <v>97462000</v>
      </c>
      <c r="D796" s="47">
        <v>98579711.379999995</v>
      </c>
      <c r="E796" s="168">
        <f t="shared" si="118"/>
        <v>1117711.3799999952</v>
      </c>
      <c r="G796" s="173">
        <v>1117000</v>
      </c>
      <c r="H796" s="47">
        <v>2000000</v>
      </c>
      <c r="I796" s="171">
        <f t="shared" si="125"/>
        <v>883000</v>
      </c>
      <c r="J796" s="170">
        <f t="shared" si="126"/>
        <v>2000711.3799999952</v>
      </c>
    </row>
    <row r="797" spans="2:10" ht="12.65" customHeight="1">
      <c r="B797" s="33">
        <f>'Update IDR GWM'!A797</f>
        <v>44146</v>
      </c>
      <c r="C797" s="41">
        <v>97462000</v>
      </c>
      <c r="D797" s="47">
        <v>98579711.379999995</v>
      </c>
      <c r="E797" s="168">
        <f t="shared" si="118"/>
        <v>1117711.3799999952</v>
      </c>
      <c r="G797" s="173">
        <v>1117000</v>
      </c>
      <c r="H797" s="47">
        <v>2000000</v>
      </c>
      <c r="I797" s="171">
        <f t="shared" si="125"/>
        <v>883000</v>
      </c>
      <c r="J797" s="170">
        <f t="shared" si="126"/>
        <v>2000711.3799999952</v>
      </c>
    </row>
    <row r="798" spans="2:10" ht="12.65" customHeight="1">
      <c r="B798" s="33">
        <f>'Update IDR GWM'!A798</f>
        <v>44147</v>
      </c>
      <c r="C798" s="41">
        <v>97462000</v>
      </c>
      <c r="D798" s="47">
        <v>98579711.379999995</v>
      </c>
      <c r="E798" s="168">
        <f t="shared" si="118"/>
        <v>1117711.3799999952</v>
      </c>
      <c r="G798" s="173">
        <v>1117000</v>
      </c>
      <c r="H798" s="47">
        <v>2000000</v>
      </c>
      <c r="I798" s="171">
        <f t="shared" si="125"/>
        <v>883000</v>
      </c>
      <c r="J798" s="170">
        <f t="shared" si="126"/>
        <v>2000711.3799999952</v>
      </c>
    </row>
    <row r="799" spans="2:10" ht="12.65" customHeight="1">
      <c r="B799" s="33">
        <f>'Update IDR GWM'!A799</f>
        <v>44148</v>
      </c>
      <c r="C799" s="41">
        <v>97462000</v>
      </c>
      <c r="D799" s="47">
        <v>98579711.379999995</v>
      </c>
      <c r="E799" s="168">
        <f t="shared" si="118"/>
        <v>1117711.3799999952</v>
      </c>
      <c r="G799" s="173">
        <v>1117000</v>
      </c>
      <c r="H799" s="47">
        <v>2000000</v>
      </c>
      <c r="I799" s="171">
        <f t="shared" si="125"/>
        <v>883000</v>
      </c>
      <c r="J799" s="170">
        <f t="shared" si="126"/>
        <v>2000711.3799999952</v>
      </c>
    </row>
    <row r="800" spans="2:10" ht="12.65" customHeight="1">
      <c r="B800" s="33">
        <f>'Update IDR GWM'!A800</f>
        <v>44151</v>
      </c>
      <c r="C800" s="41">
        <v>98744000</v>
      </c>
      <c r="D800" s="47">
        <v>99779711.379999995</v>
      </c>
      <c r="E800" s="168">
        <f t="shared" si="118"/>
        <v>1035711.3799999952</v>
      </c>
      <c r="G800" s="173">
        <v>1103000</v>
      </c>
      <c r="H800" s="47">
        <v>2000000</v>
      </c>
      <c r="I800" s="171">
        <f t="shared" si="125"/>
        <v>897000</v>
      </c>
      <c r="J800" s="170">
        <f t="shared" si="126"/>
        <v>1932711.3799999952</v>
      </c>
    </row>
    <row r="801" spans="2:10" ht="12.65" customHeight="1">
      <c r="B801" s="33">
        <f>'Update IDR GWM'!A801</f>
        <v>44152</v>
      </c>
      <c r="C801" s="41">
        <v>98744000</v>
      </c>
      <c r="D801" s="47">
        <v>101804711.38</v>
      </c>
      <c r="E801" s="168">
        <f t="shared" si="118"/>
        <v>3060711.3799999952</v>
      </c>
      <c r="G801" s="173">
        <v>1103000</v>
      </c>
      <c r="H801" s="47">
        <v>2000000</v>
      </c>
      <c r="I801" s="171">
        <f t="shared" ref="I801:I811" si="127">H801-G801</f>
        <v>897000</v>
      </c>
      <c r="J801" s="170">
        <f t="shared" ref="J801:J811" si="128">E801+I801</f>
        <v>3957711.3799999952</v>
      </c>
    </row>
    <row r="802" spans="2:10" ht="12.65" customHeight="1">
      <c r="B802" s="33">
        <f>'Update IDR GWM'!A802</f>
        <v>44153</v>
      </c>
      <c r="C802" s="41">
        <v>98744000</v>
      </c>
      <c r="D802" s="47">
        <v>101804711.38</v>
      </c>
      <c r="E802" s="168">
        <f t="shared" si="118"/>
        <v>3060711.3799999952</v>
      </c>
      <c r="G802" s="173">
        <v>1103000</v>
      </c>
      <c r="H802" s="47">
        <v>2000000</v>
      </c>
      <c r="I802" s="171">
        <f t="shared" si="127"/>
        <v>897000</v>
      </c>
      <c r="J802" s="170">
        <f t="shared" si="128"/>
        <v>3957711.3799999952</v>
      </c>
    </row>
    <row r="803" spans="2:10" ht="12.65" customHeight="1">
      <c r="B803" s="33">
        <f>'Update IDR GWM'!A803</f>
        <v>44154</v>
      </c>
      <c r="C803" s="41">
        <v>98744000</v>
      </c>
      <c r="D803" s="47">
        <v>101804711.38</v>
      </c>
      <c r="E803" s="168">
        <f t="shared" si="118"/>
        <v>3060711.3799999952</v>
      </c>
      <c r="G803" s="173">
        <v>1103000</v>
      </c>
      <c r="H803" s="47">
        <v>2000000</v>
      </c>
      <c r="I803" s="171">
        <f t="shared" si="127"/>
        <v>897000</v>
      </c>
      <c r="J803" s="170">
        <f t="shared" si="128"/>
        <v>3957711.3799999952</v>
      </c>
    </row>
    <row r="804" spans="2:10" ht="12.65" customHeight="1">
      <c r="B804" s="33">
        <f>'Update IDR GWM'!A804</f>
        <v>44155</v>
      </c>
      <c r="C804" s="41">
        <v>98744000</v>
      </c>
      <c r="D804" s="47">
        <v>101804711.38</v>
      </c>
      <c r="E804" s="168">
        <f t="shared" si="118"/>
        <v>3060711.3799999952</v>
      </c>
      <c r="G804" s="173">
        <v>1103000</v>
      </c>
      <c r="H804" s="47">
        <v>2000000</v>
      </c>
      <c r="I804" s="171">
        <f t="shared" si="127"/>
        <v>897000</v>
      </c>
      <c r="J804" s="170">
        <f t="shared" si="128"/>
        <v>3957711.3799999952</v>
      </c>
    </row>
    <row r="805" spans="2:10" ht="12.65" customHeight="1">
      <c r="B805" s="33">
        <f>'Update IDR GWM'!A805</f>
        <v>44158</v>
      </c>
      <c r="C805" s="41">
        <v>98744000</v>
      </c>
      <c r="D805" s="47">
        <v>99799711.379999995</v>
      </c>
      <c r="E805" s="168">
        <f t="shared" si="118"/>
        <v>1055711.3799999952</v>
      </c>
      <c r="G805" s="173">
        <v>1103000</v>
      </c>
      <c r="H805" s="47">
        <v>2000000</v>
      </c>
      <c r="I805" s="171">
        <f t="shared" si="127"/>
        <v>897000</v>
      </c>
      <c r="J805" s="170">
        <f t="shared" si="128"/>
        <v>1952711.3799999952</v>
      </c>
    </row>
    <row r="806" spans="2:10" ht="12.65" customHeight="1">
      <c r="B806" s="33">
        <f>'Update IDR GWM'!A806</f>
        <v>44159</v>
      </c>
      <c r="C806" s="41">
        <v>98744000</v>
      </c>
      <c r="D806" s="47">
        <v>99799711.379999995</v>
      </c>
      <c r="E806" s="168">
        <f t="shared" si="118"/>
        <v>1055711.3799999952</v>
      </c>
      <c r="G806" s="173">
        <v>1103000</v>
      </c>
      <c r="H806" s="47">
        <v>2000000</v>
      </c>
      <c r="I806" s="171">
        <f t="shared" si="127"/>
        <v>897000</v>
      </c>
      <c r="J806" s="170">
        <f t="shared" si="128"/>
        <v>1952711.3799999952</v>
      </c>
    </row>
    <row r="807" spans="2:10" ht="12.65" customHeight="1">
      <c r="B807" s="33">
        <f>'Update IDR GWM'!A807</f>
        <v>44160</v>
      </c>
      <c r="C807" s="41">
        <v>98744000</v>
      </c>
      <c r="D807" s="47">
        <v>99779711.379999995</v>
      </c>
      <c r="E807" s="168">
        <f t="shared" si="118"/>
        <v>1035711.3799999952</v>
      </c>
      <c r="G807" s="173">
        <v>1103000</v>
      </c>
      <c r="H807" s="47">
        <v>2000000</v>
      </c>
      <c r="I807" s="171">
        <f t="shared" si="127"/>
        <v>897000</v>
      </c>
      <c r="J807" s="170">
        <f t="shared" si="128"/>
        <v>1932711.3799999952</v>
      </c>
    </row>
    <row r="808" spans="2:10" ht="12.65" customHeight="1">
      <c r="B808" s="33">
        <f>'Update IDR GWM'!A808</f>
        <v>44161</v>
      </c>
      <c r="C808" s="41">
        <v>98744000</v>
      </c>
      <c r="D808" s="47">
        <v>109779711.38</v>
      </c>
      <c r="E808" s="168">
        <f t="shared" si="118"/>
        <v>11035711.379999995</v>
      </c>
      <c r="G808" s="173">
        <v>1103000</v>
      </c>
      <c r="H808" s="47">
        <v>2000000</v>
      </c>
      <c r="I808" s="171">
        <f t="shared" si="127"/>
        <v>897000</v>
      </c>
      <c r="J808" s="170">
        <f t="shared" si="128"/>
        <v>11932711.379999995</v>
      </c>
    </row>
    <row r="809" spans="2:10" ht="12.65" customHeight="1">
      <c r="B809" s="33">
        <f>'Update IDR GWM'!A809</f>
        <v>44162</v>
      </c>
      <c r="C809" s="41">
        <v>98744000</v>
      </c>
      <c r="D809" s="47">
        <v>99789756.379999995</v>
      </c>
      <c r="E809" s="168">
        <f t="shared" si="118"/>
        <v>1045756.3799999952</v>
      </c>
      <c r="G809" s="173">
        <v>1103000</v>
      </c>
      <c r="H809" s="47">
        <v>2000000</v>
      </c>
      <c r="I809" s="171">
        <f t="shared" si="127"/>
        <v>897000</v>
      </c>
      <c r="J809" s="170">
        <f t="shared" si="128"/>
        <v>1942756.3799999952</v>
      </c>
    </row>
    <row r="810" spans="2:10" ht="12.65" customHeight="1">
      <c r="B810" s="33">
        <f>'Update IDR GWM'!A810</f>
        <v>44165</v>
      </c>
      <c r="C810" s="41">
        <v>98744000</v>
      </c>
      <c r="D810" s="47">
        <v>119789756.83</v>
      </c>
      <c r="E810" s="168">
        <f t="shared" si="118"/>
        <v>21045756.829999998</v>
      </c>
      <c r="G810" s="173">
        <v>1103000</v>
      </c>
      <c r="H810" s="47">
        <v>2000000</v>
      </c>
      <c r="I810" s="171">
        <f t="shared" si="127"/>
        <v>897000</v>
      </c>
      <c r="J810" s="170">
        <f t="shared" si="128"/>
        <v>21942756.829999998</v>
      </c>
    </row>
    <row r="811" spans="2:10" ht="12.65" customHeight="1">
      <c r="B811" s="33">
        <f>'Update IDR GWM'!A811</f>
        <v>44166</v>
      </c>
      <c r="C811" s="41">
        <v>102178000</v>
      </c>
      <c r="D811" s="47">
        <v>119789756.83</v>
      </c>
      <c r="E811" s="168">
        <f t="shared" si="118"/>
        <v>17611756.829999998</v>
      </c>
      <c r="G811" s="173">
        <v>1135000</v>
      </c>
      <c r="H811" s="47">
        <v>2000000</v>
      </c>
      <c r="I811" s="171">
        <f t="shared" si="127"/>
        <v>865000</v>
      </c>
      <c r="J811" s="170">
        <f t="shared" si="128"/>
        <v>18476756.829999998</v>
      </c>
    </row>
    <row r="812" spans="2:10" ht="12.65" customHeight="1">
      <c r="B812" s="33">
        <f>'Update IDR GWM'!A812</f>
        <v>44167</v>
      </c>
      <c r="C812" s="41">
        <v>102178000</v>
      </c>
      <c r="D812" s="47">
        <v>119789756.83</v>
      </c>
      <c r="E812" s="168">
        <f t="shared" si="118"/>
        <v>17611756.829999998</v>
      </c>
      <c r="G812" s="173">
        <v>1135000</v>
      </c>
      <c r="H812" s="47">
        <v>2000000</v>
      </c>
      <c r="I812" s="171">
        <f t="shared" ref="I812:I819" si="129">H812-G812</f>
        <v>865000</v>
      </c>
      <c r="J812" s="170">
        <f t="shared" ref="J812:J819" si="130">E812+I812</f>
        <v>18476756.829999998</v>
      </c>
    </row>
    <row r="813" spans="2:10" ht="12.65" customHeight="1">
      <c r="B813" s="33">
        <f>'Update IDR GWM'!A813</f>
        <v>44168</v>
      </c>
      <c r="C813" s="41">
        <v>102178000</v>
      </c>
      <c r="D813" s="47">
        <v>119789756.83</v>
      </c>
      <c r="E813" s="168">
        <f t="shared" si="118"/>
        <v>17611756.829999998</v>
      </c>
      <c r="G813" s="173">
        <v>1135000</v>
      </c>
      <c r="H813" s="47">
        <v>2000000</v>
      </c>
      <c r="I813" s="171">
        <f t="shared" si="129"/>
        <v>865000</v>
      </c>
      <c r="J813" s="170">
        <f t="shared" si="130"/>
        <v>18476756.829999998</v>
      </c>
    </row>
    <row r="814" spans="2:10" ht="12.65" customHeight="1">
      <c r="B814" s="33">
        <f>'Update IDR GWM'!A814</f>
        <v>44169</v>
      </c>
      <c r="C814" s="41">
        <v>102178000</v>
      </c>
      <c r="D814" s="47">
        <v>103289756.83</v>
      </c>
      <c r="E814" s="168">
        <f t="shared" ref="E814:E877" si="131">D814-C814</f>
        <v>1111756.8299999982</v>
      </c>
      <c r="G814" s="173">
        <v>1135000</v>
      </c>
      <c r="H814" s="47">
        <v>2000000</v>
      </c>
      <c r="I814" s="171">
        <f t="shared" si="129"/>
        <v>865000</v>
      </c>
      <c r="J814" s="170">
        <f t="shared" si="130"/>
        <v>1976756.8299999982</v>
      </c>
    </row>
    <row r="815" spans="2:10" ht="12.65" customHeight="1">
      <c r="B815" s="33">
        <f>'Update IDR GWM'!A815</f>
        <v>44172</v>
      </c>
      <c r="C815" s="41">
        <v>102178000</v>
      </c>
      <c r="D815" s="47">
        <v>103289756.83</v>
      </c>
      <c r="E815" s="168">
        <f t="shared" si="131"/>
        <v>1111756.8299999982</v>
      </c>
      <c r="G815" s="173">
        <v>1135000</v>
      </c>
      <c r="H815" s="47">
        <v>2000000</v>
      </c>
      <c r="I815" s="171">
        <f t="shared" si="129"/>
        <v>865000</v>
      </c>
      <c r="J815" s="170">
        <f t="shared" si="130"/>
        <v>1976756.8299999982</v>
      </c>
    </row>
    <row r="816" spans="2:10" ht="12.65" customHeight="1">
      <c r="B816" s="33">
        <f>'Update IDR GWM'!A816</f>
        <v>44173</v>
      </c>
      <c r="C816" s="41">
        <v>102178000</v>
      </c>
      <c r="D816" s="47">
        <v>103289756.83</v>
      </c>
      <c r="E816" s="168">
        <f t="shared" si="131"/>
        <v>1111756.8299999982</v>
      </c>
      <c r="G816" s="173">
        <v>1135000</v>
      </c>
      <c r="H816" s="47">
        <v>2000000</v>
      </c>
      <c r="I816" s="171">
        <f t="shared" si="129"/>
        <v>865000</v>
      </c>
      <c r="J816" s="170">
        <f t="shared" si="130"/>
        <v>1976756.8299999982</v>
      </c>
    </row>
    <row r="817" spans="2:10" ht="12.65" customHeight="1">
      <c r="B817" s="33">
        <f>'Update IDR GWM'!A817</f>
        <v>44175</v>
      </c>
      <c r="C817" s="41">
        <v>102178000</v>
      </c>
      <c r="D817" s="47">
        <v>103289756.83</v>
      </c>
      <c r="E817" s="168">
        <f t="shared" si="131"/>
        <v>1111756.8299999982</v>
      </c>
      <c r="G817" s="173">
        <v>1135000</v>
      </c>
      <c r="H817" s="47">
        <v>2000000</v>
      </c>
      <c r="I817" s="171">
        <f t="shared" si="129"/>
        <v>865000</v>
      </c>
      <c r="J817" s="170">
        <f t="shared" si="130"/>
        <v>1976756.8299999982</v>
      </c>
    </row>
    <row r="818" spans="2:10" ht="12.65" customHeight="1">
      <c r="B818" s="33">
        <f>'Update IDR GWM'!A818</f>
        <v>44176</v>
      </c>
      <c r="C818" s="41">
        <v>102178000</v>
      </c>
      <c r="D818" s="47">
        <v>103289756.83</v>
      </c>
      <c r="E818" s="168">
        <f t="shared" si="131"/>
        <v>1111756.8299999982</v>
      </c>
      <c r="G818" s="173">
        <v>1135000</v>
      </c>
      <c r="H818" s="47">
        <v>2000000</v>
      </c>
      <c r="I818" s="171">
        <f t="shared" si="129"/>
        <v>865000</v>
      </c>
      <c r="J818" s="170">
        <f t="shared" si="130"/>
        <v>1976756.8299999982</v>
      </c>
    </row>
    <row r="819" spans="2:10" ht="12.65" customHeight="1">
      <c r="B819" s="33">
        <f>'Update IDR GWM'!A819</f>
        <v>44179</v>
      </c>
      <c r="C819" s="41">
        <v>102178000</v>
      </c>
      <c r="D819" s="47">
        <v>103289756.83</v>
      </c>
      <c r="E819" s="168">
        <f t="shared" si="131"/>
        <v>1111756.8299999982</v>
      </c>
      <c r="G819" s="173">
        <v>1135000</v>
      </c>
      <c r="H819" s="47">
        <v>2000000</v>
      </c>
      <c r="I819" s="171">
        <f t="shared" si="129"/>
        <v>865000</v>
      </c>
      <c r="J819" s="170">
        <f t="shared" si="130"/>
        <v>1976756.8299999982</v>
      </c>
    </row>
    <row r="820" spans="2:10" ht="12.65" customHeight="1">
      <c r="B820" s="33">
        <f>'Update IDR GWM'!A820</f>
        <v>44180</v>
      </c>
      <c r="C820" s="41">
        <v>102178000</v>
      </c>
      <c r="D820" s="47">
        <v>103289756.83</v>
      </c>
      <c r="E820" s="168">
        <f t="shared" si="131"/>
        <v>1111756.8299999982</v>
      </c>
      <c r="G820" s="173">
        <v>1135000</v>
      </c>
      <c r="H820" s="47">
        <v>2000000</v>
      </c>
      <c r="I820" s="171">
        <f>H820-G820</f>
        <v>865000</v>
      </c>
      <c r="J820" s="170">
        <f>E820+I820</f>
        <v>1976756.8299999982</v>
      </c>
    </row>
    <row r="821" spans="2:10" ht="12.65" customHeight="1">
      <c r="B821" s="33">
        <f>'Update IDR GWM'!A821</f>
        <v>44181</v>
      </c>
      <c r="C821" s="41">
        <v>105807000</v>
      </c>
      <c r="D821" s="47">
        <v>106289756.83</v>
      </c>
      <c r="E821" s="168">
        <f t="shared" si="131"/>
        <v>482756.82999999821</v>
      </c>
      <c r="G821" s="173">
        <v>1130000</v>
      </c>
      <c r="H821" s="47">
        <v>2000000</v>
      </c>
      <c r="I821" s="171">
        <f t="shared" ref="I821:I832" si="132">H821-G821</f>
        <v>870000</v>
      </c>
      <c r="J821" s="170">
        <f t="shared" ref="J821:J832" si="133">E821+I821</f>
        <v>1352756.8299999982</v>
      </c>
    </row>
    <row r="822" spans="2:10" ht="12.65" customHeight="1">
      <c r="B822" s="33">
        <f>'Update IDR GWM'!A822</f>
        <v>44182</v>
      </c>
      <c r="C822" s="41">
        <v>105807000</v>
      </c>
      <c r="D822" s="47">
        <v>106289756.83</v>
      </c>
      <c r="E822" s="168">
        <f t="shared" si="131"/>
        <v>482756.82999999821</v>
      </c>
      <c r="G822" s="173">
        <v>1130000</v>
      </c>
      <c r="H822" s="47">
        <v>2000000</v>
      </c>
      <c r="I822" s="171">
        <f t="shared" si="132"/>
        <v>870000</v>
      </c>
      <c r="J822" s="170">
        <f t="shared" si="133"/>
        <v>1352756.8299999982</v>
      </c>
    </row>
    <row r="823" spans="2:10" ht="12.65" customHeight="1">
      <c r="B823" s="33">
        <f>'Update IDR GWM'!A823</f>
        <v>44183</v>
      </c>
      <c r="C823" s="41">
        <v>105807000</v>
      </c>
      <c r="D823" s="47">
        <v>106289756.83</v>
      </c>
      <c r="E823" s="168">
        <f t="shared" si="131"/>
        <v>482756.82999999821</v>
      </c>
      <c r="G823" s="173">
        <v>1130000</v>
      </c>
      <c r="H823" s="47">
        <v>2000000</v>
      </c>
      <c r="I823" s="171">
        <f t="shared" si="132"/>
        <v>870000</v>
      </c>
      <c r="J823" s="170">
        <f t="shared" si="133"/>
        <v>1352756.8299999982</v>
      </c>
    </row>
    <row r="824" spans="2:10" ht="12.65" customHeight="1">
      <c r="B824" s="33">
        <f>'Update IDR GWM'!A824</f>
        <v>44186</v>
      </c>
      <c r="C824" s="41">
        <v>105807000</v>
      </c>
      <c r="D824" s="47">
        <v>106289756.83</v>
      </c>
      <c r="E824" s="168">
        <f t="shared" si="131"/>
        <v>482756.82999999821</v>
      </c>
      <c r="G824" s="173">
        <v>1130000</v>
      </c>
      <c r="H824" s="47">
        <v>2000000</v>
      </c>
      <c r="I824" s="171">
        <f t="shared" si="132"/>
        <v>870000</v>
      </c>
      <c r="J824" s="170">
        <f t="shared" si="133"/>
        <v>1352756.8299999982</v>
      </c>
    </row>
    <row r="825" spans="2:10" ht="12.65" customHeight="1">
      <c r="B825" s="33">
        <f>'Update IDR GWM'!A825</f>
        <v>44187</v>
      </c>
      <c r="C825" s="41">
        <v>105807000</v>
      </c>
      <c r="D825" s="47">
        <v>106289756.83</v>
      </c>
      <c r="E825" s="168">
        <f t="shared" si="131"/>
        <v>482756.82999999821</v>
      </c>
      <c r="G825" s="173">
        <v>1130000</v>
      </c>
      <c r="H825" s="47">
        <v>2000000</v>
      </c>
      <c r="I825" s="171">
        <f t="shared" si="132"/>
        <v>870000</v>
      </c>
      <c r="J825" s="170">
        <f t="shared" si="133"/>
        <v>1352756.8299999982</v>
      </c>
    </row>
    <row r="826" spans="2:10" ht="12.65" customHeight="1">
      <c r="B826" s="33">
        <f>'Update IDR GWM'!A826</f>
        <v>44188</v>
      </c>
      <c r="C826" s="41">
        <v>105807000</v>
      </c>
      <c r="D826" s="47">
        <v>106289756.83</v>
      </c>
      <c r="E826" s="168">
        <f t="shared" si="131"/>
        <v>482756.82999999821</v>
      </c>
      <c r="G826" s="173">
        <v>1130000</v>
      </c>
      <c r="H826" s="47">
        <v>2000000</v>
      </c>
      <c r="I826" s="171">
        <f t="shared" si="132"/>
        <v>870000</v>
      </c>
      <c r="J826" s="170">
        <f t="shared" si="133"/>
        <v>1352756.8299999982</v>
      </c>
    </row>
    <row r="827" spans="2:10" ht="12.65" customHeight="1">
      <c r="B827" s="33">
        <f>'Update IDR GWM'!A827</f>
        <v>44193</v>
      </c>
      <c r="C827" s="41">
        <v>105807000</v>
      </c>
      <c r="D827" s="47">
        <v>106289756.83</v>
      </c>
      <c r="E827" s="168">
        <f t="shared" si="131"/>
        <v>482756.82999999821</v>
      </c>
      <c r="G827" s="173">
        <v>1130000</v>
      </c>
      <c r="H827" s="47">
        <v>2000000</v>
      </c>
      <c r="I827" s="171">
        <f t="shared" si="132"/>
        <v>870000</v>
      </c>
      <c r="J827" s="170">
        <f t="shared" si="133"/>
        <v>1352756.8299999982</v>
      </c>
    </row>
    <row r="828" spans="2:10" ht="12.65" customHeight="1">
      <c r="B828" s="33">
        <f>'Update IDR GWM'!A828</f>
        <v>44194</v>
      </c>
      <c r="C828" s="41">
        <v>105807000</v>
      </c>
      <c r="D828" s="47">
        <v>106289756.83</v>
      </c>
      <c r="E828" s="168">
        <f t="shared" si="131"/>
        <v>482756.82999999821</v>
      </c>
      <c r="G828" s="173">
        <v>1130000</v>
      </c>
      <c r="H828" s="47">
        <v>2000000</v>
      </c>
      <c r="I828" s="171">
        <f t="shared" si="132"/>
        <v>870000</v>
      </c>
      <c r="J828" s="170">
        <f t="shared" si="133"/>
        <v>1352756.8299999982</v>
      </c>
    </row>
    <row r="829" spans="2:10" ht="12.65" customHeight="1">
      <c r="B829" s="33">
        <f>'Update IDR GWM'!A829</f>
        <v>44195</v>
      </c>
      <c r="C829" s="41">
        <v>105807000</v>
      </c>
      <c r="D829" s="47">
        <v>106289756.83</v>
      </c>
      <c r="E829" s="168">
        <f t="shared" si="131"/>
        <v>482756.82999999821</v>
      </c>
      <c r="G829" s="173">
        <v>1130000</v>
      </c>
      <c r="H829" s="47">
        <v>2000000</v>
      </c>
      <c r="I829" s="171">
        <f t="shared" si="132"/>
        <v>870000</v>
      </c>
      <c r="J829" s="170">
        <f t="shared" si="133"/>
        <v>1352756.8299999982</v>
      </c>
    </row>
    <row r="830" spans="2:10" ht="12.65" customHeight="1">
      <c r="B830" s="33">
        <f>'Update IDR GWM'!A830</f>
        <v>44196</v>
      </c>
      <c r="C830" s="41">
        <v>105807000</v>
      </c>
      <c r="D830" s="47">
        <v>106289756.83</v>
      </c>
      <c r="E830" s="168">
        <f t="shared" si="131"/>
        <v>482756.82999999821</v>
      </c>
      <c r="G830" s="173">
        <v>1130000</v>
      </c>
      <c r="H830" s="47">
        <v>2000000</v>
      </c>
      <c r="I830" s="171">
        <f t="shared" si="132"/>
        <v>870000</v>
      </c>
      <c r="J830" s="170">
        <f t="shared" si="133"/>
        <v>1352756.8299999982</v>
      </c>
    </row>
    <row r="831" spans="2:10" ht="12.65" customHeight="1">
      <c r="B831" s="33">
        <f>'Update IDR GWM'!A831</f>
        <v>44200</v>
      </c>
      <c r="C831" s="41">
        <v>103562000</v>
      </c>
      <c r="D831" s="47">
        <v>106289756.83</v>
      </c>
      <c r="E831" s="168">
        <f t="shared" si="131"/>
        <v>2727756.8299999982</v>
      </c>
      <c r="G831" s="173">
        <v>1196000</v>
      </c>
      <c r="H831" s="47">
        <v>2000000</v>
      </c>
      <c r="I831" s="171">
        <f t="shared" si="132"/>
        <v>804000</v>
      </c>
      <c r="J831" s="170">
        <f t="shared" si="133"/>
        <v>3531756.8299999982</v>
      </c>
    </row>
    <row r="832" spans="2:10" ht="12.65" customHeight="1">
      <c r="B832" s="33">
        <f>'Update IDR GWM'!A832</f>
        <v>44201</v>
      </c>
      <c r="C832" s="41">
        <v>103562000</v>
      </c>
      <c r="D832" s="47">
        <v>104789756.83</v>
      </c>
      <c r="E832" s="168">
        <f t="shared" si="131"/>
        <v>1227756.8299999982</v>
      </c>
      <c r="G832" s="173">
        <v>1196000</v>
      </c>
      <c r="H832" s="47">
        <v>2000000</v>
      </c>
      <c r="I832" s="171">
        <f t="shared" si="132"/>
        <v>804000</v>
      </c>
      <c r="J832" s="170">
        <f t="shared" si="133"/>
        <v>2031756.8299999982</v>
      </c>
    </row>
    <row r="833" spans="2:10" ht="12.65" customHeight="1">
      <c r="B833" s="33">
        <f>'Update IDR GWM'!A833</f>
        <v>44202</v>
      </c>
      <c r="C833" s="41">
        <v>103562000</v>
      </c>
      <c r="D833" s="47">
        <v>104789756.83</v>
      </c>
      <c r="E833" s="168">
        <f t="shared" si="131"/>
        <v>1227756.8299999982</v>
      </c>
      <c r="G833" s="173">
        <v>1196000</v>
      </c>
      <c r="H833" s="47">
        <v>2000000</v>
      </c>
      <c r="I833" s="171">
        <f t="shared" ref="I833:I841" si="134">H833-G833</f>
        <v>804000</v>
      </c>
      <c r="J833" s="170">
        <f t="shared" ref="J833:J841" si="135">E833+I833</f>
        <v>2031756.8299999982</v>
      </c>
    </row>
    <row r="834" spans="2:10" ht="12.65" customHeight="1">
      <c r="B834" s="33">
        <f>'Update IDR GWM'!A834</f>
        <v>44203</v>
      </c>
      <c r="C834" s="41">
        <v>103562000</v>
      </c>
      <c r="D834" s="47">
        <v>104789756.83</v>
      </c>
      <c r="E834" s="168">
        <f t="shared" si="131"/>
        <v>1227756.8299999982</v>
      </c>
      <c r="G834" s="173">
        <v>1196000</v>
      </c>
      <c r="H834" s="47">
        <v>2000000</v>
      </c>
      <c r="I834" s="171">
        <f t="shared" si="134"/>
        <v>804000</v>
      </c>
      <c r="J834" s="170">
        <f t="shared" si="135"/>
        <v>2031756.8299999982</v>
      </c>
    </row>
    <row r="835" spans="2:10" ht="12.65" customHeight="1">
      <c r="B835" s="33">
        <f>'Update IDR GWM'!A835</f>
        <v>44204</v>
      </c>
      <c r="C835" s="41">
        <v>103562000</v>
      </c>
      <c r="D835" s="47">
        <v>104789756.83</v>
      </c>
      <c r="E835" s="168">
        <f t="shared" si="131"/>
        <v>1227756.8299999982</v>
      </c>
      <c r="G835" s="173">
        <v>1196000</v>
      </c>
      <c r="H835" s="47">
        <v>2000000</v>
      </c>
      <c r="I835" s="171">
        <f t="shared" si="134"/>
        <v>804000</v>
      </c>
      <c r="J835" s="170">
        <f t="shared" si="135"/>
        <v>2031756.8299999982</v>
      </c>
    </row>
    <row r="836" spans="2:10" ht="12.65" customHeight="1">
      <c r="B836" s="33">
        <f>'Update IDR GWM'!A836</f>
        <v>44207</v>
      </c>
      <c r="C836" s="41">
        <v>103562000</v>
      </c>
      <c r="D836" s="47">
        <v>104789756.83</v>
      </c>
      <c r="E836" s="168">
        <f t="shared" si="131"/>
        <v>1227756.8299999982</v>
      </c>
      <c r="G836" s="173">
        <v>1196000</v>
      </c>
      <c r="H836" s="47">
        <v>2000000</v>
      </c>
      <c r="I836" s="171">
        <f t="shared" si="134"/>
        <v>804000</v>
      </c>
      <c r="J836" s="170">
        <f t="shared" si="135"/>
        <v>2031756.8299999982</v>
      </c>
    </row>
    <row r="837" spans="2:10" ht="12.65" customHeight="1">
      <c r="B837" s="33">
        <f>'Update IDR GWM'!A837</f>
        <v>44208</v>
      </c>
      <c r="C837" s="41">
        <v>103562000</v>
      </c>
      <c r="D837" s="47">
        <v>106789756.83</v>
      </c>
      <c r="E837" s="168">
        <f t="shared" si="131"/>
        <v>3227756.8299999982</v>
      </c>
      <c r="G837" s="173">
        <v>1196000</v>
      </c>
      <c r="H837" s="47">
        <v>2000000</v>
      </c>
      <c r="I837" s="171">
        <f t="shared" si="134"/>
        <v>804000</v>
      </c>
      <c r="J837" s="170">
        <f t="shared" si="135"/>
        <v>4031756.8299999982</v>
      </c>
    </row>
    <row r="838" spans="2:10" ht="12.65" customHeight="1">
      <c r="B838" s="33">
        <f>'Update IDR GWM'!A838</f>
        <v>44209</v>
      </c>
      <c r="C838" s="41">
        <v>103562000</v>
      </c>
      <c r="D838" s="47">
        <v>106789756.83</v>
      </c>
      <c r="E838" s="168">
        <f t="shared" si="131"/>
        <v>3227756.8299999982</v>
      </c>
      <c r="G838" s="173">
        <v>1196000</v>
      </c>
      <c r="H838" s="47">
        <v>2000000</v>
      </c>
      <c r="I838" s="171">
        <f t="shared" si="134"/>
        <v>804000</v>
      </c>
      <c r="J838" s="170">
        <f t="shared" si="135"/>
        <v>4031756.8299999982</v>
      </c>
    </row>
    <row r="839" spans="2:10" ht="12.65" customHeight="1">
      <c r="B839" s="33">
        <f>'Update IDR GWM'!A839</f>
        <v>44210</v>
      </c>
      <c r="C839" s="41">
        <v>103562000</v>
      </c>
      <c r="D839" s="47">
        <v>106789756.83</v>
      </c>
      <c r="E839" s="168">
        <f t="shared" si="131"/>
        <v>3227756.8299999982</v>
      </c>
      <c r="G839" s="173">
        <v>1196000</v>
      </c>
      <c r="H839" s="47">
        <v>2000000</v>
      </c>
      <c r="I839" s="171">
        <f t="shared" si="134"/>
        <v>804000</v>
      </c>
      <c r="J839" s="170">
        <f t="shared" si="135"/>
        <v>4031756.8299999982</v>
      </c>
    </row>
    <row r="840" spans="2:10" ht="12.65" customHeight="1">
      <c r="B840" s="33">
        <f>'Update IDR GWM'!A840</f>
        <v>44211</v>
      </c>
      <c r="C840" s="41">
        <v>103562000</v>
      </c>
      <c r="D840" s="47">
        <v>104789756.83</v>
      </c>
      <c r="E840" s="168">
        <f t="shared" si="131"/>
        <v>1227756.8299999982</v>
      </c>
      <c r="G840" s="173">
        <v>1196000</v>
      </c>
      <c r="H840" s="47">
        <v>2000000</v>
      </c>
      <c r="I840" s="171">
        <f t="shared" si="134"/>
        <v>804000</v>
      </c>
      <c r="J840" s="170">
        <f t="shared" si="135"/>
        <v>2031756.8299999982</v>
      </c>
    </row>
    <row r="841" spans="2:10" ht="12.65" customHeight="1">
      <c r="B841" s="33">
        <f>'Update IDR GWM'!A841</f>
        <v>44214</v>
      </c>
      <c r="C841" s="41">
        <v>100532000</v>
      </c>
      <c r="D841" s="47">
        <v>104789756.83</v>
      </c>
      <c r="E841" s="168">
        <f t="shared" si="131"/>
        <v>4257756.8299999982</v>
      </c>
      <c r="G841" s="173">
        <v>1175000</v>
      </c>
      <c r="H841" s="47">
        <v>2000000</v>
      </c>
      <c r="I841" s="171">
        <f t="shared" si="134"/>
        <v>825000</v>
      </c>
      <c r="J841" s="170">
        <f t="shared" si="135"/>
        <v>5082756.8299999982</v>
      </c>
    </row>
    <row r="842" spans="2:10" ht="12.65" customHeight="1">
      <c r="B842" s="33">
        <f>'Update IDR GWM'!A842</f>
        <v>44215</v>
      </c>
      <c r="C842" s="41">
        <v>100532000</v>
      </c>
      <c r="D842" s="47">
        <v>104789756.83</v>
      </c>
      <c r="E842" s="168">
        <f t="shared" si="131"/>
        <v>4257756.8299999982</v>
      </c>
      <c r="G842" s="173">
        <v>1175000</v>
      </c>
      <c r="H842" s="47">
        <v>2000000</v>
      </c>
      <c r="I842" s="171">
        <f t="shared" ref="I842:I852" si="136">H842-G842</f>
        <v>825000</v>
      </c>
      <c r="J842" s="170">
        <f t="shared" ref="J842:J852" si="137">E842+I842</f>
        <v>5082756.8299999982</v>
      </c>
    </row>
    <row r="843" spans="2:10" ht="12.65" customHeight="1">
      <c r="B843" s="33">
        <f>'Update IDR GWM'!A843</f>
        <v>44216</v>
      </c>
      <c r="C843" s="41">
        <v>100532000</v>
      </c>
      <c r="D843" s="47">
        <v>101789756.83</v>
      </c>
      <c r="E843" s="168">
        <f t="shared" si="131"/>
        <v>1257756.8299999982</v>
      </c>
      <c r="G843" s="173">
        <v>1175000</v>
      </c>
      <c r="H843" s="47">
        <v>2000000</v>
      </c>
      <c r="I843" s="171">
        <f t="shared" si="136"/>
        <v>825000</v>
      </c>
      <c r="J843" s="170">
        <f t="shared" si="137"/>
        <v>2082756.8299999982</v>
      </c>
    </row>
    <row r="844" spans="2:10" ht="12.65" customHeight="1">
      <c r="B844" s="33">
        <f>'Update IDR GWM'!A844</f>
        <v>44217</v>
      </c>
      <c r="C844" s="41">
        <v>100532000</v>
      </c>
      <c r="D844" s="47">
        <v>101789756.83</v>
      </c>
      <c r="E844" s="168">
        <f t="shared" si="131"/>
        <v>1257756.8299999982</v>
      </c>
      <c r="G844" s="173">
        <v>1175000</v>
      </c>
      <c r="H844" s="47">
        <v>2000000</v>
      </c>
      <c r="I844" s="171">
        <f t="shared" si="136"/>
        <v>825000</v>
      </c>
      <c r="J844" s="170">
        <f t="shared" si="137"/>
        <v>2082756.8299999982</v>
      </c>
    </row>
    <row r="845" spans="2:10" ht="12.65" customHeight="1">
      <c r="B845" s="33">
        <f>'Update IDR GWM'!A845</f>
        <v>44218</v>
      </c>
      <c r="C845" s="41">
        <v>100532000</v>
      </c>
      <c r="D845" s="47">
        <v>101789756.83</v>
      </c>
      <c r="E845" s="168">
        <f t="shared" si="131"/>
        <v>1257756.8299999982</v>
      </c>
      <c r="G845" s="173">
        <v>1175000</v>
      </c>
      <c r="H845" s="47">
        <v>2000000</v>
      </c>
      <c r="I845" s="171">
        <f t="shared" si="136"/>
        <v>825000</v>
      </c>
      <c r="J845" s="170">
        <f t="shared" si="137"/>
        <v>2082756.8299999982</v>
      </c>
    </row>
    <row r="846" spans="2:10" ht="12.65" customHeight="1">
      <c r="B846" s="33">
        <f>'Update IDR GWM'!A846</f>
        <v>44221</v>
      </c>
      <c r="C846" s="41">
        <v>100532000</v>
      </c>
      <c r="D846" s="47">
        <v>126789756.83</v>
      </c>
      <c r="E846" s="168">
        <f t="shared" si="131"/>
        <v>26257756.829999998</v>
      </c>
      <c r="G846" s="173">
        <v>1175000</v>
      </c>
      <c r="H846" s="47">
        <v>2000000</v>
      </c>
      <c r="I846" s="171">
        <f t="shared" si="136"/>
        <v>825000</v>
      </c>
      <c r="J846" s="170">
        <f t="shared" si="137"/>
        <v>27082756.829999998</v>
      </c>
    </row>
    <row r="847" spans="2:10" ht="12.65" customHeight="1">
      <c r="B847" s="33">
        <f>'Update IDR GWM'!A847</f>
        <v>44222</v>
      </c>
      <c r="C847" s="41">
        <v>100532000</v>
      </c>
      <c r="D847" s="47">
        <v>126789756.83</v>
      </c>
      <c r="E847" s="168">
        <f t="shared" si="131"/>
        <v>26257756.829999998</v>
      </c>
      <c r="G847" s="173">
        <v>1175000</v>
      </c>
      <c r="H847" s="47">
        <v>2000000</v>
      </c>
      <c r="I847" s="171">
        <f t="shared" si="136"/>
        <v>825000</v>
      </c>
      <c r="J847" s="170">
        <f t="shared" si="137"/>
        <v>27082756.829999998</v>
      </c>
    </row>
    <row r="848" spans="2:10" ht="12.65" customHeight="1">
      <c r="B848" s="33">
        <f>'Update IDR GWM'!A848</f>
        <v>44223</v>
      </c>
      <c r="C848" s="41">
        <v>100532000</v>
      </c>
      <c r="D848" s="47">
        <v>126789756.83</v>
      </c>
      <c r="E848" s="168">
        <f t="shared" si="131"/>
        <v>26257756.829999998</v>
      </c>
      <c r="G848" s="173">
        <v>1175000</v>
      </c>
      <c r="H848" s="47">
        <v>2000000</v>
      </c>
      <c r="I848" s="171">
        <f t="shared" si="136"/>
        <v>825000</v>
      </c>
      <c r="J848" s="170">
        <f t="shared" si="137"/>
        <v>27082756.829999998</v>
      </c>
    </row>
    <row r="849" spans="2:10" ht="12.65" customHeight="1">
      <c r="B849" s="33">
        <f>'Update IDR GWM'!A849</f>
        <v>44224</v>
      </c>
      <c r="C849" s="41">
        <v>100532000</v>
      </c>
      <c r="D849" s="47">
        <v>101789756.83</v>
      </c>
      <c r="E849" s="168">
        <f t="shared" si="131"/>
        <v>1257756.8299999982</v>
      </c>
      <c r="G849" s="173">
        <v>1175000</v>
      </c>
      <c r="H849" s="47">
        <v>2000000</v>
      </c>
      <c r="I849" s="171">
        <f t="shared" si="136"/>
        <v>825000</v>
      </c>
      <c r="J849" s="170">
        <f t="shared" si="137"/>
        <v>2082756.8299999982</v>
      </c>
    </row>
    <row r="850" spans="2:10" ht="12.65" customHeight="1">
      <c r="B850" s="33">
        <f>'Update IDR GWM'!A850</f>
        <v>44225</v>
      </c>
      <c r="C850" s="41">
        <v>100532000</v>
      </c>
      <c r="D850" s="47">
        <v>101789756.83</v>
      </c>
      <c r="E850" s="168">
        <f t="shared" si="131"/>
        <v>1257756.8299999982</v>
      </c>
      <c r="G850" s="173">
        <v>1175000</v>
      </c>
      <c r="H850" s="47">
        <v>2000000</v>
      </c>
      <c r="I850" s="171">
        <f t="shared" si="136"/>
        <v>825000</v>
      </c>
      <c r="J850" s="170">
        <f t="shared" si="137"/>
        <v>2082756.8299999982</v>
      </c>
    </row>
    <row r="851" spans="2:10" ht="12.65" customHeight="1">
      <c r="B851" s="33">
        <v>44227</v>
      </c>
      <c r="C851" s="41">
        <v>100532000</v>
      </c>
      <c r="D851" s="47">
        <v>101789756.83</v>
      </c>
      <c r="E851" s="168">
        <f>D851-C851</f>
        <v>1257756.8299999982</v>
      </c>
      <c r="G851" s="173">
        <v>1175000</v>
      </c>
      <c r="H851" s="47">
        <v>2000000</v>
      </c>
      <c r="I851" s="171">
        <f>H851-G851</f>
        <v>825000</v>
      </c>
      <c r="J851" s="170">
        <f>E851+I851</f>
        <v>2082756.8299999982</v>
      </c>
    </row>
    <row r="852" spans="2:10" ht="12.65" customHeight="1">
      <c r="B852" s="33">
        <f>'Update IDR GWM'!A852</f>
        <v>44228</v>
      </c>
      <c r="C852" s="41">
        <v>97642000</v>
      </c>
      <c r="D852" s="47">
        <v>101789756.83</v>
      </c>
      <c r="E852" s="168">
        <f t="shared" si="131"/>
        <v>4147756.8299999982</v>
      </c>
      <c r="G852" s="173">
        <v>1239000</v>
      </c>
      <c r="H852" s="47">
        <v>2000000</v>
      </c>
      <c r="I852" s="171">
        <f t="shared" si="136"/>
        <v>761000</v>
      </c>
      <c r="J852" s="170">
        <f t="shared" si="137"/>
        <v>4908756.8299999982</v>
      </c>
    </row>
    <row r="853" spans="2:10" ht="12.65" customHeight="1">
      <c r="B853" s="33">
        <f>'Update IDR GWM'!A853</f>
        <v>44229</v>
      </c>
      <c r="C853" s="41">
        <v>97642000</v>
      </c>
      <c r="D853" s="47">
        <v>99289756.829999998</v>
      </c>
      <c r="E853" s="168">
        <f t="shared" si="131"/>
        <v>1647756.8299999982</v>
      </c>
      <c r="G853" s="173">
        <v>1239000</v>
      </c>
      <c r="H853" s="47">
        <v>2000000</v>
      </c>
      <c r="I853" s="171">
        <f t="shared" ref="I853:I863" si="138">H853-G853</f>
        <v>761000</v>
      </c>
      <c r="J853" s="170">
        <f t="shared" ref="J853:J863" si="139">E853+I853</f>
        <v>2408756.8299999982</v>
      </c>
    </row>
    <row r="854" spans="2:10" ht="12.65" customHeight="1">
      <c r="B854" s="33">
        <f>'Update IDR GWM'!A854</f>
        <v>44230</v>
      </c>
      <c r="C854" s="41">
        <v>97642000</v>
      </c>
      <c r="D854" s="47">
        <v>99289756.829999998</v>
      </c>
      <c r="E854" s="168">
        <f t="shared" si="131"/>
        <v>1647756.8299999982</v>
      </c>
      <c r="G854" s="173">
        <v>1239000</v>
      </c>
      <c r="H854" s="47">
        <v>2000000</v>
      </c>
      <c r="I854" s="171">
        <f t="shared" si="138"/>
        <v>761000</v>
      </c>
      <c r="J854" s="170">
        <f t="shared" si="139"/>
        <v>2408756.8299999982</v>
      </c>
    </row>
    <row r="855" spans="2:10" ht="12.65" customHeight="1">
      <c r="B855" s="33">
        <f>'Update IDR GWM'!A855</f>
        <v>44231</v>
      </c>
      <c r="C855" s="41">
        <v>97642000</v>
      </c>
      <c r="D855" s="47">
        <v>99289756.829999998</v>
      </c>
      <c r="E855" s="168">
        <f t="shared" si="131"/>
        <v>1647756.8299999982</v>
      </c>
      <c r="G855" s="173">
        <v>1239000</v>
      </c>
      <c r="H855" s="47">
        <v>2000000</v>
      </c>
      <c r="I855" s="171">
        <f t="shared" si="138"/>
        <v>761000</v>
      </c>
      <c r="J855" s="170">
        <f t="shared" si="139"/>
        <v>2408756.8299999982</v>
      </c>
    </row>
    <row r="856" spans="2:10" ht="12.65" customHeight="1">
      <c r="B856" s="33">
        <f>'Update IDR GWM'!A856</f>
        <v>44232</v>
      </c>
      <c r="C856" s="41">
        <v>97642000</v>
      </c>
      <c r="D856" s="47">
        <v>99289756.829999998</v>
      </c>
      <c r="E856" s="168">
        <f t="shared" si="131"/>
        <v>1647756.8299999982</v>
      </c>
      <c r="G856" s="173">
        <v>1239000</v>
      </c>
      <c r="H856" s="47">
        <v>2000000</v>
      </c>
      <c r="I856" s="171">
        <f t="shared" si="138"/>
        <v>761000</v>
      </c>
      <c r="J856" s="170">
        <f t="shared" si="139"/>
        <v>2408756.8299999982</v>
      </c>
    </row>
    <row r="857" spans="2:10" ht="12.65" customHeight="1">
      <c r="B857" s="33">
        <f>'Update IDR GWM'!A857</f>
        <v>44235</v>
      </c>
      <c r="C857" s="41">
        <v>97642000</v>
      </c>
      <c r="D857" s="47">
        <v>99289756.829999998</v>
      </c>
      <c r="E857" s="168">
        <f t="shared" si="131"/>
        <v>1647756.8299999982</v>
      </c>
      <c r="G857" s="173">
        <v>1239000</v>
      </c>
      <c r="H857" s="47">
        <v>2000000</v>
      </c>
      <c r="I857" s="171">
        <f t="shared" si="138"/>
        <v>761000</v>
      </c>
      <c r="J857" s="170">
        <f t="shared" si="139"/>
        <v>2408756.8299999982</v>
      </c>
    </row>
    <row r="858" spans="2:10" ht="12.65" customHeight="1">
      <c r="B858" s="33">
        <f>'Update IDR GWM'!A858</f>
        <v>44236</v>
      </c>
      <c r="C858" s="41">
        <v>97642000</v>
      </c>
      <c r="D858" s="47">
        <v>99289756.829999998</v>
      </c>
      <c r="E858" s="168">
        <f t="shared" si="131"/>
        <v>1647756.8299999982</v>
      </c>
      <c r="G858" s="173">
        <v>1239000</v>
      </c>
      <c r="H858" s="47">
        <v>2000000</v>
      </c>
      <c r="I858" s="171">
        <f t="shared" si="138"/>
        <v>761000</v>
      </c>
      <c r="J858" s="170">
        <f t="shared" si="139"/>
        <v>2408756.8299999982</v>
      </c>
    </row>
    <row r="859" spans="2:10" ht="12.65" customHeight="1">
      <c r="B859" s="33">
        <f>'Update IDR GWM'!A859</f>
        <v>44237</v>
      </c>
      <c r="C859" s="41">
        <v>97642000</v>
      </c>
      <c r="D859" s="47">
        <v>99289756.829999998</v>
      </c>
      <c r="E859" s="168">
        <f t="shared" si="131"/>
        <v>1647756.8299999982</v>
      </c>
      <c r="G859" s="173">
        <v>1239000</v>
      </c>
      <c r="H859" s="47">
        <v>2000000</v>
      </c>
      <c r="I859" s="171">
        <f t="shared" si="138"/>
        <v>761000</v>
      </c>
      <c r="J859" s="170">
        <f t="shared" si="139"/>
        <v>2408756.8299999982</v>
      </c>
    </row>
    <row r="860" spans="2:10" ht="12.65" customHeight="1">
      <c r="B860" s="33">
        <f>'Update IDR GWM'!A860</f>
        <v>44238</v>
      </c>
      <c r="C860" s="41">
        <v>97642000</v>
      </c>
      <c r="D860" s="47">
        <v>99289756.829999998</v>
      </c>
      <c r="E860" s="168">
        <f t="shared" si="131"/>
        <v>1647756.8299999982</v>
      </c>
      <c r="G860" s="173">
        <v>1239000</v>
      </c>
      <c r="H860" s="47">
        <v>2000000</v>
      </c>
      <c r="I860" s="171">
        <f t="shared" si="138"/>
        <v>761000</v>
      </c>
      <c r="J860" s="170">
        <f t="shared" si="139"/>
        <v>2408756.8299999982</v>
      </c>
    </row>
    <row r="861" spans="2:10" ht="12.65" customHeight="1">
      <c r="B861" s="33">
        <f>'Update IDR GWM'!A861</f>
        <v>44242</v>
      </c>
      <c r="C861" s="41">
        <v>97642000</v>
      </c>
      <c r="D861" s="47">
        <v>99289756.829999998</v>
      </c>
      <c r="E861" s="168">
        <f t="shared" si="131"/>
        <v>1647756.8299999982</v>
      </c>
      <c r="G861" s="173">
        <v>1239000</v>
      </c>
      <c r="H861" s="47">
        <v>2000000</v>
      </c>
      <c r="I861" s="171">
        <f t="shared" si="138"/>
        <v>761000</v>
      </c>
      <c r="J861" s="170">
        <f t="shared" si="139"/>
        <v>2408756.8299999982</v>
      </c>
    </row>
    <row r="862" spans="2:10" ht="12.65" customHeight="1">
      <c r="B862" s="33">
        <f>'Update IDR GWM'!A862</f>
        <v>44243</v>
      </c>
      <c r="C862" s="41">
        <v>98101000</v>
      </c>
      <c r="D862" s="47">
        <v>99289756.829999998</v>
      </c>
      <c r="E862" s="168">
        <f t="shared" si="131"/>
        <v>1188756.8299999982</v>
      </c>
      <c r="G862" s="173">
        <v>1239000</v>
      </c>
      <c r="H862" s="47">
        <v>2000000</v>
      </c>
      <c r="I862" s="171">
        <f t="shared" si="138"/>
        <v>761000</v>
      </c>
      <c r="J862" s="170">
        <f t="shared" si="139"/>
        <v>1949756.8299999982</v>
      </c>
    </row>
    <row r="863" spans="2:10" ht="12.65" customHeight="1">
      <c r="B863" s="33">
        <f>'Update IDR GWM'!A863</f>
        <v>44244</v>
      </c>
      <c r="C863" s="41">
        <v>98101000</v>
      </c>
      <c r="D863" s="47">
        <v>99289756.829999998</v>
      </c>
      <c r="E863" s="168">
        <f t="shared" si="131"/>
        <v>1188756.8299999982</v>
      </c>
      <c r="G863" s="173">
        <v>1358000</v>
      </c>
      <c r="H863" s="47">
        <v>2000000</v>
      </c>
      <c r="I863" s="171">
        <f t="shared" si="138"/>
        <v>642000</v>
      </c>
      <c r="J863" s="170">
        <f t="shared" si="139"/>
        <v>1830756.8299999982</v>
      </c>
    </row>
    <row r="864" spans="2:10" ht="12.65" customHeight="1">
      <c r="B864" s="33">
        <f>'Update IDR GWM'!A864</f>
        <v>44245</v>
      </c>
      <c r="C864" s="41">
        <v>98101000</v>
      </c>
      <c r="D864" s="47">
        <v>99289756.829999998</v>
      </c>
      <c r="E864" s="168">
        <f t="shared" si="131"/>
        <v>1188756.8299999982</v>
      </c>
      <c r="G864" s="173">
        <v>1358000</v>
      </c>
      <c r="H864" s="47">
        <v>2000000</v>
      </c>
      <c r="I864" s="171">
        <f t="shared" ref="I864:I870" si="140">H864-G864</f>
        <v>642000</v>
      </c>
      <c r="J864" s="170">
        <f t="shared" ref="J864:J870" si="141">E864+I864</f>
        <v>1830756.8299999982</v>
      </c>
    </row>
    <row r="865" spans="2:10" ht="12.65" customHeight="1">
      <c r="B865" s="33">
        <f>'Update IDR GWM'!A865</f>
        <v>44246</v>
      </c>
      <c r="C865" s="41">
        <v>98101000</v>
      </c>
      <c r="D865" s="47">
        <v>99289756.829999998</v>
      </c>
      <c r="E865" s="168">
        <f t="shared" si="131"/>
        <v>1188756.8299999982</v>
      </c>
      <c r="G865" s="173">
        <v>1358000</v>
      </c>
      <c r="H865" s="47">
        <v>2000000</v>
      </c>
      <c r="I865" s="171">
        <f t="shared" si="140"/>
        <v>642000</v>
      </c>
      <c r="J865" s="170">
        <f t="shared" si="141"/>
        <v>1830756.8299999982</v>
      </c>
    </row>
    <row r="866" spans="2:10" ht="12.65" customHeight="1">
      <c r="B866" s="33">
        <f>'Update IDR GWM'!A866</f>
        <v>44249</v>
      </c>
      <c r="C866" s="41">
        <v>98101000</v>
      </c>
      <c r="D866" s="47">
        <v>99289756.829999998</v>
      </c>
      <c r="E866" s="168">
        <f t="shared" si="131"/>
        <v>1188756.8299999982</v>
      </c>
      <c r="G866" s="173">
        <v>1358000</v>
      </c>
      <c r="H866" s="47">
        <v>2000000</v>
      </c>
      <c r="I866" s="171">
        <f t="shared" si="140"/>
        <v>642000</v>
      </c>
      <c r="J866" s="170">
        <f t="shared" si="141"/>
        <v>1830756.8299999982</v>
      </c>
    </row>
    <row r="867" spans="2:10" ht="12.65" customHeight="1">
      <c r="B867" s="33">
        <f>'Update IDR GWM'!A867</f>
        <v>44250</v>
      </c>
      <c r="C867" s="41">
        <v>98101000</v>
      </c>
      <c r="D867" s="47">
        <v>99289756.829999998</v>
      </c>
      <c r="E867" s="168">
        <f t="shared" si="131"/>
        <v>1188756.8299999982</v>
      </c>
      <c r="G867" s="173">
        <v>1358000</v>
      </c>
      <c r="H867" s="47">
        <v>2000000</v>
      </c>
      <c r="I867" s="171">
        <f t="shared" si="140"/>
        <v>642000</v>
      </c>
      <c r="J867" s="170">
        <f t="shared" si="141"/>
        <v>1830756.8299999982</v>
      </c>
    </row>
    <row r="868" spans="2:10" ht="12.65" customHeight="1">
      <c r="B868" s="33">
        <f>'Update IDR GWM'!A868</f>
        <v>44251</v>
      </c>
      <c r="C868" s="41">
        <v>98101000</v>
      </c>
      <c r="D868" s="47">
        <v>99289756.829999998</v>
      </c>
      <c r="E868" s="168">
        <f t="shared" si="131"/>
        <v>1188756.8299999982</v>
      </c>
      <c r="G868" s="173">
        <v>1358000</v>
      </c>
      <c r="H868" s="47">
        <v>2000000</v>
      </c>
      <c r="I868" s="171">
        <f t="shared" si="140"/>
        <v>642000</v>
      </c>
      <c r="J868" s="170">
        <f t="shared" si="141"/>
        <v>1830756.8299999982</v>
      </c>
    </row>
    <row r="869" spans="2:10" ht="12.65" customHeight="1">
      <c r="B869" s="33">
        <f>'Update IDR GWM'!A869</f>
        <v>44252</v>
      </c>
      <c r="C869" s="41">
        <v>98101000</v>
      </c>
      <c r="D869" s="47">
        <v>99289756.829999998</v>
      </c>
      <c r="E869" s="168">
        <f t="shared" si="131"/>
        <v>1188756.8299999982</v>
      </c>
      <c r="G869" s="173">
        <v>1358000</v>
      </c>
      <c r="H869" s="47">
        <v>2000000</v>
      </c>
      <c r="I869" s="171">
        <f t="shared" si="140"/>
        <v>642000</v>
      </c>
      <c r="J869" s="170">
        <f t="shared" si="141"/>
        <v>1830756.8299999982</v>
      </c>
    </row>
    <row r="870" spans="2:10" ht="12.65" customHeight="1">
      <c r="B870" s="33">
        <f>'Update IDR GWM'!A870</f>
        <v>44253</v>
      </c>
      <c r="C870" s="41">
        <v>98101000</v>
      </c>
      <c r="D870" s="47">
        <v>99289756.829999998</v>
      </c>
      <c r="E870" s="168">
        <f t="shared" si="131"/>
        <v>1188756.8299999982</v>
      </c>
      <c r="G870" s="173">
        <v>1358000</v>
      </c>
      <c r="H870" s="47">
        <v>2000000</v>
      </c>
      <c r="I870" s="171">
        <f t="shared" si="140"/>
        <v>642000</v>
      </c>
      <c r="J870" s="170">
        <f t="shared" si="141"/>
        <v>1830756.8299999982</v>
      </c>
    </row>
    <row r="871" spans="2:10" ht="12.65" customHeight="1">
      <c r="B871" s="33">
        <f>'Update IDR GWM'!A871</f>
        <v>44255</v>
      </c>
      <c r="C871" s="41">
        <v>98101000</v>
      </c>
      <c r="D871" s="47">
        <v>99289756.829999998</v>
      </c>
      <c r="E871" s="168">
        <f t="shared" si="131"/>
        <v>1188756.8299999982</v>
      </c>
      <c r="G871" s="173">
        <v>1358000</v>
      </c>
      <c r="H871" s="47">
        <v>2000000</v>
      </c>
      <c r="I871" s="171">
        <f t="shared" ref="I871:I882" si="142">H871-G871</f>
        <v>642000</v>
      </c>
      <c r="J871" s="170">
        <f t="shared" ref="J871:J882" si="143">E871+I871</f>
        <v>1830756.8299999982</v>
      </c>
    </row>
    <row r="872" spans="2:10" ht="12.65" customHeight="1">
      <c r="B872" s="33">
        <f>'Update IDR GWM'!A872</f>
        <v>44256</v>
      </c>
      <c r="C872" s="41">
        <v>98177000</v>
      </c>
      <c r="D872" s="47">
        <v>99289756.829999998</v>
      </c>
      <c r="E872" s="168">
        <f t="shared" si="131"/>
        <v>1112756.8299999982</v>
      </c>
      <c r="G872" s="173">
        <v>1334000</v>
      </c>
      <c r="H872" s="47">
        <v>2000000</v>
      </c>
      <c r="I872" s="171">
        <f t="shared" si="142"/>
        <v>666000</v>
      </c>
      <c r="J872" s="170">
        <f t="shared" si="143"/>
        <v>1778756.8299999982</v>
      </c>
    </row>
    <row r="873" spans="2:10" ht="12.65" customHeight="1">
      <c r="B873" s="33">
        <f>'Update IDR GWM'!A873</f>
        <v>44257</v>
      </c>
      <c r="C873" s="41">
        <v>98177000</v>
      </c>
      <c r="D873" s="47">
        <v>99289756.829999998</v>
      </c>
      <c r="E873" s="168">
        <f t="shared" si="131"/>
        <v>1112756.8299999982</v>
      </c>
      <c r="G873" s="173">
        <v>1334000</v>
      </c>
      <c r="H873" s="47">
        <v>2000000</v>
      </c>
      <c r="I873" s="171">
        <f t="shared" si="142"/>
        <v>666000</v>
      </c>
      <c r="J873" s="170">
        <f t="shared" si="143"/>
        <v>1778756.8299999982</v>
      </c>
    </row>
    <row r="874" spans="2:10" ht="12.65" customHeight="1">
      <c r="B874" s="33">
        <f>'Update IDR GWM'!A874</f>
        <v>44258</v>
      </c>
      <c r="C874" s="41">
        <v>98177000</v>
      </c>
      <c r="D874" s="47">
        <v>99289756.829999998</v>
      </c>
      <c r="E874" s="168">
        <f t="shared" si="131"/>
        <v>1112756.8299999982</v>
      </c>
      <c r="G874" s="173">
        <v>1334000</v>
      </c>
      <c r="H874" s="47">
        <v>2000000</v>
      </c>
      <c r="I874" s="171">
        <f t="shared" si="142"/>
        <v>666000</v>
      </c>
      <c r="J874" s="170">
        <f t="shared" si="143"/>
        <v>1778756.8299999982</v>
      </c>
    </row>
    <row r="875" spans="2:10" ht="12.65" customHeight="1">
      <c r="B875" s="33">
        <f>'Update IDR GWM'!A875</f>
        <v>44259</v>
      </c>
      <c r="C875" s="41">
        <v>98177000</v>
      </c>
      <c r="D875" s="47">
        <v>99289756.829999998</v>
      </c>
      <c r="E875" s="168">
        <f t="shared" si="131"/>
        <v>1112756.8299999982</v>
      </c>
      <c r="G875" s="173">
        <v>1334000</v>
      </c>
      <c r="H875" s="47">
        <v>2000000</v>
      </c>
      <c r="I875" s="171">
        <f t="shared" si="142"/>
        <v>666000</v>
      </c>
      <c r="J875" s="170">
        <f t="shared" si="143"/>
        <v>1778756.8299999982</v>
      </c>
    </row>
    <row r="876" spans="2:10" ht="12.65" customHeight="1">
      <c r="B876" s="33">
        <f>'Update IDR GWM'!A876</f>
        <v>44260</v>
      </c>
      <c r="C876" s="41">
        <v>98177000</v>
      </c>
      <c r="D876" s="47">
        <v>99289756.829999998</v>
      </c>
      <c r="E876" s="168">
        <f t="shared" si="131"/>
        <v>1112756.8299999982</v>
      </c>
      <c r="G876" s="173">
        <v>1334000</v>
      </c>
      <c r="H876" s="47">
        <v>2000000</v>
      </c>
      <c r="I876" s="171">
        <f t="shared" si="142"/>
        <v>666000</v>
      </c>
      <c r="J876" s="170">
        <f t="shared" si="143"/>
        <v>1778756.8299999982</v>
      </c>
    </row>
    <row r="877" spans="2:10" ht="12.65" customHeight="1">
      <c r="B877" s="33">
        <f>'Update IDR GWM'!A877</f>
        <v>44263</v>
      </c>
      <c r="C877" s="41">
        <v>98177000</v>
      </c>
      <c r="D877" s="47">
        <v>99289756.829999998</v>
      </c>
      <c r="E877" s="168">
        <f t="shared" si="131"/>
        <v>1112756.8299999982</v>
      </c>
      <c r="G877" s="173">
        <v>1334000</v>
      </c>
      <c r="H877" s="47">
        <v>2000000</v>
      </c>
      <c r="I877" s="171">
        <f t="shared" si="142"/>
        <v>666000</v>
      </c>
      <c r="J877" s="170">
        <f t="shared" si="143"/>
        <v>1778756.8299999982</v>
      </c>
    </row>
    <row r="878" spans="2:10" ht="12.65" customHeight="1">
      <c r="B878" s="33">
        <f>'Update IDR GWM'!A878</f>
        <v>44264</v>
      </c>
      <c r="C878" s="41">
        <v>98177000</v>
      </c>
      <c r="D878" s="47">
        <v>99289756.829999998</v>
      </c>
      <c r="E878" s="168">
        <f t="shared" ref="E878:E943" si="144">D878-C878</f>
        <v>1112756.8299999982</v>
      </c>
      <c r="G878" s="173">
        <v>1334000</v>
      </c>
      <c r="H878" s="47">
        <v>2000000</v>
      </c>
      <c r="I878" s="171">
        <f t="shared" si="142"/>
        <v>666000</v>
      </c>
      <c r="J878" s="170">
        <f t="shared" si="143"/>
        <v>1778756.8299999982</v>
      </c>
    </row>
    <row r="879" spans="2:10" ht="12.65" customHeight="1">
      <c r="B879" s="33">
        <f>'Update IDR GWM'!A879</f>
        <v>44265</v>
      </c>
      <c r="C879" s="41">
        <v>98177000</v>
      </c>
      <c r="D879" s="47">
        <v>99289756.829999998</v>
      </c>
      <c r="E879" s="168">
        <f t="shared" si="144"/>
        <v>1112756.8299999982</v>
      </c>
      <c r="G879" s="173">
        <v>1334000</v>
      </c>
      <c r="H879" s="47">
        <v>2000000</v>
      </c>
      <c r="I879" s="171">
        <f t="shared" si="142"/>
        <v>666000</v>
      </c>
      <c r="J879" s="170">
        <f t="shared" si="143"/>
        <v>1778756.8299999982</v>
      </c>
    </row>
    <row r="880" spans="2:10" ht="12.65" customHeight="1">
      <c r="B880" s="33">
        <f>'Update IDR GWM'!A880</f>
        <v>44267</v>
      </c>
      <c r="C880" s="41">
        <v>98177000</v>
      </c>
      <c r="D880" s="47">
        <v>99289756.829999998</v>
      </c>
      <c r="E880" s="168">
        <f t="shared" si="144"/>
        <v>1112756.8299999982</v>
      </c>
      <c r="G880" s="173">
        <v>1334000</v>
      </c>
      <c r="H880" s="47">
        <v>2000000</v>
      </c>
      <c r="I880" s="171">
        <f t="shared" si="142"/>
        <v>666000</v>
      </c>
      <c r="J880" s="170">
        <f t="shared" si="143"/>
        <v>1778756.8299999982</v>
      </c>
    </row>
    <row r="881" spans="2:10" ht="12.65" customHeight="1">
      <c r="B881" s="33">
        <f>'Update IDR GWM'!A881</f>
        <v>44270</v>
      </c>
      <c r="C881" s="41">
        <v>98177000</v>
      </c>
      <c r="D881" s="47">
        <v>99289756.829999998</v>
      </c>
      <c r="E881" s="168">
        <f t="shared" si="144"/>
        <v>1112756.8299999982</v>
      </c>
      <c r="G881" s="173">
        <v>1334000</v>
      </c>
      <c r="H881" s="47">
        <v>2000000</v>
      </c>
      <c r="I881" s="171">
        <f t="shared" si="142"/>
        <v>666000</v>
      </c>
      <c r="J881" s="170">
        <f t="shared" si="143"/>
        <v>1778756.8299999982</v>
      </c>
    </row>
    <row r="882" spans="2:10" ht="12.65" customHeight="1">
      <c r="B882" s="33">
        <f>'Update IDR GWM'!A882</f>
        <v>44271</v>
      </c>
      <c r="C882" s="41">
        <v>97632000</v>
      </c>
      <c r="D882" s="47">
        <v>99289756.829999998</v>
      </c>
      <c r="E882" s="168">
        <f t="shared" si="144"/>
        <v>1657756.8299999982</v>
      </c>
      <c r="G882" s="173">
        <v>1364000</v>
      </c>
      <c r="H882" s="47">
        <v>2000000</v>
      </c>
      <c r="I882" s="171">
        <f t="shared" si="142"/>
        <v>636000</v>
      </c>
      <c r="J882" s="170">
        <f t="shared" si="143"/>
        <v>2293756.8299999982</v>
      </c>
    </row>
    <row r="883" spans="2:10" ht="12.65" customHeight="1">
      <c r="B883" s="33">
        <f>'Update IDR GWM'!A883</f>
        <v>44272</v>
      </c>
      <c r="C883" s="41">
        <v>97632000</v>
      </c>
      <c r="D883" s="47">
        <v>99289756.829999998</v>
      </c>
      <c r="E883" s="168">
        <f t="shared" si="144"/>
        <v>1657756.8299999982</v>
      </c>
      <c r="G883" s="173">
        <v>1364000</v>
      </c>
      <c r="H883" s="47">
        <v>2000000</v>
      </c>
      <c r="I883" s="171">
        <f t="shared" ref="I883:I894" si="145">H883-G883</f>
        <v>636000</v>
      </c>
      <c r="J883" s="170">
        <f t="shared" ref="J883:J894" si="146">E883+I883</f>
        <v>2293756.8299999982</v>
      </c>
    </row>
    <row r="884" spans="2:10" ht="12.65" customHeight="1">
      <c r="B884" s="33">
        <f>'Update IDR GWM'!A884</f>
        <v>44273</v>
      </c>
      <c r="C884" s="41">
        <v>97632000</v>
      </c>
      <c r="D884" s="47">
        <v>99289756.829999998</v>
      </c>
      <c r="E884" s="168">
        <f t="shared" si="144"/>
        <v>1657756.8299999982</v>
      </c>
      <c r="G884" s="173">
        <v>1364000</v>
      </c>
      <c r="H884" s="47">
        <v>2000000</v>
      </c>
      <c r="I884" s="171">
        <f t="shared" si="145"/>
        <v>636000</v>
      </c>
      <c r="J884" s="170">
        <f t="shared" si="146"/>
        <v>2293756.8299999982</v>
      </c>
    </row>
    <row r="885" spans="2:10" ht="12.65" customHeight="1">
      <c r="B885" s="33">
        <f>'Update IDR GWM'!A885</f>
        <v>44274</v>
      </c>
      <c r="C885" s="41">
        <v>97632000</v>
      </c>
      <c r="D885" s="47">
        <v>99289756.829999998</v>
      </c>
      <c r="E885" s="168">
        <f t="shared" si="144"/>
        <v>1657756.8299999982</v>
      </c>
      <c r="G885" s="173">
        <v>1364000</v>
      </c>
      <c r="H885" s="47">
        <v>2000000</v>
      </c>
      <c r="I885" s="171">
        <f t="shared" si="145"/>
        <v>636000</v>
      </c>
      <c r="J885" s="170">
        <f t="shared" si="146"/>
        <v>2293756.8299999982</v>
      </c>
    </row>
    <row r="886" spans="2:10" ht="12.65" customHeight="1">
      <c r="B886" s="33">
        <f>'Update IDR GWM'!A886</f>
        <v>44277</v>
      </c>
      <c r="C886" s="41">
        <v>97632000</v>
      </c>
      <c r="D886" s="47">
        <v>99289756.829999998</v>
      </c>
      <c r="E886" s="168">
        <f t="shared" si="144"/>
        <v>1657756.8299999982</v>
      </c>
      <c r="G886" s="173">
        <v>1364000</v>
      </c>
      <c r="H886" s="47">
        <v>2000000</v>
      </c>
      <c r="I886" s="171">
        <f t="shared" si="145"/>
        <v>636000</v>
      </c>
      <c r="J886" s="170">
        <f t="shared" si="146"/>
        <v>2293756.8299999982</v>
      </c>
    </row>
    <row r="887" spans="2:10" ht="12.65" customHeight="1">
      <c r="B887" s="33">
        <f>'Update IDR GWM'!A887</f>
        <v>44278</v>
      </c>
      <c r="C887" s="41">
        <v>97632000</v>
      </c>
      <c r="D887" s="47">
        <v>99289756.829999998</v>
      </c>
      <c r="E887" s="168">
        <f t="shared" si="144"/>
        <v>1657756.8299999982</v>
      </c>
      <c r="G887" s="173">
        <v>1364000</v>
      </c>
      <c r="H887" s="47">
        <v>2000000</v>
      </c>
      <c r="I887" s="171">
        <f t="shared" si="145"/>
        <v>636000</v>
      </c>
      <c r="J887" s="170">
        <f t="shared" si="146"/>
        <v>2293756.8299999982</v>
      </c>
    </row>
    <row r="888" spans="2:10" ht="12.65" customHeight="1">
      <c r="B888" s="33">
        <f>'Update IDR GWM'!A888</f>
        <v>44279</v>
      </c>
      <c r="C888" s="41">
        <v>97632000</v>
      </c>
      <c r="D888" s="47">
        <v>99289756.829999998</v>
      </c>
      <c r="E888" s="168">
        <f t="shared" si="144"/>
        <v>1657756.8299999982</v>
      </c>
      <c r="G888" s="173">
        <v>1364000</v>
      </c>
      <c r="H888" s="47">
        <v>2000000</v>
      </c>
      <c r="I888" s="171">
        <f t="shared" si="145"/>
        <v>636000</v>
      </c>
      <c r="J888" s="170">
        <f t="shared" si="146"/>
        <v>2293756.8299999982</v>
      </c>
    </row>
    <row r="889" spans="2:10" ht="12.65" customHeight="1">
      <c r="B889" s="33">
        <f>'Update IDR GWM'!A889</f>
        <v>44280</v>
      </c>
      <c r="C889" s="41">
        <v>97632000</v>
      </c>
      <c r="D889" s="47">
        <v>99289756.829999998</v>
      </c>
      <c r="E889" s="168">
        <f t="shared" si="144"/>
        <v>1657756.8299999982</v>
      </c>
      <c r="G889" s="173">
        <v>1364000</v>
      </c>
      <c r="H889" s="47">
        <v>2000000</v>
      </c>
      <c r="I889" s="171">
        <f t="shared" si="145"/>
        <v>636000</v>
      </c>
      <c r="J889" s="170">
        <f t="shared" si="146"/>
        <v>2293756.8299999982</v>
      </c>
    </row>
    <row r="890" spans="2:10" ht="12.65" customHeight="1">
      <c r="B890" s="33">
        <f>'Update IDR GWM'!A890</f>
        <v>44281</v>
      </c>
      <c r="C890" s="41">
        <v>97632000</v>
      </c>
      <c r="D890" s="47">
        <v>99289756.829999998</v>
      </c>
      <c r="E890" s="168">
        <f t="shared" si="144"/>
        <v>1657756.8299999982</v>
      </c>
      <c r="G890" s="173">
        <v>1364000</v>
      </c>
      <c r="H890" s="47">
        <v>2000000</v>
      </c>
      <c r="I890" s="171">
        <f t="shared" si="145"/>
        <v>636000</v>
      </c>
      <c r="J890" s="170">
        <f t="shared" si="146"/>
        <v>2293756.8299999982</v>
      </c>
    </row>
    <row r="891" spans="2:10" ht="12.65" customHeight="1">
      <c r="B891" s="33">
        <f>'Update IDR GWM'!A891</f>
        <v>44284</v>
      </c>
      <c r="C891" s="41">
        <v>97632000</v>
      </c>
      <c r="D891" s="47">
        <v>99289756.829999998</v>
      </c>
      <c r="E891" s="168">
        <f t="shared" si="144"/>
        <v>1657756.8299999982</v>
      </c>
      <c r="G891" s="173">
        <v>1364000</v>
      </c>
      <c r="H891" s="47">
        <v>2000000</v>
      </c>
      <c r="I891" s="171">
        <f t="shared" si="145"/>
        <v>636000</v>
      </c>
      <c r="J891" s="170">
        <f t="shared" si="146"/>
        <v>2293756.8299999982</v>
      </c>
    </row>
    <row r="892" spans="2:10" ht="12.65" customHeight="1">
      <c r="B892" s="33">
        <f>'Update IDR GWM'!A892</f>
        <v>44285</v>
      </c>
      <c r="C892" s="41">
        <v>97632000</v>
      </c>
      <c r="D892" s="47">
        <v>99289756.829999998</v>
      </c>
      <c r="E892" s="168">
        <f t="shared" si="144"/>
        <v>1657756.8299999982</v>
      </c>
      <c r="G892" s="173">
        <v>1364000</v>
      </c>
      <c r="H892" s="47">
        <v>2000000</v>
      </c>
      <c r="I892" s="171">
        <f t="shared" si="145"/>
        <v>636000</v>
      </c>
      <c r="J892" s="170">
        <f t="shared" si="146"/>
        <v>2293756.8299999982</v>
      </c>
    </row>
    <row r="893" spans="2:10" ht="12.65" customHeight="1">
      <c r="B893" s="33">
        <f>'Update IDR GWM'!A893</f>
        <v>44286</v>
      </c>
      <c r="C893" s="41">
        <v>97632000</v>
      </c>
      <c r="D893" s="47">
        <v>99289756.829999998</v>
      </c>
      <c r="E893" s="168">
        <f t="shared" si="144"/>
        <v>1657756.8299999982</v>
      </c>
      <c r="G893" s="173">
        <v>1364000</v>
      </c>
      <c r="H893" s="47">
        <v>2000000</v>
      </c>
      <c r="I893" s="171">
        <f t="shared" si="145"/>
        <v>636000</v>
      </c>
      <c r="J893" s="170">
        <f t="shared" si="146"/>
        <v>2293756.8299999982</v>
      </c>
    </row>
    <row r="894" spans="2:10" ht="12.65" customHeight="1">
      <c r="B894" s="33">
        <f>'Update IDR GWM'!A894</f>
        <v>44287</v>
      </c>
      <c r="C894" s="41">
        <v>95757000</v>
      </c>
      <c r="D894" s="47">
        <v>99289756.829999998</v>
      </c>
      <c r="E894" s="168">
        <f t="shared" si="144"/>
        <v>3532756.8299999982</v>
      </c>
      <c r="G894" s="173">
        <v>1321000</v>
      </c>
      <c r="H894" s="47">
        <v>2000000</v>
      </c>
      <c r="I894" s="171">
        <f t="shared" si="145"/>
        <v>679000</v>
      </c>
      <c r="J894" s="170">
        <f t="shared" si="146"/>
        <v>4211756.8299999982</v>
      </c>
    </row>
    <row r="895" spans="2:10" ht="12.65" customHeight="1">
      <c r="B895" s="33">
        <f>'Update IDR GWM'!A895</f>
        <v>44291</v>
      </c>
      <c r="C895" s="41">
        <v>95757000</v>
      </c>
      <c r="D895" s="47">
        <v>99289756.829999998</v>
      </c>
      <c r="E895" s="168">
        <f t="shared" si="144"/>
        <v>3532756.8299999982</v>
      </c>
      <c r="G895" s="173">
        <v>1321000</v>
      </c>
      <c r="H895" s="47">
        <v>2000000</v>
      </c>
      <c r="I895" s="171">
        <f t="shared" ref="I895:I925" si="147">H895-G895</f>
        <v>679000</v>
      </c>
      <c r="J895" s="170">
        <f t="shared" ref="J895:J925" si="148">E895+I895</f>
        <v>4211756.8299999982</v>
      </c>
    </row>
    <row r="896" spans="2:10" ht="12.65" customHeight="1">
      <c r="B896" s="33">
        <f>'Update IDR GWM'!A896</f>
        <v>44292</v>
      </c>
      <c r="C896" s="41">
        <v>95757000</v>
      </c>
      <c r="D896" s="47">
        <v>97289756.829999998</v>
      </c>
      <c r="E896" s="168">
        <f t="shared" si="144"/>
        <v>1532756.8299999982</v>
      </c>
      <c r="G896" s="173">
        <v>1321000</v>
      </c>
      <c r="H896" s="47">
        <v>2000000</v>
      </c>
      <c r="I896" s="171">
        <f t="shared" si="147"/>
        <v>679000</v>
      </c>
      <c r="J896" s="170">
        <f t="shared" si="148"/>
        <v>2211756.8299999982</v>
      </c>
    </row>
    <row r="897" spans="2:10" ht="12.65" customHeight="1">
      <c r="B897" s="33">
        <f>'Update IDR GWM'!A897</f>
        <v>44293</v>
      </c>
      <c r="C897" s="41">
        <v>95757000</v>
      </c>
      <c r="D897" s="47">
        <v>97289756.829999998</v>
      </c>
      <c r="E897" s="168">
        <f t="shared" si="144"/>
        <v>1532756.8299999982</v>
      </c>
      <c r="G897" s="173">
        <v>1321000</v>
      </c>
      <c r="H897" s="47">
        <v>2000000</v>
      </c>
      <c r="I897" s="171">
        <f t="shared" si="147"/>
        <v>679000</v>
      </c>
      <c r="J897" s="170">
        <f t="shared" si="148"/>
        <v>2211756.8299999982</v>
      </c>
    </row>
    <row r="898" spans="2:10" ht="12.65" customHeight="1">
      <c r="B898" s="33">
        <f>'Update IDR GWM'!A898</f>
        <v>44294</v>
      </c>
      <c r="C898" s="41">
        <v>95757000</v>
      </c>
      <c r="D898" s="47">
        <v>97289756.829999998</v>
      </c>
      <c r="E898" s="168">
        <f t="shared" si="144"/>
        <v>1532756.8299999982</v>
      </c>
      <c r="G898" s="173">
        <v>1321000</v>
      </c>
      <c r="H898" s="47">
        <v>2000000</v>
      </c>
      <c r="I898" s="171">
        <f t="shared" si="147"/>
        <v>679000</v>
      </c>
      <c r="J898" s="170">
        <f t="shared" si="148"/>
        <v>2211756.8299999982</v>
      </c>
    </row>
    <row r="899" spans="2:10" ht="12.65" customHeight="1">
      <c r="B899" s="33">
        <f>'Update IDR GWM'!A899</f>
        <v>44295</v>
      </c>
      <c r="C899" s="41">
        <v>95757000</v>
      </c>
      <c r="D899" s="47">
        <v>97289756.829999998</v>
      </c>
      <c r="E899" s="168">
        <f t="shared" si="144"/>
        <v>1532756.8299999982</v>
      </c>
      <c r="G899" s="173">
        <v>1321000</v>
      </c>
      <c r="H899" s="47">
        <v>2000000</v>
      </c>
      <c r="I899" s="171">
        <f t="shared" si="147"/>
        <v>679000</v>
      </c>
      <c r="J899" s="170">
        <f t="shared" si="148"/>
        <v>2211756.8299999982</v>
      </c>
    </row>
    <row r="900" spans="2:10" ht="12.65" customHeight="1">
      <c r="B900" s="33">
        <f>'Update IDR GWM'!A900</f>
        <v>44298</v>
      </c>
      <c r="C900" s="41">
        <v>95757000</v>
      </c>
      <c r="D900" s="47">
        <v>97289756.829999998</v>
      </c>
      <c r="E900" s="168">
        <f t="shared" si="144"/>
        <v>1532756.8299999982</v>
      </c>
      <c r="G900" s="173">
        <v>1321000</v>
      </c>
      <c r="H900" s="47">
        <v>2000000</v>
      </c>
      <c r="I900" s="171">
        <f t="shared" si="147"/>
        <v>679000</v>
      </c>
      <c r="J900" s="170">
        <f t="shared" si="148"/>
        <v>2211756.8299999982</v>
      </c>
    </row>
    <row r="901" spans="2:10" ht="12.65" customHeight="1">
      <c r="B901" s="33">
        <f>'Update IDR GWM'!A901</f>
        <v>44299</v>
      </c>
      <c r="C901" s="41">
        <v>95757000</v>
      </c>
      <c r="D901" s="47">
        <v>97289756.829999998</v>
      </c>
      <c r="E901" s="168">
        <f t="shared" si="144"/>
        <v>1532756.8299999982</v>
      </c>
      <c r="G901" s="173">
        <v>1321000</v>
      </c>
      <c r="H901" s="47">
        <v>2000000</v>
      </c>
      <c r="I901" s="171">
        <f t="shared" si="147"/>
        <v>679000</v>
      </c>
      <c r="J901" s="170">
        <f t="shared" si="148"/>
        <v>2211756.8299999982</v>
      </c>
    </row>
    <row r="902" spans="2:10" ht="12.65" customHeight="1">
      <c r="B902" s="33">
        <f>'Update IDR GWM'!A902</f>
        <v>44300</v>
      </c>
      <c r="C902" s="41">
        <v>95757000</v>
      </c>
      <c r="D902" s="47">
        <v>97289756.829999998</v>
      </c>
      <c r="E902" s="168">
        <f t="shared" si="144"/>
        <v>1532756.8299999982</v>
      </c>
      <c r="G902" s="173">
        <v>1321000</v>
      </c>
      <c r="H902" s="47">
        <v>2000000</v>
      </c>
      <c r="I902" s="171">
        <f t="shared" si="147"/>
        <v>679000</v>
      </c>
      <c r="J902" s="170">
        <f t="shared" si="148"/>
        <v>2211756.8299999982</v>
      </c>
    </row>
    <row r="903" spans="2:10" ht="12.65" customHeight="1">
      <c r="B903" s="33">
        <f>'Update IDR GWM'!A903</f>
        <v>44301</v>
      </c>
      <c r="C903" s="41">
        <v>95757000</v>
      </c>
      <c r="D903" s="47">
        <v>97289756.829999998</v>
      </c>
      <c r="E903" s="168">
        <f t="shared" si="144"/>
        <v>1532756.8299999982</v>
      </c>
      <c r="G903" s="173">
        <v>1321000</v>
      </c>
      <c r="H903" s="47">
        <v>2000000</v>
      </c>
      <c r="I903" s="171">
        <f t="shared" si="147"/>
        <v>679000</v>
      </c>
      <c r="J903" s="170">
        <f t="shared" si="148"/>
        <v>2211756.8299999982</v>
      </c>
    </row>
    <row r="904" spans="2:10" ht="12.65" customHeight="1">
      <c r="B904" s="33">
        <f>'Update IDR GWM'!A904</f>
        <v>44302</v>
      </c>
      <c r="C904" s="41">
        <v>94481000</v>
      </c>
      <c r="D904" s="47">
        <v>97289756.829999998</v>
      </c>
      <c r="E904" s="168">
        <f t="shared" si="144"/>
        <v>2808756.8299999982</v>
      </c>
      <c r="G904" s="173">
        <v>1390000</v>
      </c>
      <c r="H904" s="47">
        <v>2000000</v>
      </c>
      <c r="I904" s="171">
        <f t="shared" si="147"/>
        <v>610000</v>
      </c>
      <c r="J904" s="170">
        <f t="shared" si="148"/>
        <v>3418756.8299999982</v>
      </c>
    </row>
    <row r="905" spans="2:10" ht="12.65" customHeight="1">
      <c r="B905" s="33">
        <f>'Update IDR GWM'!A905</f>
        <v>44305</v>
      </c>
      <c r="C905" s="41">
        <v>94481000</v>
      </c>
      <c r="D905" s="47">
        <v>95789756.829999998</v>
      </c>
      <c r="E905" s="168">
        <f t="shared" si="144"/>
        <v>1308756.8299999982</v>
      </c>
      <c r="G905" s="173">
        <v>1390000</v>
      </c>
      <c r="H905" s="47">
        <v>2000000</v>
      </c>
      <c r="I905" s="171">
        <f t="shared" si="147"/>
        <v>610000</v>
      </c>
      <c r="J905" s="170">
        <f t="shared" si="148"/>
        <v>1918756.8299999982</v>
      </c>
    </row>
    <row r="906" spans="2:10" ht="12.65" customHeight="1">
      <c r="B906" s="33">
        <f>'Update IDR GWM'!A906</f>
        <v>44306</v>
      </c>
      <c r="C906" s="41">
        <v>94481000</v>
      </c>
      <c r="D906" s="47">
        <v>95789756.829999998</v>
      </c>
      <c r="E906" s="168">
        <f t="shared" si="144"/>
        <v>1308756.8299999982</v>
      </c>
      <c r="G906" s="173">
        <v>1390000</v>
      </c>
      <c r="H906" s="47">
        <v>2000000</v>
      </c>
      <c r="I906" s="171">
        <f t="shared" si="147"/>
        <v>610000</v>
      </c>
      <c r="J906" s="170">
        <f t="shared" si="148"/>
        <v>1918756.8299999982</v>
      </c>
    </row>
    <row r="907" spans="2:10" ht="12.65" customHeight="1">
      <c r="B907" s="33">
        <f>'Update IDR GWM'!A907</f>
        <v>44307</v>
      </c>
      <c r="C907" s="41">
        <v>94481000</v>
      </c>
      <c r="D907" s="47">
        <v>95789756.829999998</v>
      </c>
      <c r="E907" s="168">
        <f t="shared" si="144"/>
        <v>1308756.8299999982</v>
      </c>
      <c r="G907" s="173">
        <v>1390000</v>
      </c>
      <c r="H907" s="47">
        <v>2000000</v>
      </c>
      <c r="I907" s="171">
        <f t="shared" si="147"/>
        <v>610000</v>
      </c>
      <c r="J907" s="170">
        <f t="shared" si="148"/>
        <v>1918756.8299999982</v>
      </c>
    </row>
    <row r="908" spans="2:10" ht="12.65" customHeight="1">
      <c r="B908" s="33">
        <f>'Update IDR GWM'!A908</f>
        <v>44308</v>
      </c>
      <c r="C908" s="41">
        <v>94481000</v>
      </c>
      <c r="D908" s="47">
        <v>95789756.829999998</v>
      </c>
      <c r="E908" s="168">
        <f t="shared" si="144"/>
        <v>1308756.8299999982</v>
      </c>
      <c r="G908" s="173">
        <v>1390000</v>
      </c>
      <c r="H908" s="47">
        <v>2000000</v>
      </c>
      <c r="I908" s="171">
        <f t="shared" si="147"/>
        <v>610000</v>
      </c>
      <c r="J908" s="170">
        <f t="shared" si="148"/>
        <v>1918756.8299999982</v>
      </c>
    </row>
    <row r="909" spans="2:10" ht="12.65" customHeight="1">
      <c r="B909" s="33">
        <f>'Update IDR GWM'!A909</f>
        <v>44309</v>
      </c>
      <c r="C909" s="41">
        <v>94481000</v>
      </c>
      <c r="D909" s="47">
        <v>95789756.829999998</v>
      </c>
      <c r="E909" s="168">
        <f t="shared" si="144"/>
        <v>1308756.8299999982</v>
      </c>
      <c r="G909" s="173">
        <v>1390000</v>
      </c>
      <c r="H909" s="47">
        <v>2000000</v>
      </c>
      <c r="I909" s="171">
        <f t="shared" si="147"/>
        <v>610000</v>
      </c>
      <c r="J909" s="170">
        <f t="shared" si="148"/>
        <v>1918756.8299999982</v>
      </c>
    </row>
    <row r="910" spans="2:10" ht="12.65" customHeight="1">
      <c r="B910" s="33">
        <f>'Update IDR GWM'!A910</f>
        <v>44312</v>
      </c>
      <c r="C910" s="41">
        <v>94481000</v>
      </c>
      <c r="D910" s="47">
        <v>95789756.829999998</v>
      </c>
      <c r="E910" s="168">
        <f t="shared" si="144"/>
        <v>1308756.8299999982</v>
      </c>
      <c r="G910" s="173">
        <v>1390000</v>
      </c>
      <c r="H910" s="47">
        <v>2000000</v>
      </c>
      <c r="I910" s="171">
        <f t="shared" si="147"/>
        <v>610000</v>
      </c>
      <c r="J910" s="170">
        <f t="shared" si="148"/>
        <v>1918756.8299999982</v>
      </c>
    </row>
    <row r="911" spans="2:10" ht="12.65" customHeight="1">
      <c r="B911" s="33">
        <f>'Update IDR GWM'!A911</f>
        <v>44313</v>
      </c>
      <c r="C911" s="41">
        <v>94481000</v>
      </c>
      <c r="D911" s="47">
        <v>95589756.829999998</v>
      </c>
      <c r="E911" s="168">
        <f t="shared" si="144"/>
        <v>1108756.8299999982</v>
      </c>
      <c r="G911" s="173">
        <v>1390000</v>
      </c>
      <c r="H911" s="47">
        <v>2000000</v>
      </c>
      <c r="I911" s="171">
        <f t="shared" si="147"/>
        <v>610000</v>
      </c>
      <c r="J911" s="170">
        <f t="shared" si="148"/>
        <v>1718756.8299999982</v>
      </c>
    </row>
    <row r="912" spans="2:10" ht="12.65" customHeight="1">
      <c r="B912" s="33">
        <f>'Update IDR GWM'!A912</f>
        <v>44314</v>
      </c>
      <c r="C912" s="41">
        <v>94481000</v>
      </c>
      <c r="D912" s="47">
        <v>95589756.829999998</v>
      </c>
      <c r="E912" s="168">
        <f t="shared" si="144"/>
        <v>1108756.8299999982</v>
      </c>
      <c r="G912" s="173">
        <v>1390000</v>
      </c>
      <c r="H912" s="47">
        <v>2000000</v>
      </c>
      <c r="I912" s="171">
        <f t="shared" si="147"/>
        <v>610000</v>
      </c>
      <c r="J912" s="170">
        <f t="shared" si="148"/>
        <v>1718756.8299999982</v>
      </c>
    </row>
    <row r="913" spans="2:10" ht="12.65" customHeight="1">
      <c r="B913" s="33">
        <f>'Update IDR GWM'!A913</f>
        <v>44315</v>
      </c>
      <c r="C913" s="41">
        <v>94481000</v>
      </c>
      <c r="D913" s="47">
        <v>95589756.829999998</v>
      </c>
      <c r="E913" s="168">
        <f t="shared" si="144"/>
        <v>1108756.8299999982</v>
      </c>
      <c r="G913" s="173">
        <v>1390000</v>
      </c>
      <c r="H913" s="47">
        <v>2000000</v>
      </c>
      <c r="I913" s="171">
        <f t="shared" si="147"/>
        <v>610000</v>
      </c>
      <c r="J913" s="170">
        <f t="shared" si="148"/>
        <v>1718756.8299999982</v>
      </c>
    </row>
    <row r="914" spans="2:10" ht="12.65" customHeight="1">
      <c r="B914" s="33">
        <f>'Update IDR GWM'!A914</f>
        <v>44316</v>
      </c>
      <c r="C914" s="41">
        <v>94481000</v>
      </c>
      <c r="D914" s="47">
        <v>95589756.829999998</v>
      </c>
      <c r="E914" s="168">
        <f t="shared" si="144"/>
        <v>1108756.8299999982</v>
      </c>
      <c r="G914" s="173">
        <v>1390000</v>
      </c>
      <c r="H914" s="47">
        <v>1800000</v>
      </c>
      <c r="I914" s="171">
        <f t="shared" si="147"/>
        <v>410000</v>
      </c>
      <c r="J914" s="170">
        <f t="shared" si="148"/>
        <v>1518756.8299999982</v>
      </c>
    </row>
    <row r="915" spans="2:10" ht="12.65" customHeight="1">
      <c r="B915" s="33">
        <f>'Update IDR GWM'!A915</f>
        <v>44319</v>
      </c>
      <c r="C915" s="41">
        <v>95102000</v>
      </c>
      <c r="D915" s="47">
        <v>95589756.829999998</v>
      </c>
      <c r="E915" s="168">
        <f t="shared" si="144"/>
        <v>487756.82999999821</v>
      </c>
      <c r="G915" s="173">
        <v>1311000</v>
      </c>
      <c r="H915" s="47">
        <v>1800000</v>
      </c>
      <c r="I915" s="171">
        <f t="shared" si="147"/>
        <v>489000</v>
      </c>
      <c r="J915" s="170">
        <f t="shared" si="148"/>
        <v>976756.82999999821</v>
      </c>
    </row>
    <row r="916" spans="2:10" ht="12.65" customHeight="1">
      <c r="B916" s="33">
        <f>'Update IDR GWM'!A916</f>
        <v>44320</v>
      </c>
      <c r="C916" s="41">
        <v>95102000</v>
      </c>
      <c r="D916" s="47">
        <v>95589756.829999998</v>
      </c>
      <c r="E916" s="168">
        <f t="shared" si="144"/>
        <v>487756.82999999821</v>
      </c>
      <c r="G916" s="173">
        <v>1311000</v>
      </c>
      <c r="H916" s="47">
        <v>1800000</v>
      </c>
      <c r="I916" s="171">
        <f t="shared" si="147"/>
        <v>489000</v>
      </c>
      <c r="J916" s="170">
        <f t="shared" si="148"/>
        <v>976756.82999999821</v>
      </c>
    </row>
    <row r="917" spans="2:10" ht="12.65" customHeight="1">
      <c r="B917" s="33">
        <f>'Update IDR GWM'!A917</f>
        <v>44321</v>
      </c>
      <c r="C917" s="41">
        <v>95102000</v>
      </c>
      <c r="D917" s="47">
        <v>96589756.829999998</v>
      </c>
      <c r="E917" s="168">
        <f t="shared" si="144"/>
        <v>1487756.8299999982</v>
      </c>
      <c r="G917" s="173">
        <v>1311000</v>
      </c>
      <c r="H917" s="47">
        <v>1800000</v>
      </c>
      <c r="I917" s="171">
        <f t="shared" si="147"/>
        <v>489000</v>
      </c>
      <c r="J917" s="170">
        <f t="shared" si="148"/>
        <v>1976756.8299999982</v>
      </c>
    </row>
    <row r="918" spans="2:10" ht="12.65" customHeight="1">
      <c r="B918" s="33">
        <f>'Update IDR GWM'!A918</f>
        <v>44322</v>
      </c>
      <c r="C918" s="41">
        <v>95102000</v>
      </c>
      <c r="D918" s="47">
        <v>96589756.829999998</v>
      </c>
      <c r="E918" s="168">
        <f t="shared" si="144"/>
        <v>1487756.8299999982</v>
      </c>
      <c r="G918" s="173">
        <v>1311000</v>
      </c>
      <c r="H918" s="47">
        <v>1800000</v>
      </c>
      <c r="I918" s="171">
        <f t="shared" si="147"/>
        <v>489000</v>
      </c>
      <c r="J918" s="170">
        <f t="shared" si="148"/>
        <v>1976756.8299999982</v>
      </c>
    </row>
    <row r="919" spans="2:10" ht="12.65" customHeight="1">
      <c r="B919" s="33">
        <f>'Update IDR GWM'!A919</f>
        <v>44323</v>
      </c>
      <c r="C919" s="41">
        <v>95102000</v>
      </c>
      <c r="D919" s="47">
        <v>96589756.829999998</v>
      </c>
      <c r="E919" s="168">
        <f t="shared" si="144"/>
        <v>1487756.8299999982</v>
      </c>
      <c r="G919" s="173">
        <v>1311000</v>
      </c>
      <c r="H919" s="47">
        <v>1800000</v>
      </c>
      <c r="I919" s="171">
        <f t="shared" si="147"/>
        <v>489000</v>
      </c>
      <c r="J919" s="170">
        <f t="shared" si="148"/>
        <v>1976756.8299999982</v>
      </c>
    </row>
    <row r="920" spans="2:10" ht="12.65" customHeight="1">
      <c r="B920" s="33">
        <f>'Update IDR GWM'!A920</f>
        <v>44326</v>
      </c>
      <c r="C920" s="41">
        <v>95102000</v>
      </c>
      <c r="D920" s="47">
        <v>96589756.829999998</v>
      </c>
      <c r="E920" s="168">
        <f t="shared" si="144"/>
        <v>1487756.8299999982</v>
      </c>
      <c r="G920" s="173">
        <v>1311000</v>
      </c>
      <c r="H920" s="47">
        <v>1800000</v>
      </c>
      <c r="I920" s="171">
        <f t="shared" si="147"/>
        <v>489000</v>
      </c>
      <c r="J920" s="170">
        <f t="shared" si="148"/>
        <v>1976756.8299999982</v>
      </c>
    </row>
    <row r="921" spans="2:10" ht="12.65" customHeight="1">
      <c r="B921" s="33">
        <f>'Update IDR GWM'!A921</f>
        <v>44327</v>
      </c>
      <c r="C921" s="41">
        <v>95102000</v>
      </c>
      <c r="D921" s="47">
        <v>96589756.829999998</v>
      </c>
      <c r="E921" s="168">
        <f t="shared" si="144"/>
        <v>1487756.8299999982</v>
      </c>
      <c r="G921" s="173">
        <v>1311000</v>
      </c>
      <c r="H921" s="47">
        <v>1800000</v>
      </c>
      <c r="I921" s="171">
        <f t="shared" si="147"/>
        <v>489000</v>
      </c>
      <c r="J921" s="170">
        <f t="shared" si="148"/>
        <v>1976756.8299999982</v>
      </c>
    </row>
    <row r="922" spans="2:10" ht="12.65" customHeight="1">
      <c r="B922" s="33">
        <f>'Update IDR GWM'!A922</f>
        <v>44333</v>
      </c>
      <c r="C922" s="41">
        <v>97245000</v>
      </c>
      <c r="D922" s="47">
        <v>98614756.829999998</v>
      </c>
      <c r="E922" s="168">
        <f t="shared" si="144"/>
        <v>1369756.8299999982</v>
      </c>
      <c r="G922" s="173">
        <v>1228000</v>
      </c>
      <c r="H922" s="47">
        <v>1800000</v>
      </c>
      <c r="I922" s="171">
        <f t="shared" si="147"/>
        <v>572000</v>
      </c>
      <c r="J922" s="170">
        <f t="shared" si="148"/>
        <v>1941756.8299999982</v>
      </c>
    </row>
    <row r="923" spans="2:10" ht="12.65" customHeight="1">
      <c r="B923" s="33">
        <f>'Update IDR GWM'!A923</f>
        <v>44334</v>
      </c>
      <c r="C923" s="41">
        <v>97245000</v>
      </c>
      <c r="D923" s="47">
        <v>100414756.83</v>
      </c>
      <c r="E923" s="168">
        <f t="shared" si="144"/>
        <v>3169756.8299999982</v>
      </c>
      <c r="G923" s="173">
        <v>1228000</v>
      </c>
      <c r="H923" s="47">
        <v>1800000</v>
      </c>
      <c r="I923" s="171">
        <f t="shared" si="147"/>
        <v>572000</v>
      </c>
      <c r="J923" s="170">
        <f t="shared" si="148"/>
        <v>3741756.8299999982</v>
      </c>
    </row>
    <row r="924" spans="2:10" ht="12.65" customHeight="1">
      <c r="B924" s="33">
        <f>'Update IDR GWM'!A924</f>
        <v>44335</v>
      </c>
      <c r="C924" s="41">
        <v>97245000</v>
      </c>
      <c r="D924" s="47">
        <v>100414756.83</v>
      </c>
      <c r="E924" s="168">
        <f t="shared" si="144"/>
        <v>3169756.8299999982</v>
      </c>
      <c r="G924" s="173">
        <v>1228000</v>
      </c>
      <c r="H924" s="47">
        <v>1800000</v>
      </c>
      <c r="I924" s="171">
        <f t="shared" si="147"/>
        <v>572000</v>
      </c>
      <c r="J924" s="170">
        <f t="shared" si="148"/>
        <v>3741756.8299999982</v>
      </c>
    </row>
    <row r="925" spans="2:10" ht="12.65" customHeight="1">
      <c r="B925" s="33">
        <f>'Update IDR GWM'!A925</f>
        <v>44336</v>
      </c>
      <c r="C925" s="41">
        <v>97245000</v>
      </c>
      <c r="D925" s="47">
        <v>98414756.829999998</v>
      </c>
      <c r="E925" s="168">
        <f t="shared" si="144"/>
        <v>1169756.8299999982</v>
      </c>
      <c r="G925" s="173">
        <v>1228000</v>
      </c>
      <c r="H925" s="47">
        <v>1800000</v>
      </c>
      <c r="I925" s="171">
        <f t="shared" si="147"/>
        <v>572000</v>
      </c>
      <c r="J925" s="170">
        <f t="shared" si="148"/>
        <v>1741756.8299999982</v>
      </c>
    </row>
    <row r="926" spans="2:10" ht="12.65" customHeight="1">
      <c r="B926" s="33">
        <f>'Update IDR GWM'!A926</f>
        <v>44337</v>
      </c>
      <c r="C926" s="41">
        <v>97245000</v>
      </c>
      <c r="D926" s="47">
        <v>98414756.829999998</v>
      </c>
      <c r="E926" s="168">
        <f t="shared" si="144"/>
        <v>1169756.8299999982</v>
      </c>
      <c r="G926" s="173">
        <v>1228000</v>
      </c>
      <c r="H926" s="47">
        <v>1800000</v>
      </c>
      <c r="I926" s="171">
        <f t="shared" ref="I926:I935" si="149">H926-G926</f>
        <v>572000</v>
      </c>
      <c r="J926" s="170">
        <f t="shared" ref="J926:J935" si="150">E926+I926</f>
        <v>1741756.8299999982</v>
      </c>
    </row>
    <row r="927" spans="2:10" ht="12.65" customHeight="1">
      <c r="B927" s="33">
        <f>'Update IDR GWM'!A927</f>
        <v>44340</v>
      </c>
      <c r="C927" s="41">
        <v>97245000</v>
      </c>
      <c r="D927" s="47">
        <v>98414756.829999998</v>
      </c>
      <c r="E927" s="168">
        <f t="shared" si="144"/>
        <v>1169756.8299999982</v>
      </c>
      <c r="G927" s="173">
        <v>1228000</v>
      </c>
      <c r="H927" s="47">
        <v>1800000</v>
      </c>
      <c r="I927" s="171">
        <f t="shared" si="149"/>
        <v>572000</v>
      </c>
      <c r="J927" s="170">
        <f t="shared" si="150"/>
        <v>1741756.8299999982</v>
      </c>
    </row>
    <row r="928" spans="2:10" ht="12.65" customHeight="1">
      <c r="B928" s="33">
        <f>'Update IDR GWM'!A928</f>
        <v>44341</v>
      </c>
      <c r="C928" s="41">
        <v>97245000</v>
      </c>
      <c r="D928" s="47">
        <v>98414756.829999998</v>
      </c>
      <c r="E928" s="168">
        <f t="shared" si="144"/>
        <v>1169756.8299999982</v>
      </c>
      <c r="G928" s="173">
        <v>1228000</v>
      </c>
      <c r="H928" s="47">
        <v>1800000</v>
      </c>
      <c r="I928" s="171">
        <f t="shared" si="149"/>
        <v>572000</v>
      </c>
      <c r="J928" s="170">
        <f t="shared" si="150"/>
        <v>1741756.8299999982</v>
      </c>
    </row>
    <row r="929" spans="2:10" ht="12.65" customHeight="1">
      <c r="B929" s="33">
        <f>'Update IDR GWM'!A929</f>
        <v>44343</v>
      </c>
      <c r="C929" s="41">
        <v>97245000</v>
      </c>
      <c r="D929" s="47">
        <v>108414756.83</v>
      </c>
      <c r="E929" s="168">
        <f t="shared" si="144"/>
        <v>11169756.829999998</v>
      </c>
      <c r="G929" s="173">
        <v>1228000</v>
      </c>
      <c r="H929" s="47">
        <v>1800000</v>
      </c>
      <c r="I929" s="171">
        <f t="shared" si="149"/>
        <v>572000</v>
      </c>
      <c r="J929" s="170">
        <f t="shared" si="150"/>
        <v>11741756.829999998</v>
      </c>
    </row>
    <row r="930" spans="2:10" ht="12.65" customHeight="1">
      <c r="B930" s="33">
        <f>'Update IDR GWM'!A930</f>
        <v>44344</v>
      </c>
      <c r="C930" s="41">
        <v>97245000</v>
      </c>
      <c r="D930" s="47">
        <v>108414756.83</v>
      </c>
      <c r="E930" s="168">
        <f t="shared" si="144"/>
        <v>11169756.829999998</v>
      </c>
      <c r="G930" s="173">
        <v>1228000</v>
      </c>
      <c r="H930" s="47">
        <v>1800000</v>
      </c>
      <c r="I930" s="171">
        <f t="shared" si="149"/>
        <v>572000</v>
      </c>
      <c r="J930" s="170">
        <f t="shared" si="150"/>
        <v>11741756.829999998</v>
      </c>
    </row>
    <row r="931" spans="2:10" ht="12.65" customHeight="1">
      <c r="B931" s="33">
        <f>'Update IDR GWM'!A931</f>
        <v>44347</v>
      </c>
      <c r="C931" s="41">
        <v>97245000</v>
      </c>
      <c r="D931" s="47">
        <v>108414756.83</v>
      </c>
      <c r="E931" s="168">
        <f t="shared" si="144"/>
        <v>11169756.829999998</v>
      </c>
      <c r="G931" s="173">
        <v>1228000</v>
      </c>
      <c r="H931" s="47">
        <v>1800000</v>
      </c>
      <c r="I931" s="171">
        <f t="shared" si="149"/>
        <v>572000</v>
      </c>
      <c r="J931" s="170">
        <f t="shared" si="150"/>
        <v>11741756.829999998</v>
      </c>
    </row>
    <row r="932" spans="2:10" ht="12.65" customHeight="1">
      <c r="B932" s="33">
        <f>'Update IDR GWM'!A932</f>
        <v>44349</v>
      </c>
      <c r="C932" s="41">
        <v>98146000</v>
      </c>
      <c r="D932" s="47">
        <v>99614756.829999998</v>
      </c>
      <c r="E932" s="168">
        <f t="shared" si="144"/>
        <v>1468756.8299999982</v>
      </c>
      <c r="G932" s="173">
        <v>1259000</v>
      </c>
      <c r="H932" s="47">
        <v>1800000</v>
      </c>
      <c r="I932" s="171">
        <f t="shared" si="149"/>
        <v>541000</v>
      </c>
      <c r="J932" s="170">
        <f t="shared" si="150"/>
        <v>2009756.8299999982</v>
      </c>
    </row>
    <row r="933" spans="2:10" ht="12.65" customHeight="1">
      <c r="B933" s="33">
        <f>'Update IDR GWM'!A933</f>
        <v>44350</v>
      </c>
      <c r="C933" s="41">
        <v>98146000</v>
      </c>
      <c r="D933" s="47">
        <v>99614756.829999998</v>
      </c>
      <c r="E933" s="168">
        <f t="shared" si="144"/>
        <v>1468756.8299999982</v>
      </c>
      <c r="G933" s="173">
        <v>1259000</v>
      </c>
      <c r="H933" s="47">
        <v>1800000</v>
      </c>
      <c r="I933" s="171">
        <f t="shared" si="149"/>
        <v>541000</v>
      </c>
      <c r="J933" s="170">
        <f t="shared" si="150"/>
        <v>2009756.8299999982</v>
      </c>
    </row>
    <row r="934" spans="2:10" ht="12.65" customHeight="1">
      <c r="B934" s="33">
        <f>'Update IDR GWM'!A934</f>
        <v>44351</v>
      </c>
      <c r="C934" s="41">
        <v>98146000</v>
      </c>
      <c r="D934" s="47">
        <v>99614756.829999998</v>
      </c>
      <c r="E934" s="168">
        <f t="shared" si="144"/>
        <v>1468756.8299999982</v>
      </c>
      <c r="G934" s="173">
        <v>1259000</v>
      </c>
      <c r="H934" s="47">
        <v>1800000</v>
      </c>
      <c r="I934" s="171">
        <f t="shared" si="149"/>
        <v>541000</v>
      </c>
      <c r="J934" s="170">
        <f t="shared" si="150"/>
        <v>2009756.8299999982</v>
      </c>
    </row>
    <row r="935" spans="2:10" ht="12.65" customHeight="1">
      <c r="B935" s="33">
        <f>'Update IDR GWM'!A935</f>
        <v>44354</v>
      </c>
      <c r="C935" s="41">
        <v>98146000</v>
      </c>
      <c r="D935" s="47">
        <v>99614756.829999998</v>
      </c>
      <c r="E935" s="168">
        <f t="shared" si="144"/>
        <v>1468756.8299999982</v>
      </c>
      <c r="G935" s="173">
        <v>1259000</v>
      </c>
      <c r="H935" s="47">
        <v>1800000</v>
      </c>
      <c r="I935" s="171">
        <f t="shared" si="149"/>
        <v>541000</v>
      </c>
      <c r="J935" s="170">
        <f t="shared" si="150"/>
        <v>2009756.8299999982</v>
      </c>
    </row>
    <row r="936" spans="2:10" ht="12.65" customHeight="1">
      <c r="B936" s="33">
        <f>'Update IDR GWM'!A936</f>
        <v>44355</v>
      </c>
      <c r="C936" s="41">
        <v>98146000</v>
      </c>
      <c r="D936" s="47">
        <v>99614756.829999998</v>
      </c>
      <c r="E936" s="168">
        <f t="shared" si="144"/>
        <v>1468756.8299999982</v>
      </c>
      <c r="G936" s="173">
        <v>1259000</v>
      </c>
      <c r="H936" s="47">
        <v>1800000</v>
      </c>
      <c r="I936" s="171">
        <f t="shared" ref="I936:I942" si="151">H936-G936</f>
        <v>541000</v>
      </c>
      <c r="J936" s="170">
        <f t="shared" ref="J936:J942" si="152">E936+I936</f>
        <v>2009756.8299999982</v>
      </c>
    </row>
    <row r="937" spans="2:10" ht="12.65" customHeight="1">
      <c r="B937" s="33">
        <f>'Update IDR GWM'!A937</f>
        <v>44356</v>
      </c>
      <c r="C937" s="41">
        <v>98146000</v>
      </c>
      <c r="D937" s="47">
        <v>99614756.829999998</v>
      </c>
      <c r="E937" s="168">
        <f t="shared" si="144"/>
        <v>1468756.8299999982</v>
      </c>
      <c r="G937" s="173">
        <v>1259000</v>
      </c>
      <c r="H937" s="47">
        <v>1800000</v>
      </c>
      <c r="I937" s="171">
        <f t="shared" si="151"/>
        <v>541000</v>
      </c>
      <c r="J937" s="170">
        <f t="shared" si="152"/>
        <v>2009756.8299999982</v>
      </c>
    </row>
    <row r="938" spans="2:10" ht="12.65" customHeight="1">
      <c r="B938" s="33">
        <f>'Update IDR GWM'!A938</f>
        <v>44357</v>
      </c>
      <c r="C938" s="41">
        <v>98146000</v>
      </c>
      <c r="D938" s="47">
        <v>99614756.829999998</v>
      </c>
      <c r="E938" s="168">
        <f t="shared" si="144"/>
        <v>1468756.8299999982</v>
      </c>
      <c r="G938" s="173">
        <v>1259000</v>
      </c>
      <c r="H938" s="47">
        <v>1800000</v>
      </c>
      <c r="I938" s="171">
        <f t="shared" si="151"/>
        <v>541000</v>
      </c>
      <c r="J938" s="170">
        <f t="shared" si="152"/>
        <v>2009756.8299999982</v>
      </c>
    </row>
    <row r="939" spans="2:10" ht="12.65" customHeight="1">
      <c r="B939" s="33">
        <f>'Update IDR GWM'!A939</f>
        <v>44358</v>
      </c>
      <c r="C939" s="41">
        <v>98146000</v>
      </c>
      <c r="D939" s="47">
        <v>99614756.829999998</v>
      </c>
      <c r="E939" s="168">
        <f t="shared" si="144"/>
        <v>1468756.8299999982</v>
      </c>
      <c r="G939" s="173">
        <v>1259000</v>
      </c>
      <c r="H939" s="47">
        <v>1800000</v>
      </c>
      <c r="I939" s="171">
        <f t="shared" si="151"/>
        <v>541000</v>
      </c>
      <c r="J939" s="170">
        <f t="shared" si="152"/>
        <v>2009756.8299999982</v>
      </c>
    </row>
    <row r="940" spans="2:10" ht="12.65" customHeight="1">
      <c r="B940" s="33">
        <f>'Update IDR GWM'!A940</f>
        <v>44361</v>
      </c>
      <c r="C940" s="41">
        <v>98146000</v>
      </c>
      <c r="D940" s="47">
        <v>99614756.829999998</v>
      </c>
      <c r="E940" s="168">
        <f t="shared" si="144"/>
        <v>1468756.8299999982</v>
      </c>
      <c r="G940" s="173">
        <v>1259000</v>
      </c>
      <c r="H940" s="47">
        <v>1800000</v>
      </c>
      <c r="I940" s="171">
        <f t="shared" si="151"/>
        <v>541000</v>
      </c>
      <c r="J940" s="170">
        <f t="shared" si="152"/>
        <v>2009756.8299999982</v>
      </c>
    </row>
    <row r="941" spans="2:10" ht="12.65" customHeight="1">
      <c r="B941" s="33">
        <f>'Update IDR GWM'!A941</f>
        <v>44362</v>
      </c>
      <c r="C941" s="41">
        <v>98146000</v>
      </c>
      <c r="D941" s="47">
        <v>99614756.829999998</v>
      </c>
      <c r="E941" s="168">
        <f t="shared" si="144"/>
        <v>1468756.8299999982</v>
      </c>
      <c r="G941" s="173">
        <v>1259000</v>
      </c>
      <c r="H941" s="47">
        <v>1800000</v>
      </c>
      <c r="I941" s="171">
        <f t="shared" si="151"/>
        <v>541000</v>
      </c>
      <c r="J941" s="170">
        <f t="shared" si="152"/>
        <v>2009756.8299999982</v>
      </c>
    </row>
    <row r="942" spans="2:10" ht="12.65" customHeight="1">
      <c r="B942" s="33">
        <f>'Update IDR GWM'!A942</f>
        <v>44363</v>
      </c>
      <c r="C942" s="41">
        <v>95781260</v>
      </c>
      <c r="D942" s="47">
        <v>99614756.829999998</v>
      </c>
      <c r="E942" s="168">
        <f t="shared" si="144"/>
        <v>3833496.8299999982</v>
      </c>
      <c r="G942" s="173">
        <v>1285000</v>
      </c>
      <c r="H942" s="47">
        <v>1800000</v>
      </c>
      <c r="I942" s="171">
        <f t="shared" si="151"/>
        <v>515000</v>
      </c>
      <c r="J942" s="170">
        <f t="shared" si="152"/>
        <v>4348496.8299999982</v>
      </c>
    </row>
    <row r="943" spans="2:10" ht="12.65" customHeight="1">
      <c r="B943" s="33">
        <f>'Update IDR GWM'!A943</f>
        <v>44364</v>
      </c>
      <c r="C943" s="41">
        <v>95781260</v>
      </c>
      <c r="D943" s="47">
        <v>97114756.829999998</v>
      </c>
      <c r="E943" s="168">
        <f t="shared" si="144"/>
        <v>1333496.8299999982</v>
      </c>
      <c r="G943" s="173">
        <v>1285000</v>
      </c>
      <c r="H943" s="47">
        <v>1800000</v>
      </c>
      <c r="I943" s="171">
        <f t="shared" ref="I943:I954" si="153">H943-G943</f>
        <v>515000</v>
      </c>
      <c r="J943" s="170">
        <f t="shared" ref="J943:J954" si="154">E943+I943</f>
        <v>1848496.8299999982</v>
      </c>
    </row>
    <row r="944" spans="2:10" ht="12.65" customHeight="1">
      <c r="B944" s="33">
        <f>'Update IDR GWM'!A944</f>
        <v>44365</v>
      </c>
      <c r="C944" s="41">
        <v>95781260</v>
      </c>
      <c r="D944" s="47">
        <v>97114756.829999998</v>
      </c>
      <c r="E944" s="168">
        <f t="shared" ref="E944:E1007" si="155">D944-C944</f>
        <v>1333496.8299999982</v>
      </c>
      <c r="G944" s="173">
        <v>1285000</v>
      </c>
      <c r="H944" s="47">
        <v>1800000</v>
      </c>
      <c r="I944" s="171">
        <f t="shared" si="153"/>
        <v>515000</v>
      </c>
      <c r="J944" s="170">
        <f t="shared" si="154"/>
        <v>1848496.8299999982</v>
      </c>
    </row>
    <row r="945" spans="2:10" ht="12.65" customHeight="1">
      <c r="B945" s="33">
        <f>'Update IDR GWM'!A945</f>
        <v>44368</v>
      </c>
      <c r="C945" s="41">
        <v>95781260</v>
      </c>
      <c r="D945" s="47">
        <v>97114756.829999998</v>
      </c>
      <c r="E945" s="168">
        <f t="shared" si="155"/>
        <v>1333496.8299999982</v>
      </c>
      <c r="G945" s="173">
        <v>1285000</v>
      </c>
      <c r="H945" s="47">
        <v>1800000</v>
      </c>
      <c r="I945" s="171">
        <f t="shared" si="153"/>
        <v>515000</v>
      </c>
      <c r="J945" s="170">
        <f t="shared" si="154"/>
        <v>1848496.8299999982</v>
      </c>
    </row>
    <row r="946" spans="2:10" ht="12.65" customHeight="1">
      <c r="B946" s="33">
        <f>'Update IDR GWM'!A946</f>
        <v>44369</v>
      </c>
      <c r="C946" s="41">
        <v>95781260</v>
      </c>
      <c r="D946" s="47">
        <v>97114756.829999998</v>
      </c>
      <c r="E946" s="168">
        <f t="shared" si="155"/>
        <v>1333496.8299999982</v>
      </c>
      <c r="G946" s="173">
        <v>1285000</v>
      </c>
      <c r="H946" s="47">
        <v>1800000</v>
      </c>
      <c r="I946" s="171">
        <f t="shared" si="153"/>
        <v>515000</v>
      </c>
      <c r="J946" s="170">
        <f t="shared" si="154"/>
        <v>1848496.8299999982</v>
      </c>
    </row>
    <row r="947" spans="2:10" ht="12.65" customHeight="1">
      <c r="B947" s="33">
        <f>'Update IDR GWM'!A947</f>
        <v>44370</v>
      </c>
      <c r="C947" s="41">
        <v>95781260</v>
      </c>
      <c r="D947" s="47">
        <v>97114756.829999998</v>
      </c>
      <c r="E947" s="168">
        <f t="shared" si="155"/>
        <v>1333496.8299999982</v>
      </c>
      <c r="G947" s="173">
        <v>1285000</v>
      </c>
      <c r="H947" s="47">
        <v>1800000</v>
      </c>
      <c r="I947" s="171">
        <f t="shared" si="153"/>
        <v>515000</v>
      </c>
      <c r="J947" s="170">
        <f t="shared" si="154"/>
        <v>1848496.8299999982</v>
      </c>
    </row>
    <row r="948" spans="2:10" ht="12.65" customHeight="1">
      <c r="B948" s="33">
        <f>'Update IDR GWM'!A948</f>
        <v>44371</v>
      </c>
      <c r="C948" s="41">
        <v>95781260</v>
      </c>
      <c r="D948" s="47">
        <v>97114756.829999998</v>
      </c>
      <c r="E948" s="168">
        <f t="shared" si="155"/>
        <v>1333496.8299999982</v>
      </c>
      <c r="G948" s="173">
        <v>1285000</v>
      </c>
      <c r="H948" s="47">
        <v>1800000</v>
      </c>
      <c r="I948" s="171">
        <f t="shared" si="153"/>
        <v>515000</v>
      </c>
      <c r="J948" s="170">
        <f t="shared" si="154"/>
        <v>1848496.8299999982</v>
      </c>
    </row>
    <row r="949" spans="2:10" ht="12.65" customHeight="1">
      <c r="B949" s="33">
        <f>'Update IDR GWM'!A949</f>
        <v>44372</v>
      </c>
      <c r="C949" s="41">
        <v>95781260</v>
      </c>
      <c r="D949" s="47">
        <v>97114756.829999998</v>
      </c>
      <c r="E949" s="168">
        <f t="shared" si="155"/>
        <v>1333496.8299999982</v>
      </c>
      <c r="G949" s="173">
        <v>1285000</v>
      </c>
      <c r="H949" s="47">
        <v>1800000</v>
      </c>
      <c r="I949" s="171">
        <f t="shared" si="153"/>
        <v>515000</v>
      </c>
      <c r="J949" s="170">
        <f t="shared" si="154"/>
        <v>1848496.8299999982</v>
      </c>
    </row>
    <row r="950" spans="2:10" ht="12.65" customHeight="1">
      <c r="B950" s="33">
        <f>'Update IDR GWM'!A950</f>
        <v>44375</v>
      </c>
      <c r="C950" s="41">
        <v>95781260</v>
      </c>
      <c r="D950" s="47">
        <v>97114756.829999998</v>
      </c>
      <c r="E950" s="168">
        <f t="shared" si="155"/>
        <v>1333496.8299999982</v>
      </c>
      <c r="G950" s="173">
        <v>1285000</v>
      </c>
      <c r="H950" s="47">
        <v>1800000</v>
      </c>
      <c r="I950" s="171">
        <f t="shared" si="153"/>
        <v>515000</v>
      </c>
      <c r="J950" s="170">
        <f t="shared" si="154"/>
        <v>1848496.8299999982</v>
      </c>
    </row>
    <row r="951" spans="2:10" ht="12.65" customHeight="1">
      <c r="B951" s="33">
        <f>'Update IDR GWM'!A951</f>
        <v>44376</v>
      </c>
      <c r="C951" s="41">
        <v>95781260</v>
      </c>
      <c r="D951" s="47">
        <v>97114756.829999998</v>
      </c>
      <c r="E951" s="168">
        <f t="shared" si="155"/>
        <v>1333496.8299999982</v>
      </c>
      <c r="G951" s="173">
        <v>1285000</v>
      </c>
      <c r="H951" s="47">
        <v>1800000</v>
      </c>
      <c r="I951" s="171">
        <f t="shared" si="153"/>
        <v>515000</v>
      </c>
      <c r="J951" s="170">
        <f t="shared" si="154"/>
        <v>1848496.8299999982</v>
      </c>
    </row>
    <row r="952" spans="2:10" ht="12.65" customHeight="1">
      <c r="B952" s="33">
        <f>'Update IDR GWM'!A952</f>
        <v>44377</v>
      </c>
      <c r="C952" s="41">
        <v>95781260</v>
      </c>
      <c r="D952" s="47">
        <v>97114756.829999998</v>
      </c>
      <c r="E952" s="168">
        <f t="shared" si="155"/>
        <v>1333496.8299999982</v>
      </c>
      <c r="G952" s="173">
        <v>1285000</v>
      </c>
      <c r="H952" s="47">
        <v>1800000</v>
      </c>
      <c r="I952" s="171">
        <f t="shared" si="153"/>
        <v>515000</v>
      </c>
      <c r="J952" s="170">
        <f t="shared" si="154"/>
        <v>1848496.8299999982</v>
      </c>
    </row>
    <row r="953" spans="2:10" ht="12.65" customHeight="1">
      <c r="B953" s="33">
        <f>'Update IDR GWM'!A953</f>
        <v>44378</v>
      </c>
      <c r="C953" s="41">
        <v>95781260</v>
      </c>
      <c r="D953" s="47">
        <v>97114756.829999998</v>
      </c>
      <c r="E953" s="168">
        <f t="shared" si="155"/>
        <v>1333496.8299999982</v>
      </c>
      <c r="G953" s="173">
        <v>1285000</v>
      </c>
      <c r="H953" s="47">
        <v>1800000</v>
      </c>
      <c r="I953" s="171">
        <f t="shared" si="153"/>
        <v>515000</v>
      </c>
      <c r="J953" s="170">
        <f t="shared" si="154"/>
        <v>1848496.8299999982</v>
      </c>
    </row>
    <row r="954" spans="2:10" ht="12.65" customHeight="1">
      <c r="B954" s="33">
        <f>'Update IDR GWM'!A954</f>
        <v>44379</v>
      </c>
      <c r="C954" s="41">
        <v>96147561</v>
      </c>
      <c r="D954" s="47">
        <v>98114756.829999998</v>
      </c>
      <c r="E954" s="168">
        <f t="shared" si="155"/>
        <v>1967195.8299999982</v>
      </c>
      <c r="G954" s="173">
        <v>1265000</v>
      </c>
      <c r="H954" s="47">
        <v>1800000</v>
      </c>
      <c r="I954" s="171">
        <f t="shared" si="153"/>
        <v>535000</v>
      </c>
      <c r="J954" s="170">
        <f t="shared" si="154"/>
        <v>2502195.8299999982</v>
      </c>
    </row>
    <row r="955" spans="2:10" ht="12.65" customHeight="1">
      <c r="B955" s="33">
        <f>'Update IDR GWM'!A955</f>
        <v>44382</v>
      </c>
      <c r="C955" s="41">
        <v>96147561</v>
      </c>
      <c r="D955" s="47">
        <v>98114756.829999998</v>
      </c>
      <c r="E955" s="168">
        <f t="shared" si="155"/>
        <v>1967195.8299999982</v>
      </c>
      <c r="G955" s="173">
        <v>1265000</v>
      </c>
      <c r="H955" s="47">
        <v>1800000</v>
      </c>
      <c r="I955" s="171">
        <f t="shared" ref="I955:I976" si="156">H955-G955</f>
        <v>535000</v>
      </c>
      <c r="J955" s="170">
        <f t="shared" ref="J955:J976" si="157">E955+I955</f>
        <v>2502195.8299999982</v>
      </c>
    </row>
    <row r="956" spans="2:10" ht="12.65" customHeight="1">
      <c r="B956" s="33">
        <f>'Update IDR GWM'!A956</f>
        <v>44383</v>
      </c>
      <c r="C956" s="41">
        <v>96147561</v>
      </c>
      <c r="D956" s="47">
        <v>98114756.829999998</v>
      </c>
      <c r="E956" s="168">
        <f t="shared" si="155"/>
        <v>1967195.8299999982</v>
      </c>
      <c r="G956" s="173">
        <v>1265000</v>
      </c>
      <c r="H956" s="47">
        <v>1600000</v>
      </c>
      <c r="I956" s="171">
        <f t="shared" si="156"/>
        <v>335000</v>
      </c>
      <c r="J956" s="170">
        <f t="shared" si="157"/>
        <v>2302195.8299999982</v>
      </c>
    </row>
    <row r="957" spans="2:10" ht="12.65" customHeight="1">
      <c r="B957" s="33">
        <f>'Update IDR GWM'!A957</f>
        <v>44384</v>
      </c>
      <c r="C957" s="41">
        <v>96147561</v>
      </c>
      <c r="D957" s="47">
        <v>98114756.829999998</v>
      </c>
      <c r="E957" s="168">
        <f t="shared" si="155"/>
        <v>1967195.8299999982</v>
      </c>
      <c r="G957" s="173">
        <v>1265000</v>
      </c>
      <c r="H957" s="47">
        <v>1600000</v>
      </c>
      <c r="I957" s="171">
        <f t="shared" si="156"/>
        <v>335000</v>
      </c>
      <c r="J957" s="170">
        <f t="shared" si="157"/>
        <v>2302195.8299999982</v>
      </c>
    </row>
    <row r="958" spans="2:10" ht="12.65" customHeight="1">
      <c r="B958" s="33">
        <f>'Update IDR GWM'!A958</f>
        <v>44385</v>
      </c>
      <c r="C958" s="41">
        <v>96147561</v>
      </c>
      <c r="D958" s="47">
        <v>98114756.829999998</v>
      </c>
      <c r="E958" s="168">
        <f t="shared" si="155"/>
        <v>1967195.8299999982</v>
      </c>
      <c r="G958" s="173">
        <v>1265000</v>
      </c>
      <c r="H958" s="47">
        <v>1600000</v>
      </c>
      <c r="I958" s="171">
        <f t="shared" si="156"/>
        <v>335000</v>
      </c>
      <c r="J958" s="170">
        <f t="shared" si="157"/>
        <v>2302195.8299999982</v>
      </c>
    </row>
    <row r="959" spans="2:10" ht="12.65" customHeight="1">
      <c r="B959" s="33">
        <f>'Update IDR GWM'!A959</f>
        <v>44386</v>
      </c>
      <c r="C959" s="41">
        <v>96147561</v>
      </c>
      <c r="D959" s="47">
        <v>98114756.829999998</v>
      </c>
      <c r="E959" s="168">
        <f t="shared" si="155"/>
        <v>1967195.8299999982</v>
      </c>
      <c r="G959" s="173">
        <v>1265000</v>
      </c>
      <c r="H959" s="47">
        <v>1600000</v>
      </c>
      <c r="I959" s="171">
        <f t="shared" si="156"/>
        <v>335000</v>
      </c>
      <c r="J959" s="170">
        <f t="shared" si="157"/>
        <v>2302195.8299999982</v>
      </c>
    </row>
    <row r="960" spans="2:10" ht="12.65" customHeight="1">
      <c r="B960" s="33">
        <f>'Update IDR GWM'!A960</f>
        <v>44389</v>
      </c>
      <c r="C960" s="41">
        <v>96147561</v>
      </c>
      <c r="D960" s="47">
        <v>100114756.83</v>
      </c>
      <c r="E960" s="168">
        <f t="shared" si="155"/>
        <v>3967195.8299999982</v>
      </c>
      <c r="G960" s="173">
        <v>1265000</v>
      </c>
      <c r="H960" s="47">
        <v>1600000</v>
      </c>
      <c r="I960" s="171">
        <f t="shared" si="156"/>
        <v>335000</v>
      </c>
      <c r="J960" s="170">
        <f t="shared" si="157"/>
        <v>4302195.8299999982</v>
      </c>
    </row>
    <row r="961" spans="2:10" ht="12.65" customHeight="1">
      <c r="B961" s="33">
        <f>'Update IDR GWM'!A961</f>
        <v>44390</v>
      </c>
      <c r="C961" s="41">
        <v>96147561</v>
      </c>
      <c r="D961" s="47">
        <v>100114756.83</v>
      </c>
      <c r="E961" s="168">
        <f t="shared" si="155"/>
        <v>3967195.8299999982</v>
      </c>
      <c r="G961" s="173">
        <v>1265000</v>
      </c>
      <c r="H961" s="47">
        <v>1600000</v>
      </c>
      <c r="I961" s="171">
        <f t="shared" si="156"/>
        <v>335000</v>
      </c>
      <c r="J961" s="170">
        <f t="shared" si="157"/>
        <v>4302195.8299999982</v>
      </c>
    </row>
    <row r="962" spans="2:10" ht="12.65" customHeight="1">
      <c r="B962" s="33">
        <f>'Update IDR GWM'!A962</f>
        <v>44391</v>
      </c>
      <c r="C962" s="41">
        <v>96147561</v>
      </c>
      <c r="D962" s="47">
        <v>100114756.83</v>
      </c>
      <c r="E962" s="168">
        <f t="shared" si="155"/>
        <v>3967195.8299999982</v>
      </c>
      <c r="G962" s="173">
        <v>1265000</v>
      </c>
      <c r="H962" s="47">
        <v>1600000</v>
      </c>
      <c r="I962" s="171">
        <f t="shared" si="156"/>
        <v>335000</v>
      </c>
      <c r="J962" s="170">
        <f t="shared" si="157"/>
        <v>4302195.8299999982</v>
      </c>
    </row>
    <row r="963" spans="2:10" ht="12.65" customHeight="1">
      <c r="B963" s="33">
        <f>'Update IDR GWM'!A963</f>
        <v>44392</v>
      </c>
      <c r="C963" s="41">
        <v>96147561</v>
      </c>
      <c r="D963" s="47">
        <v>100114756.83</v>
      </c>
      <c r="E963" s="168">
        <f t="shared" si="155"/>
        <v>3967195.8299999982</v>
      </c>
      <c r="G963" s="173">
        <v>1265000</v>
      </c>
      <c r="H963" s="47">
        <v>1600000</v>
      </c>
      <c r="I963" s="171">
        <f t="shared" si="156"/>
        <v>335000</v>
      </c>
      <c r="J963" s="170">
        <f t="shared" si="157"/>
        <v>4302195.8299999982</v>
      </c>
    </row>
    <row r="964" spans="2:10" ht="12.65" customHeight="1">
      <c r="B964" s="33">
        <f>'Update IDR GWM'!A964</f>
        <v>44393</v>
      </c>
      <c r="C964" s="41">
        <v>95748816</v>
      </c>
      <c r="D964" s="47">
        <v>100114756.83</v>
      </c>
      <c r="E964" s="168">
        <f t="shared" si="155"/>
        <v>4365940.8299999982</v>
      </c>
      <c r="G964" s="173">
        <v>1234000</v>
      </c>
      <c r="H964" s="47">
        <v>1600000</v>
      </c>
      <c r="I964" s="171">
        <f t="shared" si="156"/>
        <v>366000</v>
      </c>
      <c r="J964" s="170">
        <f t="shared" si="157"/>
        <v>4731940.8299999982</v>
      </c>
    </row>
    <row r="965" spans="2:10" ht="12.65" customHeight="1">
      <c r="B965" s="33">
        <f>'Update IDR GWM'!A965</f>
        <v>44396</v>
      </c>
      <c r="C965" s="41">
        <v>95748816</v>
      </c>
      <c r="D965" s="47">
        <v>97114756.829999998</v>
      </c>
      <c r="E965" s="168">
        <f t="shared" si="155"/>
        <v>1365940.8299999982</v>
      </c>
      <c r="G965" s="173">
        <v>1234000</v>
      </c>
      <c r="H965" s="47">
        <v>1600000</v>
      </c>
      <c r="I965" s="171">
        <f t="shared" si="156"/>
        <v>366000</v>
      </c>
      <c r="J965" s="170">
        <f t="shared" si="157"/>
        <v>1731940.8299999982</v>
      </c>
    </row>
    <row r="966" spans="2:10" ht="12.65" customHeight="1">
      <c r="B966" s="33">
        <f>'Update IDR GWM'!A966</f>
        <v>44398</v>
      </c>
      <c r="C966" s="41">
        <v>95748816</v>
      </c>
      <c r="D966" s="47">
        <v>97114756.829999998</v>
      </c>
      <c r="E966" s="168">
        <f t="shared" si="155"/>
        <v>1365940.8299999982</v>
      </c>
      <c r="G966" s="173">
        <v>1234000</v>
      </c>
      <c r="H966" s="47">
        <v>1600000</v>
      </c>
      <c r="I966" s="171">
        <f t="shared" si="156"/>
        <v>366000</v>
      </c>
      <c r="J966" s="170">
        <f t="shared" si="157"/>
        <v>1731940.8299999982</v>
      </c>
    </row>
    <row r="967" spans="2:10" ht="12.65" customHeight="1">
      <c r="B967" s="33">
        <f>'Update IDR GWM'!A967</f>
        <v>44399</v>
      </c>
      <c r="C967" s="41">
        <v>95748816</v>
      </c>
      <c r="D967" s="47">
        <v>97114756.829999998</v>
      </c>
      <c r="E967" s="168">
        <f t="shared" si="155"/>
        <v>1365940.8299999982</v>
      </c>
      <c r="G967" s="173">
        <v>1234000</v>
      </c>
      <c r="H967" s="47">
        <v>1600000</v>
      </c>
      <c r="I967" s="171">
        <f t="shared" si="156"/>
        <v>366000</v>
      </c>
      <c r="J967" s="170">
        <f t="shared" si="157"/>
        <v>1731940.8299999982</v>
      </c>
    </row>
    <row r="968" spans="2:10" ht="12.65" customHeight="1">
      <c r="B968" s="33">
        <f>'Update IDR GWM'!A968</f>
        <v>44400</v>
      </c>
      <c r="C968" s="41">
        <v>95748816</v>
      </c>
      <c r="D968" s="47">
        <v>97114756.829999998</v>
      </c>
      <c r="E968" s="168">
        <f t="shared" si="155"/>
        <v>1365940.8299999982</v>
      </c>
      <c r="G968" s="173">
        <v>1234000</v>
      </c>
      <c r="H968" s="47">
        <v>1600000</v>
      </c>
      <c r="I968" s="171">
        <f t="shared" si="156"/>
        <v>366000</v>
      </c>
      <c r="J968" s="170">
        <f t="shared" si="157"/>
        <v>1731940.8299999982</v>
      </c>
    </row>
    <row r="969" spans="2:10" ht="12.65" customHeight="1">
      <c r="B969" s="33">
        <f>'Update IDR GWM'!A969</f>
        <v>44403</v>
      </c>
      <c r="C969" s="41">
        <v>95748816</v>
      </c>
      <c r="D969" s="47">
        <v>97114756.829999998</v>
      </c>
      <c r="E969" s="168">
        <f t="shared" si="155"/>
        <v>1365940.8299999982</v>
      </c>
      <c r="G969" s="173">
        <v>1234000</v>
      </c>
      <c r="H969" s="47">
        <v>1600000</v>
      </c>
      <c r="I969" s="171">
        <f t="shared" si="156"/>
        <v>366000</v>
      </c>
      <c r="J969" s="170">
        <f t="shared" si="157"/>
        <v>1731940.8299999982</v>
      </c>
    </row>
    <row r="970" spans="2:10" ht="12.65" customHeight="1">
      <c r="B970" s="33">
        <f>'Update IDR GWM'!A970</f>
        <v>44404</v>
      </c>
      <c r="C970" s="41">
        <v>95748816</v>
      </c>
      <c r="D970" s="47">
        <v>97114756.829999998</v>
      </c>
      <c r="E970" s="170">
        <f t="shared" si="155"/>
        <v>1365940.8299999982</v>
      </c>
      <c r="G970" s="173">
        <v>1234000</v>
      </c>
      <c r="H970" s="47">
        <v>1600000</v>
      </c>
      <c r="I970" s="171">
        <f t="shared" si="156"/>
        <v>366000</v>
      </c>
      <c r="J970" s="170">
        <f t="shared" si="157"/>
        <v>1731940.8299999982</v>
      </c>
    </row>
    <row r="971" spans="2:10" ht="12.65" customHeight="1">
      <c r="B971" s="33">
        <f>'Update IDR GWM'!A971</f>
        <v>44405</v>
      </c>
      <c r="C971" s="41">
        <v>95748816</v>
      </c>
      <c r="D971" s="47">
        <v>97114756.829999998</v>
      </c>
      <c r="E971" s="170">
        <f t="shared" si="155"/>
        <v>1365940.8299999982</v>
      </c>
      <c r="G971" s="173">
        <v>1234000</v>
      </c>
      <c r="H971" s="47">
        <v>1600000</v>
      </c>
      <c r="I971" s="171">
        <f t="shared" si="156"/>
        <v>366000</v>
      </c>
      <c r="J971" s="170">
        <f t="shared" si="157"/>
        <v>1731940.8299999982</v>
      </c>
    </row>
    <row r="972" spans="2:10" ht="12.65" customHeight="1">
      <c r="B972" s="33">
        <f>'Update IDR GWM'!A972</f>
        <v>44406</v>
      </c>
      <c r="C972" s="41">
        <v>95748816</v>
      </c>
      <c r="D972" s="47">
        <v>97114756.829999998</v>
      </c>
      <c r="E972" s="170">
        <f t="shared" si="155"/>
        <v>1365940.8299999982</v>
      </c>
      <c r="G972" s="173">
        <v>1234000</v>
      </c>
      <c r="H972" s="47">
        <v>1600000</v>
      </c>
      <c r="I972" s="171">
        <f t="shared" si="156"/>
        <v>366000</v>
      </c>
      <c r="J972" s="170">
        <f t="shared" si="157"/>
        <v>1731940.8299999982</v>
      </c>
    </row>
    <row r="973" spans="2:10" ht="12.65" customHeight="1">
      <c r="B973" s="33">
        <f>'Update IDR GWM'!A973</f>
        <v>44407</v>
      </c>
      <c r="C973" s="41">
        <v>95748816</v>
      </c>
      <c r="D973" s="47">
        <v>97114756.829999998</v>
      </c>
      <c r="E973" s="170">
        <f t="shared" si="155"/>
        <v>1365940.8299999982</v>
      </c>
      <c r="G973" s="173">
        <v>1234000</v>
      </c>
      <c r="H973" s="47">
        <v>1600000</v>
      </c>
      <c r="I973" s="171">
        <f t="shared" si="156"/>
        <v>366000</v>
      </c>
      <c r="J973" s="170">
        <f t="shared" si="157"/>
        <v>1731940.8299999982</v>
      </c>
    </row>
    <row r="974" spans="2:10" ht="12.65" customHeight="1">
      <c r="B974" s="33">
        <v>44408</v>
      </c>
      <c r="C974" s="41">
        <v>95748816</v>
      </c>
      <c r="D974" s="47">
        <v>97114756.829999998</v>
      </c>
      <c r="E974" s="170">
        <f t="shared" si="155"/>
        <v>1365940.8299999982</v>
      </c>
      <c r="G974" s="173">
        <v>1234000</v>
      </c>
      <c r="H974" s="47">
        <v>1600000</v>
      </c>
      <c r="I974" s="171">
        <v>366000</v>
      </c>
      <c r="J974" s="170">
        <v>1731940.8299999982</v>
      </c>
    </row>
    <row r="975" spans="2:10" ht="12.65" customHeight="1">
      <c r="B975" s="33">
        <f>'Update IDR GWM'!A975</f>
        <v>44410</v>
      </c>
      <c r="C975" s="41">
        <v>101973889</v>
      </c>
      <c r="D975" s="47">
        <v>97114756.829999998</v>
      </c>
      <c r="E975" s="170">
        <f t="shared" si="155"/>
        <v>-4859132.1700000018</v>
      </c>
      <c r="G975" s="173">
        <v>1276000</v>
      </c>
      <c r="H975" s="47">
        <v>1600000</v>
      </c>
      <c r="I975" s="171">
        <f t="shared" si="156"/>
        <v>324000</v>
      </c>
      <c r="J975" s="170">
        <f t="shared" si="157"/>
        <v>-4535132.1700000018</v>
      </c>
    </row>
    <row r="976" spans="2:10" ht="12.65" customHeight="1">
      <c r="B976" s="33">
        <f>'Update IDR GWM'!A976</f>
        <v>44411</v>
      </c>
      <c r="C976" s="41">
        <v>101973889</v>
      </c>
      <c r="D976" s="47">
        <v>103314756.83</v>
      </c>
      <c r="E976" s="170">
        <f t="shared" si="155"/>
        <v>1340867.8299999982</v>
      </c>
      <c r="G976" s="173">
        <v>1276000</v>
      </c>
      <c r="H976" s="47">
        <v>1600000</v>
      </c>
      <c r="I976" s="171">
        <f t="shared" si="156"/>
        <v>324000</v>
      </c>
      <c r="J976" s="170">
        <f t="shared" si="157"/>
        <v>1664867.8299999982</v>
      </c>
    </row>
    <row r="977" spans="2:10" ht="12.65" customHeight="1">
      <c r="B977" s="33">
        <f>'Update IDR GWM'!A977</f>
        <v>44412</v>
      </c>
      <c r="C977" s="41">
        <v>101973889</v>
      </c>
      <c r="D977" s="47">
        <v>103314756.83</v>
      </c>
      <c r="E977" s="170">
        <f t="shared" si="155"/>
        <v>1340867.8299999982</v>
      </c>
      <c r="G977" s="173">
        <v>1276000</v>
      </c>
      <c r="H977" s="47">
        <v>1600000</v>
      </c>
      <c r="I977" s="171">
        <f t="shared" ref="I977:I995" si="158">H977-G977</f>
        <v>324000</v>
      </c>
      <c r="J977" s="170">
        <f t="shared" ref="J977:J995" si="159">E977+I977</f>
        <v>1664867.8299999982</v>
      </c>
    </row>
    <row r="978" spans="2:10" ht="12.65" customHeight="1">
      <c r="B978" s="33">
        <f>'Update IDR GWM'!A978</f>
        <v>44413</v>
      </c>
      <c r="C978" s="41">
        <v>101973889</v>
      </c>
      <c r="D978" s="47">
        <v>103314756.83</v>
      </c>
      <c r="E978" s="170">
        <f t="shared" si="155"/>
        <v>1340867.8299999982</v>
      </c>
      <c r="G978" s="173">
        <v>1276000</v>
      </c>
      <c r="H978" s="47">
        <v>1600000</v>
      </c>
      <c r="I978" s="171">
        <f t="shared" si="158"/>
        <v>324000</v>
      </c>
      <c r="J978" s="170">
        <f t="shared" si="159"/>
        <v>1664867.8299999982</v>
      </c>
    </row>
    <row r="979" spans="2:10" ht="12.65" customHeight="1">
      <c r="B979" s="33">
        <f>'Update IDR GWM'!A979</f>
        <v>44414</v>
      </c>
      <c r="C979" s="41">
        <v>101973889</v>
      </c>
      <c r="D979" s="47">
        <v>103314756.83</v>
      </c>
      <c r="E979" s="170">
        <f t="shared" si="155"/>
        <v>1340867.8299999982</v>
      </c>
      <c r="G979" s="173">
        <v>1276000</v>
      </c>
      <c r="H979" s="47">
        <v>1600000</v>
      </c>
      <c r="I979" s="171">
        <f t="shared" si="158"/>
        <v>324000</v>
      </c>
      <c r="J979" s="170">
        <f t="shared" si="159"/>
        <v>1664867.8299999982</v>
      </c>
    </row>
    <row r="980" spans="2:10" ht="12.65" customHeight="1">
      <c r="B980" s="33">
        <f>'Update IDR GWM'!A980</f>
        <v>44417</v>
      </c>
      <c r="C980" s="41">
        <v>101973889</v>
      </c>
      <c r="D980" s="47">
        <v>103314756.83</v>
      </c>
      <c r="E980" s="170">
        <f t="shared" si="155"/>
        <v>1340867.8299999982</v>
      </c>
      <c r="G980" s="173">
        <v>1276000</v>
      </c>
      <c r="H980" s="47">
        <v>1600000</v>
      </c>
      <c r="I980" s="171">
        <f t="shared" si="158"/>
        <v>324000</v>
      </c>
      <c r="J980" s="170">
        <f t="shared" si="159"/>
        <v>1664867.8299999982</v>
      </c>
    </row>
    <row r="981" spans="2:10" ht="12.65" customHeight="1">
      <c r="B981" s="33">
        <f>'Update IDR GWM'!A981</f>
        <v>44418</v>
      </c>
      <c r="C981" s="41">
        <v>101973889</v>
      </c>
      <c r="D981" s="47">
        <v>103314756.83</v>
      </c>
      <c r="E981" s="170">
        <f t="shared" si="155"/>
        <v>1340867.8299999982</v>
      </c>
      <c r="G981" s="173">
        <v>1276000</v>
      </c>
      <c r="H981" s="47">
        <v>1600000</v>
      </c>
      <c r="I981" s="171">
        <f t="shared" si="158"/>
        <v>324000</v>
      </c>
      <c r="J981" s="170">
        <f t="shared" si="159"/>
        <v>1664867.8299999982</v>
      </c>
    </row>
    <row r="982" spans="2:10" ht="12.65" customHeight="1">
      <c r="B982" s="33">
        <f>'Update IDR GWM'!A982</f>
        <v>44420</v>
      </c>
      <c r="C982" s="41">
        <v>101973889</v>
      </c>
      <c r="D982" s="47">
        <v>103314756.83</v>
      </c>
      <c r="E982" s="170">
        <f t="shared" si="155"/>
        <v>1340867.8299999982</v>
      </c>
      <c r="G982" s="173">
        <v>1276000</v>
      </c>
      <c r="H982" s="47">
        <v>1600000</v>
      </c>
      <c r="I982" s="171">
        <f t="shared" si="158"/>
        <v>324000</v>
      </c>
      <c r="J982" s="170">
        <f t="shared" si="159"/>
        <v>1664867.8299999982</v>
      </c>
    </row>
    <row r="983" spans="2:10" ht="12.65" customHeight="1">
      <c r="B983" s="33">
        <f>'Update IDR GWM'!A983</f>
        <v>44421</v>
      </c>
      <c r="C983" s="41">
        <v>101973889</v>
      </c>
      <c r="D983" s="47">
        <v>103314756.83</v>
      </c>
      <c r="E983" s="170">
        <f t="shared" si="155"/>
        <v>1340867.8299999982</v>
      </c>
      <c r="G983" s="173">
        <v>1276000</v>
      </c>
      <c r="H983" s="47">
        <v>1600000</v>
      </c>
      <c r="I983" s="171">
        <f t="shared" si="158"/>
        <v>324000</v>
      </c>
      <c r="J983" s="170">
        <f t="shared" si="159"/>
        <v>1664867.8299999982</v>
      </c>
    </row>
    <row r="984" spans="2:10" ht="12.65" customHeight="1">
      <c r="B984" s="33">
        <f>'Update IDR GWM'!A984</f>
        <v>44424</v>
      </c>
      <c r="C984" s="41">
        <v>101138298</v>
      </c>
      <c r="D984" s="47">
        <v>103314756.83</v>
      </c>
      <c r="E984" s="170">
        <f t="shared" si="155"/>
        <v>2176458.8299999982</v>
      </c>
      <c r="G984" s="173">
        <v>1361000</v>
      </c>
      <c r="H984" s="47">
        <v>1600000</v>
      </c>
      <c r="I984" s="171">
        <f t="shared" si="158"/>
        <v>239000</v>
      </c>
      <c r="J984" s="170">
        <f t="shared" si="159"/>
        <v>2415458.8299999982</v>
      </c>
    </row>
    <row r="985" spans="2:10" ht="12.65" customHeight="1">
      <c r="B985" s="33">
        <f>'Update IDR GWM'!A985</f>
        <v>44426</v>
      </c>
      <c r="C985" s="41">
        <v>101138298</v>
      </c>
      <c r="D985" s="47">
        <v>103314756.83</v>
      </c>
      <c r="E985" s="170">
        <f t="shared" si="155"/>
        <v>2176458.8299999982</v>
      </c>
      <c r="G985" s="173">
        <v>1361000</v>
      </c>
      <c r="H985" s="47">
        <v>1600000</v>
      </c>
      <c r="I985" s="171">
        <f t="shared" si="158"/>
        <v>239000</v>
      </c>
      <c r="J985" s="170">
        <f t="shared" si="159"/>
        <v>2415458.8299999982</v>
      </c>
    </row>
    <row r="986" spans="2:10" ht="12.65" customHeight="1">
      <c r="B986" s="33">
        <f>'Update IDR GWM'!A986</f>
        <v>44427</v>
      </c>
      <c r="C986" s="41">
        <v>101138298</v>
      </c>
      <c r="D986" s="47">
        <v>103314756.83</v>
      </c>
      <c r="E986" s="170">
        <f t="shared" si="155"/>
        <v>2176458.8299999982</v>
      </c>
      <c r="G986" s="173">
        <v>1361000</v>
      </c>
      <c r="H986" s="47">
        <v>1600000</v>
      </c>
      <c r="I986" s="171">
        <f t="shared" si="158"/>
        <v>239000</v>
      </c>
      <c r="J986" s="170">
        <f t="shared" si="159"/>
        <v>2415458.8299999982</v>
      </c>
    </row>
    <row r="987" spans="2:10" ht="12.65" customHeight="1">
      <c r="B987" s="33">
        <f>'Update IDR GWM'!A987</f>
        <v>44428</v>
      </c>
      <c r="C987" s="41">
        <v>101138298</v>
      </c>
      <c r="D987" s="47">
        <v>103314756.83</v>
      </c>
      <c r="E987" s="170">
        <f t="shared" si="155"/>
        <v>2176458.8299999982</v>
      </c>
      <c r="G987" s="173">
        <v>1361000</v>
      </c>
      <c r="H987" s="47">
        <v>1600000</v>
      </c>
      <c r="I987" s="171">
        <f t="shared" si="158"/>
        <v>239000</v>
      </c>
      <c r="J987" s="170">
        <f t="shared" si="159"/>
        <v>2415458.8299999982</v>
      </c>
    </row>
    <row r="988" spans="2:10" ht="12.65" customHeight="1">
      <c r="B988" s="33">
        <f>'Update IDR GWM'!A988</f>
        <v>44431</v>
      </c>
      <c r="C988" s="41">
        <v>101138298</v>
      </c>
      <c r="D988" s="47">
        <v>103314756.83</v>
      </c>
      <c r="E988" s="170">
        <f t="shared" si="155"/>
        <v>2176458.8299999982</v>
      </c>
      <c r="G988" s="173">
        <v>1361000</v>
      </c>
      <c r="H988" s="47">
        <v>1600000</v>
      </c>
      <c r="I988" s="171">
        <f t="shared" si="158"/>
        <v>239000</v>
      </c>
      <c r="J988" s="170">
        <f t="shared" si="159"/>
        <v>2415458.8299999982</v>
      </c>
    </row>
    <row r="989" spans="2:10" ht="12.65" customHeight="1">
      <c r="B989" s="33">
        <f>'Update IDR GWM'!A989</f>
        <v>44432</v>
      </c>
      <c r="C989" s="41">
        <v>101138298</v>
      </c>
      <c r="D989" s="47">
        <v>103314756.83</v>
      </c>
      <c r="E989" s="170">
        <f t="shared" si="155"/>
        <v>2176458.8299999982</v>
      </c>
      <c r="G989" s="173">
        <v>1361000</v>
      </c>
      <c r="H989" s="47">
        <v>1600000</v>
      </c>
      <c r="I989" s="171">
        <f t="shared" si="158"/>
        <v>239000</v>
      </c>
      <c r="J989" s="170">
        <f t="shared" si="159"/>
        <v>2415458.8299999982</v>
      </c>
    </row>
    <row r="990" spans="2:10" ht="12.65" customHeight="1">
      <c r="B990" s="33">
        <f>'Update IDR GWM'!A990</f>
        <v>44433</v>
      </c>
      <c r="C990" s="41">
        <v>101138298</v>
      </c>
      <c r="D990" s="47">
        <v>103314756.83</v>
      </c>
      <c r="E990" s="170">
        <f t="shared" si="155"/>
        <v>2176458.8299999982</v>
      </c>
      <c r="G990" s="173">
        <v>1361000</v>
      </c>
      <c r="H990" s="47">
        <v>1600000</v>
      </c>
      <c r="I990" s="171">
        <f t="shared" si="158"/>
        <v>239000</v>
      </c>
      <c r="J990" s="170">
        <f t="shared" si="159"/>
        <v>2415458.8299999982</v>
      </c>
    </row>
    <row r="991" spans="2:10" ht="12.65" customHeight="1">
      <c r="B991" s="33">
        <f>'Update IDR GWM'!A991</f>
        <v>44434</v>
      </c>
      <c r="C991" s="41">
        <v>101138298</v>
      </c>
      <c r="D991" s="47">
        <v>103314756.83</v>
      </c>
      <c r="E991" s="170">
        <f t="shared" si="155"/>
        <v>2176458.8299999982</v>
      </c>
      <c r="G991" s="173">
        <v>1361000</v>
      </c>
      <c r="H991" s="47">
        <v>1600000</v>
      </c>
      <c r="I991" s="171">
        <f t="shared" si="158"/>
        <v>239000</v>
      </c>
      <c r="J991" s="170">
        <f t="shared" si="159"/>
        <v>2415458.8299999982</v>
      </c>
    </row>
    <row r="992" spans="2:10" ht="12.65" customHeight="1">
      <c r="B992" s="33">
        <f>'Update IDR GWM'!A992</f>
        <v>44435</v>
      </c>
      <c r="C992" s="41">
        <v>101138298</v>
      </c>
      <c r="D992" s="47">
        <v>103314756.83</v>
      </c>
      <c r="E992" s="170">
        <f t="shared" si="155"/>
        <v>2176458.8299999982</v>
      </c>
      <c r="G992" s="173">
        <v>1361000</v>
      </c>
      <c r="H992" s="47">
        <v>1600000</v>
      </c>
      <c r="I992" s="171">
        <f t="shared" si="158"/>
        <v>239000</v>
      </c>
      <c r="J992" s="170">
        <f t="shared" si="159"/>
        <v>2415458.8299999982</v>
      </c>
    </row>
    <row r="993" spans="2:10" ht="12.65" customHeight="1">
      <c r="B993" s="33">
        <f>'Update IDR GWM'!A993</f>
        <v>44438</v>
      </c>
      <c r="C993" s="41">
        <v>101138298</v>
      </c>
      <c r="D993" s="47">
        <v>103314756.83</v>
      </c>
      <c r="E993" s="170">
        <f t="shared" si="155"/>
        <v>2176458.8299999982</v>
      </c>
      <c r="G993" s="173">
        <v>1361000</v>
      </c>
      <c r="H993" s="47">
        <v>1600000</v>
      </c>
      <c r="I993" s="171">
        <f t="shared" si="158"/>
        <v>239000</v>
      </c>
      <c r="J993" s="170">
        <f t="shared" si="159"/>
        <v>2415458.8299999982</v>
      </c>
    </row>
    <row r="994" spans="2:10" ht="12.65" customHeight="1">
      <c r="B994" s="33">
        <f>'Update IDR GWM'!A994</f>
        <v>44439</v>
      </c>
      <c r="C994" s="41">
        <v>101138298</v>
      </c>
      <c r="D994" s="47">
        <v>103314756.83</v>
      </c>
      <c r="E994" s="170">
        <f t="shared" si="155"/>
        <v>2176458.8299999982</v>
      </c>
      <c r="G994" s="173">
        <v>1361000</v>
      </c>
      <c r="H994" s="47">
        <v>1600000</v>
      </c>
      <c r="I994" s="171">
        <f t="shared" si="158"/>
        <v>239000</v>
      </c>
      <c r="J994" s="170">
        <f t="shared" si="159"/>
        <v>2415458.8299999982</v>
      </c>
    </row>
    <row r="995" spans="2:10" ht="12.65" customHeight="1">
      <c r="B995" s="33">
        <f>'Update IDR GWM'!A995</f>
        <v>44440</v>
      </c>
      <c r="C995" s="41">
        <v>102934981</v>
      </c>
      <c r="D995" s="47">
        <v>103314756.83</v>
      </c>
      <c r="E995" s="170">
        <f t="shared" si="155"/>
        <v>379775.82999999821</v>
      </c>
      <c r="G995" s="173">
        <v>1396000</v>
      </c>
      <c r="H995" s="47">
        <v>1600000</v>
      </c>
      <c r="I995" s="171">
        <f t="shared" si="158"/>
        <v>204000</v>
      </c>
      <c r="J995" s="170">
        <f t="shared" si="159"/>
        <v>583775.82999999821</v>
      </c>
    </row>
    <row r="996" spans="2:10" ht="12.65" customHeight="1">
      <c r="B996" s="33">
        <f>'Update IDR GWM'!A996</f>
        <v>44441</v>
      </c>
      <c r="C996" s="41">
        <v>102934981</v>
      </c>
      <c r="D996" s="47">
        <v>104514756.83</v>
      </c>
      <c r="E996" s="170">
        <f t="shared" si="155"/>
        <v>1579775.8299999982</v>
      </c>
      <c r="G996" s="173">
        <v>1396000</v>
      </c>
      <c r="H996" s="47">
        <v>1600000</v>
      </c>
      <c r="I996" s="171">
        <f t="shared" ref="I996:I1005" si="160">H996-G996</f>
        <v>204000</v>
      </c>
      <c r="J996" s="170">
        <f t="shared" ref="J996:J1005" si="161">E996+I996</f>
        <v>1783775.8299999982</v>
      </c>
    </row>
    <row r="997" spans="2:10" ht="12.65" customHeight="1">
      <c r="B997" s="33">
        <f>'Update IDR GWM'!A997</f>
        <v>44442</v>
      </c>
      <c r="C997" s="41">
        <v>102934981</v>
      </c>
      <c r="D997" s="47">
        <v>104514756.83</v>
      </c>
      <c r="E997" s="170">
        <f t="shared" si="155"/>
        <v>1579775.8299999982</v>
      </c>
      <c r="G997" s="173">
        <v>1396000</v>
      </c>
      <c r="H997" s="47">
        <v>1600000</v>
      </c>
      <c r="I997" s="171">
        <f t="shared" si="160"/>
        <v>204000</v>
      </c>
      <c r="J997" s="170">
        <f t="shared" si="161"/>
        <v>1783775.8299999982</v>
      </c>
    </row>
    <row r="998" spans="2:10" ht="12.65" customHeight="1">
      <c r="B998" s="33">
        <f>'Update IDR GWM'!A998</f>
        <v>44445</v>
      </c>
      <c r="C998" s="41">
        <v>102934981</v>
      </c>
      <c r="D998" s="47">
        <v>104514756.83</v>
      </c>
      <c r="E998" s="170">
        <f t="shared" si="155"/>
        <v>1579775.8299999982</v>
      </c>
      <c r="G998" s="173">
        <v>1396000</v>
      </c>
      <c r="H998" s="47">
        <v>1600000</v>
      </c>
      <c r="I998" s="171">
        <f t="shared" si="160"/>
        <v>204000</v>
      </c>
      <c r="J998" s="170">
        <f t="shared" si="161"/>
        <v>1783775.8299999982</v>
      </c>
    </row>
    <row r="999" spans="2:10" ht="12.65" customHeight="1">
      <c r="B999" s="33">
        <f>'Update IDR GWM'!A999</f>
        <v>44446</v>
      </c>
      <c r="C999" s="41">
        <v>102934981</v>
      </c>
      <c r="D999" s="47">
        <v>104514756.83</v>
      </c>
      <c r="E999" s="170">
        <f t="shared" si="155"/>
        <v>1579775.8299999982</v>
      </c>
      <c r="G999" s="173">
        <v>1396000</v>
      </c>
      <c r="H999" s="47">
        <v>1600000</v>
      </c>
      <c r="I999" s="171">
        <f t="shared" si="160"/>
        <v>204000</v>
      </c>
      <c r="J999" s="170">
        <f t="shared" si="161"/>
        <v>1783775.8299999982</v>
      </c>
    </row>
    <row r="1000" spans="2:10" ht="12.65" customHeight="1">
      <c r="B1000" s="33">
        <f>'Update IDR GWM'!A1000</f>
        <v>44447</v>
      </c>
      <c r="C1000" s="41">
        <v>102934981</v>
      </c>
      <c r="D1000" s="47">
        <v>104514756.83</v>
      </c>
      <c r="E1000" s="170">
        <f t="shared" si="155"/>
        <v>1579775.8299999982</v>
      </c>
      <c r="G1000" s="173">
        <v>1396000</v>
      </c>
      <c r="H1000" s="47">
        <v>1600000</v>
      </c>
      <c r="I1000" s="171">
        <f t="shared" si="160"/>
        <v>204000</v>
      </c>
      <c r="J1000" s="170">
        <f t="shared" si="161"/>
        <v>1783775.8299999982</v>
      </c>
    </row>
    <row r="1001" spans="2:10" ht="12.65" customHeight="1">
      <c r="B1001" s="33">
        <f>'Update IDR GWM'!A1001</f>
        <v>44448</v>
      </c>
      <c r="C1001" s="41">
        <v>102934981</v>
      </c>
      <c r="D1001" s="47">
        <v>104514756.83</v>
      </c>
      <c r="E1001" s="170">
        <f t="shared" si="155"/>
        <v>1579775.8299999982</v>
      </c>
      <c r="G1001" s="173">
        <v>1396000</v>
      </c>
      <c r="H1001" s="47">
        <v>1600000</v>
      </c>
      <c r="I1001" s="171">
        <f t="shared" si="160"/>
        <v>204000</v>
      </c>
      <c r="J1001" s="170">
        <f t="shared" si="161"/>
        <v>1783775.8299999982</v>
      </c>
    </row>
    <row r="1002" spans="2:10" ht="12.65" customHeight="1">
      <c r="B1002" s="33">
        <f>'Update IDR GWM'!A1002</f>
        <v>44449</v>
      </c>
      <c r="C1002" s="41">
        <v>102934981</v>
      </c>
      <c r="D1002" s="47">
        <v>104514756.83</v>
      </c>
      <c r="E1002" s="170">
        <f t="shared" si="155"/>
        <v>1579775.8299999982</v>
      </c>
      <c r="G1002" s="173">
        <v>1396000</v>
      </c>
      <c r="H1002" s="47">
        <v>1600000</v>
      </c>
      <c r="I1002" s="171">
        <f t="shared" si="160"/>
        <v>204000</v>
      </c>
      <c r="J1002" s="170">
        <f t="shared" si="161"/>
        <v>1783775.8299999982</v>
      </c>
    </row>
    <row r="1003" spans="2:10" ht="12.65" customHeight="1">
      <c r="B1003" s="33">
        <f>'Update IDR GWM'!A1003</f>
        <v>44452</v>
      </c>
      <c r="C1003" s="41">
        <v>102934981</v>
      </c>
      <c r="D1003" s="47">
        <v>104514756.83</v>
      </c>
      <c r="E1003" s="170">
        <f t="shared" si="155"/>
        <v>1579775.8299999982</v>
      </c>
      <c r="G1003" s="173">
        <v>1396000</v>
      </c>
      <c r="H1003" s="47">
        <v>1600000</v>
      </c>
      <c r="I1003" s="171">
        <f t="shared" si="160"/>
        <v>204000</v>
      </c>
      <c r="J1003" s="170">
        <f t="shared" si="161"/>
        <v>1783775.8299999982</v>
      </c>
    </row>
    <row r="1004" spans="2:10" ht="12.65" customHeight="1">
      <c r="B1004" s="33">
        <f>'Update IDR GWM'!A1004</f>
        <v>44453</v>
      </c>
      <c r="C1004" s="41">
        <v>102934981</v>
      </c>
      <c r="D1004" s="47">
        <v>104514756.83</v>
      </c>
      <c r="E1004" s="170">
        <f t="shared" si="155"/>
        <v>1579775.8299999982</v>
      </c>
      <c r="G1004" s="173">
        <v>1396000</v>
      </c>
      <c r="H1004" s="47">
        <v>1600000</v>
      </c>
      <c r="I1004" s="171">
        <f t="shared" si="160"/>
        <v>204000</v>
      </c>
      <c r="J1004" s="170">
        <f t="shared" si="161"/>
        <v>1783775.8299999982</v>
      </c>
    </row>
    <row r="1005" spans="2:10" ht="12.65" customHeight="1">
      <c r="B1005" s="33">
        <f>'Update IDR GWM'!A1005</f>
        <v>44454</v>
      </c>
      <c r="C1005" s="41">
        <v>102934981</v>
      </c>
      <c r="D1005" s="47">
        <v>104514756.83</v>
      </c>
      <c r="E1005" s="170">
        <f t="shared" si="155"/>
        <v>1579775.8299999982</v>
      </c>
      <c r="G1005" s="173">
        <v>1396000</v>
      </c>
      <c r="H1005" s="47">
        <v>1600000</v>
      </c>
      <c r="I1005" s="171">
        <f t="shared" si="160"/>
        <v>204000</v>
      </c>
      <c r="J1005" s="170">
        <f t="shared" si="161"/>
        <v>1783775.8299999982</v>
      </c>
    </row>
    <row r="1006" spans="2:10" ht="12.65" customHeight="1">
      <c r="B1006" s="33">
        <f>'Update IDR GWM'!A1006</f>
        <v>44455</v>
      </c>
      <c r="C1006" s="41">
        <v>104201260.619298</v>
      </c>
      <c r="D1006" s="47">
        <v>105314756.83</v>
      </c>
      <c r="E1006" s="170">
        <f t="shared" si="155"/>
        <v>1113496.210702002</v>
      </c>
      <c r="G1006" s="173">
        <v>1375000</v>
      </c>
      <c r="H1006" s="47">
        <v>1600000</v>
      </c>
      <c r="I1006" s="171">
        <f t="shared" ref="I1006:I1017" si="162">H1006-G1006</f>
        <v>225000</v>
      </c>
      <c r="J1006" s="170">
        <f t="shared" ref="J1006:J1017" si="163">E1006+I1006</f>
        <v>1338496.210702002</v>
      </c>
    </row>
    <row r="1007" spans="2:10" ht="12.65" customHeight="1">
      <c r="B1007" s="33">
        <f>'Update IDR GWM'!A1007</f>
        <v>44456</v>
      </c>
      <c r="C1007" s="41">
        <v>104201260.619298</v>
      </c>
      <c r="D1007" s="47">
        <v>105314756.83</v>
      </c>
      <c r="E1007" s="170">
        <f t="shared" si="155"/>
        <v>1113496.210702002</v>
      </c>
      <c r="G1007" s="173">
        <v>1375000</v>
      </c>
      <c r="H1007" s="47">
        <v>1600000</v>
      </c>
      <c r="I1007" s="171">
        <f t="shared" si="162"/>
        <v>225000</v>
      </c>
      <c r="J1007" s="170">
        <f t="shared" si="163"/>
        <v>1338496.210702002</v>
      </c>
    </row>
    <row r="1008" spans="2:10" ht="12.65" customHeight="1">
      <c r="B1008" s="33">
        <f>'Update IDR GWM'!A1008</f>
        <v>44459</v>
      </c>
      <c r="C1008" s="41">
        <v>104201260.619298</v>
      </c>
      <c r="D1008" s="47">
        <v>105314756.83</v>
      </c>
      <c r="E1008" s="170">
        <f t="shared" ref="E1008:E1071" si="164">D1008-C1008</f>
        <v>1113496.210702002</v>
      </c>
      <c r="G1008" s="173">
        <v>1375000</v>
      </c>
      <c r="H1008" s="47">
        <v>1600000</v>
      </c>
      <c r="I1008" s="171">
        <f t="shared" si="162"/>
        <v>225000</v>
      </c>
      <c r="J1008" s="170">
        <f t="shared" si="163"/>
        <v>1338496.210702002</v>
      </c>
    </row>
    <row r="1009" spans="2:10" ht="12.65" customHeight="1">
      <c r="B1009" s="33">
        <f>'Update IDR GWM'!A1009</f>
        <v>44460</v>
      </c>
      <c r="C1009" s="41">
        <v>104201260.619298</v>
      </c>
      <c r="D1009" s="47">
        <v>105014756.83</v>
      </c>
      <c r="E1009" s="170">
        <f t="shared" si="164"/>
        <v>813496.21070200205</v>
      </c>
      <c r="G1009" s="173">
        <v>1375000</v>
      </c>
      <c r="H1009" s="47">
        <v>1600000</v>
      </c>
      <c r="I1009" s="171">
        <f t="shared" si="162"/>
        <v>225000</v>
      </c>
      <c r="J1009" s="170">
        <f t="shared" si="163"/>
        <v>1038496.210702002</v>
      </c>
    </row>
    <row r="1010" spans="2:10" ht="12.65" customHeight="1">
      <c r="B1010" s="33">
        <f>'Update IDR GWM'!A1010</f>
        <v>44461</v>
      </c>
      <c r="C1010" s="41">
        <v>104201260.619298</v>
      </c>
      <c r="D1010" s="47">
        <v>105014756.83</v>
      </c>
      <c r="E1010" s="170">
        <f t="shared" si="164"/>
        <v>813496.21070200205</v>
      </c>
      <c r="G1010" s="173">
        <v>1375000</v>
      </c>
      <c r="H1010" s="47">
        <v>1600000</v>
      </c>
      <c r="I1010" s="171">
        <f t="shared" si="162"/>
        <v>225000</v>
      </c>
      <c r="J1010" s="170">
        <f>E1010+I1010</f>
        <v>1038496.210702002</v>
      </c>
    </row>
    <row r="1011" spans="2:10" ht="12.65" customHeight="1">
      <c r="B1011" s="33">
        <f>'Update IDR GWM'!A1011</f>
        <v>44462</v>
      </c>
      <c r="C1011" s="41">
        <v>104201260.619298</v>
      </c>
      <c r="D1011" s="47">
        <v>105014756.83</v>
      </c>
      <c r="E1011" s="170">
        <f t="shared" si="164"/>
        <v>813496.21070200205</v>
      </c>
      <c r="G1011" s="173">
        <v>1375000</v>
      </c>
      <c r="H1011" s="47">
        <v>1600000</v>
      </c>
      <c r="I1011" s="171">
        <f t="shared" si="162"/>
        <v>225000</v>
      </c>
      <c r="J1011" s="170">
        <f t="shared" si="163"/>
        <v>1038496.210702002</v>
      </c>
    </row>
    <row r="1012" spans="2:10" ht="12.65" customHeight="1">
      <c r="B1012" s="33">
        <f>'Update IDR GWM'!A1012</f>
        <v>44463</v>
      </c>
      <c r="C1012" s="41">
        <v>104201260.619298</v>
      </c>
      <c r="D1012" s="47">
        <v>105014756.83</v>
      </c>
      <c r="E1012" s="170">
        <f t="shared" si="164"/>
        <v>813496.21070200205</v>
      </c>
      <c r="G1012" s="173">
        <v>1375000</v>
      </c>
      <c r="H1012" s="47">
        <v>1600000</v>
      </c>
      <c r="I1012" s="171">
        <f t="shared" si="162"/>
        <v>225000</v>
      </c>
      <c r="J1012" s="170">
        <f t="shared" si="163"/>
        <v>1038496.210702002</v>
      </c>
    </row>
    <row r="1013" spans="2:10" ht="12.65" customHeight="1">
      <c r="B1013" s="33">
        <f>'Update IDR GWM'!A1013</f>
        <v>44466</v>
      </c>
      <c r="C1013" s="41">
        <v>104201260.619298</v>
      </c>
      <c r="D1013" s="47">
        <v>105014756.83</v>
      </c>
      <c r="E1013" s="170">
        <f t="shared" si="164"/>
        <v>813496.21070200205</v>
      </c>
      <c r="G1013" s="173">
        <v>1375000</v>
      </c>
      <c r="H1013" s="47">
        <v>1600000</v>
      </c>
      <c r="I1013" s="171">
        <f t="shared" si="162"/>
        <v>225000</v>
      </c>
      <c r="J1013" s="170">
        <f t="shared" si="163"/>
        <v>1038496.210702002</v>
      </c>
    </row>
    <row r="1014" spans="2:10" ht="12.65" customHeight="1">
      <c r="B1014" s="33">
        <f>'Update IDR GWM'!A1014</f>
        <v>44467</v>
      </c>
      <c r="C1014" s="41">
        <v>104201260.619298</v>
      </c>
      <c r="D1014" s="47">
        <v>105014756.83</v>
      </c>
      <c r="E1014" s="170">
        <f t="shared" si="164"/>
        <v>813496.21070200205</v>
      </c>
      <c r="G1014" s="173">
        <v>1375000</v>
      </c>
      <c r="H1014" s="47">
        <v>1600000</v>
      </c>
      <c r="I1014" s="171">
        <f t="shared" si="162"/>
        <v>225000</v>
      </c>
      <c r="J1014" s="170">
        <f t="shared" si="163"/>
        <v>1038496.210702002</v>
      </c>
    </row>
    <row r="1015" spans="2:10" ht="12.65" customHeight="1">
      <c r="B1015" s="33">
        <f>'Update IDR GWM'!A1015</f>
        <v>44468</v>
      </c>
      <c r="C1015" s="41">
        <v>104201260.619298</v>
      </c>
      <c r="D1015" s="47">
        <v>105014756.83</v>
      </c>
      <c r="E1015" s="170">
        <f t="shared" si="164"/>
        <v>813496.21070200205</v>
      </c>
      <c r="G1015" s="173">
        <v>1375000</v>
      </c>
      <c r="H1015" s="47">
        <v>1600000</v>
      </c>
      <c r="I1015" s="171">
        <f t="shared" si="162"/>
        <v>225000</v>
      </c>
      <c r="J1015" s="170">
        <f t="shared" si="163"/>
        <v>1038496.210702002</v>
      </c>
    </row>
    <row r="1016" spans="2:10" ht="12.65" customHeight="1">
      <c r="B1016" s="33">
        <f>'Update IDR GWM'!A1016</f>
        <v>44469</v>
      </c>
      <c r="C1016" s="41">
        <v>104201260.619298</v>
      </c>
      <c r="D1016" s="47">
        <v>105014756.83</v>
      </c>
      <c r="E1016" s="170">
        <f t="shared" si="164"/>
        <v>813496.21070200205</v>
      </c>
      <c r="G1016" s="173">
        <v>1375000</v>
      </c>
      <c r="H1016" s="47">
        <v>1600000</v>
      </c>
      <c r="I1016" s="171">
        <f t="shared" si="162"/>
        <v>225000</v>
      </c>
      <c r="J1016" s="170">
        <f t="shared" si="163"/>
        <v>1038496.210702002</v>
      </c>
    </row>
    <row r="1017" spans="2:10" ht="12.65" customHeight="1">
      <c r="B1017" s="33">
        <f>'Update IDR GWM'!A1017</f>
        <v>44470</v>
      </c>
      <c r="C1017" s="41">
        <v>109744331.145005</v>
      </c>
      <c r="D1017" s="47">
        <v>110514756.83</v>
      </c>
      <c r="E1017" s="170">
        <f t="shared" si="164"/>
        <v>770425.68499499559</v>
      </c>
      <c r="G1017" s="173">
        <v>1415000</v>
      </c>
      <c r="H1017" s="47">
        <v>1600000</v>
      </c>
      <c r="I1017" s="171">
        <f t="shared" si="162"/>
        <v>185000</v>
      </c>
      <c r="J1017" s="170">
        <f t="shared" si="163"/>
        <v>955425.68499499559</v>
      </c>
    </row>
    <row r="1018" spans="2:10" ht="12.65" customHeight="1">
      <c r="B1018" s="33">
        <f>'Update IDR GWM'!A1018</f>
        <v>44473</v>
      </c>
      <c r="C1018" s="41">
        <v>109744331.145005</v>
      </c>
      <c r="D1018" s="47">
        <v>110514756.83</v>
      </c>
      <c r="E1018" s="170">
        <f t="shared" si="164"/>
        <v>770425.68499499559</v>
      </c>
      <c r="G1018" s="173">
        <v>1415000</v>
      </c>
      <c r="H1018" s="47">
        <v>1600000</v>
      </c>
      <c r="I1018" s="171">
        <f t="shared" ref="I1018:I1027" si="165">H1018-G1018</f>
        <v>185000</v>
      </c>
      <c r="J1018" s="170">
        <f t="shared" ref="J1018:J1027" si="166">E1018+I1018</f>
        <v>955425.68499499559</v>
      </c>
    </row>
    <row r="1019" spans="2:10" ht="12.65" customHeight="1">
      <c r="B1019" s="33">
        <f>'Update IDR GWM'!A1019</f>
        <v>44474</v>
      </c>
      <c r="C1019" s="41">
        <v>109744331.145005</v>
      </c>
      <c r="D1019" s="47">
        <v>110514756.83</v>
      </c>
      <c r="E1019" s="170">
        <f t="shared" si="164"/>
        <v>770425.68499499559</v>
      </c>
      <c r="G1019" s="173">
        <v>1415000</v>
      </c>
      <c r="H1019" s="47">
        <v>1600000</v>
      </c>
      <c r="I1019" s="171">
        <f t="shared" si="165"/>
        <v>185000</v>
      </c>
      <c r="J1019" s="170">
        <f t="shared" si="166"/>
        <v>955425.68499499559</v>
      </c>
    </row>
    <row r="1020" spans="2:10" ht="12.65" customHeight="1">
      <c r="B1020" s="33">
        <f>'Update IDR GWM'!A1020</f>
        <v>44475</v>
      </c>
      <c r="C1020" s="41">
        <v>109744331.145005</v>
      </c>
      <c r="D1020" s="47">
        <v>110514756.83</v>
      </c>
      <c r="E1020" s="170">
        <f t="shared" si="164"/>
        <v>770425.68499499559</v>
      </c>
      <c r="G1020" s="173">
        <v>1415000</v>
      </c>
      <c r="H1020" s="47">
        <v>1600000</v>
      </c>
      <c r="I1020" s="171">
        <f t="shared" si="165"/>
        <v>185000</v>
      </c>
      <c r="J1020" s="170">
        <f t="shared" si="166"/>
        <v>955425.68499499559</v>
      </c>
    </row>
    <row r="1021" spans="2:10" ht="12.65" customHeight="1">
      <c r="B1021" s="33">
        <f>'Update IDR GWM'!A1021</f>
        <v>44476</v>
      </c>
      <c r="C1021" s="41">
        <v>109744331.145005</v>
      </c>
      <c r="D1021" s="47">
        <v>110514756.83</v>
      </c>
      <c r="E1021" s="170">
        <f t="shared" si="164"/>
        <v>770425.68499499559</v>
      </c>
      <c r="G1021" s="173">
        <v>1415000</v>
      </c>
      <c r="H1021" s="47">
        <v>1600000</v>
      </c>
      <c r="I1021" s="171">
        <f t="shared" si="165"/>
        <v>185000</v>
      </c>
      <c r="J1021" s="170">
        <f t="shared" si="166"/>
        <v>955425.68499499559</v>
      </c>
    </row>
    <row r="1022" spans="2:10" ht="12.65" customHeight="1">
      <c r="B1022" s="33">
        <f>'Update IDR GWM'!A1022</f>
        <v>44477</v>
      </c>
      <c r="C1022" s="41">
        <v>109744331.145005</v>
      </c>
      <c r="D1022" s="47">
        <v>110514756.83</v>
      </c>
      <c r="E1022" s="170">
        <f t="shared" si="164"/>
        <v>770425.68499499559</v>
      </c>
      <c r="G1022" s="173">
        <v>1415000</v>
      </c>
      <c r="H1022" s="47">
        <v>1600000</v>
      </c>
      <c r="I1022" s="171">
        <f t="shared" si="165"/>
        <v>185000</v>
      </c>
      <c r="J1022" s="170">
        <f t="shared" si="166"/>
        <v>955425.68499499559</v>
      </c>
    </row>
    <row r="1023" spans="2:10" ht="12.65" customHeight="1">
      <c r="B1023" s="33">
        <f>'Update IDR GWM'!A1023</f>
        <v>44480</v>
      </c>
      <c r="C1023" s="41">
        <v>109744331.145005</v>
      </c>
      <c r="D1023" s="47">
        <v>110514756.83</v>
      </c>
      <c r="E1023" s="170">
        <f t="shared" si="164"/>
        <v>770425.68499499559</v>
      </c>
      <c r="G1023" s="173">
        <v>1415000</v>
      </c>
      <c r="H1023" s="47">
        <v>1600000</v>
      </c>
      <c r="I1023" s="171">
        <f t="shared" si="165"/>
        <v>185000</v>
      </c>
      <c r="J1023" s="170">
        <f t="shared" si="166"/>
        <v>955425.68499499559</v>
      </c>
    </row>
    <row r="1024" spans="2:10" ht="12.65" customHeight="1">
      <c r="B1024" s="33">
        <f>'Update IDR GWM'!A1024</f>
        <v>44481</v>
      </c>
      <c r="C1024" s="41">
        <v>109744331.145005</v>
      </c>
      <c r="D1024" s="47">
        <v>110514756.83</v>
      </c>
      <c r="E1024" s="170">
        <f t="shared" si="164"/>
        <v>770425.68499499559</v>
      </c>
      <c r="G1024" s="173">
        <v>1415000</v>
      </c>
      <c r="H1024" s="47">
        <v>1600000</v>
      </c>
      <c r="I1024" s="171">
        <f t="shared" si="165"/>
        <v>185000</v>
      </c>
      <c r="J1024" s="170">
        <f t="shared" si="166"/>
        <v>955425.68499499559</v>
      </c>
    </row>
    <row r="1025" spans="2:10" ht="12.65" customHeight="1">
      <c r="B1025" s="33">
        <f>'Update IDR GWM'!A1025</f>
        <v>44482</v>
      </c>
      <c r="C1025" s="41">
        <v>109744331.145005</v>
      </c>
      <c r="D1025" s="47">
        <v>110514756.83</v>
      </c>
      <c r="E1025" s="170">
        <f t="shared" si="164"/>
        <v>770425.68499499559</v>
      </c>
      <c r="G1025" s="173">
        <v>1415000</v>
      </c>
      <c r="H1025" s="47">
        <v>1600000</v>
      </c>
      <c r="I1025" s="171">
        <f t="shared" si="165"/>
        <v>185000</v>
      </c>
      <c r="J1025" s="170">
        <f t="shared" si="166"/>
        <v>955425.68499499559</v>
      </c>
    </row>
    <row r="1026" spans="2:10" ht="12.65" customHeight="1">
      <c r="B1026" s="33">
        <f>'Update IDR GWM'!A1026</f>
        <v>44483</v>
      </c>
      <c r="C1026" s="41">
        <v>109744331.145005</v>
      </c>
      <c r="D1026" s="47">
        <v>110514756.83</v>
      </c>
      <c r="E1026" s="170">
        <f t="shared" si="164"/>
        <v>770425.68499499559</v>
      </c>
      <c r="G1026" s="173">
        <v>1415000</v>
      </c>
      <c r="H1026" s="47">
        <v>1600000</v>
      </c>
      <c r="I1026" s="171">
        <f t="shared" si="165"/>
        <v>185000</v>
      </c>
      <c r="J1026" s="170">
        <f t="shared" si="166"/>
        <v>955425.68499499559</v>
      </c>
    </row>
    <row r="1027" spans="2:10" ht="12.65" customHeight="1">
      <c r="B1027" s="33">
        <f>'Update IDR GWM'!A1027</f>
        <v>44484</v>
      </c>
      <c r="C1027" s="41">
        <v>109744331.145005</v>
      </c>
      <c r="D1027" s="47">
        <v>110514756.83</v>
      </c>
      <c r="E1027" s="170">
        <f t="shared" si="164"/>
        <v>770425.68499499559</v>
      </c>
      <c r="G1027" s="173">
        <v>1415000</v>
      </c>
      <c r="H1027" s="47">
        <v>1600000</v>
      </c>
      <c r="I1027" s="171">
        <f t="shared" si="165"/>
        <v>185000</v>
      </c>
      <c r="J1027" s="170">
        <f t="shared" si="166"/>
        <v>955425.68499499559</v>
      </c>
    </row>
    <row r="1028" spans="2:10" ht="12.65" customHeight="1">
      <c r="B1028" s="33">
        <f>'Update IDR GWM'!A1028</f>
        <v>44487</v>
      </c>
      <c r="C1028" s="41">
        <v>110451739.259341</v>
      </c>
      <c r="D1028" s="47">
        <v>111314756.83</v>
      </c>
      <c r="E1028" s="170">
        <f t="shared" si="164"/>
        <v>863017.5706589967</v>
      </c>
      <c r="G1028" s="173">
        <v>1374000</v>
      </c>
      <c r="H1028" s="47">
        <v>1600000</v>
      </c>
      <c r="I1028" s="171">
        <f t="shared" ref="I1028:I1048" si="167">H1028-G1028</f>
        <v>226000</v>
      </c>
      <c r="J1028" s="170">
        <f t="shared" ref="J1028:J1038" si="168">E1028+I1028</f>
        <v>1089017.5706589967</v>
      </c>
    </row>
    <row r="1029" spans="2:10" ht="12.65" customHeight="1">
      <c r="B1029" s="33">
        <f>'Update IDR GWM'!A1029</f>
        <v>44488</v>
      </c>
      <c r="C1029" s="41">
        <v>110451739.259341</v>
      </c>
      <c r="D1029" s="47">
        <v>111314756.83</v>
      </c>
      <c r="E1029" s="170">
        <f t="shared" si="164"/>
        <v>863017.5706589967</v>
      </c>
      <c r="G1029" s="173">
        <v>1374000</v>
      </c>
      <c r="H1029" s="47">
        <v>1600000</v>
      </c>
      <c r="I1029" s="171">
        <f t="shared" si="167"/>
        <v>226000</v>
      </c>
      <c r="J1029" s="170">
        <f t="shared" si="168"/>
        <v>1089017.5706589967</v>
      </c>
    </row>
    <row r="1030" spans="2:10" ht="12.65" customHeight="1">
      <c r="B1030" s="33">
        <f>'Update IDR GWM'!A1030</f>
        <v>44490</v>
      </c>
      <c r="C1030" s="41">
        <v>110451739.259341</v>
      </c>
      <c r="D1030" s="47">
        <v>111314756.83</v>
      </c>
      <c r="E1030" s="170">
        <f t="shared" si="164"/>
        <v>863017.5706589967</v>
      </c>
      <c r="G1030" s="173">
        <v>1374000</v>
      </c>
      <c r="H1030" s="47">
        <v>1600000</v>
      </c>
      <c r="I1030" s="171">
        <f t="shared" si="167"/>
        <v>226000</v>
      </c>
      <c r="J1030" s="170">
        <f t="shared" si="168"/>
        <v>1089017.5706589967</v>
      </c>
    </row>
    <row r="1031" spans="2:10" ht="12.65" customHeight="1">
      <c r="B1031" s="33">
        <f>'Update IDR GWM'!A1031</f>
        <v>44491</v>
      </c>
      <c r="C1031" s="41">
        <v>110451739.259341</v>
      </c>
      <c r="D1031" s="47">
        <v>111314756.83</v>
      </c>
      <c r="E1031" s="170">
        <f t="shared" si="164"/>
        <v>863017.5706589967</v>
      </c>
      <c r="G1031" s="173">
        <v>1374000</v>
      </c>
      <c r="H1031" s="47">
        <v>1600000</v>
      </c>
      <c r="I1031" s="171">
        <f t="shared" si="167"/>
        <v>226000</v>
      </c>
      <c r="J1031" s="170">
        <f t="shared" si="168"/>
        <v>1089017.5706589967</v>
      </c>
    </row>
    <row r="1032" spans="2:10" ht="12.65" customHeight="1">
      <c r="B1032" s="33">
        <f>'Update IDR GWM'!A1032</f>
        <v>44494</v>
      </c>
      <c r="C1032" s="41">
        <v>110451739.259341</v>
      </c>
      <c r="D1032" s="47">
        <v>111314756.83</v>
      </c>
      <c r="E1032" s="170">
        <f t="shared" si="164"/>
        <v>863017.5706589967</v>
      </c>
      <c r="G1032" s="173">
        <v>1374000</v>
      </c>
      <c r="H1032" s="47">
        <v>1600000</v>
      </c>
      <c r="I1032" s="171">
        <f t="shared" si="167"/>
        <v>226000</v>
      </c>
      <c r="J1032" s="170">
        <f t="shared" si="168"/>
        <v>1089017.5706589967</v>
      </c>
    </row>
    <row r="1033" spans="2:10" ht="12.65" customHeight="1">
      <c r="B1033" s="33">
        <f>'Update IDR GWM'!A1033</f>
        <v>44495</v>
      </c>
      <c r="C1033" s="41">
        <v>110451739.259341</v>
      </c>
      <c r="D1033" s="47">
        <v>111314756.83</v>
      </c>
      <c r="E1033" s="170">
        <f t="shared" si="164"/>
        <v>863017.5706589967</v>
      </c>
      <c r="G1033" s="173">
        <v>1374000</v>
      </c>
      <c r="H1033" s="47">
        <v>1600000</v>
      </c>
      <c r="I1033" s="171">
        <f t="shared" si="167"/>
        <v>226000</v>
      </c>
      <c r="J1033" s="170">
        <f t="shared" si="168"/>
        <v>1089017.5706589967</v>
      </c>
    </row>
    <row r="1034" spans="2:10" ht="12.65" customHeight="1">
      <c r="B1034" s="33">
        <f>'Update IDR GWM'!A1034</f>
        <v>44496</v>
      </c>
      <c r="C1034" s="41">
        <v>110451739.259341</v>
      </c>
      <c r="D1034" s="47">
        <v>111314756.83</v>
      </c>
      <c r="E1034" s="170">
        <f t="shared" si="164"/>
        <v>863017.5706589967</v>
      </c>
      <c r="G1034" s="173">
        <v>1374000</v>
      </c>
      <c r="H1034" s="47">
        <v>1600000</v>
      </c>
      <c r="I1034" s="171">
        <f t="shared" si="167"/>
        <v>226000</v>
      </c>
      <c r="J1034" s="170">
        <f t="shared" si="168"/>
        <v>1089017.5706589967</v>
      </c>
    </row>
    <row r="1035" spans="2:10" ht="12.65" customHeight="1">
      <c r="B1035" s="33">
        <f>'Update IDR GWM'!A1035</f>
        <v>44497</v>
      </c>
      <c r="C1035" s="41">
        <v>110451739.259341</v>
      </c>
      <c r="D1035" s="47">
        <v>111214756.83</v>
      </c>
      <c r="E1035" s="170">
        <f t="shared" si="164"/>
        <v>763017.5706589967</v>
      </c>
      <c r="G1035" s="173">
        <v>1374000</v>
      </c>
      <c r="H1035" s="47">
        <v>1600000</v>
      </c>
      <c r="I1035" s="171">
        <f t="shared" si="167"/>
        <v>226000</v>
      </c>
      <c r="J1035" s="170">
        <f t="shared" si="168"/>
        <v>989017.5706589967</v>
      </c>
    </row>
    <row r="1036" spans="2:10" ht="12.65" customHeight="1">
      <c r="B1036" s="33">
        <f>'Update IDR GWM'!A1036</f>
        <v>44498</v>
      </c>
      <c r="C1036" s="41">
        <v>110451739.259341</v>
      </c>
      <c r="D1036" s="47">
        <v>111214756.83</v>
      </c>
      <c r="E1036" s="170">
        <f t="shared" si="164"/>
        <v>763017.5706589967</v>
      </c>
      <c r="G1036" s="173">
        <v>1374000</v>
      </c>
      <c r="H1036" s="47">
        <v>1600000</v>
      </c>
      <c r="I1036" s="171">
        <f t="shared" si="167"/>
        <v>226000</v>
      </c>
      <c r="J1036" s="170">
        <f t="shared" si="168"/>
        <v>989017.5706589967</v>
      </c>
    </row>
    <row r="1037" spans="2:10" ht="12.65" customHeight="1">
      <c r="B1037" s="33">
        <f>'Update IDR GWM'!A1037</f>
        <v>44500</v>
      </c>
      <c r="C1037" s="41">
        <v>110451739.259341</v>
      </c>
      <c r="D1037" s="47">
        <v>111214756.83</v>
      </c>
      <c r="E1037" s="170">
        <f t="shared" si="164"/>
        <v>763017.5706589967</v>
      </c>
      <c r="G1037" s="173">
        <v>1374000</v>
      </c>
      <c r="H1037" s="47">
        <v>1600000</v>
      </c>
      <c r="I1037" s="171">
        <f>H1037-G1037</f>
        <v>226000</v>
      </c>
      <c r="J1037" s="170">
        <f>E1037+I1037</f>
        <v>989017.5706589967</v>
      </c>
    </row>
    <row r="1038" spans="2:10" ht="12.65" customHeight="1">
      <c r="B1038" s="33">
        <f>'Update IDR GWM'!A1038</f>
        <v>44501</v>
      </c>
      <c r="C1038" s="41">
        <v>113851746.127343</v>
      </c>
      <c r="D1038" s="47">
        <v>114714756.83</v>
      </c>
      <c r="E1038" s="170">
        <f t="shared" si="164"/>
        <v>863010.70265699923</v>
      </c>
      <c r="G1038" s="173">
        <v>1308000</v>
      </c>
      <c r="H1038" s="47">
        <v>1600000</v>
      </c>
      <c r="I1038" s="171">
        <f t="shared" si="167"/>
        <v>292000</v>
      </c>
      <c r="J1038" s="170">
        <f t="shared" si="168"/>
        <v>1155010.7026569992</v>
      </c>
    </row>
    <row r="1039" spans="2:10" ht="12.65" customHeight="1">
      <c r="B1039" s="33">
        <f>'Update IDR GWM'!A1039</f>
        <v>44502</v>
      </c>
      <c r="C1039" s="41">
        <v>113851746.127343</v>
      </c>
      <c r="D1039" s="47">
        <v>114714756.83</v>
      </c>
      <c r="E1039" s="170">
        <f t="shared" si="164"/>
        <v>863010.70265699923</v>
      </c>
      <c r="G1039" s="173">
        <v>1308000</v>
      </c>
      <c r="H1039" s="47">
        <v>1600000</v>
      </c>
      <c r="I1039" s="171">
        <f t="shared" si="167"/>
        <v>292000</v>
      </c>
      <c r="J1039" s="170">
        <f t="shared" ref="J1039:J1048" si="169">E1039+I1039</f>
        <v>1155010.7026569992</v>
      </c>
    </row>
    <row r="1040" spans="2:10" ht="12.65" customHeight="1">
      <c r="B1040" s="33">
        <f>'Update IDR GWM'!A1040</f>
        <v>44503</v>
      </c>
      <c r="C1040" s="41">
        <v>113851746.127343</v>
      </c>
      <c r="D1040" s="47">
        <v>114824756.83</v>
      </c>
      <c r="E1040" s="170">
        <f t="shared" si="164"/>
        <v>973010.70265699923</v>
      </c>
      <c r="G1040" s="173">
        <v>1308000</v>
      </c>
      <c r="H1040" s="47">
        <v>1600000</v>
      </c>
      <c r="I1040" s="171">
        <f t="shared" si="167"/>
        <v>292000</v>
      </c>
      <c r="J1040" s="170">
        <f t="shared" si="169"/>
        <v>1265010.7026569992</v>
      </c>
    </row>
    <row r="1041" spans="2:10" ht="12.65" customHeight="1">
      <c r="B1041" s="33">
        <f>'Update IDR GWM'!A1041</f>
        <v>44504</v>
      </c>
      <c r="C1041" s="41">
        <v>113851746.127343</v>
      </c>
      <c r="D1041" s="47">
        <v>114824756.83</v>
      </c>
      <c r="E1041" s="170">
        <f t="shared" si="164"/>
        <v>973010.70265699923</v>
      </c>
      <c r="G1041" s="173">
        <v>1308000</v>
      </c>
      <c r="H1041" s="47">
        <v>1550000</v>
      </c>
      <c r="I1041" s="171">
        <f t="shared" si="167"/>
        <v>242000</v>
      </c>
      <c r="J1041" s="170">
        <f t="shared" si="169"/>
        <v>1215010.7026569992</v>
      </c>
    </row>
    <row r="1042" spans="2:10" ht="12.65" customHeight="1">
      <c r="B1042" s="33">
        <f>'Update IDR GWM'!A1042</f>
        <v>44505</v>
      </c>
      <c r="C1042" s="41">
        <v>113851746.127343</v>
      </c>
      <c r="D1042" s="47">
        <v>114824756.83</v>
      </c>
      <c r="E1042" s="170">
        <f t="shared" si="164"/>
        <v>973010.70265699923</v>
      </c>
      <c r="G1042" s="173">
        <v>1308000</v>
      </c>
      <c r="H1042" s="47">
        <v>1550000</v>
      </c>
      <c r="I1042" s="171">
        <f t="shared" si="167"/>
        <v>242000</v>
      </c>
      <c r="J1042" s="170">
        <f t="shared" si="169"/>
        <v>1215010.7026569992</v>
      </c>
    </row>
    <row r="1043" spans="2:10" ht="12.65" customHeight="1">
      <c r="B1043" s="33">
        <f>'Update IDR GWM'!A1043</f>
        <v>44508</v>
      </c>
      <c r="C1043" s="41">
        <v>113851746.127343</v>
      </c>
      <c r="D1043" s="47">
        <v>114824756.83</v>
      </c>
      <c r="E1043" s="170">
        <f t="shared" si="164"/>
        <v>973010.70265699923</v>
      </c>
      <c r="G1043" s="173">
        <v>1308000</v>
      </c>
      <c r="H1043" s="47">
        <v>1550000</v>
      </c>
      <c r="I1043" s="171">
        <f t="shared" si="167"/>
        <v>242000</v>
      </c>
      <c r="J1043" s="170">
        <f t="shared" si="169"/>
        <v>1215010.7026569992</v>
      </c>
    </row>
    <row r="1044" spans="2:10" ht="12.65" customHeight="1">
      <c r="B1044" s="33">
        <f>'Update IDR GWM'!A1044</f>
        <v>44509</v>
      </c>
      <c r="C1044" s="41">
        <v>113851746.127343</v>
      </c>
      <c r="D1044" s="47">
        <v>114824756.83</v>
      </c>
      <c r="E1044" s="170">
        <f t="shared" si="164"/>
        <v>973010.70265699923</v>
      </c>
      <c r="G1044" s="173">
        <v>1308000</v>
      </c>
      <c r="H1044" s="47">
        <v>1550000</v>
      </c>
      <c r="I1044" s="171">
        <f t="shared" si="167"/>
        <v>242000</v>
      </c>
      <c r="J1044" s="170">
        <f t="shared" si="169"/>
        <v>1215010.7026569992</v>
      </c>
    </row>
    <row r="1045" spans="2:10" ht="12.65" customHeight="1">
      <c r="B1045" s="33">
        <f>'Update IDR GWM'!A1045</f>
        <v>44510</v>
      </c>
      <c r="C1045" s="41">
        <v>113851746.127343</v>
      </c>
      <c r="D1045" s="47">
        <v>114824756.83</v>
      </c>
      <c r="E1045" s="170">
        <f t="shared" si="164"/>
        <v>973010.70265699923</v>
      </c>
      <c r="G1045" s="173">
        <v>1308000</v>
      </c>
      <c r="H1045" s="47">
        <v>1550000</v>
      </c>
      <c r="I1045" s="171">
        <f t="shared" si="167"/>
        <v>242000</v>
      </c>
      <c r="J1045" s="170">
        <f t="shared" si="169"/>
        <v>1215010.7026569992</v>
      </c>
    </row>
    <row r="1046" spans="2:10" ht="12.65" customHeight="1">
      <c r="B1046" s="33">
        <f>'Update IDR GWM'!A1046</f>
        <v>44511</v>
      </c>
      <c r="C1046" s="41">
        <v>113851746.127343</v>
      </c>
      <c r="D1046" s="47">
        <v>114824756.83</v>
      </c>
      <c r="E1046" s="170">
        <f t="shared" si="164"/>
        <v>973010.70265699923</v>
      </c>
      <c r="G1046" s="173">
        <v>1308000</v>
      </c>
      <c r="H1046" s="47">
        <v>1550000</v>
      </c>
      <c r="I1046" s="171">
        <f t="shared" si="167"/>
        <v>242000</v>
      </c>
      <c r="J1046" s="170">
        <f t="shared" si="169"/>
        <v>1215010.7026569992</v>
      </c>
    </row>
    <row r="1047" spans="2:10" ht="12.65" customHeight="1">
      <c r="B1047" s="33">
        <f>'Update IDR GWM'!A1047</f>
        <v>44512</v>
      </c>
      <c r="C1047" s="41">
        <v>113851746.127343</v>
      </c>
      <c r="D1047" s="47">
        <v>114824756.83</v>
      </c>
      <c r="E1047" s="170">
        <f t="shared" si="164"/>
        <v>973010.70265699923</v>
      </c>
      <c r="G1047" s="173">
        <v>1308000</v>
      </c>
      <c r="H1047" s="47">
        <v>1550000</v>
      </c>
      <c r="I1047" s="171">
        <f t="shared" si="167"/>
        <v>242000</v>
      </c>
      <c r="J1047" s="170">
        <f t="shared" si="169"/>
        <v>1215010.7026569992</v>
      </c>
    </row>
    <row r="1048" spans="2:10" ht="12.65" customHeight="1">
      <c r="B1048" s="33">
        <f>'Update IDR GWM'!A1048</f>
        <v>44515</v>
      </c>
      <c r="C1048" s="41">
        <v>113851746.127343</v>
      </c>
      <c r="D1048" s="47">
        <v>114824756.83</v>
      </c>
      <c r="E1048" s="170">
        <f t="shared" si="164"/>
        <v>973010.70265699923</v>
      </c>
      <c r="G1048" s="173">
        <v>1308000</v>
      </c>
      <c r="H1048" s="47">
        <v>1550000</v>
      </c>
      <c r="I1048" s="171">
        <f t="shared" si="167"/>
        <v>242000</v>
      </c>
      <c r="J1048" s="170">
        <f t="shared" si="169"/>
        <v>1215010.7026569992</v>
      </c>
    </row>
    <row r="1049" spans="2:10" ht="12.65" customHeight="1">
      <c r="B1049" s="33">
        <f>'Update IDR GWM'!A1049</f>
        <v>44516</v>
      </c>
      <c r="C1049" s="41">
        <v>119924827.83255801</v>
      </c>
      <c r="D1049" s="47">
        <f>120824756.83+102029653.94</f>
        <v>222854410.76999998</v>
      </c>
      <c r="E1049" s="170">
        <f t="shared" si="164"/>
        <v>102929582.93744197</v>
      </c>
      <c r="G1049" s="173">
        <v>1306000</v>
      </c>
      <c r="H1049" s="47">
        <v>1550000</v>
      </c>
      <c r="I1049" s="171">
        <f t="shared" ref="I1049:I1059" si="170">H1049-G1049</f>
        <v>244000</v>
      </c>
      <c r="J1049" s="170">
        <f t="shared" ref="J1049:J1059" si="171">E1049+I1049</f>
        <v>103173582.93744197</v>
      </c>
    </row>
    <row r="1050" spans="2:10" ht="12.65" customHeight="1">
      <c r="B1050" s="33">
        <f>'Update IDR GWM'!A1050</f>
        <v>44517</v>
      </c>
      <c r="C1050" s="41">
        <v>119924827.83255801</v>
      </c>
      <c r="D1050" s="47">
        <f>222853756.83+653.94</f>
        <v>222854410.77000001</v>
      </c>
      <c r="E1050" s="170">
        <f t="shared" si="164"/>
        <v>102929582.937442</v>
      </c>
      <c r="G1050" s="173">
        <v>1306000</v>
      </c>
      <c r="H1050" s="47">
        <v>1550000</v>
      </c>
      <c r="I1050" s="171">
        <f t="shared" si="170"/>
        <v>244000</v>
      </c>
      <c r="J1050" s="170">
        <f t="shared" si="171"/>
        <v>103173582.937442</v>
      </c>
    </row>
    <row r="1051" spans="2:10" ht="12.65" customHeight="1">
      <c r="B1051" s="33">
        <f>'Update IDR GWM'!A1051</f>
        <v>44518</v>
      </c>
      <c r="C1051" s="41">
        <v>119924827.83255801</v>
      </c>
      <c r="D1051" s="47">
        <f>222853756.83+653.94</f>
        <v>222854410.77000001</v>
      </c>
      <c r="E1051" s="170">
        <f t="shared" si="164"/>
        <v>102929582.937442</v>
      </c>
      <c r="G1051" s="173">
        <v>1306000</v>
      </c>
      <c r="H1051" s="47">
        <v>1550000</v>
      </c>
      <c r="I1051" s="171">
        <f t="shared" si="170"/>
        <v>244000</v>
      </c>
      <c r="J1051" s="170">
        <f t="shared" si="171"/>
        <v>103173582.937442</v>
      </c>
    </row>
    <row r="1052" spans="2:10" ht="12.65" customHeight="1">
      <c r="B1052" s="33">
        <f>'Update IDR GWM'!A1052</f>
        <v>44519</v>
      </c>
      <c r="C1052" s="41">
        <v>119924827.83255801</v>
      </c>
      <c r="D1052" s="47">
        <f>120853756.83+653.94</f>
        <v>120854410.77</v>
      </c>
      <c r="E1052" s="170">
        <f t="shared" si="164"/>
        <v>929582.93744198978</v>
      </c>
      <c r="G1052" s="173">
        <v>1306000</v>
      </c>
      <c r="H1052" s="47">
        <v>1550000</v>
      </c>
      <c r="I1052" s="171">
        <f t="shared" si="170"/>
        <v>244000</v>
      </c>
      <c r="J1052" s="170">
        <f t="shared" si="171"/>
        <v>1173582.9374419898</v>
      </c>
    </row>
    <row r="1053" spans="2:10" ht="12.65" customHeight="1">
      <c r="B1053" s="33">
        <f>'Update IDR GWM'!A1053</f>
        <v>44522</v>
      </c>
      <c r="C1053" s="41">
        <v>119924827.83255801</v>
      </c>
      <c r="D1053" s="47">
        <f>120853756.83+653.94</f>
        <v>120854410.77</v>
      </c>
      <c r="E1053" s="170">
        <f t="shared" si="164"/>
        <v>929582.93744198978</v>
      </c>
      <c r="G1053" s="173">
        <v>1306000</v>
      </c>
      <c r="H1053" s="47">
        <v>1550000</v>
      </c>
      <c r="I1053" s="171">
        <f t="shared" si="170"/>
        <v>244000</v>
      </c>
      <c r="J1053" s="170">
        <f t="shared" si="171"/>
        <v>1173582.9374419898</v>
      </c>
    </row>
    <row r="1054" spans="2:10" ht="12.65" customHeight="1">
      <c r="B1054" s="33">
        <f>'Update IDR GWM'!A1054</f>
        <v>44523</v>
      </c>
      <c r="C1054" s="41">
        <v>119924827.83255801</v>
      </c>
      <c r="D1054" s="47">
        <f>120853756.83+653.94</f>
        <v>120854410.77</v>
      </c>
      <c r="E1054" s="170">
        <f t="shared" si="164"/>
        <v>929582.93744198978</v>
      </c>
      <c r="G1054" s="173">
        <v>1306000</v>
      </c>
      <c r="H1054" s="47">
        <v>1550000</v>
      </c>
      <c r="I1054" s="171">
        <f t="shared" si="170"/>
        <v>244000</v>
      </c>
      <c r="J1054" s="170">
        <f t="shared" si="171"/>
        <v>1173582.9374419898</v>
      </c>
    </row>
    <row r="1055" spans="2:10" ht="12.65" customHeight="1">
      <c r="B1055" s="33">
        <f>'Update IDR GWM'!A1055</f>
        <v>44524</v>
      </c>
      <c r="C1055" s="41">
        <v>119924827.83255801</v>
      </c>
      <c r="D1055" s="47">
        <f>120819756.83+3284653.94</f>
        <v>124104410.77</v>
      </c>
      <c r="E1055" s="170">
        <f t="shared" si="164"/>
        <v>4179582.9374419898</v>
      </c>
      <c r="G1055" s="173">
        <v>1306000</v>
      </c>
      <c r="H1055" s="47">
        <v>1550000</v>
      </c>
      <c r="I1055" s="171">
        <f t="shared" si="170"/>
        <v>244000</v>
      </c>
      <c r="J1055" s="170">
        <f t="shared" si="171"/>
        <v>4423582.9374419898</v>
      </c>
    </row>
    <row r="1056" spans="2:10" ht="12.65" customHeight="1">
      <c r="B1056" s="33">
        <f>'Update IDR GWM'!A1056</f>
        <v>44525</v>
      </c>
      <c r="C1056" s="41">
        <v>119924827.83255801</v>
      </c>
      <c r="D1056" s="47">
        <f>120819756.83+3284653.94</f>
        <v>124104410.77</v>
      </c>
      <c r="E1056" s="170">
        <f t="shared" si="164"/>
        <v>4179582.9374419898</v>
      </c>
      <c r="G1056" s="173">
        <v>1306000</v>
      </c>
      <c r="H1056" s="47">
        <v>1550000</v>
      </c>
      <c r="I1056" s="171">
        <f t="shared" si="170"/>
        <v>244000</v>
      </c>
      <c r="J1056" s="170">
        <f t="shared" si="171"/>
        <v>4423582.9374419898</v>
      </c>
    </row>
    <row r="1057" spans="2:10" ht="12.65" customHeight="1">
      <c r="B1057" s="33">
        <f>'Update IDR GWM'!A1057</f>
        <v>44526</v>
      </c>
      <c r="C1057" s="41">
        <v>119924827.83255801</v>
      </c>
      <c r="D1057" s="47">
        <f>120819756.83+3971.07</f>
        <v>120823727.89999999</v>
      </c>
      <c r="E1057" s="170">
        <f t="shared" si="164"/>
        <v>898900.06744198501</v>
      </c>
      <c r="G1057" s="173">
        <v>1306000</v>
      </c>
      <c r="H1057" s="47">
        <v>1550000</v>
      </c>
      <c r="I1057" s="171">
        <f t="shared" si="170"/>
        <v>244000</v>
      </c>
      <c r="J1057" s="170">
        <f t="shared" si="171"/>
        <v>1142900.067441985</v>
      </c>
    </row>
    <row r="1058" spans="2:10" ht="12.65" customHeight="1">
      <c r="B1058" s="33">
        <f>'Update IDR GWM'!A1058</f>
        <v>44529</v>
      </c>
      <c r="C1058" s="41">
        <v>119924827.83255801</v>
      </c>
      <c r="D1058" s="47">
        <f>120819756.83+3971.07</f>
        <v>120823727.89999999</v>
      </c>
      <c r="E1058" s="170">
        <f t="shared" si="164"/>
        <v>898900.06744198501</v>
      </c>
      <c r="G1058" s="173">
        <v>1306000</v>
      </c>
      <c r="H1058" s="47">
        <v>1550000</v>
      </c>
      <c r="I1058" s="171">
        <f t="shared" si="170"/>
        <v>244000</v>
      </c>
      <c r="J1058" s="170">
        <f t="shared" si="171"/>
        <v>1142900.067441985</v>
      </c>
    </row>
    <row r="1059" spans="2:10" ht="12.65" customHeight="1">
      <c r="B1059" s="33">
        <f>'Update IDR GWM'!A1059</f>
        <v>44530</v>
      </c>
      <c r="C1059" s="41">
        <v>119924827.83255801</v>
      </c>
      <c r="D1059" s="47">
        <f>120819756.83+3971.07</f>
        <v>120823727.89999999</v>
      </c>
      <c r="E1059" s="170">
        <f t="shared" si="164"/>
        <v>898900.06744198501</v>
      </c>
      <c r="G1059" s="173">
        <v>1306000</v>
      </c>
      <c r="H1059" s="47">
        <v>1550000</v>
      </c>
      <c r="I1059" s="171">
        <f t="shared" si="170"/>
        <v>244000</v>
      </c>
      <c r="J1059" s="170">
        <f t="shared" si="171"/>
        <v>1142900.067441985</v>
      </c>
    </row>
    <row r="1060" spans="2:10" ht="12.65" customHeight="1">
      <c r="B1060" s="33">
        <v>44531</v>
      </c>
      <c r="C1060" s="41">
        <v>120283252.27425399</v>
      </c>
      <c r="D1060" s="47">
        <f t="shared" ref="D1060:D1065" si="172">121219756.83+3971.07</f>
        <v>121223727.89999999</v>
      </c>
      <c r="E1060" s="170">
        <f t="shared" si="164"/>
        <v>940475.62574599683</v>
      </c>
      <c r="G1060" s="173">
        <v>1363000</v>
      </c>
      <c r="H1060" s="47">
        <v>1550000</v>
      </c>
      <c r="I1060" s="171">
        <f t="shared" ref="I1060:I1082" si="173">H1060-G1060</f>
        <v>187000</v>
      </c>
      <c r="J1060" s="170">
        <f t="shared" ref="J1060:J1082" si="174">E1060+I1060</f>
        <v>1127475.6257459968</v>
      </c>
    </row>
    <row r="1061" spans="2:10" ht="12.65" customHeight="1">
      <c r="B1061" s="33">
        <v>44532</v>
      </c>
      <c r="C1061" s="41">
        <v>120283252.27425399</v>
      </c>
      <c r="D1061" s="47">
        <f t="shared" si="172"/>
        <v>121223727.89999999</v>
      </c>
      <c r="E1061" s="170">
        <f t="shared" si="164"/>
        <v>940475.62574599683</v>
      </c>
      <c r="G1061" s="173">
        <v>1363000</v>
      </c>
      <c r="H1061" s="47">
        <v>1550000</v>
      </c>
      <c r="I1061" s="171">
        <f t="shared" si="173"/>
        <v>187000</v>
      </c>
      <c r="J1061" s="170">
        <f t="shared" si="174"/>
        <v>1127475.6257459968</v>
      </c>
    </row>
    <row r="1062" spans="2:10" ht="12.65" customHeight="1">
      <c r="B1062" s="33">
        <v>44533</v>
      </c>
      <c r="C1062" s="41">
        <v>120283252.27425399</v>
      </c>
      <c r="D1062" s="47">
        <f t="shared" si="172"/>
        <v>121223727.89999999</v>
      </c>
      <c r="E1062" s="170">
        <f t="shared" si="164"/>
        <v>940475.62574599683</v>
      </c>
      <c r="G1062" s="173">
        <v>1363000</v>
      </c>
      <c r="H1062" s="47">
        <v>1550000</v>
      </c>
      <c r="I1062" s="171">
        <f t="shared" si="173"/>
        <v>187000</v>
      </c>
      <c r="J1062" s="170">
        <f t="shared" si="174"/>
        <v>1127475.6257459968</v>
      </c>
    </row>
    <row r="1063" spans="2:10" ht="12.65" customHeight="1">
      <c r="B1063" s="33">
        <v>44536</v>
      </c>
      <c r="C1063" s="41">
        <v>120283252.27425399</v>
      </c>
      <c r="D1063" s="47">
        <f t="shared" si="172"/>
        <v>121223727.89999999</v>
      </c>
      <c r="E1063" s="170">
        <f t="shared" si="164"/>
        <v>940475.62574599683</v>
      </c>
      <c r="G1063" s="173">
        <v>1363000</v>
      </c>
      <c r="H1063" s="47">
        <v>1550000</v>
      </c>
      <c r="I1063" s="171">
        <f t="shared" si="173"/>
        <v>187000</v>
      </c>
      <c r="J1063" s="170">
        <f t="shared" si="174"/>
        <v>1127475.6257459968</v>
      </c>
    </row>
    <row r="1064" spans="2:10" ht="12.65" customHeight="1">
      <c r="B1064" s="33">
        <v>44537</v>
      </c>
      <c r="C1064" s="41">
        <v>120283252.27425399</v>
      </c>
      <c r="D1064" s="47">
        <f t="shared" si="172"/>
        <v>121223727.89999999</v>
      </c>
      <c r="E1064" s="170">
        <f t="shared" si="164"/>
        <v>940475.62574599683</v>
      </c>
      <c r="G1064" s="173">
        <v>1363000</v>
      </c>
      <c r="H1064" s="47">
        <v>1550000</v>
      </c>
      <c r="I1064" s="171">
        <f t="shared" si="173"/>
        <v>187000</v>
      </c>
      <c r="J1064" s="170">
        <f t="shared" si="174"/>
        <v>1127475.6257459968</v>
      </c>
    </row>
    <row r="1065" spans="2:10" ht="12.65" customHeight="1">
      <c r="B1065" s="33">
        <v>44538</v>
      </c>
      <c r="C1065" s="41">
        <v>120283252.27425399</v>
      </c>
      <c r="D1065" s="47">
        <f t="shared" si="172"/>
        <v>121223727.89999999</v>
      </c>
      <c r="E1065" s="170">
        <f t="shared" si="164"/>
        <v>940475.62574599683</v>
      </c>
      <c r="G1065" s="173">
        <v>1363000</v>
      </c>
      <c r="H1065" s="47">
        <v>1550000</v>
      </c>
      <c r="I1065" s="171">
        <f t="shared" si="173"/>
        <v>187000</v>
      </c>
      <c r="J1065" s="170">
        <f t="shared" si="174"/>
        <v>1127475.6257459968</v>
      </c>
    </row>
    <row r="1066" spans="2:10" ht="12.65" customHeight="1">
      <c r="B1066" s="33">
        <v>44539</v>
      </c>
      <c r="C1066" s="41">
        <v>120283252.27425399</v>
      </c>
      <c r="D1066" s="47">
        <f t="shared" ref="D1066:D1071" si="175">121219756.83+3971.07</f>
        <v>121223727.89999999</v>
      </c>
      <c r="E1066" s="170">
        <f t="shared" si="164"/>
        <v>940475.62574599683</v>
      </c>
      <c r="G1066" s="173">
        <v>1363000</v>
      </c>
      <c r="H1066" s="47">
        <v>1550000</v>
      </c>
      <c r="I1066" s="171">
        <f t="shared" si="173"/>
        <v>187000</v>
      </c>
      <c r="J1066" s="170">
        <f t="shared" si="174"/>
        <v>1127475.6257459968</v>
      </c>
    </row>
    <row r="1067" spans="2:10" ht="12.65" customHeight="1">
      <c r="B1067" s="33">
        <v>44540</v>
      </c>
      <c r="C1067" s="41">
        <v>120283252.27425399</v>
      </c>
      <c r="D1067" s="47">
        <f t="shared" si="175"/>
        <v>121223727.89999999</v>
      </c>
      <c r="E1067" s="170">
        <f t="shared" si="164"/>
        <v>940475.62574599683</v>
      </c>
      <c r="G1067" s="173">
        <v>1363000</v>
      </c>
      <c r="H1067" s="47">
        <v>1550000</v>
      </c>
      <c r="I1067" s="171">
        <f t="shared" si="173"/>
        <v>187000</v>
      </c>
      <c r="J1067" s="170">
        <f t="shared" si="174"/>
        <v>1127475.6257459968</v>
      </c>
    </row>
    <row r="1068" spans="2:10" ht="12.65" customHeight="1">
      <c r="B1068" s="33">
        <v>44543</v>
      </c>
      <c r="C1068" s="41">
        <v>120283252.27425399</v>
      </c>
      <c r="D1068" s="47">
        <f t="shared" si="175"/>
        <v>121223727.89999999</v>
      </c>
      <c r="E1068" s="170">
        <f t="shared" si="164"/>
        <v>940475.62574599683</v>
      </c>
      <c r="G1068" s="173">
        <v>1363000</v>
      </c>
      <c r="H1068" s="47">
        <v>1550000</v>
      </c>
      <c r="I1068" s="171">
        <f t="shared" si="173"/>
        <v>187000</v>
      </c>
      <c r="J1068" s="170">
        <f t="shared" si="174"/>
        <v>1127475.6257459968</v>
      </c>
    </row>
    <row r="1069" spans="2:10" ht="12.65" customHeight="1">
      <c r="B1069" s="33">
        <v>44544</v>
      </c>
      <c r="C1069" s="41">
        <v>120283252.27425399</v>
      </c>
      <c r="D1069" s="47">
        <f t="shared" si="175"/>
        <v>121223727.89999999</v>
      </c>
      <c r="E1069" s="170">
        <f t="shared" si="164"/>
        <v>940475.62574599683</v>
      </c>
      <c r="G1069" s="173">
        <v>1363000</v>
      </c>
      <c r="H1069" s="47">
        <v>1550000</v>
      </c>
      <c r="I1069" s="171">
        <f t="shared" si="173"/>
        <v>187000</v>
      </c>
      <c r="J1069" s="170">
        <f t="shared" si="174"/>
        <v>1127475.6257459968</v>
      </c>
    </row>
    <row r="1070" spans="2:10" ht="12.65" customHeight="1">
      <c r="B1070" s="33">
        <v>44545</v>
      </c>
      <c r="C1070" s="41">
        <v>120283252.27425399</v>
      </c>
      <c r="D1070" s="47">
        <f t="shared" si="175"/>
        <v>121223727.89999999</v>
      </c>
      <c r="E1070" s="170">
        <f t="shared" si="164"/>
        <v>940475.62574599683</v>
      </c>
      <c r="G1070" s="173">
        <v>1363000</v>
      </c>
      <c r="H1070" s="47">
        <v>3000000</v>
      </c>
      <c r="I1070" s="171">
        <f t="shared" si="173"/>
        <v>1637000</v>
      </c>
      <c r="J1070" s="170">
        <f t="shared" si="174"/>
        <v>2577475.6257459968</v>
      </c>
    </row>
    <row r="1071" spans="2:10" ht="12.65" customHeight="1">
      <c r="B1071" s="33">
        <v>44546</v>
      </c>
      <c r="C1071" s="41">
        <v>118489833.302195</v>
      </c>
      <c r="D1071" s="47">
        <f t="shared" si="175"/>
        <v>121223727.89999999</v>
      </c>
      <c r="E1071" s="170">
        <f t="shared" si="164"/>
        <v>2733894.5978049934</v>
      </c>
      <c r="G1071" s="173">
        <v>2420000</v>
      </c>
      <c r="H1071" s="47">
        <v>3000000</v>
      </c>
      <c r="I1071" s="171">
        <f t="shared" si="173"/>
        <v>580000</v>
      </c>
      <c r="J1071" s="170">
        <f t="shared" si="174"/>
        <v>3313894.5978049934</v>
      </c>
    </row>
    <row r="1072" spans="2:10" ht="12.65" customHeight="1">
      <c r="B1072" s="33">
        <v>44547</v>
      </c>
      <c r="C1072" s="41">
        <v>118489833.302195</v>
      </c>
      <c r="D1072" s="47">
        <f>121219756.83+3971.07-1900000</f>
        <v>119323727.89999999</v>
      </c>
      <c r="E1072" s="170">
        <f t="shared" ref="E1072:E1135" si="176">D1072-C1072</f>
        <v>833894.59780499339</v>
      </c>
      <c r="G1072" s="173">
        <v>2420000</v>
      </c>
      <c r="H1072" s="47">
        <v>3000000</v>
      </c>
      <c r="I1072" s="171">
        <f t="shared" si="173"/>
        <v>580000</v>
      </c>
      <c r="J1072" s="170">
        <f t="shared" si="174"/>
        <v>1413894.5978049934</v>
      </c>
    </row>
    <row r="1073" spans="2:10" ht="12.65" customHeight="1">
      <c r="B1073" s="33">
        <v>44550</v>
      </c>
      <c r="C1073" s="41">
        <v>118489833.302195</v>
      </c>
      <c r="D1073" s="47">
        <f>119319756.83+3971.07</f>
        <v>119323727.89999999</v>
      </c>
      <c r="E1073" s="170">
        <f t="shared" si="176"/>
        <v>833894.59780499339</v>
      </c>
      <c r="G1073" s="173">
        <v>2420000</v>
      </c>
      <c r="H1073" s="47">
        <v>3000000</v>
      </c>
      <c r="I1073" s="171">
        <f t="shared" si="173"/>
        <v>580000</v>
      </c>
      <c r="J1073" s="170">
        <f t="shared" si="174"/>
        <v>1413894.5978049934</v>
      </c>
    </row>
    <row r="1074" spans="2:10" ht="12.65" customHeight="1">
      <c r="B1074" s="33">
        <v>44551</v>
      </c>
      <c r="C1074" s="41">
        <v>118489833.302195</v>
      </c>
      <c r="D1074" s="47">
        <f>119319756.83+3971.07</f>
        <v>119323727.89999999</v>
      </c>
      <c r="E1074" s="170">
        <f t="shared" si="176"/>
        <v>833894.59780499339</v>
      </c>
      <c r="G1074" s="173">
        <v>2420000</v>
      </c>
      <c r="H1074" s="47">
        <v>3000000</v>
      </c>
      <c r="I1074" s="171">
        <f t="shared" si="173"/>
        <v>580000</v>
      </c>
      <c r="J1074" s="170">
        <f t="shared" si="174"/>
        <v>1413894.5978049934</v>
      </c>
    </row>
    <row r="1075" spans="2:10" ht="12.65" customHeight="1">
      <c r="B1075" s="33">
        <v>44552</v>
      </c>
      <c r="C1075" s="41">
        <v>118489833.302195</v>
      </c>
      <c r="D1075" s="47">
        <f>119319756.83+3971.07</f>
        <v>119323727.89999999</v>
      </c>
      <c r="E1075" s="170">
        <f t="shared" si="176"/>
        <v>833894.59780499339</v>
      </c>
      <c r="G1075" s="173">
        <v>2420000</v>
      </c>
      <c r="H1075" s="47">
        <v>3000000</v>
      </c>
      <c r="I1075" s="171">
        <f t="shared" si="173"/>
        <v>580000</v>
      </c>
      <c r="J1075" s="170">
        <f t="shared" si="174"/>
        <v>1413894.5978049934</v>
      </c>
    </row>
    <row r="1076" spans="2:10" ht="12.65" customHeight="1">
      <c r="B1076" s="33">
        <v>44553</v>
      </c>
      <c r="C1076" s="41">
        <v>118489833.302195</v>
      </c>
      <c r="D1076" s="47">
        <f>119289756.83+13533971.07</f>
        <v>132823727.90000001</v>
      </c>
      <c r="E1076" s="170">
        <f t="shared" si="176"/>
        <v>14333894.597805008</v>
      </c>
      <c r="G1076" s="173">
        <v>2420000</v>
      </c>
      <c r="H1076" s="47">
        <v>3000000</v>
      </c>
      <c r="I1076" s="171">
        <f t="shared" si="173"/>
        <v>580000</v>
      </c>
      <c r="J1076" s="170">
        <f t="shared" si="174"/>
        <v>14913894.597805008</v>
      </c>
    </row>
    <row r="1077" spans="2:10" ht="12.65" customHeight="1">
      <c r="B1077" s="33">
        <v>44554</v>
      </c>
      <c r="C1077" s="41">
        <v>118489833.302195</v>
      </c>
      <c r="D1077" s="47">
        <f t="shared" ref="D1077:D1082" si="177">119289756.83+22948.19</f>
        <v>119312705.02</v>
      </c>
      <c r="E1077" s="170">
        <f t="shared" si="176"/>
        <v>822871.71780499816</v>
      </c>
      <c r="G1077" s="173">
        <v>2420000</v>
      </c>
      <c r="H1077" s="47">
        <v>3000000</v>
      </c>
      <c r="I1077" s="171">
        <f t="shared" si="173"/>
        <v>580000</v>
      </c>
      <c r="J1077" s="170">
        <f t="shared" si="174"/>
        <v>1402871.7178049982</v>
      </c>
    </row>
    <row r="1078" spans="2:10" ht="12.65" customHeight="1">
      <c r="B1078" s="33">
        <v>44557</v>
      </c>
      <c r="C1078" s="41">
        <v>118489833.302195</v>
      </c>
      <c r="D1078" s="47">
        <f t="shared" si="177"/>
        <v>119312705.02</v>
      </c>
      <c r="E1078" s="170">
        <f t="shared" si="176"/>
        <v>822871.71780499816</v>
      </c>
      <c r="G1078" s="173">
        <v>2420000</v>
      </c>
      <c r="H1078" s="47">
        <v>3000000</v>
      </c>
      <c r="I1078" s="171">
        <f t="shared" si="173"/>
        <v>580000</v>
      </c>
      <c r="J1078" s="170">
        <f t="shared" si="174"/>
        <v>1402871.7178049982</v>
      </c>
    </row>
    <row r="1079" spans="2:10" ht="12.65" customHeight="1">
      <c r="B1079" s="33">
        <v>44558</v>
      </c>
      <c r="C1079" s="41">
        <v>118489833.302195</v>
      </c>
      <c r="D1079" s="47">
        <f t="shared" si="177"/>
        <v>119312705.02</v>
      </c>
      <c r="E1079" s="170">
        <f t="shared" si="176"/>
        <v>822871.71780499816</v>
      </c>
      <c r="G1079" s="173">
        <v>2420000</v>
      </c>
      <c r="H1079" s="47">
        <v>3000000</v>
      </c>
      <c r="I1079" s="171">
        <f t="shared" si="173"/>
        <v>580000</v>
      </c>
      <c r="J1079" s="170">
        <f t="shared" si="174"/>
        <v>1402871.7178049982</v>
      </c>
    </row>
    <row r="1080" spans="2:10" ht="12.65" customHeight="1">
      <c r="B1080" s="33">
        <v>44559</v>
      </c>
      <c r="C1080" s="41">
        <v>118489833.302195</v>
      </c>
      <c r="D1080" s="47">
        <f t="shared" si="177"/>
        <v>119312705.02</v>
      </c>
      <c r="E1080" s="170">
        <f t="shared" si="176"/>
        <v>822871.71780499816</v>
      </c>
      <c r="G1080" s="173">
        <v>2420000</v>
      </c>
      <c r="H1080" s="47">
        <v>3000000</v>
      </c>
      <c r="I1080" s="171">
        <f t="shared" si="173"/>
        <v>580000</v>
      </c>
      <c r="J1080" s="170">
        <f t="shared" si="174"/>
        <v>1402871.7178049982</v>
      </c>
    </row>
    <row r="1081" spans="2:10" ht="12.65" customHeight="1">
      <c r="B1081" s="33">
        <v>44560</v>
      </c>
      <c r="C1081" s="41">
        <v>118489833.302195</v>
      </c>
      <c r="D1081" s="47">
        <f t="shared" si="177"/>
        <v>119312705.02</v>
      </c>
      <c r="E1081" s="170">
        <f t="shared" si="176"/>
        <v>822871.71780499816</v>
      </c>
      <c r="G1081" s="173">
        <v>2420000</v>
      </c>
      <c r="H1081" s="47">
        <v>3000000</v>
      </c>
      <c r="I1081" s="171">
        <f t="shared" si="173"/>
        <v>580000</v>
      </c>
      <c r="J1081" s="170">
        <f t="shared" si="174"/>
        <v>1402871.7178049982</v>
      </c>
    </row>
    <row r="1082" spans="2:10" ht="12.65" customHeight="1">
      <c r="B1082" s="33">
        <v>44561</v>
      </c>
      <c r="C1082" s="41">
        <v>118489833.302195</v>
      </c>
      <c r="D1082" s="47">
        <f t="shared" si="177"/>
        <v>119312705.02</v>
      </c>
      <c r="E1082" s="170">
        <f t="shared" si="176"/>
        <v>822871.71780499816</v>
      </c>
      <c r="G1082" s="173">
        <v>2420000</v>
      </c>
      <c r="H1082" s="47">
        <v>3000000</v>
      </c>
      <c r="I1082" s="171">
        <f t="shared" si="173"/>
        <v>580000</v>
      </c>
      <c r="J1082" s="170">
        <f t="shared" si="174"/>
        <v>1402871.7178049982</v>
      </c>
    </row>
    <row r="1083" spans="2:10" ht="12.65" customHeight="1">
      <c r="B1083" s="33">
        <v>44564</v>
      </c>
      <c r="C1083" s="41">
        <v>119043767.31696101</v>
      </c>
      <c r="D1083" s="47">
        <f t="shared" ref="D1083:D1087" si="178">119889756.83+22948.19</f>
        <v>119912705.02</v>
      </c>
      <c r="E1083" s="170">
        <f t="shared" si="176"/>
        <v>868937.7030389905</v>
      </c>
      <c r="G1083" s="173">
        <v>2391000</v>
      </c>
      <c r="H1083" s="47">
        <v>3000000</v>
      </c>
      <c r="I1083" s="171">
        <f t="shared" ref="I1083:I1092" si="179">H1083-G1083</f>
        <v>609000</v>
      </c>
      <c r="J1083" s="170">
        <f t="shared" ref="J1083:J1092" si="180">E1083+I1083</f>
        <v>1477937.7030389905</v>
      </c>
    </row>
    <row r="1084" spans="2:10" ht="12.65" customHeight="1">
      <c r="B1084" s="33">
        <v>44565</v>
      </c>
      <c r="C1084" s="41">
        <v>119043767.31696101</v>
      </c>
      <c r="D1084" s="47">
        <f t="shared" si="178"/>
        <v>119912705.02</v>
      </c>
      <c r="E1084" s="170">
        <f t="shared" si="176"/>
        <v>868937.7030389905</v>
      </c>
      <c r="G1084" s="173">
        <v>2391000</v>
      </c>
      <c r="H1084" s="47">
        <v>3000000</v>
      </c>
      <c r="I1084" s="171">
        <f t="shared" si="179"/>
        <v>609000</v>
      </c>
      <c r="J1084" s="170">
        <f t="shared" si="180"/>
        <v>1477937.7030389905</v>
      </c>
    </row>
    <row r="1085" spans="2:10" ht="12.65" customHeight="1">
      <c r="B1085" s="33">
        <v>44566</v>
      </c>
      <c r="C1085" s="41">
        <v>119043767.31696101</v>
      </c>
      <c r="D1085" s="47">
        <f t="shared" si="178"/>
        <v>119912705.02</v>
      </c>
      <c r="E1085" s="170">
        <f t="shared" si="176"/>
        <v>868937.7030389905</v>
      </c>
      <c r="G1085" s="173">
        <v>2391000</v>
      </c>
      <c r="H1085" s="47">
        <v>3000000</v>
      </c>
      <c r="I1085" s="171">
        <f t="shared" si="179"/>
        <v>609000</v>
      </c>
      <c r="J1085" s="170">
        <f t="shared" si="180"/>
        <v>1477937.7030389905</v>
      </c>
    </row>
    <row r="1086" spans="2:10" ht="12.65" customHeight="1">
      <c r="B1086" s="33">
        <v>44567</v>
      </c>
      <c r="C1086" s="41">
        <v>119043767.31696101</v>
      </c>
      <c r="D1086" s="47">
        <f t="shared" si="178"/>
        <v>119912705.02</v>
      </c>
      <c r="E1086" s="170">
        <f t="shared" si="176"/>
        <v>868937.7030389905</v>
      </c>
      <c r="G1086" s="173">
        <v>2391000</v>
      </c>
      <c r="H1086" s="47">
        <v>3000000</v>
      </c>
      <c r="I1086" s="171">
        <f t="shared" si="179"/>
        <v>609000</v>
      </c>
      <c r="J1086" s="170">
        <f t="shared" si="180"/>
        <v>1477937.7030389905</v>
      </c>
    </row>
    <row r="1087" spans="2:10" ht="12.65" customHeight="1">
      <c r="B1087" s="33">
        <v>44568</v>
      </c>
      <c r="C1087" s="41">
        <v>119043767.31696101</v>
      </c>
      <c r="D1087" s="47">
        <f t="shared" si="178"/>
        <v>119912705.02</v>
      </c>
      <c r="E1087" s="170">
        <f t="shared" si="176"/>
        <v>868937.7030389905</v>
      </c>
      <c r="G1087" s="173">
        <v>2391000</v>
      </c>
      <c r="H1087" s="47">
        <v>3000000</v>
      </c>
      <c r="I1087" s="171">
        <f t="shared" si="179"/>
        <v>609000</v>
      </c>
      <c r="J1087" s="170">
        <f t="shared" si="180"/>
        <v>1477937.7030389905</v>
      </c>
    </row>
    <row r="1088" spans="2:10" ht="12.65" customHeight="1">
      <c r="B1088" s="33">
        <v>44571</v>
      </c>
      <c r="C1088" s="41">
        <v>119043767.31696101</v>
      </c>
      <c r="D1088" s="47">
        <f>119889756.83+22948.19</f>
        <v>119912705.02</v>
      </c>
      <c r="E1088" s="170">
        <f t="shared" si="176"/>
        <v>868937.7030389905</v>
      </c>
      <c r="G1088" s="173">
        <v>2391000</v>
      </c>
      <c r="H1088" s="47">
        <v>3000000</v>
      </c>
      <c r="I1088" s="171">
        <f t="shared" si="179"/>
        <v>609000</v>
      </c>
      <c r="J1088" s="170">
        <f t="shared" si="180"/>
        <v>1477937.7030389905</v>
      </c>
    </row>
    <row r="1089" spans="2:10" ht="12.65" customHeight="1">
      <c r="B1089" s="33">
        <v>44572</v>
      </c>
      <c r="C1089" s="41">
        <v>119043767.31696101</v>
      </c>
      <c r="D1089" s="47">
        <f>119889756.83+102022948.19</f>
        <v>221912705.01999998</v>
      </c>
      <c r="E1089" s="170">
        <f t="shared" si="176"/>
        <v>102868937.70303898</v>
      </c>
      <c r="G1089" s="173">
        <v>2391000</v>
      </c>
      <c r="H1089" s="47">
        <v>3000000</v>
      </c>
      <c r="I1089" s="171">
        <f t="shared" si="179"/>
        <v>609000</v>
      </c>
      <c r="J1089" s="170">
        <f t="shared" si="180"/>
        <v>103477937.70303898</v>
      </c>
    </row>
    <row r="1090" spans="2:10" ht="12.65" customHeight="1">
      <c r="B1090" s="33">
        <v>44573</v>
      </c>
      <c r="C1090" s="41">
        <v>119043767.31696101</v>
      </c>
      <c r="D1090" s="47">
        <f>221889756.83+22948.19</f>
        <v>221912705.02000001</v>
      </c>
      <c r="E1090" s="170">
        <f t="shared" si="176"/>
        <v>102868937.70303901</v>
      </c>
      <c r="G1090" s="173">
        <v>2391000</v>
      </c>
      <c r="H1090" s="47">
        <v>3000000</v>
      </c>
      <c r="I1090" s="171">
        <f t="shared" si="179"/>
        <v>609000</v>
      </c>
      <c r="J1090" s="170">
        <f t="shared" si="180"/>
        <v>103477937.70303901</v>
      </c>
    </row>
    <row r="1091" spans="2:10" ht="12.65" customHeight="1">
      <c r="B1091" s="33">
        <v>44574</v>
      </c>
      <c r="C1091" s="41">
        <v>119043767.31696101</v>
      </c>
      <c r="D1091" s="47">
        <f>221889756.83+22948.19</f>
        <v>221912705.02000001</v>
      </c>
      <c r="E1091" s="170">
        <f t="shared" si="176"/>
        <v>102868937.70303901</v>
      </c>
      <c r="G1091" s="173">
        <v>2391000</v>
      </c>
      <c r="H1091" s="47">
        <v>3000000</v>
      </c>
      <c r="I1091" s="171">
        <f t="shared" si="179"/>
        <v>609000</v>
      </c>
      <c r="J1091" s="170">
        <f t="shared" si="180"/>
        <v>103477937.70303901</v>
      </c>
    </row>
    <row r="1092" spans="2:10" ht="12.65" customHeight="1">
      <c r="B1092" s="33">
        <v>44575</v>
      </c>
      <c r="C1092" s="41">
        <v>119043767.31696101</v>
      </c>
      <c r="D1092" s="47">
        <f t="shared" ref="D1092:D1100" si="181">120589756.83+22948.19</f>
        <v>120612705.02</v>
      </c>
      <c r="E1092" s="170">
        <f t="shared" si="176"/>
        <v>1568937.7030389905</v>
      </c>
      <c r="G1092" s="173">
        <v>2391000</v>
      </c>
      <c r="H1092" s="47">
        <v>3000000</v>
      </c>
      <c r="I1092" s="171">
        <f t="shared" si="179"/>
        <v>609000</v>
      </c>
      <c r="J1092" s="170">
        <f t="shared" si="180"/>
        <v>2177937.7030389905</v>
      </c>
    </row>
    <row r="1093" spans="2:10" ht="12.65" customHeight="1">
      <c r="B1093" s="33">
        <v>44578</v>
      </c>
      <c r="C1093" s="41">
        <v>119754511.74959999</v>
      </c>
      <c r="D1093" s="47">
        <f t="shared" si="181"/>
        <v>120612705.02</v>
      </c>
      <c r="E1093" s="170">
        <f t="shared" si="176"/>
        <v>858193.2704000026</v>
      </c>
      <c r="G1093" s="173">
        <v>2373000</v>
      </c>
      <c r="H1093" s="47">
        <v>3000000</v>
      </c>
      <c r="I1093" s="171">
        <f t="shared" ref="I1093:I1103" si="182">H1093-G1093</f>
        <v>627000</v>
      </c>
      <c r="J1093" s="170">
        <f t="shared" ref="J1093:J1103" si="183">E1093+I1093</f>
        <v>1485193.2704000026</v>
      </c>
    </row>
    <row r="1094" spans="2:10" ht="12.65" customHeight="1">
      <c r="B1094" s="33">
        <v>44579</v>
      </c>
      <c r="C1094" s="41">
        <v>119754511.74959999</v>
      </c>
      <c r="D1094" s="47">
        <f t="shared" si="181"/>
        <v>120612705.02</v>
      </c>
      <c r="E1094" s="170">
        <f t="shared" si="176"/>
        <v>858193.2704000026</v>
      </c>
      <c r="G1094" s="173">
        <v>2373000</v>
      </c>
      <c r="H1094" s="47">
        <v>3000000</v>
      </c>
      <c r="I1094" s="171">
        <f t="shared" si="182"/>
        <v>627000</v>
      </c>
      <c r="J1094" s="170">
        <f t="shared" si="183"/>
        <v>1485193.2704000026</v>
      </c>
    </row>
    <row r="1095" spans="2:10" ht="12.65" customHeight="1">
      <c r="B1095" s="33">
        <v>44580</v>
      </c>
      <c r="C1095" s="41">
        <v>119754511.74959999</v>
      </c>
      <c r="D1095" s="47">
        <f t="shared" si="181"/>
        <v>120612705.02</v>
      </c>
      <c r="E1095" s="170">
        <f t="shared" si="176"/>
        <v>858193.2704000026</v>
      </c>
      <c r="G1095" s="173">
        <v>2373000</v>
      </c>
      <c r="H1095" s="47">
        <v>3000000</v>
      </c>
      <c r="I1095" s="171">
        <f t="shared" si="182"/>
        <v>627000</v>
      </c>
      <c r="J1095" s="170">
        <f t="shared" si="183"/>
        <v>1485193.2704000026</v>
      </c>
    </row>
    <row r="1096" spans="2:10" ht="12.65" customHeight="1">
      <c r="B1096" s="33">
        <v>44581</v>
      </c>
      <c r="C1096" s="41">
        <v>119754511.74959999</v>
      </c>
      <c r="D1096" s="47">
        <f t="shared" si="181"/>
        <v>120612705.02</v>
      </c>
      <c r="E1096" s="170">
        <f t="shared" si="176"/>
        <v>858193.2704000026</v>
      </c>
      <c r="G1096" s="173">
        <v>2373000</v>
      </c>
      <c r="H1096" s="47">
        <v>3000000</v>
      </c>
      <c r="I1096" s="171">
        <f t="shared" si="182"/>
        <v>627000</v>
      </c>
      <c r="J1096" s="170">
        <f t="shared" si="183"/>
        <v>1485193.2704000026</v>
      </c>
    </row>
    <row r="1097" spans="2:10" ht="12.65" customHeight="1">
      <c r="B1097" s="33">
        <v>44582</v>
      </c>
      <c r="C1097" s="41">
        <v>119754511.74959999</v>
      </c>
      <c r="D1097" s="47">
        <f t="shared" si="181"/>
        <v>120612705.02</v>
      </c>
      <c r="E1097" s="170">
        <f t="shared" si="176"/>
        <v>858193.2704000026</v>
      </c>
      <c r="G1097" s="173">
        <v>2373000</v>
      </c>
      <c r="H1097" s="47">
        <v>3000000</v>
      </c>
      <c r="I1097" s="171">
        <f t="shared" si="182"/>
        <v>627000</v>
      </c>
      <c r="J1097" s="170">
        <f t="shared" si="183"/>
        <v>1485193.2704000026</v>
      </c>
    </row>
    <row r="1098" spans="2:10" ht="12.65" customHeight="1">
      <c r="B1098" s="33">
        <v>44585</v>
      </c>
      <c r="C1098" s="41">
        <v>119754511.74959999</v>
      </c>
      <c r="D1098" s="47">
        <f t="shared" si="181"/>
        <v>120612705.02</v>
      </c>
      <c r="E1098" s="170">
        <f t="shared" si="176"/>
        <v>858193.2704000026</v>
      </c>
      <c r="G1098" s="173">
        <v>2373000</v>
      </c>
      <c r="H1098" s="47">
        <v>3000000</v>
      </c>
      <c r="I1098" s="171">
        <f t="shared" si="182"/>
        <v>627000</v>
      </c>
      <c r="J1098" s="170">
        <f t="shared" si="183"/>
        <v>1485193.2704000026</v>
      </c>
    </row>
    <row r="1099" spans="2:10" ht="12.65" customHeight="1">
      <c r="B1099" s="33">
        <v>44586</v>
      </c>
      <c r="C1099" s="41">
        <v>119754511.74959999</v>
      </c>
      <c r="D1099" s="47">
        <f t="shared" si="181"/>
        <v>120612705.02</v>
      </c>
      <c r="E1099" s="170">
        <f t="shared" si="176"/>
        <v>858193.2704000026</v>
      </c>
      <c r="G1099" s="173">
        <v>2373000</v>
      </c>
      <c r="H1099" s="47">
        <v>3000000</v>
      </c>
      <c r="I1099" s="171">
        <f t="shared" si="182"/>
        <v>627000</v>
      </c>
      <c r="J1099" s="170">
        <f t="shared" si="183"/>
        <v>1485193.2704000026</v>
      </c>
    </row>
    <row r="1100" spans="2:10" ht="12.65" customHeight="1">
      <c r="B1100" s="33">
        <v>44587</v>
      </c>
      <c r="C1100" s="41">
        <v>119754511.74959999</v>
      </c>
      <c r="D1100" s="47">
        <f t="shared" si="181"/>
        <v>120612705.02</v>
      </c>
      <c r="E1100" s="170">
        <f t="shared" si="176"/>
        <v>858193.2704000026</v>
      </c>
      <c r="G1100" s="173">
        <v>2373000</v>
      </c>
      <c r="H1100" s="47">
        <v>3000000</v>
      </c>
      <c r="I1100" s="171">
        <f t="shared" si="182"/>
        <v>627000</v>
      </c>
      <c r="J1100" s="170">
        <f t="shared" si="183"/>
        <v>1485193.2704000026</v>
      </c>
    </row>
    <row r="1101" spans="2:10" ht="12.65" customHeight="1">
      <c r="B1101" s="33">
        <v>44588</v>
      </c>
      <c r="C1101" s="41">
        <v>119754511.74959999</v>
      </c>
      <c r="D1101" s="47">
        <f t="shared" ref="D1101:D1105" si="184">120589756.83+22948.19</f>
        <v>120612705.02</v>
      </c>
      <c r="E1101" s="170">
        <f t="shared" si="176"/>
        <v>858193.2704000026</v>
      </c>
      <c r="G1101" s="173">
        <v>2373000</v>
      </c>
      <c r="H1101" s="47">
        <v>3000000</v>
      </c>
      <c r="I1101" s="171">
        <f t="shared" si="182"/>
        <v>627000</v>
      </c>
      <c r="J1101" s="170">
        <f t="shared" si="183"/>
        <v>1485193.2704000026</v>
      </c>
    </row>
    <row r="1102" spans="2:10" ht="12.65" customHeight="1">
      <c r="B1102" s="33">
        <v>44589</v>
      </c>
      <c r="C1102" s="41">
        <v>119754511.74959999</v>
      </c>
      <c r="D1102" s="47">
        <f t="shared" si="184"/>
        <v>120612705.02</v>
      </c>
      <c r="E1102" s="170">
        <f t="shared" si="176"/>
        <v>858193.2704000026</v>
      </c>
      <c r="G1102" s="173">
        <v>2373000</v>
      </c>
      <c r="H1102" s="47">
        <v>3000000</v>
      </c>
      <c r="I1102" s="171">
        <f t="shared" si="182"/>
        <v>627000</v>
      </c>
      <c r="J1102" s="170">
        <f t="shared" si="183"/>
        <v>1485193.2704000026</v>
      </c>
    </row>
    <row r="1103" spans="2:10" ht="12.65" customHeight="1">
      <c r="B1103" s="33">
        <v>44592</v>
      </c>
      <c r="C1103" s="41">
        <v>119754511.74959999</v>
      </c>
      <c r="D1103" s="47">
        <f t="shared" si="184"/>
        <v>120612705.02</v>
      </c>
      <c r="E1103" s="170">
        <f t="shared" si="176"/>
        <v>858193.2704000026</v>
      </c>
      <c r="G1103" s="173">
        <v>2373000</v>
      </c>
      <c r="H1103" s="47">
        <v>3000000</v>
      </c>
      <c r="I1103" s="171">
        <f t="shared" si="182"/>
        <v>627000</v>
      </c>
      <c r="J1103" s="170">
        <f t="shared" si="183"/>
        <v>1485193.2704000026</v>
      </c>
    </row>
    <row r="1104" spans="2:10" ht="12.65" customHeight="1">
      <c r="B1104" s="33">
        <v>44594</v>
      </c>
      <c r="C1104" s="41">
        <v>117761653.493333</v>
      </c>
      <c r="D1104" s="47">
        <f t="shared" si="184"/>
        <v>120612705.02</v>
      </c>
      <c r="E1104" s="170">
        <f t="shared" si="176"/>
        <v>2851051.5266669989</v>
      </c>
      <c r="G1104" s="173">
        <v>2288000</v>
      </c>
      <c r="H1104" s="47">
        <v>3000000</v>
      </c>
      <c r="I1104" s="171">
        <f t="shared" ref="I1104:I1121" si="185">H1104-G1104</f>
        <v>712000</v>
      </c>
      <c r="J1104" s="170">
        <f t="shared" ref="J1104:J1121" si="186">E1104+I1104</f>
        <v>3563051.5266669989</v>
      </c>
    </row>
    <row r="1105" spans="2:10" ht="12.65" customHeight="1">
      <c r="B1105" s="33">
        <v>44595</v>
      </c>
      <c r="C1105" s="41">
        <v>117761653.493333</v>
      </c>
      <c r="D1105" s="47">
        <f t="shared" si="184"/>
        <v>120612705.02</v>
      </c>
      <c r="E1105" s="170">
        <f t="shared" si="176"/>
        <v>2851051.5266669989</v>
      </c>
      <c r="G1105" s="173">
        <v>2288000</v>
      </c>
      <c r="H1105" s="47">
        <v>3000000</v>
      </c>
      <c r="I1105" s="171">
        <f t="shared" si="185"/>
        <v>712000</v>
      </c>
      <c r="J1105" s="170">
        <f t="shared" si="186"/>
        <v>3563051.5266669989</v>
      </c>
    </row>
    <row r="1106" spans="2:10" ht="12.65" customHeight="1">
      <c r="B1106" s="33">
        <v>44596</v>
      </c>
      <c r="C1106" s="41">
        <v>117761653.493333</v>
      </c>
      <c r="D1106" s="47">
        <f t="shared" ref="D1106:D1114" si="187">118589756.83+22948.19</f>
        <v>118612705.02</v>
      </c>
      <c r="E1106" s="170">
        <f t="shared" si="176"/>
        <v>851051.52666699886</v>
      </c>
      <c r="G1106" s="173">
        <v>2288000</v>
      </c>
      <c r="H1106" s="47">
        <v>3000000</v>
      </c>
      <c r="I1106" s="171">
        <f t="shared" si="185"/>
        <v>712000</v>
      </c>
      <c r="J1106" s="170">
        <f t="shared" si="186"/>
        <v>1563051.5266669989</v>
      </c>
    </row>
    <row r="1107" spans="2:10" ht="12.65" customHeight="1">
      <c r="B1107" s="33">
        <v>44599</v>
      </c>
      <c r="C1107" s="41">
        <v>117761653.493333</v>
      </c>
      <c r="D1107" s="47">
        <f t="shared" si="187"/>
        <v>118612705.02</v>
      </c>
      <c r="E1107" s="170">
        <f t="shared" si="176"/>
        <v>851051.52666699886</v>
      </c>
      <c r="G1107" s="173">
        <v>2288000</v>
      </c>
      <c r="H1107" s="47">
        <v>3000000</v>
      </c>
      <c r="I1107" s="171">
        <f t="shared" si="185"/>
        <v>712000</v>
      </c>
      <c r="J1107" s="170">
        <f t="shared" si="186"/>
        <v>1563051.5266669989</v>
      </c>
    </row>
    <row r="1108" spans="2:10" ht="12.65" customHeight="1">
      <c r="B1108" s="33">
        <v>44600</v>
      </c>
      <c r="C1108" s="41">
        <v>117761653.493333</v>
      </c>
      <c r="D1108" s="47">
        <f t="shared" si="187"/>
        <v>118612705.02</v>
      </c>
      <c r="E1108" s="170">
        <f t="shared" si="176"/>
        <v>851051.52666699886</v>
      </c>
      <c r="G1108" s="173">
        <v>2288000</v>
      </c>
      <c r="H1108" s="47">
        <v>3000000</v>
      </c>
      <c r="I1108" s="171">
        <f t="shared" si="185"/>
        <v>712000</v>
      </c>
      <c r="J1108" s="170">
        <f t="shared" si="186"/>
        <v>1563051.5266669989</v>
      </c>
    </row>
    <row r="1109" spans="2:10" ht="12.65" customHeight="1">
      <c r="B1109" s="33">
        <v>44601</v>
      </c>
      <c r="C1109" s="41">
        <v>117761653.493333</v>
      </c>
      <c r="D1109" s="47">
        <f t="shared" si="187"/>
        <v>118612705.02</v>
      </c>
      <c r="E1109" s="170">
        <f t="shared" si="176"/>
        <v>851051.52666699886</v>
      </c>
      <c r="G1109" s="173">
        <v>2288000</v>
      </c>
      <c r="H1109" s="47">
        <v>3000000</v>
      </c>
      <c r="I1109" s="171">
        <f t="shared" si="185"/>
        <v>712000</v>
      </c>
      <c r="J1109" s="170">
        <f t="shared" si="186"/>
        <v>1563051.5266669989</v>
      </c>
    </row>
    <row r="1110" spans="2:10" ht="12.65" customHeight="1">
      <c r="B1110" s="33">
        <v>44602</v>
      </c>
      <c r="C1110" s="41">
        <v>117761653.493333</v>
      </c>
      <c r="D1110" s="47">
        <f t="shared" si="187"/>
        <v>118612705.02</v>
      </c>
      <c r="E1110" s="170">
        <f t="shared" si="176"/>
        <v>851051.52666699886</v>
      </c>
      <c r="G1110" s="173">
        <v>2288000</v>
      </c>
      <c r="H1110" s="47">
        <v>3000000</v>
      </c>
      <c r="I1110" s="171">
        <f t="shared" si="185"/>
        <v>712000</v>
      </c>
      <c r="J1110" s="170">
        <f t="shared" si="186"/>
        <v>1563051.5266669989</v>
      </c>
    </row>
    <row r="1111" spans="2:10" ht="12.65" customHeight="1">
      <c r="B1111" s="33">
        <v>44603</v>
      </c>
      <c r="C1111" s="41">
        <v>117761653.493333</v>
      </c>
      <c r="D1111" s="47">
        <f t="shared" si="187"/>
        <v>118612705.02</v>
      </c>
      <c r="E1111" s="170">
        <f t="shared" si="176"/>
        <v>851051.52666699886</v>
      </c>
      <c r="G1111" s="173">
        <v>2288000</v>
      </c>
      <c r="H1111" s="47">
        <v>3000000</v>
      </c>
      <c r="I1111" s="171">
        <f t="shared" si="185"/>
        <v>712000</v>
      </c>
      <c r="J1111" s="170">
        <f t="shared" si="186"/>
        <v>1563051.5266669989</v>
      </c>
    </row>
    <row r="1112" spans="2:10" ht="12.65" customHeight="1">
      <c r="B1112" s="33">
        <v>44606</v>
      </c>
      <c r="C1112" s="41">
        <v>117761653.493333</v>
      </c>
      <c r="D1112" s="47">
        <f t="shared" si="187"/>
        <v>118612705.02</v>
      </c>
      <c r="E1112" s="170">
        <f t="shared" si="176"/>
        <v>851051.52666699886</v>
      </c>
      <c r="G1112" s="173">
        <v>2288000</v>
      </c>
      <c r="H1112" s="47">
        <v>3000000</v>
      </c>
      <c r="I1112" s="171">
        <f t="shared" si="185"/>
        <v>712000</v>
      </c>
      <c r="J1112" s="170">
        <f t="shared" si="186"/>
        <v>1563051.5266669989</v>
      </c>
    </row>
    <row r="1113" spans="2:10" ht="12.65" customHeight="1">
      <c r="B1113" s="33">
        <v>44607</v>
      </c>
      <c r="C1113" s="41">
        <v>117761653.493333</v>
      </c>
      <c r="D1113" s="47">
        <f t="shared" si="187"/>
        <v>118612705.02</v>
      </c>
      <c r="E1113" s="170">
        <f t="shared" si="176"/>
        <v>851051.52666699886</v>
      </c>
      <c r="G1113" s="173">
        <v>2288000</v>
      </c>
      <c r="H1113" s="47">
        <v>3000000</v>
      </c>
      <c r="I1113" s="171">
        <f t="shared" si="185"/>
        <v>712000</v>
      </c>
      <c r="J1113" s="170">
        <f t="shared" si="186"/>
        <v>1563051.5266669989</v>
      </c>
    </row>
    <row r="1114" spans="2:10" ht="12.65" customHeight="1">
      <c r="B1114" s="33">
        <v>44608</v>
      </c>
      <c r="C1114" s="41">
        <v>113407626.505</v>
      </c>
      <c r="D1114" s="47">
        <f t="shared" si="187"/>
        <v>118612705.02</v>
      </c>
      <c r="E1114" s="170">
        <f t="shared" si="176"/>
        <v>5205078.5150000006</v>
      </c>
      <c r="G1114" s="173">
        <v>2285000</v>
      </c>
      <c r="H1114" s="47">
        <v>3000000</v>
      </c>
      <c r="I1114" s="171">
        <f t="shared" si="185"/>
        <v>715000</v>
      </c>
      <c r="J1114" s="170">
        <f t="shared" si="186"/>
        <v>5920078.5150000006</v>
      </c>
    </row>
    <row r="1115" spans="2:10" ht="12.65" customHeight="1">
      <c r="B1115" s="33">
        <v>44609</v>
      </c>
      <c r="C1115" s="41">
        <v>113407626.505</v>
      </c>
      <c r="D1115" s="47">
        <f t="shared" ref="D1115:D1132" si="188">114189756.83+22948.19</f>
        <v>114212705.02</v>
      </c>
      <c r="E1115" s="170">
        <f t="shared" si="176"/>
        <v>805078.5150000006</v>
      </c>
      <c r="G1115" s="173">
        <v>2285000</v>
      </c>
      <c r="H1115" s="47">
        <v>3000000</v>
      </c>
      <c r="I1115" s="171">
        <f t="shared" si="185"/>
        <v>715000</v>
      </c>
      <c r="J1115" s="170">
        <f t="shared" si="186"/>
        <v>1520078.5150000006</v>
      </c>
    </row>
    <row r="1116" spans="2:10" ht="12.65" customHeight="1">
      <c r="B1116" s="33">
        <v>44610</v>
      </c>
      <c r="C1116" s="41">
        <v>113407626.505</v>
      </c>
      <c r="D1116" s="47">
        <f t="shared" si="188"/>
        <v>114212705.02</v>
      </c>
      <c r="E1116" s="170">
        <f t="shared" si="176"/>
        <v>805078.5150000006</v>
      </c>
      <c r="G1116" s="173">
        <v>2285000</v>
      </c>
      <c r="H1116" s="47">
        <v>3000000</v>
      </c>
      <c r="I1116" s="171">
        <f t="shared" si="185"/>
        <v>715000</v>
      </c>
      <c r="J1116" s="170">
        <f t="shared" si="186"/>
        <v>1520078.5150000006</v>
      </c>
    </row>
    <row r="1117" spans="2:10" ht="12.65" customHeight="1">
      <c r="B1117" s="33">
        <v>44613</v>
      </c>
      <c r="C1117" s="41">
        <v>113407626.505</v>
      </c>
      <c r="D1117" s="47">
        <f t="shared" si="188"/>
        <v>114212705.02</v>
      </c>
      <c r="E1117" s="170">
        <f t="shared" si="176"/>
        <v>805078.5150000006</v>
      </c>
      <c r="G1117" s="173">
        <v>2285000</v>
      </c>
      <c r="H1117" s="47">
        <v>3000000</v>
      </c>
      <c r="I1117" s="171">
        <f t="shared" si="185"/>
        <v>715000</v>
      </c>
      <c r="J1117" s="170">
        <f t="shared" si="186"/>
        <v>1520078.5150000006</v>
      </c>
    </row>
    <row r="1118" spans="2:10" ht="12.65" customHeight="1">
      <c r="B1118" s="33">
        <v>44614</v>
      </c>
      <c r="C1118" s="41">
        <v>113407626.505</v>
      </c>
      <c r="D1118" s="47">
        <f t="shared" si="188"/>
        <v>114212705.02</v>
      </c>
      <c r="E1118" s="170">
        <f t="shared" si="176"/>
        <v>805078.5150000006</v>
      </c>
      <c r="G1118" s="173">
        <v>2285000</v>
      </c>
      <c r="H1118" s="47">
        <v>3000000</v>
      </c>
      <c r="I1118" s="171">
        <f t="shared" si="185"/>
        <v>715000</v>
      </c>
      <c r="J1118" s="170">
        <f t="shared" si="186"/>
        <v>1520078.5150000006</v>
      </c>
    </row>
    <row r="1119" spans="2:10" ht="12.65" customHeight="1">
      <c r="B1119" s="33">
        <v>44615</v>
      </c>
      <c r="C1119" s="41">
        <v>113407626.505</v>
      </c>
      <c r="D1119" s="47">
        <f t="shared" si="188"/>
        <v>114212705.02</v>
      </c>
      <c r="E1119" s="170">
        <f t="shared" si="176"/>
        <v>805078.5150000006</v>
      </c>
      <c r="G1119" s="173">
        <v>2285000</v>
      </c>
      <c r="H1119" s="47">
        <v>3000000</v>
      </c>
      <c r="I1119" s="171">
        <f t="shared" si="185"/>
        <v>715000</v>
      </c>
      <c r="J1119" s="170">
        <f t="shared" si="186"/>
        <v>1520078.5150000006</v>
      </c>
    </row>
    <row r="1120" spans="2:10" ht="12.65" customHeight="1">
      <c r="B1120" s="33">
        <v>44616</v>
      </c>
      <c r="C1120" s="41">
        <v>113407626.505</v>
      </c>
      <c r="D1120" s="47">
        <f t="shared" si="188"/>
        <v>114212705.02</v>
      </c>
      <c r="E1120" s="170">
        <f t="shared" si="176"/>
        <v>805078.5150000006</v>
      </c>
      <c r="G1120" s="173">
        <v>2285000</v>
      </c>
      <c r="H1120" s="47">
        <v>3000000</v>
      </c>
      <c r="I1120" s="171">
        <f t="shared" si="185"/>
        <v>715000</v>
      </c>
      <c r="J1120" s="170">
        <f t="shared" si="186"/>
        <v>1520078.5150000006</v>
      </c>
    </row>
    <row r="1121" spans="2:10" ht="12.65" customHeight="1">
      <c r="B1121" s="33">
        <v>44617</v>
      </c>
      <c r="C1121" s="41">
        <v>113407626.505</v>
      </c>
      <c r="D1121" s="47">
        <f t="shared" si="188"/>
        <v>114212705.02</v>
      </c>
      <c r="E1121" s="170">
        <f t="shared" si="176"/>
        <v>805078.5150000006</v>
      </c>
      <c r="G1121" s="173">
        <v>2285000</v>
      </c>
      <c r="H1121" s="47">
        <v>3000000</v>
      </c>
      <c r="I1121" s="171">
        <f t="shared" si="185"/>
        <v>715000</v>
      </c>
      <c r="J1121" s="170">
        <f t="shared" si="186"/>
        <v>1520078.5150000006</v>
      </c>
    </row>
    <row r="1122" spans="2:10" ht="12.65" customHeight="1">
      <c r="B1122" s="33">
        <v>44620</v>
      </c>
      <c r="C1122" s="41">
        <v>113407626.505</v>
      </c>
      <c r="D1122" s="47">
        <f t="shared" si="188"/>
        <v>114212705.02</v>
      </c>
      <c r="E1122" s="170">
        <f t="shared" si="176"/>
        <v>805078.5150000006</v>
      </c>
      <c r="G1122" s="173">
        <v>2285000</v>
      </c>
      <c r="H1122" s="47">
        <v>3000000</v>
      </c>
      <c r="I1122" s="171">
        <f t="shared" ref="I1122:I1133" si="189">H1122-G1122</f>
        <v>715000</v>
      </c>
      <c r="J1122" s="170">
        <f t="shared" ref="J1122:J1144" si="190">E1122+I1122</f>
        <v>1520078.5150000006</v>
      </c>
    </row>
    <row r="1123" spans="2:10" ht="12.65" customHeight="1">
      <c r="B1123" s="33">
        <v>44621</v>
      </c>
      <c r="C1123" s="41">
        <v>113375866.946667</v>
      </c>
      <c r="D1123" s="47">
        <f t="shared" si="188"/>
        <v>114212705.02</v>
      </c>
      <c r="E1123" s="170">
        <f t="shared" si="176"/>
        <v>836838.07333299518</v>
      </c>
      <c r="G1123" s="173">
        <v>3301000</v>
      </c>
      <c r="H1123" s="47">
        <v>4000000</v>
      </c>
      <c r="I1123" s="171">
        <f t="shared" si="189"/>
        <v>699000</v>
      </c>
      <c r="J1123" s="170">
        <f t="shared" si="190"/>
        <v>1535838.0733329952</v>
      </c>
    </row>
    <row r="1124" spans="2:10" ht="12.65" customHeight="1">
      <c r="B1124" s="33">
        <v>44622</v>
      </c>
      <c r="C1124" s="41">
        <v>113375866.946667</v>
      </c>
      <c r="D1124" s="47">
        <f t="shared" si="188"/>
        <v>114212705.02</v>
      </c>
      <c r="E1124" s="170">
        <f t="shared" si="176"/>
        <v>836838.07333299518</v>
      </c>
      <c r="G1124" s="173">
        <v>3301000</v>
      </c>
      <c r="H1124" s="47">
        <v>4000000</v>
      </c>
      <c r="I1124" s="171">
        <f t="shared" si="189"/>
        <v>699000</v>
      </c>
      <c r="J1124" s="170">
        <f t="shared" si="190"/>
        <v>1535838.0733329952</v>
      </c>
    </row>
    <row r="1125" spans="2:10" ht="12.65" customHeight="1">
      <c r="B1125" s="33">
        <v>44624</v>
      </c>
      <c r="C1125" s="41">
        <v>113375866.946667</v>
      </c>
      <c r="D1125" s="47">
        <f t="shared" si="188"/>
        <v>114212705.02</v>
      </c>
      <c r="E1125" s="170">
        <f t="shared" si="176"/>
        <v>836838.07333299518</v>
      </c>
      <c r="G1125" s="173">
        <v>3301000</v>
      </c>
      <c r="H1125" s="47">
        <v>4000000</v>
      </c>
      <c r="I1125" s="171">
        <f t="shared" si="189"/>
        <v>699000</v>
      </c>
      <c r="J1125" s="170">
        <f t="shared" si="190"/>
        <v>1535838.0733329952</v>
      </c>
    </row>
    <row r="1126" spans="2:10" ht="12.65" customHeight="1">
      <c r="B1126" s="33">
        <v>44627</v>
      </c>
      <c r="C1126" s="41">
        <v>113375866.946667</v>
      </c>
      <c r="D1126" s="47">
        <f t="shared" si="188"/>
        <v>114212705.02</v>
      </c>
      <c r="E1126" s="170">
        <f t="shared" si="176"/>
        <v>836838.07333299518</v>
      </c>
      <c r="G1126" s="173">
        <v>3301000</v>
      </c>
      <c r="H1126" s="47">
        <v>4000000</v>
      </c>
      <c r="I1126" s="171">
        <f t="shared" si="189"/>
        <v>699000</v>
      </c>
      <c r="J1126" s="170">
        <f t="shared" si="190"/>
        <v>1535838.0733329952</v>
      </c>
    </row>
    <row r="1127" spans="2:10" ht="12.65" customHeight="1">
      <c r="B1127" s="33">
        <v>44628</v>
      </c>
      <c r="C1127" s="41">
        <v>113375866.946667</v>
      </c>
      <c r="D1127" s="47">
        <f t="shared" si="188"/>
        <v>114212705.02</v>
      </c>
      <c r="E1127" s="170">
        <f t="shared" si="176"/>
        <v>836838.07333299518</v>
      </c>
      <c r="G1127" s="173">
        <v>3301000</v>
      </c>
      <c r="H1127" s="47">
        <v>4000000</v>
      </c>
      <c r="I1127" s="171">
        <f t="shared" si="189"/>
        <v>699000</v>
      </c>
      <c r="J1127" s="170">
        <f t="shared" si="190"/>
        <v>1535838.0733329952</v>
      </c>
    </row>
    <row r="1128" spans="2:10" ht="12.65" customHeight="1">
      <c r="B1128" s="33">
        <v>44629</v>
      </c>
      <c r="C1128" s="41">
        <v>113375866.946667</v>
      </c>
      <c r="D1128" s="47">
        <f t="shared" si="188"/>
        <v>114212705.02</v>
      </c>
      <c r="E1128" s="170">
        <f t="shared" si="176"/>
        <v>836838.07333299518</v>
      </c>
      <c r="G1128" s="173">
        <v>3301000</v>
      </c>
      <c r="H1128" s="47">
        <v>4000000</v>
      </c>
      <c r="I1128" s="171">
        <f t="shared" si="189"/>
        <v>699000</v>
      </c>
      <c r="J1128" s="170">
        <f t="shared" si="190"/>
        <v>1535838.0733329952</v>
      </c>
    </row>
    <row r="1129" spans="2:10" ht="12.65" customHeight="1">
      <c r="B1129" s="33">
        <v>44630</v>
      </c>
      <c r="C1129" s="41">
        <v>113375866.946667</v>
      </c>
      <c r="D1129" s="47">
        <f t="shared" si="188"/>
        <v>114212705.02</v>
      </c>
      <c r="E1129" s="170">
        <f t="shared" si="176"/>
        <v>836838.07333299518</v>
      </c>
      <c r="G1129" s="173">
        <v>3301000</v>
      </c>
      <c r="H1129" s="47">
        <v>4000000</v>
      </c>
      <c r="I1129" s="171">
        <f t="shared" si="189"/>
        <v>699000</v>
      </c>
      <c r="J1129" s="170">
        <f t="shared" si="190"/>
        <v>1535838.0733329952</v>
      </c>
    </row>
    <row r="1130" spans="2:10" ht="12.65" customHeight="1">
      <c r="B1130" s="33">
        <v>44631</v>
      </c>
      <c r="C1130" s="41">
        <v>113375866.946667</v>
      </c>
      <c r="D1130" s="47">
        <f t="shared" si="188"/>
        <v>114212705.02</v>
      </c>
      <c r="E1130" s="170">
        <f t="shared" si="176"/>
        <v>836838.07333299518</v>
      </c>
      <c r="G1130" s="173">
        <v>3301000</v>
      </c>
      <c r="H1130" s="47">
        <v>4000000</v>
      </c>
      <c r="I1130" s="171">
        <f t="shared" si="189"/>
        <v>699000</v>
      </c>
      <c r="J1130" s="170">
        <f t="shared" si="190"/>
        <v>1535838.0733329952</v>
      </c>
    </row>
    <row r="1131" spans="2:10" ht="12.65" customHeight="1">
      <c r="B1131" s="33">
        <v>44634</v>
      </c>
      <c r="C1131" s="41">
        <v>113375866.946667</v>
      </c>
      <c r="D1131" s="47">
        <f t="shared" si="188"/>
        <v>114212705.02</v>
      </c>
      <c r="E1131" s="170">
        <f t="shared" si="176"/>
        <v>836838.07333299518</v>
      </c>
      <c r="G1131" s="173">
        <v>3301000</v>
      </c>
      <c r="H1131" s="47">
        <v>4000000</v>
      </c>
      <c r="I1131" s="171">
        <f t="shared" si="189"/>
        <v>699000</v>
      </c>
      <c r="J1131" s="170">
        <f t="shared" si="190"/>
        <v>1535838.0733329952</v>
      </c>
    </row>
    <row r="1132" spans="2:10" ht="12.65" customHeight="1">
      <c r="B1132" s="33">
        <v>44635</v>
      </c>
      <c r="C1132" s="41">
        <v>113375866.946667</v>
      </c>
      <c r="D1132" s="47">
        <f t="shared" si="188"/>
        <v>114212705.02</v>
      </c>
      <c r="E1132" s="170">
        <f t="shared" si="176"/>
        <v>836838.07333299518</v>
      </c>
      <c r="G1132" s="173">
        <v>3301000</v>
      </c>
      <c r="H1132" s="47">
        <v>4000000</v>
      </c>
      <c r="I1132" s="171">
        <f t="shared" si="189"/>
        <v>699000</v>
      </c>
      <c r="J1132" s="170">
        <f t="shared" si="190"/>
        <v>1535838.0733329952</v>
      </c>
    </row>
    <row r="1133" spans="2:10" ht="12.65" customHeight="1">
      <c r="B1133" s="33">
        <v>44636</v>
      </c>
      <c r="C1133" s="41">
        <v>117842214.249231</v>
      </c>
      <c r="D1133" s="47">
        <f t="shared" ref="D1133:D1144" si="191">118689756.83+22948.19</f>
        <v>118712705.02</v>
      </c>
      <c r="E1133" s="170">
        <f t="shared" si="176"/>
        <v>870490.77076900005</v>
      </c>
      <c r="G1133" s="173">
        <v>3925000</v>
      </c>
      <c r="H1133" s="47">
        <v>4800000</v>
      </c>
      <c r="I1133" s="171">
        <f t="shared" si="189"/>
        <v>875000</v>
      </c>
      <c r="J1133" s="170">
        <f t="shared" si="190"/>
        <v>1745490.7707690001</v>
      </c>
    </row>
    <row r="1134" spans="2:10" ht="12.65" customHeight="1">
      <c r="B1134" s="33">
        <v>44637</v>
      </c>
      <c r="C1134" s="41">
        <v>117842214.249231</v>
      </c>
      <c r="D1134" s="47">
        <f t="shared" si="191"/>
        <v>118712705.02</v>
      </c>
      <c r="E1134" s="170">
        <f t="shared" si="176"/>
        <v>870490.77076900005</v>
      </c>
      <c r="G1134" s="173">
        <v>3925000</v>
      </c>
      <c r="H1134" s="47">
        <v>4800000</v>
      </c>
      <c r="I1134" s="171">
        <f t="shared" ref="I1134:I1144" si="192">H1134-G1134</f>
        <v>875000</v>
      </c>
      <c r="J1134" s="170">
        <f t="shared" si="190"/>
        <v>1745490.7707690001</v>
      </c>
    </row>
    <row r="1135" spans="2:10" ht="12.65" customHeight="1">
      <c r="B1135" s="33">
        <v>44638</v>
      </c>
      <c r="C1135" s="41">
        <v>117842214.249231</v>
      </c>
      <c r="D1135" s="47">
        <f t="shared" si="191"/>
        <v>118712705.02</v>
      </c>
      <c r="E1135" s="170">
        <f t="shared" si="176"/>
        <v>870490.77076900005</v>
      </c>
      <c r="G1135" s="173">
        <v>3925000</v>
      </c>
      <c r="H1135" s="47">
        <v>4800000</v>
      </c>
      <c r="I1135" s="171">
        <f t="shared" si="192"/>
        <v>875000</v>
      </c>
      <c r="J1135" s="170">
        <f t="shared" si="190"/>
        <v>1745490.7707690001</v>
      </c>
    </row>
    <row r="1136" spans="2:10" ht="12.65" customHeight="1">
      <c r="B1136" s="33">
        <v>44641</v>
      </c>
      <c r="C1136" s="41">
        <v>117842214.249231</v>
      </c>
      <c r="D1136" s="47">
        <f t="shared" si="191"/>
        <v>118712705.02</v>
      </c>
      <c r="E1136" s="170">
        <f t="shared" ref="E1136:E1199" si="193">D1136-C1136</f>
        <v>870490.77076900005</v>
      </c>
      <c r="G1136" s="173">
        <v>3925000</v>
      </c>
      <c r="H1136" s="47">
        <v>4800000</v>
      </c>
      <c r="I1136" s="171">
        <f t="shared" si="192"/>
        <v>875000</v>
      </c>
      <c r="J1136" s="170">
        <f t="shared" si="190"/>
        <v>1745490.7707690001</v>
      </c>
    </row>
    <row r="1137" spans="2:10" ht="12.65" customHeight="1">
      <c r="B1137" s="33">
        <v>44642</v>
      </c>
      <c r="C1137" s="41">
        <v>117842214.249231</v>
      </c>
      <c r="D1137" s="47">
        <f t="shared" si="191"/>
        <v>118712705.02</v>
      </c>
      <c r="E1137" s="170">
        <f t="shared" si="193"/>
        <v>870490.77076900005</v>
      </c>
      <c r="G1137" s="173">
        <v>3925000</v>
      </c>
      <c r="H1137" s="47">
        <v>4800000</v>
      </c>
      <c r="I1137" s="171">
        <f t="shared" si="192"/>
        <v>875000</v>
      </c>
      <c r="J1137" s="170">
        <f t="shared" si="190"/>
        <v>1745490.7707690001</v>
      </c>
    </row>
    <row r="1138" spans="2:10" ht="12.65" customHeight="1">
      <c r="B1138" s="33">
        <v>44643</v>
      </c>
      <c r="C1138" s="41">
        <v>117842214.249231</v>
      </c>
      <c r="D1138" s="47">
        <f t="shared" si="191"/>
        <v>118712705.02</v>
      </c>
      <c r="E1138" s="170">
        <f t="shared" si="193"/>
        <v>870490.77076900005</v>
      </c>
      <c r="G1138" s="173">
        <v>3925000</v>
      </c>
      <c r="H1138" s="47">
        <v>4800000</v>
      </c>
      <c r="I1138" s="171">
        <f t="shared" si="192"/>
        <v>875000</v>
      </c>
      <c r="J1138" s="170">
        <f t="shared" si="190"/>
        <v>1745490.7707690001</v>
      </c>
    </row>
    <row r="1139" spans="2:10" ht="12.65" customHeight="1">
      <c r="B1139" s="33">
        <v>44644</v>
      </c>
      <c r="C1139" s="41">
        <v>117842214.249231</v>
      </c>
      <c r="D1139" s="47">
        <f t="shared" si="191"/>
        <v>118712705.02</v>
      </c>
      <c r="E1139" s="170">
        <f t="shared" si="193"/>
        <v>870490.77076900005</v>
      </c>
      <c r="G1139" s="173">
        <v>3925000</v>
      </c>
      <c r="H1139" s="47">
        <v>4800000</v>
      </c>
      <c r="I1139" s="171">
        <f t="shared" si="192"/>
        <v>875000</v>
      </c>
      <c r="J1139" s="170">
        <f t="shared" si="190"/>
        <v>1745490.7707690001</v>
      </c>
    </row>
    <row r="1140" spans="2:10" ht="12.65" customHeight="1">
      <c r="B1140" s="33">
        <v>44645</v>
      </c>
      <c r="C1140" s="41">
        <v>117842214.249231</v>
      </c>
      <c r="D1140" s="47">
        <f t="shared" si="191"/>
        <v>118712705.02</v>
      </c>
      <c r="E1140" s="170">
        <f t="shared" si="193"/>
        <v>870490.77076900005</v>
      </c>
      <c r="G1140" s="173">
        <v>3925000</v>
      </c>
      <c r="H1140" s="47">
        <v>4800000</v>
      </c>
      <c r="I1140" s="171">
        <f t="shared" si="192"/>
        <v>875000</v>
      </c>
      <c r="J1140" s="170">
        <f t="shared" si="190"/>
        <v>1745490.7707690001</v>
      </c>
    </row>
    <row r="1141" spans="2:10" ht="12.65" customHeight="1">
      <c r="B1141" s="33">
        <v>44648</v>
      </c>
      <c r="C1141" s="41">
        <v>117842214.249231</v>
      </c>
      <c r="D1141" s="47">
        <f t="shared" si="191"/>
        <v>118712705.02</v>
      </c>
      <c r="E1141" s="170">
        <f t="shared" si="193"/>
        <v>870490.77076900005</v>
      </c>
      <c r="G1141" s="173">
        <v>3925000</v>
      </c>
      <c r="H1141" s="47">
        <v>4800000</v>
      </c>
      <c r="I1141" s="171">
        <f t="shared" si="192"/>
        <v>875000</v>
      </c>
      <c r="J1141" s="170">
        <f t="shared" si="190"/>
        <v>1745490.7707690001</v>
      </c>
    </row>
    <row r="1142" spans="2:10" ht="12.65" customHeight="1">
      <c r="B1142" s="33">
        <v>44649</v>
      </c>
      <c r="C1142" s="41">
        <v>117842214.249231</v>
      </c>
      <c r="D1142" s="47">
        <f t="shared" si="191"/>
        <v>118712705.02</v>
      </c>
      <c r="E1142" s="170">
        <f t="shared" si="193"/>
        <v>870490.77076900005</v>
      </c>
      <c r="G1142" s="173">
        <v>3925000</v>
      </c>
      <c r="H1142" s="47">
        <v>4800000</v>
      </c>
      <c r="I1142" s="171">
        <f t="shared" si="192"/>
        <v>875000</v>
      </c>
      <c r="J1142" s="170">
        <f t="shared" si="190"/>
        <v>1745490.7707690001</v>
      </c>
    </row>
    <row r="1143" spans="2:10" ht="12.65" customHeight="1">
      <c r="B1143" s="33">
        <v>44650</v>
      </c>
      <c r="C1143" s="41">
        <v>117842214.249231</v>
      </c>
      <c r="D1143" s="47">
        <f t="shared" si="191"/>
        <v>118712705.02</v>
      </c>
      <c r="E1143" s="170">
        <f t="shared" si="193"/>
        <v>870490.77076900005</v>
      </c>
      <c r="G1143" s="173">
        <v>3925000</v>
      </c>
      <c r="H1143" s="47">
        <v>4800000</v>
      </c>
      <c r="I1143" s="171">
        <f t="shared" si="192"/>
        <v>875000</v>
      </c>
      <c r="J1143" s="170">
        <f t="shared" si="190"/>
        <v>1745490.7707690001</v>
      </c>
    </row>
    <row r="1144" spans="2:10" ht="12.65" customHeight="1">
      <c r="B1144" s="33">
        <v>44651</v>
      </c>
      <c r="C1144" s="41">
        <v>117842214.249231</v>
      </c>
      <c r="D1144" s="47">
        <f t="shared" si="191"/>
        <v>118712705.02</v>
      </c>
      <c r="E1144" s="170">
        <f t="shared" si="193"/>
        <v>870490.77076900005</v>
      </c>
      <c r="G1144" s="173">
        <v>3925000</v>
      </c>
      <c r="H1144" s="47">
        <v>4800000</v>
      </c>
      <c r="I1144" s="171">
        <f t="shared" si="192"/>
        <v>875000</v>
      </c>
      <c r="J1144" s="170">
        <f t="shared" si="190"/>
        <v>1745490.7707690001</v>
      </c>
    </row>
    <row r="1145" spans="2:10" ht="12.65" customHeight="1">
      <c r="B1145" s="33">
        <v>44652</v>
      </c>
      <c r="C1145" s="41">
        <v>112722914.832</v>
      </c>
      <c r="D1145" s="47">
        <f t="shared" ref="D1145:D1164" si="194">113689756.83+22948.19</f>
        <v>113712705.02</v>
      </c>
      <c r="E1145" s="170">
        <f t="shared" si="193"/>
        <v>989790.18799999356</v>
      </c>
      <c r="G1145" s="173">
        <v>3901000</v>
      </c>
      <c r="H1145" s="47">
        <v>4800000</v>
      </c>
      <c r="I1145" s="171">
        <f t="shared" ref="I1145:I1154" si="195">H1145-G1145</f>
        <v>899000</v>
      </c>
      <c r="J1145" s="170">
        <f t="shared" ref="J1145:J1154" si="196">E1145+I1145</f>
        <v>1888790.1879999936</v>
      </c>
    </row>
    <row r="1146" spans="2:10" ht="12.65" customHeight="1">
      <c r="B1146" s="33">
        <v>44655</v>
      </c>
      <c r="C1146" s="41">
        <v>112722914.832</v>
      </c>
      <c r="D1146" s="47">
        <f t="shared" si="194"/>
        <v>113712705.02</v>
      </c>
      <c r="E1146" s="170">
        <f t="shared" si="193"/>
        <v>989790.18799999356</v>
      </c>
      <c r="G1146" s="173">
        <v>3901000</v>
      </c>
      <c r="H1146" s="47">
        <v>4800000</v>
      </c>
      <c r="I1146" s="171">
        <f t="shared" si="195"/>
        <v>899000</v>
      </c>
      <c r="J1146" s="170">
        <f t="shared" si="196"/>
        <v>1888790.1879999936</v>
      </c>
    </row>
    <row r="1147" spans="2:10" ht="12.65" customHeight="1">
      <c r="B1147" s="33">
        <v>44656</v>
      </c>
      <c r="C1147" s="41">
        <v>112722914.832</v>
      </c>
      <c r="D1147" s="47">
        <f t="shared" si="194"/>
        <v>113712705.02</v>
      </c>
      <c r="E1147" s="170">
        <f t="shared" si="193"/>
        <v>989790.18799999356</v>
      </c>
      <c r="G1147" s="173">
        <v>3901000</v>
      </c>
      <c r="H1147" s="47">
        <v>4800000</v>
      </c>
      <c r="I1147" s="171">
        <f t="shared" si="195"/>
        <v>899000</v>
      </c>
      <c r="J1147" s="170">
        <f t="shared" si="196"/>
        <v>1888790.1879999936</v>
      </c>
    </row>
    <row r="1148" spans="2:10" ht="12.65" customHeight="1">
      <c r="B1148" s="33">
        <v>44657</v>
      </c>
      <c r="C1148" s="41">
        <v>112722914.832</v>
      </c>
      <c r="D1148" s="47">
        <f t="shared" si="194"/>
        <v>113712705.02</v>
      </c>
      <c r="E1148" s="170">
        <f t="shared" si="193"/>
        <v>989790.18799999356</v>
      </c>
      <c r="G1148" s="173">
        <v>3901000</v>
      </c>
      <c r="H1148" s="47">
        <v>4800000</v>
      </c>
      <c r="I1148" s="171">
        <f t="shared" si="195"/>
        <v>899000</v>
      </c>
      <c r="J1148" s="170">
        <f t="shared" si="196"/>
        <v>1888790.1879999936</v>
      </c>
    </row>
    <row r="1149" spans="2:10" ht="12.65" customHeight="1">
      <c r="B1149" s="33">
        <v>44658</v>
      </c>
      <c r="C1149" s="41">
        <v>112722914.832</v>
      </c>
      <c r="D1149" s="47">
        <f t="shared" si="194"/>
        <v>113712705.02</v>
      </c>
      <c r="E1149" s="170">
        <f t="shared" si="193"/>
        <v>989790.18799999356</v>
      </c>
      <c r="G1149" s="173">
        <v>3901000</v>
      </c>
      <c r="H1149" s="47">
        <v>4800000</v>
      </c>
      <c r="I1149" s="171">
        <f t="shared" si="195"/>
        <v>899000</v>
      </c>
      <c r="J1149" s="170">
        <f t="shared" si="196"/>
        <v>1888790.1879999936</v>
      </c>
    </row>
    <row r="1150" spans="2:10" ht="12.65" customHeight="1">
      <c r="B1150" s="33">
        <v>44659</v>
      </c>
      <c r="C1150" s="41">
        <v>112722914.832</v>
      </c>
      <c r="D1150" s="47">
        <f t="shared" si="194"/>
        <v>113712705.02</v>
      </c>
      <c r="E1150" s="170">
        <f t="shared" si="193"/>
        <v>989790.18799999356</v>
      </c>
      <c r="G1150" s="173">
        <v>3901000</v>
      </c>
      <c r="H1150" s="47">
        <v>4800000</v>
      </c>
      <c r="I1150" s="171">
        <f t="shared" si="195"/>
        <v>899000</v>
      </c>
      <c r="J1150" s="170">
        <f t="shared" si="196"/>
        <v>1888790.1879999936</v>
      </c>
    </row>
    <row r="1151" spans="2:10" ht="12.65" customHeight="1">
      <c r="B1151" s="33">
        <v>44662</v>
      </c>
      <c r="C1151" s="41">
        <v>112722914.832</v>
      </c>
      <c r="D1151" s="47">
        <f t="shared" si="194"/>
        <v>113712705.02</v>
      </c>
      <c r="E1151" s="170">
        <f t="shared" si="193"/>
        <v>989790.18799999356</v>
      </c>
      <c r="G1151" s="173">
        <v>3901000</v>
      </c>
      <c r="H1151" s="47">
        <v>4800000</v>
      </c>
      <c r="I1151" s="171">
        <f t="shared" si="195"/>
        <v>899000</v>
      </c>
      <c r="J1151" s="170">
        <f t="shared" si="196"/>
        <v>1888790.1879999936</v>
      </c>
    </row>
    <row r="1152" spans="2:10" ht="12.65" customHeight="1">
      <c r="B1152" s="33">
        <v>44663</v>
      </c>
      <c r="C1152" s="41">
        <v>112722914.832</v>
      </c>
      <c r="D1152" s="47">
        <f t="shared" si="194"/>
        <v>113712705.02</v>
      </c>
      <c r="E1152" s="170">
        <f t="shared" si="193"/>
        <v>989790.18799999356</v>
      </c>
      <c r="G1152" s="173">
        <v>3901000</v>
      </c>
      <c r="H1152" s="47">
        <v>4800000</v>
      </c>
      <c r="I1152" s="171">
        <f t="shared" si="195"/>
        <v>899000</v>
      </c>
      <c r="J1152" s="170">
        <f t="shared" si="196"/>
        <v>1888790.1879999936</v>
      </c>
    </row>
    <row r="1153" spans="2:10" ht="12.65" customHeight="1">
      <c r="B1153" s="33">
        <v>44664</v>
      </c>
      <c r="C1153" s="41">
        <v>112722914.832</v>
      </c>
      <c r="D1153" s="47">
        <f t="shared" si="194"/>
        <v>113712705.02</v>
      </c>
      <c r="E1153" s="170">
        <f t="shared" si="193"/>
        <v>989790.18799999356</v>
      </c>
      <c r="G1153" s="173">
        <v>3901000</v>
      </c>
      <c r="H1153" s="47">
        <v>4800000</v>
      </c>
      <c r="I1153" s="171">
        <f t="shared" si="195"/>
        <v>899000</v>
      </c>
      <c r="J1153" s="170">
        <f t="shared" si="196"/>
        <v>1888790.1879999936</v>
      </c>
    </row>
    <row r="1154" spans="2:10" ht="12.65" customHeight="1">
      <c r="B1154" s="33">
        <v>44665</v>
      </c>
      <c r="C1154" s="41">
        <v>112722914.832</v>
      </c>
      <c r="D1154" s="47">
        <f t="shared" si="194"/>
        <v>113712705.02</v>
      </c>
      <c r="E1154" s="170">
        <f t="shared" si="193"/>
        <v>989790.18799999356</v>
      </c>
      <c r="G1154" s="173">
        <v>3901000</v>
      </c>
      <c r="H1154" s="47">
        <v>4800000</v>
      </c>
      <c r="I1154" s="171">
        <f t="shared" si="195"/>
        <v>899000</v>
      </c>
      <c r="J1154" s="170">
        <f t="shared" si="196"/>
        <v>1888790.1879999936</v>
      </c>
    </row>
    <row r="1155" spans="2:10" ht="12.65" customHeight="1">
      <c r="B1155" s="33">
        <v>44669</v>
      </c>
      <c r="C1155" s="41">
        <v>112784652.36750001</v>
      </c>
      <c r="D1155" s="47">
        <f t="shared" si="194"/>
        <v>113712705.02</v>
      </c>
      <c r="E1155" s="170">
        <f t="shared" si="193"/>
        <v>928052.65249998868</v>
      </c>
      <c r="G1155" s="173">
        <v>3983000</v>
      </c>
      <c r="H1155" s="47">
        <v>4800000</v>
      </c>
      <c r="I1155" s="171">
        <f t="shared" ref="I1155:I1163" si="197">H1155-G1155</f>
        <v>817000</v>
      </c>
      <c r="J1155" s="170">
        <f t="shared" ref="J1155:J1163" si="198">E1155+I1155</f>
        <v>1745052.6524999887</v>
      </c>
    </row>
    <row r="1156" spans="2:10" ht="12.65" customHeight="1">
      <c r="B1156" s="33">
        <v>44670</v>
      </c>
      <c r="C1156" s="41">
        <v>112784652.36750001</v>
      </c>
      <c r="D1156" s="47">
        <f t="shared" si="194"/>
        <v>113712705.02</v>
      </c>
      <c r="E1156" s="170">
        <f t="shared" si="193"/>
        <v>928052.65249998868</v>
      </c>
      <c r="G1156" s="173">
        <v>3983000</v>
      </c>
      <c r="H1156" s="47">
        <v>4800000</v>
      </c>
      <c r="I1156" s="171">
        <f t="shared" si="197"/>
        <v>817000</v>
      </c>
      <c r="J1156" s="170">
        <f t="shared" si="198"/>
        <v>1745052.6524999887</v>
      </c>
    </row>
    <row r="1157" spans="2:10" ht="12.65" customHeight="1">
      <c r="B1157" s="33">
        <v>44671</v>
      </c>
      <c r="C1157" s="41">
        <v>112784652.36750001</v>
      </c>
      <c r="D1157" s="47">
        <f t="shared" si="194"/>
        <v>113712705.02</v>
      </c>
      <c r="E1157" s="170">
        <f t="shared" si="193"/>
        <v>928052.65249998868</v>
      </c>
      <c r="G1157" s="173">
        <v>3983000</v>
      </c>
      <c r="H1157" s="47">
        <v>4800000</v>
      </c>
      <c r="I1157" s="171">
        <f t="shared" si="197"/>
        <v>817000</v>
      </c>
      <c r="J1157" s="170">
        <f t="shared" si="198"/>
        <v>1745052.6524999887</v>
      </c>
    </row>
    <row r="1158" spans="2:10" ht="12.65" customHeight="1">
      <c r="B1158" s="33">
        <v>44672</v>
      </c>
      <c r="C1158" s="41">
        <v>112784652.36750001</v>
      </c>
      <c r="D1158" s="47">
        <f t="shared" si="194"/>
        <v>113712705.02</v>
      </c>
      <c r="E1158" s="170">
        <f t="shared" si="193"/>
        <v>928052.65249998868</v>
      </c>
      <c r="G1158" s="173">
        <v>3983000</v>
      </c>
      <c r="H1158" s="47">
        <v>4800000</v>
      </c>
      <c r="I1158" s="171">
        <f t="shared" si="197"/>
        <v>817000</v>
      </c>
      <c r="J1158" s="170">
        <f t="shared" si="198"/>
        <v>1745052.6524999887</v>
      </c>
    </row>
    <row r="1159" spans="2:10" ht="12.65" customHeight="1">
      <c r="B1159" s="33">
        <v>44673</v>
      </c>
      <c r="C1159" s="41">
        <v>112784652.36750001</v>
      </c>
      <c r="D1159" s="47">
        <f t="shared" si="194"/>
        <v>113712705.02</v>
      </c>
      <c r="E1159" s="170">
        <f t="shared" si="193"/>
        <v>928052.65249998868</v>
      </c>
      <c r="G1159" s="173">
        <v>3983000</v>
      </c>
      <c r="H1159" s="47">
        <v>4800000</v>
      </c>
      <c r="I1159" s="171">
        <f t="shared" si="197"/>
        <v>817000</v>
      </c>
      <c r="J1159" s="170">
        <f t="shared" si="198"/>
        <v>1745052.6524999887</v>
      </c>
    </row>
    <row r="1160" spans="2:10" ht="12.65" customHeight="1">
      <c r="B1160" s="33">
        <v>44676</v>
      </c>
      <c r="C1160" s="41">
        <v>112784652.36750001</v>
      </c>
      <c r="D1160" s="47">
        <f t="shared" si="194"/>
        <v>113712705.02</v>
      </c>
      <c r="E1160" s="170">
        <f t="shared" si="193"/>
        <v>928052.65249998868</v>
      </c>
      <c r="G1160" s="173">
        <v>3983000</v>
      </c>
      <c r="H1160" s="47">
        <v>4800000</v>
      </c>
      <c r="I1160" s="171">
        <f t="shared" si="197"/>
        <v>817000</v>
      </c>
      <c r="J1160" s="170">
        <f t="shared" si="198"/>
        <v>1745052.6524999887</v>
      </c>
    </row>
    <row r="1161" spans="2:10" ht="12.65" customHeight="1">
      <c r="B1161" s="33">
        <v>44677</v>
      </c>
      <c r="C1161" s="41">
        <v>112784652.36750001</v>
      </c>
      <c r="D1161" s="47">
        <f t="shared" si="194"/>
        <v>113712705.02</v>
      </c>
      <c r="E1161" s="170">
        <f t="shared" si="193"/>
        <v>928052.65249998868</v>
      </c>
      <c r="G1161" s="173">
        <v>3983000</v>
      </c>
      <c r="H1161" s="47">
        <v>4800000</v>
      </c>
      <c r="I1161" s="171">
        <f t="shared" si="197"/>
        <v>817000</v>
      </c>
      <c r="J1161" s="170">
        <f t="shared" si="198"/>
        <v>1745052.6524999887</v>
      </c>
    </row>
    <row r="1162" spans="2:10" ht="12.65" customHeight="1">
      <c r="B1162" s="33">
        <v>44678</v>
      </c>
      <c r="C1162" s="41">
        <v>112784652.36750001</v>
      </c>
      <c r="D1162" s="47">
        <f t="shared" si="194"/>
        <v>113712705.02</v>
      </c>
      <c r="E1162" s="170">
        <f t="shared" si="193"/>
        <v>928052.65249998868</v>
      </c>
      <c r="G1162" s="173">
        <v>3983000</v>
      </c>
      <c r="H1162" s="47">
        <v>4800000</v>
      </c>
      <c r="I1162" s="171">
        <f t="shared" si="197"/>
        <v>817000</v>
      </c>
      <c r="J1162" s="170">
        <f t="shared" si="198"/>
        <v>1745052.6524999887</v>
      </c>
    </row>
    <row r="1163" spans="2:10" ht="12.65" customHeight="1">
      <c r="B1163" s="33">
        <v>44679</v>
      </c>
      <c r="C1163" s="41">
        <v>112784652.36750001</v>
      </c>
      <c r="D1163" s="47">
        <f t="shared" si="194"/>
        <v>113712705.02</v>
      </c>
      <c r="E1163" s="170">
        <f t="shared" si="193"/>
        <v>928052.65249998868</v>
      </c>
      <c r="G1163" s="173">
        <v>3983000</v>
      </c>
      <c r="H1163" s="47">
        <v>4800000</v>
      </c>
      <c r="I1163" s="171">
        <f t="shared" si="197"/>
        <v>817000</v>
      </c>
      <c r="J1163" s="170">
        <f t="shared" si="198"/>
        <v>1745052.6524999887</v>
      </c>
    </row>
    <row r="1164" spans="2:10" ht="12.65" customHeight="1">
      <c r="B1164" s="33">
        <v>44681</v>
      </c>
      <c r="C1164" s="41">
        <v>112784652.36750001</v>
      </c>
      <c r="D1164" s="47">
        <f t="shared" si="194"/>
        <v>113712705.02</v>
      </c>
      <c r="E1164" s="170">
        <f t="shared" ref="E1164" si="199">D1164-C1164</f>
        <v>928052.65249998868</v>
      </c>
      <c r="G1164" s="173">
        <v>3983000</v>
      </c>
      <c r="H1164" s="47">
        <v>4800000</v>
      </c>
      <c r="I1164" s="171">
        <f t="shared" ref="I1164" si="200">H1164-G1164</f>
        <v>817000</v>
      </c>
      <c r="J1164" s="170">
        <f t="shared" ref="J1164" si="201">E1164+I1164</f>
        <v>1745052.6524999887</v>
      </c>
    </row>
    <row r="1165" spans="2:10" ht="12.65" customHeight="1">
      <c r="B1165" s="33">
        <v>44690</v>
      </c>
      <c r="C1165" s="41">
        <v>109589288.27466699</v>
      </c>
      <c r="D1165" s="47">
        <f>143689756.83+22948.19</f>
        <v>143712705.02000001</v>
      </c>
      <c r="E1165" s="170">
        <f t="shared" si="193"/>
        <v>34123416.745333016</v>
      </c>
      <c r="G1165" s="173">
        <v>4072000</v>
      </c>
      <c r="H1165" s="47">
        <v>4800000</v>
      </c>
      <c r="I1165" s="171">
        <f t="shared" ref="I1165:I1169" si="202">H1165-G1165</f>
        <v>728000</v>
      </c>
      <c r="J1165" s="170">
        <f t="shared" ref="J1165:J1169" si="203">E1165+I1165</f>
        <v>34851416.745333016</v>
      </c>
    </row>
    <row r="1166" spans="2:10" ht="12.65" customHeight="1">
      <c r="B1166" s="33">
        <v>44691</v>
      </c>
      <c r="C1166" s="41">
        <v>109589288.27466699</v>
      </c>
      <c r="D1166" s="47">
        <f>140189756.83+22948.19</f>
        <v>140212705.02000001</v>
      </c>
      <c r="E1166" s="170">
        <f t="shared" si="193"/>
        <v>30623416.745333016</v>
      </c>
      <c r="G1166" s="173">
        <v>4072000</v>
      </c>
      <c r="H1166" s="47">
        <v>4800000</v>
      </c>
      <c r="I1166" s="171">
        <f t="shared" si="202"/>
        <v>728000</v>
      </c>
      <c r="J1166" s="170">
        <f t="shared" si="203"/>
        <v>31351416.745333016</v>
      </c>
    </row>
    <row r="1167" spans="2:10" ht="12.65" customHeight="1">
      <c r="B1167" s="33">
        <v>44692</v>
      </c>
      <c r="C1167" s="41">
        <v>109589288.27466699</v>
      </c>
      <c r="D1167" s="47">
        <f>110189756.83+22948.19</f>
        <v>110212705.02</v>
      </c>
      <c r="E1167" s="170">
        <f t="shared" si="193"/>
        <v>623416.74533300102</v>
      </c>
      <c r="G1167" s="173">
        <v>4072000</v>
      </c>
      <c r="H1167" s="47">
        <v>4800000</v>
      </c>
      <c r="I1167" s="171">
        <f t="shared" si="202"/>
        <v>728000</v>
      </c>
      <c r="J1167" s="170">
        <f t="shared" si="203"/>
        <v>1351416.745333001</v>
      </c>
    </row>
    <row r="1168" spans="2:10" ht="12.65" customHeight="1">
      <c r="B1168" s="33">
        <v>44693</v>
      </c>
      <c r="C1168" s="41">
        <v>109589288.27466699</v>
      </c>
      <c r="D1168" s="47">
        <f>110189756.83+22948.19</f>
        <v>110212705.02</v>
      </c>
      <c r="E1168" s="170">
        <f t="shared" si="193"/>
        <v>623416.74533300102</v>
      </c>
      <c r="G1168" s="173">
        <v>4072000</v>
      </c>
      <c r="H1168" s="47">
        <v>4800000</v>
      </c>
      <c r="I1168" s="171">
        <f t="shared" si="202"/>
        <v>728000</v>
      </c>
      <c r="J1168" s="170">
        <f t="shared" si="203"/>
        <v>1351416.745333001</v>
      </c>
    </row>
    <row r="1169" spans="2:10" ht="12.65" customHeight="1">
      <c r="B1169" s="33">
        <v>44694</v>
      </c>
      <c r="C1169" s="41">
        <v>109589288.27466699</v>
      </c>
      <c r="D1169" s="47">
        <f>110189756.83+22948.19</f>
        <v>110212705.02</v>
      </c>
      <c r="E1169" s="170">
        <f t="shared" si="193"/>
        <v>623416.74533300102</v>
      </c>
      <c r="G1169" s="173">
        <v>4072000</v>
      </c>
      <c r="H1169" s="47">
        <v>4800000</v>
      </c>
      <c r="I1169" s="171">
        <f t="shared" si="202"/>
        <v>728000</v>
      </c>
      <c r="J1169" s="170">
        <f t="shared" si="203"/>
        <v>1351416.745333001</v>
      </c>
    </row>
    <row r="1170" spans="2:10" ht="12.65" customHeight="1">
      <c r="B1170" s="33">
        <v>44698</v>
      </c>
      <c r="C1170" s="41">
        <v>105945261.309333</v>
      </c>
      <c r="D1170" s="47">
        <f>110189756.83+22948.19</f>
        <v>110212705.02</v>
      </c>
      <c r="E1170" s="170">
        <f t="shared" si="193"/>
        <v>4267443.7106669992</v>
      </c>
      <c r="G1170" s="173">
        <v>4322000</v>
      </c>
      <c r="H1170" s="47">
        <v>4800000</v>
      </c>
      <c r="I1170" s="171">
        <f t="shared" ref="I1170:I1180" si="204">H1170-G1170</f>
        <v>478000</v>
      </c>
      <c r="J1170" s="170">
        <f t="shared" ref="J1170:J1180" si="205">E1170+I1170</f>
        <v>4745443.7106669992</v>
      </c>
    </row>
    <row r="1171" spans="2:10" ht="12.65" customHeight="1">
      <c r="B1171" s="33">
        <v>44699</v>
      </c>
      <c r="C1171" s="41">
        <v>105945261.309333</v>
      </c>
      <c r="D1171" s="47">
        <f t="shared" ref="D1171:D1177" si="206">106689756.83+22948.19</f>
        <v>106712705.02</v>
      </c>
      <c r="E1171" s="170">
        <f t="shared" si="193"/>
        <v>767443.71066699922</v>
      </c>
      <c r="G1171" s="173">
        <v>4322000</v>
      </c>
      <c r="H1171" s="47">
        <v>4800000</v>
      </c>
      <c r="I1171" s="171">
        <f t="shared" si="204"/>
        <v>478000</v>
      </c>
      <c r="J1171" s="170">
        <f t="shared" si="205"/>
        <v>1245443.7106669992</v>
      </c>
    </row>
    <row r="1172" spans="2:10" ht="12.65" customHeight="1">
      <c r="B1172" s="33">
        <v>44700</v>
      </c>
      <c r="C1172" s="41">
        <v>105945261.309333</v>
      </c>
      <c r="D1172" s="47">
        <f t="shared" si="206"/>
        <v>106712705.02</v>
      </c>
      <c r="E1172" s="170">
        <f t="shared" si="193"/>
        <v>767443.71066699922</v>
      </c>
      <c r="G1172" s="173">
        <v>4322000</v>
      </c>
      <c r="H1172" s="47">
        <v>4800000</v>
      </c>
      <c r="I1172" s="171">
        <f t="shared" si="204"/>
        <v>478000</v>
      </c>
      <c r="J1172" s="170">
        <f t="shared" si="205"/>
        <v>1245443.7106669992</v>
      </c>
    </row>
    <row r="1173" spans="2:10" ht="12.65" customHeight="1">
      <c r="B1173" s="33">
        <v>44701</v>
      </c>
      <c r="C1173" s="41">
        <v>105945261.309333</v>
      </c>
      <c r="D1173" s="47">
        <f t="shared" si="206"/>
        <v>106712705.02</v>
      </c>
      <c r="E1173" s="170">
        <f t="shared" si="193"/>
        <v>767443.71066699922</v>
      </c>
      <c r="G1173" s="173">
        <v>4322000</v>
      </c>
      <c r="H1173" s="47">
        <v>4800000</v>
      </c>
      <c r="I1173" s="171">
        <f t="shared" si="204"/>
        <v>478000</v>
      </c>
      <c r="J1173" s="170">
        <f t="shared" si="205"/>
        <v>1245443.7106669992</v>
      </c>
    </row>
    <row r="1174" spans="2:10" ht="12.65" customHeight="1">
      <c r="B1174" s="33">
        <v>44704</v>
      </c>
      <c r="C1174" s="41">
        <v>105945261.309333</v>
      </c>
      <c r="D1174" s="47">
        <f t="shared" si="206"/>
        <v>106712705.02</v>
      </c>
      <c r="E1174" s="170">
        <f t="shared" si="193"/>
        <v>767443.71066699922</v>
      </c>
      <c r="G1174" s="173">
        <v>4322000</v>
      </c>
      <c r="H1174" s="47">
        <v>4800000</v>
      </c>
      <c r="I1174" s="171">
        <f t="shared" si="204"/>
        <v>478000</v>
      </c>
      <c r="J1174" s="170">
        <f t="shared" si="205"/>
        <v>1245443.7106669992</v>
      </c>
    </row>
    <row r="1175" spans="2:10" ht="12.65" customHeight="1">
      <c r="B1175" s="33">
        <v>44705</v>
      </c>
      <c r="C1175" s="41">
        <v>105945261.309333</v>
      </c>
      <c r="D1175" s="47">
        <f t="shared" si="206"/>
        <v>106712705.02</v>
      </c>
      <c r="E1175" s="170">
        <f t="shared" si="193"/>
        <v>767443.71066699922</v>
      </c>
      <c r="G1175" s="173">
        <v>4322000</v>
      </c>
      <c r="H1175" s="47">
        <v>4800000</v>
      </c>
      <c r="I1175" s="171">
        <f t="shared" si="204"/>
        <v>478000</v>
      </c>
      <c r="J1175" s="170">
        <f t="shared" si="205"/>
        <v>1245443.7106669992</v>
      </c>
    </row>
    <row r="1176" spans="2:10" ht="12.65" customHeight="1">
      <c r="B1176" s="33">
        <v>44706</v>
      </c>
      <c r="C1176" s="41">
        <v>105945261.309333</v>
      </c>
      <c r="D1176" s="47">
        <f t="shared" si="206"/>
        <v>106712705.02</v>
      </c>
      <c r="E1176" s="170">
        <f t="shared" si="193"/>
        <v>767443.71066699922</v>
      </c>
      <c r="G1176" s="173">
        <v>4322000</v>
      </c>
      <c r="H1176" s="47">
        <v>4800000</v>
      </c>
      <c r="I1176" s="171">
        <f t="shared" si="204"/>
        <v>478000</v>
      </c>
      <c r="J1176" s="170">
        <f t="shared" si="205"/>
        <v>1245443.7106669992</v>
      </c>
    </row>
    <row r="1177" spans="2:10" ht="12.65" customHeight="1">
      <c r="B1177" s="33">
        <v>44707</v>
      </c>
      <c r="C1177" s="41">
        <v>105945261.309333</v>
      </c>
      <c r="D1177" s="47">
        <f t="shared" si="206"/>
        <v>106712705.02</v>
      </c>
      <c r="E1177" s="170">
        <f t="shared" si="193"/>
        <v>767443.71066699922</v>
      </c>
      <c r="G1177" s="173">
        <v>4322000</v>
      </c>
      <c r="H1177" s="47">
        <v>4800000</v>
      </c>
      <c r="I1177" s="171">
        <f t="shared" ref="I1177" si="207">H1177-G1177</f>
        <v>478000</v>
      </c>
      <c r="J1177" s="170">
        <f t="shared" ref="J1177" si="208">E1177+I1177</f>
        <v>1245443.7106669992</v>
      </c>
    </row>
    <row r="1178" spans="2:10" ht="12.65" customHeight="1">
      <c r="B1178" s="33">
        <v>44708</v>
      </c>
      <c r="C1178" s="41">
        <v>105945261.309333</v>
      </c>
      <c r="D1178" s="47">
        <f t="shared" ref="D1178:D1183" si="209">109973756.83+22948.19</f>
        <v>109996705.02</v>
      </c>
      <c r="E1178" s="170">
        <f t="shared" si="193"/>
        <v>4051443.7106669992</v>
      </c>
      <c r="G1178" s="173">
        <v>4322000</v>
      </c>
      <c r="H1178" s="47">
        <v>4800000</v>
      </c>
      <c r="I1178" s="171">
        <f t="shared" si="204"/>
        <v>478000</v>
      </c>
      <c r="J1178" s="170">
        <f t="shared" si="205"/>
        <v>4529443.7106669992</v>
      </c>
    </row>
    <row r="1179" spans="2:10" ht="12.65" customHeight="1">
      <c r="B1179" s="33">
        <v>44711</v>
      </c>
      <c r="C1179" s="41">
        <v>105945261.309333</v>
      </c>
      <c r="D1179" s="47">
        <f t="shared" si="209"/>
        <v>109996705.02</v>
      </c>
      <c r="E1179" s="170">
        <f t="shared" si="193"/>
        <v>4051443.7106669992</v>
      </c>
      <c r="G1179" s="173">
        <v>4322000</v>
      </c>
      <c r="H1179" s="47">
        <v>4800000</v>
      </c>
      <c r="I1179" s="171">
        <f t="shared" si="204"/>
        <v>478000</v>
      </c>
      <c r="J1179" s="170">
        <f t="shared" si="205"/>
        <v>4529443.7106669992</v>
      </c>
    </row>
    <row r="1180" spans="2:10" ht="12.65" customHeight="1">
      <c r="B1180" s="33">
        <v>44712</v>
      </c>
      <c r="C1180" s="41">
        <v>105945261.309333</v>
      </c>
      <c r="D1180" s="47">
        <f t="shared" si="209"/>
        <v>109996705.02</v>
      </c>
      <c r="E1180" s="170">
        <f t="shared" si="193"/>
        <v>4051443.7106669992</v>
      </c>
      <c r="G1180" s="173">
        <v>4322000</v>
      </c>
      <c r="H1180" s="47">
        <v>4800000</v>
      </c>
      <c r="I1180" s="171">
        <f t="shared" si="204"/>
        <v>478000</v>
      </c>
      <c r="J1180" s="170">
        <f t="shared" si="205"/>
        <v>4529443.7106669992</v>
      </c>
    </row>
    <row r="1181" spans="2:10" ht="12.65" customHeight="1">
      <c r="B1181" s="33">
        <f t="shared" ref="B1181:B1247" si="210">WORKDAY(B1180,1)</f>
        <v>44713</v>
      </c>
      <c r="C1181" s="41">
        <v>104741222.730667</v>
      </c>
      <c r="D1181" s="47">
        <f t="shared" si="209"/>
        <v>109996705.02</v>
      </c>
      <c r="E1181" s="170">
        <f t="shared" si="193"/>
        <v>5255482.2893330008</v>
      </c>
      <c r="G1181" s="173">
        <v>3659000</v>
      </c>
      <c r="H1181" s="47">
        <v>4800000</v>
      </c>
      <c r="I1181" s="171">
        <f t="shared" ref="I1181:I1191" si="211">H1181-G1181</f>
        <v>1141000</v>
      </c>
      <c r="J1181" s="170">
        <f t="shared" ref="J1181:J1191" si="212">E1181+I1181</f>
        <v>6396482.2893330008</v>
      </c>
    </row>
    <row r="1182" spans="2:10" ht="12.65" customHeight="1">
      <c r="B1182" s="33">
        <f t="shared" si="210"/>
        <v>44714</v>
      </c>
      <c r="C1182" s="41">
        <v>104741222.730667</v>
      </c>
      <c r="D1182" s="47">
        <f t="shared" si="209"/>
        <v>109996705.02</v>
      </c>
      <c r="E1182" s="170">
        <f t="shared" si="193"/>
        <v>5255482.2893330008</v>
      </c>
      <c r="G1182" s="173">
        <v>3659000</v>
      </c>
      <c r="H1182" s="47">
        <v>4800000</v>
      </c>
      <c r="I1182" s="171">
        <f t="shared" si="211"/>
        <v>1141000</v>
      </c>
      <c r="J1182" s="170">
        <f t="shared" si="212"/>
        <v>6396482.2893330008</v>
      </c>
    </row>
    <row r="1183" spans="2:10" ht="12.65" customHeight="1">
      <c r="B1183" s="33">
        <f t="shared" si="210"/>
        <v>44715</v>
      </c>
      <c r="C1183" s="41">
        <v>104741222.730667</v>
      </c>
      <c r="D1183" s="47">
        <f t="shared" si="209"/>
        <v>109996705.02</v>
      </c>
      <c r="E1183" s="170">
        <f t="shared" si="193"/>
        <v>5255482.2893330008</v>
      </c>
      <c r="G1183" s="173">
        <v>3659000</v>
      </c>
      <c r="H1183" s="47">
        <v>4800000</v>
      </c>
      <c r="I1183" s="171">
        <f t="shared" si="211"/>
        <v>1141000</v>
      </c>
      <c r="J1183" s="170">
        <f t="shared" si="212"/>
        <v>6396482.2893330008</v>
      </c>
    </row>
    <row r="1184" spans="2:10" ht="12.65" customHeight="1">
      <c r="B1184" s="33">
        <f t="shared" si="210"/>
        <v>44718</v>
      </c>
      <c r="C1184" s="41">
        <v>104741222.730667</v>
      </c>
      <c r="D1184" s="47">
        <f t="shared" ref="D1184:D1194" si="213">105473756.83+22948.19</f>
        <v>105496705.02</v>
      </c>
      <c r="E1184" s="170">
        <f t="shared" si="193"/>
        <v>755482.28933300078</v>
      </c>
      <c r="G1184" s="173">
        <v>3659000</v>
      </c>
      <c r="H1184" s="47">
        <v>4300000</v>
      </c>
      <c r="I1184" s="171">
        <f t="shared" si="211"/>
        <v>641000</v>
      </c>
      <c r="J1184" s="170">
        <f t="shared" si="212"/>
        <v>1396482.2893330008</v>
      </c>
    </row>
    <row r="1185" spans="2:10" ht="12.65" customHeight="1">
      <c r="B1185" s="33">
        <f t="shared" si="210"/>
        <v>44719</v>
      </c>
      <c r="C1185" s="41">
        <v>104741222.730667</v>
      </c>
      <c r="D1185" s="47">
        <f t="shared" si="213"/>
        <v>105496705.02</v>
      </c>
      <c r="E1185" s="170">
        <f t="shared" si="193"/>
        <v>755482.28933300078</v>
      </c>
      <c r="G1185" s="173">
        <v>3659000</v>
      </c>
      <c r="H1185" s="47">
        <v>4300000</v>
      </c>
      <c r="I1185" s="171">
        <f t="shared" si="211"/>
        <v>641000</v>
      </c>
      <c r="J1185" s="170">
        <f t="shared" si="212"/>
        <v>1396482.2893330008</v>
      </c>
    </row>
    <row r="1186" spans="2:10" ht="12.65" customHeight="1">
      <c r="B1186" s="33">
        <f t="shared" si="210"/>
        <v>44720</v>
      </c>
      <c r="C1186" s="41">
        <v>104741222.730667</v>
      </c>
      <c r="D1186" s="47">
        <f t="shared" si="213"/>
        <v>105496705.02</v>
      </c>
      <c r="E1186" s="170">
        <f t="shared" si="193"/>
        <v>755482.28933300078</v>
      </c>
      <c r="G1186" s="173">
        <v>3659000</v>
      </c>
      <c r="H1186" s="47">
        <v>4300000</v>
      </c>
      <c r="I1186" s="171">
        <f t="shared" si="211"/>
        <v>641000</v>
      </c>
      <c r="J1186" s="170">
        <f t="shared" si="212"/>
        <v>1396482.2893330008</v>
      </c>
    </row>
    <row r="1187" spans="2:10" ht="12.65" customHeight="1">
      <c r="B1187" s="33">
        <f t="shared" si="210"/>
        <v>44721</v>
      </c>
      <c r="C1187" s="41">
        <v>104741222.730667</v>
      </c>
      <c r="D1187" s="47">
        <f t="shared" si="213"/>
        <v>105496705.02</v>
      </c>
      <c r="E1187" s="170">
        <f t="shared" si="193"/>
        <v>755482.28933300078</v>
      </c>
      <c r="G1187" s="173">
        <v>3659000</v>
      </c>
      <c r="H1187" s="47">
        <v>4300000</v>
      </c>
      <c r="I1187" s="171">
        <f t="shared" si="211"/>
        <v>641000</v>
      </c>
      <c r="J1187" s="170">
        <f t="shared" si="212"/>
        <v>1396482.2893330008</v>
      </c>
    </row>
    <row r="1188" spans="2:10" ht="12.65" customHeight="1">
      <c r="B1188" s="33">
        <f t="shared" si="210"/>
        <v>44722</v>
      </c>
      <c r="C1188" s="41">
        <v>104741222.730667</v>
      </c>
      <c r="D1188" s="47">
        <f t="shared" si="213"/>
        <v>105496705.02</v>
      </c>
      <c r="E1188" s="170">
        <f t="shared" si="193"/>
        <v>755482.28933300078</v>
      </c>
      <c r="G1188" s="173">
        <v>3659000</v>
      </c>
      <c r="H1188" s="47">
        <v>4300000</v>
      </c>
      <c r="I1188" s="171">
        <f t="shared" si="211"/>
        <v>641000</v>
      </c>
      <c r="J1188" s="170">
        <f t="shared" si="212"/>
        <v>1396482.2893330008</v>
      </c>
    </row>
    <row r="1189" spans="2:10" ht="12.65" customHeight="1">
      <c r="B1189" s="33">
        <f t="shared" si="210"/>
        <v>44725</v>
      </c>
      <c r="C1189" s="41">
        <v>104741222.730667</v>
      </c>
      <c r="D1189" s="47">
        <f t="shared" si="213"/>
        <v>105496705.02</v>
      </c>
      <c r="E1189" s="170">
        <f t="shared" si="193"/>
        <v>755482.28933300078</v>
      </c>
      <c r="G1189" s="173">
        <v>3659000</v>
      </c>
      <c r="H1189" s="47">
        <v>4300000</v>
      </c>
      <c r="I1189" s="171">
        <f t="shared" si="211"/>
        <v>641000</v>
      </c>
      <c r="J1189" s="170">
        <f t="shared" si="212"/>
        <v>1396482.2893330008</v>
      </c>
    </row>
    <row r="1190" spans="2:10" ht="12.65" customHeight="1">
      <c r="B1190" s="33">
        <f t="shared" si="210"/>
        <v>44726</v>
      </c>
      <c r="C1190" s="41">
        <v>104741222.730667</v>
      </c>
      <c r="D1190" s="47">
        <f t="shared" si="213"/>
        <v>105496705.02</v>
      </c>
      <c r="E1190" s="170">
        <f t="shared" si="193"/>
        <v>755482.28933300078</v>
      </c>
      <c r="G1190" s="173">
        <v>3659000</v>
      </c>
      <c r="H1190" s="47">
        <v>4300000</v>
      </c>
      <c r="I1190" s="171">
        <f t="shared" si="211"/>
        <v>641000</v>
      </c>
      <c r="J1190" s="170">
        <f t="shared" si="212"/>
        <v>1396482.2893330008</v>
      </c>
    </row>
    <row r="1191" spans="2:10" ht="12.65" customHeight="1">
      <c r="B1191" s="33">
        <f t="shared" si="210"/>
        <v>44727</v>
      </c>
      <c r="C1191" s="41">
        <v>104741222.730667</v>
      </c>
      <c r="D1191" s="47">
        <f t="shared" si="213"/>
        <v>105496705.02</v>
      </c>
      <c r="E1191" s="170">
        <f t="shared" si="193"/>
        <v>755482.28933300078</v>
      </c>
      <c r="G1191" s="173">
        <v>3659000</v>
      </c>
      <c r="H1191" s="47">
        <v>4300000</v>
      </c>
      <c r="I1191" s="171">
        <f t="shared" si="211"/>
        <v>641000</v>
      </c>
      <c r="J1191" s="170">
        <f t="shared" si="212"/>
        <v>1396482.2893330008</v>
      </c>
    </row>
    <row r="1192" spans="2:10" ht="12.65" customHeight="1">
      <c r="B1192" s="33">
        <f t="shared" si="210"/>
        <v>44728</v>
      </c>
      <c r="C1192" s="41">
        <v>103676171.935</v>
      </c>
      <c r="D1192" s="47">
        <f t="shared" si="213"/>
        <v>105496705.02</v>
      </c>
      <c r="E1192" s="170">
        <f t="shared" si="193"/>
        <v>1820533.0849999934</v>
      </c>
      <c r="G1192" s="173">
        <v>2172000</v>
      </c>
      <c r="H1192" s="47">
        <v>4300000</v>
      </c>
      <c r="I1192" s="171">
        <f t="shared" ref="I1192:I1202" si="214">H1192-G1192</f>
        <v>2128000</v>
      </c>
      <c r="J1192" s="170">
        <f t="shared" ref="J1192:J1202" si="215">E1192+I1192</f>
        <v>3948533.0849999934</v>
      </c>
    </row>
    <row r="1193" spans="2:10" ht="12.65" customHeight="1">
      <c r="B1193" s="33">
        <f t="shared" si="210"/>
        <v>44729</v>
      </c>
      <c r="C1193" s="41">
        <v>103676171.935</v>
      </c>
      <c r="D1193" s="47">
        <f t="shared" si="213"/>
        <v>105496705.02</v>
      </c>
      <c r="E1193" s="170">
        <f t="shared" si="193"/>
        <v>1820533.0849999934</v>
      </c>
      <c r="G1193" s="173">
        <v>2172000</v>
      </c>
      <c r="H1193" s="47">
        <v>4300000</v>
      </c>
      <c r="I1193" s="171">
        <f t="shared" si="214"/>
        <v>2128000</v>
      </c>
      <c r="J1193" s="170">
        <f t="shared" si="215"/>
        <v>3948533.0849999934</v>
      </c>
    </row>
    <row r="1194" spans="2:10" ht="12.65" customHeight="1">
      <c r="B1194" s="33">
        <f t="shared" si="210"/>
        <v>44732</v>
      </c>
      <c r="C1194" s="41">
        <v>103676171.935</v>
      </c>
      <c r="D1194" s="47">
        <f t="shared" si="213"/>
        <v>105496705.02</v>
      </c>
      <c r="E1194" s="170">
        <f t="shared" si="193"/>
        <v>1820533.0849999934</v>
      </c>
      <c r="G1194" s="173">
        <v>2172000</v>
      </c>
      <c r="H1194" s="47">
        <v>4300000</v>
      </c>
      <c r="I1194" s="171">
        <f t="shared" si="214"/>
        <v>2128000</v>
      </c>
      <c r="J1194" s="170">
        <f t="shared" si="215"/>
        <v>3948533.0849999934</v>
      </c>
    </row>
    <row r="1195" spans="2:10" ht="12.65" customHeight="1">
      <c r="B1195" s="33">
        <f t="shared" si="210"/>
        <v>44733</v>
      </c>
      <c r="C1195" s="41">
        <v>103676171.935</v>
      </c>
      <c r="D1195" s="47">
        <f>104473756.83+22948.19</f>
        <v>104496705.02</v>
      </c>
      <c r="E1195" s="170">
        <f t="shared" si="193"/>
        <v>820533.08499999344</v>
      </c>
      <c r="G1195" s="173">
        <v>2172000</v>
      </c>
      <c r="H1195" s="47">
        <v>2800000</v>
      </c>
      <c r="I1195" s="171">
        <f t="shared" si="214"/>
        <v>628000</v>
      </c>
      <c r="J1195" s="170">
        <f t="shared" si="215"/>
        <v>1448533.0849999934</v>
      </c>
    </row>
    <row r="1196" spans="2:10" ht="12.65" customHeight="1">
      <c r="B1196" s="33">
        <f t="shared" si="210"/>
        <v>44734</v>
      </c>
      <c r="C1196" s="41">
        <v>103676171.935</v>
      </c>
      <c r="D1196" s="47">
        <f>104473756.83+22948.19</f>
        <v>104496705.02</v>
      </c>
      <c r="E1196" s="170">
        <f t="shared" si="193"/>
        <v>820533.08499999344</v>
      </c>
      <c r="G1196" s="173">
        <v>2172000</v>
      </c>
      <c r="H1196" s="47">
        <v>2800000</v>
      </c>
      <c r="I1196" s="171">
        <f t="shared" si="214"/>
        <v>628000</v>
      </c>
      <c r="J1196" s="170">
        <f t="shared" si="215"/>
        <v>1448533.0849999934</v>
      </c>
    </row>
    <row r="1197" spans="2:10" ht="12.65" customHeight="1">
      <c r="B1197" s="33">
        <f t="shared" si="210"/>
        <v>44735</v>
      </c>
      <c r="C1197" s="41">
        <v>103676171.935</v>
      </c>
      <c r="D1197" s="47">
        <f>104473756.83+22948.19</f>
        <v>104496705.02</v>
      </c>
      <c r="E1197" s="170">
        <f t="shared" si="193"/>
        <v>820533.08499999344</v>
      </c>
      <c r="G1197" s="173">
        <v>2172000</v>
      </c>
      <c r="H1197" s="47">
        <v>2800000</v>
      </c>
      <c r="I1197" s="171">
        <f t="shared" si="214"/>
        <v>628000</v>
      </c>
      <c r="J1197" s="170">
        <f t="shared" si="215"/>
        <v>1448533.0849999934</v>
      </c>
    </row>
    <row r="1198" spans="2:10" ht="12.65" customHeight="1">
      <c r="B1198" s="33">
        <f t="shared" si="210"/>
        <v>44736</v>
      </c>
      <c r="C1198" s="41">
        <v>103676171.935</v>
      </c>
      <c r="D1198" s="47">
        <f>118003756.83+22948.19</f>
        <v>118026705.02</v>
      </c>
      <c r="E1198" s="170">
        <f t="shared" si="193"/>
        <v>14350533.084999993</v>
      </c>
      <c r="G1198" s="173">
        <v>2172000</v>
      </c>
      <c r="H1198" s="47">
        <v>2800000</v>
      </c>
      <c r="I1198" s="171">
        <f t="shared" si="214"/>
        <v>628000</v>
      </c>
      <c r="J1198" s="170">
        <f t="shared" si="215"/>
        <v>14978533.084999993</v>
      </c>
    </row>
    <row r="1199" spans="2:10" ht="12.65" customHeight="1">
      <c r="B1199" s="33">
        <f t="shared" si="210"/>
        <v>44739</v>
      </c>
      <c r="C1199" s="41">
        <v>103676171.935</v>
      </c>
      <c r="D1199" s="47">
        <f>118003756.83+22948.19</f>
        <v>118026705.02</v>
      </c>
      <c r="E1199" s="170">
        <f t="shared" si="193"/>
        <v>14350533.084999993</v>
      </c>
      <c r="G1199" s="173">
        <v>2172000</v>
      </c>
      <c r="H1199" s="47">
        <v>2800000</v>
      </c>
      <c r="I1199" s="171">
        <f t="shared" si="214"/>
        <v>628000</v>
      </c>
      <c r="J1199" s="170">
        <f t="shared" si="215"/>
        <v>14978533.084999993</v>
      </c>
    </row>
    <row r="1200" spans="2:10" ht="12.65" customHeight="1">
      <c r="B1200" s="33">
        <f t="shared" si="210"/>
        <v>44740</v>
      </c>
      <c r="C1200" s="41">
        <v>103676171.935</v>
      </c>
      <c r="D1200" s="47">
        <f>118003756.83+22948.19</f>
        <v>118026705.02</v>
      </c>
      <c r="E1200" s="170">
        <f t="shared" ref="E1200:E1262" si="216">D1200-C1200</f>
        <v>14350533.084999993</v>
      </c>
      <c r="G1200" s="173">
        <v>2172000</v>
      </c>
      <c r="H1200" s="47">
        <v>2800000</v>
      </c>
      <c r="I1200" s="171">
        <f t="shared" si="214"/>
        <v>628000</v>
      </c>
      <c r="J1200" s="170">
        <f t="shared" si="215"/>
        <v>14978533.084999993</v>
      </c>
    </row>
    <row r="1201" spans="2:10" ht="12.65" customHeight="1">
      <c r="B1201" s="33">
        <f t="shared" si="210"/>
        <v>44741</v>
      </c>
      <c r="C1201" s="41">
        <v>103676171.935</v>
      </c>
      <c r="D1201" s="47">
        <f>104473756.83+22948.19</f>
        <v>104496705.02</v>
      </c>
      <c r="E1201" s="170">
        <f t="shared" si="216"/>
        <v>820533.08499999344</v>
      </c>
      <c r="G1201" s="173">
        <v>2172000</v>
      </c>
      <c r="H1201" s="47">
        <v>2800000</v>
      </c>
      <c r="I1201" s="171">
        <f t="shared" si="214"/>
        <v>628000</v>
      </c>
      <c r="J1201" s="170">
        <f t="shared" si="215"/>
        <v>1448533.0849999934</v>
      </c>
    </row>
    <row r="1202" spans="2:10" ht="12.65" customHeight="1">
      <c r="B1202" s="33">
        <f t="shared" si="210"/>
        <v>44742</v>
      </c>
      <c r="C1202" s="41">
        <v>103676171.935</v>
      </c>
      <c r="D1202" s="47">
        <f>104473756.83+22948.19</f>
        <v>104496705.02</v>
      </c>
      <c r="E1202" s="170">
        <f t="shared" si="216"/>
        <v>820533.08499999344</v>
      </c>
      <c r="G1202" s="173">
        <v>2172000</v>
      </c>
      <c r="H1202" s="47">
        <v>2800000</v>
      </c>
      <c r="I1202" s="171">
        <f t="shared" si="214"/>
        <v>628000</v>
      </c>
      <c r="J1202" s="170">
        <f t="shared" si="215"/>
        <v>1448533.0849999934</v>
      </c>
    </row>
    <row r="1203" spans="2:10" ht="12.65" customHeight="1">
      <c r="B1203" s="33">
        <f t="shared" si="210"/>
        <v>44743</v>
      </c>
      <c r="C1203" s="41">
        <v>104528793.149333</v>
      </c>
      <c r="D1203" s="47">
        <f t="shared" ref="D1203:D1215" si="217">105473756.83+22948.19</f>
        <v>105496705.02</v>
      </c>
      <c r="E1203" s="170">
        <f t="shared" si="216"/>
        <v>967911.87066699564</v>
      </c>
      <c r="G1203" s="173">
        <v>1863000</v>
      </c>
      <c r="H1203" s="47">
        <v>2800000</v>
      </c>
      <c r="I1203" s="171">
        <f t="shared" ref="I1203:I1213" si="218">H1203-G1203</f>
        <v>937000</v>
      </c>
      <c r="J1203" s="170">
        <f t="shared" ref="J1203:J1213" si="219">E1203+I1203</f>
        <v>1904911.8706669956</v>
      </c>
    </row>
    <row r="1204" spans="2:10" ht="12.65" customHeight="1">
      <c r="B1204" s="33">
        <f t="shared" si="210"/>
        <v>44746</v>
      </c>
      <c r="C1204" s="41">
        <v>104528793.149333</v>
      </c>
      <c r="D1204" s="47">
        <f t="shared" si="217"/>
        <v>105496705.02</v>
      </c>
      <c r="E1204" s="170">
        <f t="shared" si="216"/>
        <v>967911.87066699564</v>
      </c>
      <c r="G1204" s="173">
        <v>1863000</v>
      </c>
      <c r="H1204" s="47">
        <v>2800000</v>
      </c>
      <c r="I1204" s="171">
        <f t="shared" si="218"/>
        <v>937000</v>
      </c>
      <c r="J1204" s="170">
        <f t="shared" si="219"/>
        <v>1904911.8706669956</v>
      </c>
    </row>
    <row r="1205" spans="2:10" ht="12.65" customHeight="1">
      <c r="B1205" s="33">
        <f t="shared" si="210"/>
        <v>44747</v>
      </c>
      <c r="C1205" s="41">
        <v>104528793.149333</v>
      </c>
      <c r="D1205" s="47">
        <f t="shared" si="217"/>
        <v>105496705.02</v>
      </c>
      <c r="E1205" s="170">
        <f t="shared" si="216"/>
        <v>967911.87066699564</v>
      </c>
      <c r="G1205" s="173">
        <v>1863000</v>
      </c>
      <c r="H1205" s="47">
        <v>2800000</v>
      </c>
      <c r="I1205" s="171">
        <f t="shared" si="218"/>
        <v>937000</v>
      </c>
      <c r="J1205" s="170">
        <f t="shared" si="219"/>
        <v>1904911.8706669956</v>
      </c>
    </row>
    <row r="1206" spans="2:10" ht="12.65" customHeight="1">
      <c r="B1206" s="33">
        <f t="shared" si="210"/>
        <v>44748</v>
      </c>
      <c r="C1206" s="41">
        <v>104528793.149333</v>
      </c>
      <c r="D1206" s="47">
        <f t="shared" si="217"/>
        <v>105496705.02</v>
      </c>
      <c r="E1206" s="170">
        <f t="shared" si="216"/>
        <v>967911.87066699564</v>
      </c>
      <c r="G1206" s="173">
        <v>1863000</v>
      </c>
      <c r="H1206" s="47">
        <v>2800000</v>
      </c>
      <c r="I1206" s="171">
        <f t="shared" si="218"/>
        <v>937000</v>
      </c>
      <c r="J1206" s="170">
        <f t="shared" si="219"/>
        <v>1904911.8706669956</v>
      </c>
    </row>
    <row r="1207" spans="2:10" ht="12.65" customHeight="1">
      <c r="B1207" s="33">
        <f t="shared" si="210"/>
        <v>44749</v>
      </c>
      <c r="C1207" s="41">
        <v>104528793.149333</v>
      </c>
      <c r="D1207" s="47">
        <f t="shared" si="217"/>
        <v>105496705.02</v>
      </c>
      <c r="E1207" s="170">
        <f t="shared" si="216"/>
        <v>967911.87066699564</v>
      </c>
      <c r="G1207" s="173">
        <v>1863000</v>
      </c>
      <c r="H1207" s="47">
        <v>2500000</v>
      </c>
      <c r="I1207" s="171">
        <f t="shared" si="218"/>
        <v>637000</v>
      </c>
      <c r="J1207" s="170">
        <f t="shared" si="219"/>
        <v>1604911.8706669956</v>
      </c>
    </row>
    <row r="1208" spans="2:10" ht="12.65" customHeight="1">
      <c r="B1208" s="33">
        <f t="shared" si="210"/>
        <v>44750</v>
      </c>
      <c r="C1208" s="41">
        <v>104528793.149333</v>
      </c>
      <c r="D1208" s="47">
        <f t="shared" si="217"/>
        <v>105496705.02</v>
      </c>
      <c r="E1208" s="170">
        <f t="shared" si="216"/>
        <v>967911.87066699564</v>
      </c>
      <c r="G1208" s="173">
        <v>1863000</v>
      </c>
      <c r="H1208" s="47">
        <v>2500000</v>
      </c>
      <c r="I1208" s="171">
        <f t="shared" si="218"/>
        <v>637000</v>
      </c>
      <c r="J1208" s="170">
        <f t="shared" si="219"/>
        <v>1604911.8706669956</v>
      </c>
    </row>
    <row r="1209" spans="2:10" ht="12.65" customHeight="1">
      <c r="B1209" s="33">
        <f t="shared" si="210"/>
        <v>44753</v>
      </c>
      <c r="C1209" s="41">
        <v>104528793.149333</v>
      </c>
      <c r="D1209" s="47">
        <f t="shared" si="217"/>
        <v>105496705.02</v>
      </c>
      <c r="E1209" s="170">
        <f t="shared" si="216"/>
        <v>967911.87066699564</v>
      </c>
      <c r="G1209" s="173">
        <v>1863000</v>
      </c>
      <c r="H1209" s="47">
        <v>2500000</v>
      </c>
      <c r="I1209" s="171">
        <f t="shared" si="218"/>
        <v>637000</v>
      </c>
      <c r="J1209" s="170">
        <f t="shared" si="219"/>
        <v>1604911.8706669956</v>
      </c>
    </row>
    <row r="1210" spans="2:10" ht="12.65" customHeight="1">
      <c r="B1210" s="33">
        <f t="shared" si="210"/>
        <v>44754</v>
      </c>
      <c r="C1210" s="41">
        <v>104528793.149333</v>
      </c>
      <c r="D1210" s="47">
        <f t="shared" si="217"/>
        <v>105496705.02</v>
      </c>
      <c r="E1210" s="170">
        <f t="shared" si="216"/>
        <v>967911.87066699564</v>
      </c>
      <c r="G1210" s="173">
        <v>1863000</v>
      </c>
      <c r="H1210" s="47">
        <v>2500000</v>
      </c>
      <c r="I1210" s="171">
        <f t="shared" si="218"/>
        <v>637000</v>
      </c>
      <c r="J1210" s="170">
        <f t="shared" si="219"/>
        <v>1604911.8706669956</v>
      </c>
    </row>
    <row r="1211" spans="2:10" ht="12.65" customHeight="1">
      <c r="B1211" s="33">
        <f t="shared" si="210"/>
        <v>44755</v>
      </c>
      <c r="C1211" s="41">
        <v>104528793.149333</v>
      </c>
      <c r="D1211" s="47">
        <f t="shared" si="217"/>
        <v>105496705.02</v>
      </c>
      <c r="E1211" s="170">
        <f t="shared" si="216"/>
        <v>967911.87066699564</v>
      </c>
      <c r="G1211" s="173">
        <v>1863000</v>
      </c>
      <c r="H1211" s="47">
        <v>2500000</v>
      </c>
      <c r="I1211" s="171">
        <f t="shared" si="218"/>
        <v>637000</v>
      </c>
      <c r="J1211" s="170">
        <f t="shared" si="219"/>
        <v>1604911.8706669956</v>
      </c>
    </row>
    <row r="1212" spans="2:10" ht="12.65" customHeight="1">
      <c r="B1212" s="33">
        <f t="shared" si="210"/>
        <v>44756</v>
      </c>
      <c r="C1212" s="41">
        <v>104528793.149333</v>
      </c>
      <c r="D1212" s="47">
        <f t="shared" si="217"/>
        <v>105496705.02</v>
      </c>
      <c r="E1212" s="170">
        <f t="shared" si="216"/>
        <v>967911.87066699564</v>
      </c>
      <c r="G1212" s="173">
        <v>1863000</v>
      </c>
      <c r="H1212" s="47">
        <v>2500000</v>
      </c>
      <c r="I1212" s="171">
        <f t="shared" si="218"/>
        <v>637000</v>
      </c>
      <c r="J1212" s="170">
        <f t="shared" si="219"/>
        <v>1604911.8706669956</v>
      </c>
    </row>
    <row r="1213" spans="2:10" ht="12.65" customHeight="1">
      <c r="B1213" s="33">
        <f t="shared" si="210"/>
        <v>44757</v>
      </c>
      <c r="C1213" s="41">
        <v>104528793.149333</v>
      </c>
      <c r="D1213" s="47">
        <f t="shared" si="217"/>
        <v>105496705.02</v>
      </c>
      <c r="E1213" s="170">
        <f t="shared" si="216"/>
        <v>967911.87066699564</v>
      </c>
      <c r="G1213" s="173">
        <v>1863000</v>
      </c>
      <c r="H1213" s="47">
        <v>2500000</v>
      </c>
      <c r="I1213" s="171">
        <f t="shared" si="218"/>
        <v>637000</v>
      </c>
      <c r="J1213" s="170">
        <f t="shared" si="219"/>
        <v>1604911.8706669956</v>
      </c>
    </row>
    <row r="1214" spans="2:10" ht="12.65" customHeight="1">
      <c r="B1214" s="33">
        <f t="shared" si="210"/>
        <v>44760</v>
      </c>
      <c r="C1214" s="41">
        <v>100834000</v>
      </c>
      <c r="D1214" s="47">
        <f t="shared" si="217"/>
        <v>105496705.02</v>
      </c>
      <c r="E1214" s="170">
        <f t="shared" si="216"/>
        <v>4662705.0199999958</v>
      </c>
      <c r="G1214" s="173">
        <v>1849000</v>
      </c>
      <c r="H1214" s="47">
        <v>2500000</v>
      </c>
      <c r="I1214" s="171">
        <f t="shared" ref="I1214:I1224" si="220">H1214-G1214</f>
        <v>651000</v>
      </c>
      <c r="J1214" s="170">
        <f t="shared" ref="J1214:J1224" si="221">E1214+I1214</f>
        <v>5313705.0199999958</v>
      </c>
    </row>
    <row r="1215" spans="2:10" ht="12.65" customHeight="1">
      <c r="B1215" s="33">
        <f t="shared" si="210"/>
        <v>44761</v>
      </c>
      <c r="C1215" s="41">
        <v>100834000</v>
      </c>
      <c r="D1215" s="47">
        <f t="shared" si="217"/>
        <v>105496705.02</v>
      </c>
      <c r="E1215" s="170">
        <f t="shared" si="216"/>
        <v>4662705.0199999958</v>
      </c>
      <c r="G1215" s="173">
        <v>1849000</v>
      </c>
      <c r="H1215" s="47">
        <v>2500000</v>
      </c>
      <c r="I1215" s="171">
        <f t="shared" si="220"/>
        <v>651000</v>
      </c>
      <c r="J1215" s="170">
        <f t="shared" si="221"/>
        <v>5313705.0199999958</v>
      </c>
    </row>
    <row r="1216" spans="2:10" ht="12.65" customHeight="1">
      <c r="B1216" s="33">
        <f t="shared" si="210"/>
        <v>44762</v>
      </c>
      <c r="C1216" s="41">
        <v>100834000</v>
      </c>
      <c r="D1216" s="47">
        <f t="shared" ref="D1216:D1222" si="222">101473756.83+22948.19</f>
        <v>101496705.02</v>
      </c>
      <c r="E1216" s="170">
        <f t="shared" si="216"/>
        <v>662705.01999999583</v>
      </c>
      <c r="G1216" s="173">
        <v>1849000</v>
      </c>
      <c r="H1216" s="47">
        <v>2500000</v>
      </c>
      <c r="I1216" s="171">
        <f t="shared" si="220"/>
        <v>651000</v>
      </c>
      <c r="J1216" s="170">
        <f t="shared" si="221"/>
        <v>1313705.0199999958</v>
      </c>
    </row>
    <row r="1217" spans="2:10" ht="12.65" customHeight="1">
      <c r="B1217" s="33">
        <f t="shared" si="210"/>
        <v>44763</v>
      </c>
      <c r="C1217" s="41">
        <v>100834000</v>
      </c>
      <c r="D1217" s="47">
        <f t="shared" si="222"/>
        <v>101496705.02</v>
      </c>
      <c r="E1217" s="170">
        <f t="shared" si="216"/>
        <v>662705.01999999583</v>
      </c>
      <c r="G1217" s="173">
        <v>1849000</v>
      </c>
      <c r="H1217" s="47">
        <v>2500000</v>
      </c>
      <c r="I1217" s="171">
        <f t="shared" si="220"/>
        <v>651000</v>
      </c>
      <c r="J1217" s="170">
        <f t="shared" si="221"/>
        <v>1313705.0199999958</v>
      </c>
    </row>
    <row r="1218" spans="2:10" ht="12.65" customHeight="1">
      <c r="B1218" s="33">
        <f t="shared" si="210"/>
        <v>44764</v>
      </c>
      <c r="C1218" s="41">
        <v>100834000</v>
      </c>
      <c r="D1218" s="47">
        <f t="shared" si="222"/>
        <v>101496705.02</v>
      </c>
      <c r="E1218" s="170">
        <f t="shared" si="216"/>
        <v>662705.01999999583</v>
      </c>
      <c r="G1218" s="173">
        <v>1849000</v>
      </c>
      <c r="H1218" s="47">
        <v>2500000</v>
      </c>
      <c r="I1218" s="171">
        <f t="shared" si="220"/>
        <v>651000</v>
      </c>
      <c r="J1218" s="170">
        <f t="shared" si="221"/>
        <v>1313705.0199999958</v>
      </c>
    </row>
    <row r="1219" spans="2:10" ht="12.65" customHeight="1">
      <c r="B1219" s="33">
        <f t="shared" si="210"/>
        <v>44767</v>
      </c>
      <c r="C1219" s="41">
        <v>100834000</v>
      </c>
      <c r="D1219" s="47">
        <f t="shared" si="222"/>
        <v>101496705.02</v>
      </c>
      <c r="E1219" s="170">
        <f t="shared" si="216"/>
        <v>662705.01999999583</v>
      </c>
      <c r="G1219" s="173">
        <v>1849000</v>
      </c>
      <c r="H1219" s="47">
        <v>2500000</v>
      </c>
      <c r="I1219" s="171">
        <f t="shared" si="220"/>
        <v>651000</v>
      </c>
      <c r="J1219" s="170">
        <f t="shared" si="221"/>
        <v>1313705.0199999958</v>
      </c>
    </row>
    <row r="1220" spans="2:10" ht="12.65" customHeight="1">
      <c r="B1220" s="33">
        <f t="shared" si="210"/>
        <v>44768</v>
      </c>
      <c r="C1220" s="41">
        <v>100834000</v>
      </c>
      <c r="D1220" s="47">
        <f t="shared" si="222"/>
        <v>101496705.02</v>
      </c>
      <c r="E1220" s="170">
        <f t="shared" si="216"/>
        <v>662705.01999999583</v>
      </c>
      <c r="G1220" s="173">
        <v>1849000</v>
      </c>
      <c r="H1220" s="47">
        <v>2500000</v>
      </c>
      <c r="I1220" s="171">
        <f t="shared" si="220"/>
        <v>651000</v>
      </c>
      <c r="J1220" s="170">
        <f t="shared" si="221"/>
        <v>1313705.0199999958</v>
      </c>
    </row>
    <row r="1221" spans="2:10" ht="12.65" customHeight="1">
      <c r="B1221" s="33">
        <f t="shared" si="210"/>
        <v>44769</v>
      </c>
      <c r="C1221" s="41">
        <v>100834000</v>
      </c>
      <c r="D1221" s="47">
        <f t="shared" si="222"/>
        <v>101496705.02</v>
      </c>
      <c r="E1221" s="170">
        <f t="shared" si="216"/>
        <v>662705.01999999583</v>
      </c>
      <c r="G1221" s="173">
        <v>1849000</v>
      </c>
      <c r="H1221" s="47">
        <v>2500000</v>
      </c>
      <c r="I1221" s="171">
        <f t="shared" si="220"/>
        <v>651000</v>
      </c>
      <c r="J1221" s="170">
        <f t="shared" si="221"/>
        <v>1313705.0199999958</v>
      </c>
    </row>
    <row r="1222" spans="2:10" ht="12.65" customHeight="1">
      <c r="B1222" s="33">
        <f t="shared" si="210"/>
        <v>44770</v>
      </c>
      <c r="C1222" s="41">
        <v>100834000</v>
      </c>
      <c r="D1222" s="47">
        <f t="shared" si="222"/>
        <v>101496705.02</v>
      </c>
      <c r="E1222" s="170">
        <f t="shared" si="216"/>
        <v>662705.01999999583</v>
      </c>
      <c r="G1222" s="173">
        <v>1849000</v>
      </c>
      <c r="H1222" s="47">
        <v>2500000</v>
      </c>
      <c r="I1222" s="171">
        <f t="shared" si="220"/>
        <v>651000</v>
      </c>
      <c r="J1222" s="170">
        <f t="shared" si="221"/>
        <v>1313705.0199999958</v>
      </c>
    </row>
    <row r="1223" spans="2:10" ht="12.65" customHeight="1">
      <c r="B1223" s="33">
        <f t="shared" si="210"/>
        <v>44771</v>
      </c>
      <c r="C1223" s="41">
        <v>100834000</v>
      </c>
      <c r="D1223" s="47">
        <f>101473756.83+22948.19</f>
        <v>101496705.02</v>
      </c>
      <c r="E1223" s="170">
        <f t="shared" si="216"/>
        <v>662705.01999999583</v>
      </c>
      <c r="G1223" s="173">
        <v>1849000</v>
      </c>
      <c r="H1223" s="47">
        <v>2500000</v>
      </c>
      <c r="I1223" s="171">
        <f t="shared" si="220"/>
        <v>651000</v>
      </c>
      <c r="J1223" s="170">
        <f t="shared" si="221"/>
        <v>1313705.0199999958</v>
      </c>
    </row>
    <row r="1224" spans="2:10" ht="12.65" customHeight="1">
      <c r="B1224" s="33">
        <f>B1223+2</f>
        <v>44773</v>
      </c>
      <c r="C1224" s="41">
        <v>100834000</v>
      </c>
      <c r="D1224" s="47">
        <f>101473756.83+22948.19</f>
        <v>101496705.02</v>
      </c>
      <c r="E1224" s="170">
        <f t="shared" si="216"/>
        <v>662705.01999999583</v>
      </c>
      <c r="G1224" s="173">
        <v>1849000</v>
      </c>
      <c r="H1224" s="47">
        <v>2500000</v>
      </c>
      <c r="I1224" s="171">
        <f t="shared" si="220"/>
        <v>651000</v>
      </c>
      <c r="J1224" s="170">
        <f t="shared" si="221"/>
        <v>1313705.0199999958</v>
      </c>
    </row>
    <row r="1225" spans="2:10" ht="12.65" customHeight="1">
      <c r="B1225" s="33">
        <f>WORKDAY(B1223,1)</f>
        <v>44774</v>
      </c>
      <c r="C1225" s="41">
        <v>104361944.86399999</v>
      </c>
      <c r="D1225" s="47">
        <f t="shared" ref="D1225:D1230" si="223">104973756.83+22948.19</f>
        <v>104996705.02</v>
      </c>
      <c r="E1225" s="170">
        <f t="shared" si="216"/>
        <v>634760.15600000322</v>
      </c>
      <c r="G1225" s="173">
        <v>1887000</v>
      </c>
      <c r="H1225" s="47">
        <v>2500000</v>
      </c>
      <c r="I1225" s="171">
        <f t="shared" ref="I1225:I1235" si="224">H1225-G1225</f>
        <v>613000</v>
      </c>
      <c r="J1225" s="170">
        <f t="shared" ref="J1225:J1235" si="225">E1225+I1225</f>
        <v>1247760.1560000032</v>
      </c>
    </row>
    <row r="1226" spans="2:10" ht="12.65" customHeight="1">
      <c r="B1226" s="33">
        <f t="shared" si="210"/>
        <v>44775</v>
      </c>
      <c r="C1226" s="41">
        <v>104361944.86399999</v>
      </c>
      <c r="D1226" s="47">
        <f t="shared" si="223"/>
        <v>104996705.02</v>
      </c>
      <c r="E1226" s="170">
        <f t="shared" si="216"/>
        <v>634760.15600000322</v>
      </c>
      <c r="G1226" s="173">
        <v>1887000</v>
      </c>
      <c r="H1226" s="47">
        <v>2500000</v>
      </c>
      <c r="I1226" s="171">
        <f t="shared" si="224"/>
        <v>613000</v>
      </c>
      <c r="J1226" s="170">
        <f t="shared" si="225"/>
        <v>1247760.1560000032</v>
      </c>
    </row>
    <row r="1227" spans="2:10" ht="12.65" customHeight="1">
      <c r="B1227" s="33">
        <f t="shared" si="210"/>
        <v>44776</v>
      </c>
      <c r="C1227" s="41">
        <v>104361944.86399999</v>
      </c>
      <c r="D1227" s="47">
        <f t="shared" si="223"/>
        <v>104996705.02</v>
      </c>
      <c r="E1227" s="170">
        <f t="shared" si="216"/>
        <v>634760.15600000322</v>
      </c>
      <c r="G1227" s="173">
        <v>1887000</v>
      </c>
      <c r="H1227" s="47">
        <v>2400000</v>
      </c>
      <c r="I1227" s="171">
        <f t="shared" si="224"/>
        <v>513000</v>
      </c>
      <c r="J1227" s="170">
        <f t="shared" si="225"/>
        <v>1147760.1560000032</v>
      </c>
    </row>
    <row r="1228" spans="2:10" ht="12.65" customHeight="1">
      <c r="B1228" s="33">
        <f t="shared" si="210"/>
        <v>44777</v>
      </c>
      <c r="C1228" s="41">
        <v>104361944.86399999</v>
      </c>
      <c r="D1228" s="47">
        <f t="shared" si="223"/>
        <v>104996705.02</v>
      </c>
      <c r="E1228" s="170">
        <f t="shared" si="216"/>
        <v>634760.15600000322</v>
      </c>
      <c r="G1228" s="173">
        <v>1887000</v>
      </c>
      <c r="H1228" s="47">
        <v>2400000</v>
      </c>
      <c r="I1228" s="171">
        <f t="shared" si="224"/>
        <v>513000</v>
      </c>
      <c r="J1228" s="170">
        <f t="shared" si="225"/>
        <v>1147760.1560000032</v>
      </c>
    </row>
    <row r="1229" spans="2:10" ht="12.65" customHeight="1">
      <c r="B1229" s="33">
        <f t="shared" si="210"/>
        <v>44778</v>
      </c>
      <c r="C1229" s="41">
        <v>104361944.86399999</v>
      </c>
      <c r="D1229" s="47">
        <f t="shared" si="223"/>
        <v>104996705.02</v>
      </c>
      <c r="E1229" s="170">
        <f t="shared" si="216"/>
        <v>634760.15600000322</v>
      </c>
      <c r="G1229" s="173">
        <v>1887000</v>
      </c>
      <c r="H1229" s="47">
        <v>2400000</v>
      </c>
      <c r="I1229" s="171">
        <f t="shared" si="224"/>
        <v>513000</v>
      </c>
      <c r="J1229" s="170">
        <f t="shared" si="225"/>
        <v>1147760.1560000032</v>
      </c>
    </row>
    <row r="1230" spans="2:10" ht="12.65" customHeight="1">
      <c r="B1230" s="33">
        <f t="shared" si="210"/>
        <v>44781</v>
      </c>
      <c r="C1230" s="41">
        <v>104361944.86399999</v>
      </c>
      <c r="D1230" s="47">
        <f t="shared" si="223"/>
        <v>104996705.02</v>
      </c>
      <c r="E1230" s="170">
        <f t="shared" si="216"/>
        <v>634760.15600000322</v>
      </c>
      <c r="G1230" s="173">
        <v>1887000</v>
      </c>
      <c r="H1230" s="47">
        <v>2400000</v>
      </c>
      <c r="I1230" s="171">
        <f t="shared" si="224"/>
        <v>513000</v>
      </c>
      <c r="J1230" s="170">
        <f t="shared" si="225"/>
        <v>1147760.1560000032</v>
      </c>
    </row>
    <row r="1231" spans="2:10" ht="12.65" customHeight="1">
      <c r="B1231" s="33">
        <f t="shared" si="210"/>
        <v>44782</v>
      </c>
      <c r="C1231" s="41">
        <v>104361944.86399999</v>
      </c>
      <c r="D1231" s="47">
        <f t="shared" ref="D1231:D1237" si="226">104973756.83+22948.19</f>
        <v>104996705.02</v>
      </c>
      <c r="E1231" s="170">
        <f t="shared" si="216"/>
        <v>634760.15600000322</v>
      </c>
      <c r="G1231" s="173">
        <v>1887000</v>
      </c>
      <c r="H1231" s="47">
        <v>2400000</v>
      </c>
      <c r="I1231" s="171">
        <f t="shared" si="224"/>
        <v>513000</v>
      </c>
      <c r="J1231" s="170">
        <f t="shared" si="225"/>
        <v>1147760.1560000032</v>
      </c>
    </row>
    <row r="1232" spans="2:10" ht="12.65" customHeight="1">
      <c r="B1232" s="33">
        <f t="shared" si="210"/>
        <v>44783</v>
      </c>
      <c r="C1232" s="41">
        <v>104361944.86399999</v>
      </c>
      <c r="D1232" s="47">
        <f t="shared" si="226"/>
        <v>104996705.02</v>
      </c>
      <c r="E1232" s="170">
        <f t="shared" si="216"/>
        <v>634760.15600000322</v>
      </c>
      <c r="G1232" s="173">
        <v>1887000</v>
      </c>
      <c r="H1232" s="47">
        <f t="shared" ref="H1232:H1238" si="227">2400000+0</f>
        <v>2400000</v>
      </c>
      <c r="I1232" s="171">
        <f t="shared" si="224"/>
        <v>513000</v>
      </c>
      <c r="J1232" s="170">
        <f t="shared" si="225"/>
        <v>1147760.1560000032</v>
      </c>
    </row>
    <row r="1233" spans="2:10" ht="12.65" customHeight="1">
      <c r="B1233" s="33">
        <f t="shared" si="210"/>
        <v>44784</v>
      </c>
      <c r="C1233" s="41">
        <v>104361944.86399999</v>
      </c>
      <c r="D1233" s="47">
        <f t="shared" si="226"/>
        <v>104996705.02</v>
      </c>
      <c r="E1233" s="170">
        <f t="shared" si="216"/>
        <v>634760.15600000322</v>
      </c>
      <c r="G1233" s="173">
        <v>1887000</v>
      </c>
      <c r="H1233" s="47">
        <f t="shared" si="227"/>
        <v>2400000</v>
      </c>
      <c r="I1233" s="171">
        <f t="shared" si="224"/>
        <v>513000</v>
      </c>
      <c r="J1233" s="170">
        <f t="shared" si="225"/>
        <v>1147760.1560000032</v>
      </c>
    </row>
    <row r="1234" spans="2:10" ht="12.65" customHeight="1">
      <c r="B1234" s="33">
        <f t="shared" si="210"/>
        <v>44785</v>
      </c>
      <c r="C1234" s="41">
        <v>104361944.86399999</v>
      </c>
      <c r="D1234" s="47">
        <f t="shared" si="226"/>
        <v>104996705.02</v>
      </c>
      <c r="E1234" s="170">
        <f t="shared" si="216"/>
        <v>634760.15600000322</v>
      </c>
      <c r="G1234" s="173">
        <v>1887000</v>
      </c>
      <c r="H1234" s="47">
        <f t="shared" si="227"/>
        <v>2400000</v>
      </c>
      <c r="I1234" s="171">
        <f t="shared" si="224"/>
        <v>513000</v>
      </c>
      <c r="J1234" s="170">
        <f t="shared" si="225"/>
        <v>1147760.1560000032</v>
      </c>
    </row>
    <row r="1235" spans="2:10" ht="12.65" customHeight="1">
      <c r="B1235" s="33">
        <f t="shared" si="210"/>
        <v>44788</v>
      </c>
      <c r="C1235" s="41">
        <v>104361944.86399999</v>
      </c>
      <c r="D1235" s="47">
        <f t="shared" si="226"/>
        <v>104996705.02</v>
      </c>
      <c r="E1235" s="170">
        <f t="shared" si="216"/>
        <v>634760.15600000322</v>
      </c>
      <c r="G1235" s="173">
        <v>1887000</v>
      </c>
      <c r="H1235" s="47">
        <f t="shared" si="227"/>
        <v>2400000</v>
      </c>
      <c r="I1235" s="171">
        <f t="shared" si="224"/>
        <v>513000</v>
      </c>
      <c r="J1235" s="170">
        <f t="shared" si="225"/>
        <v>1147760.1560000032</v>
      </c>
    </row>
    <row r="1236" spans="2:10" ht="12.65" customHeight="1">
      <c r="B1236" s="33">
        <f t="shared" si="210"/>
        <v>44789</v>
      </c>
      <c r="C1236" s="41">
        <v>103668703.75</v>
      </c>
      <c r="D1236" s="47">
        <f t="shared" si="226"/>
        <v>104996705.02</v>
      </c>
      <c r="E1236" s="170">
        <f t="shared" si="216"/>
        <v>1328001.2699999958</v>
      </c>
      <c r="G1236" s="173">
        <v>1835000</v>
      </c>
      <c r="H1236" s="47">
        <f t="shared" si="227"/>
        <v>2400000</v>
      </c>
      <c r="I1236" s="171">
        <f t="shared" ref="I1236:I1249" si="228">H1236-G1236</f>
        <v>565000</v>
      </c>
      <c r="J1236" s="170">
        <f t="shared" ref="J1236:J1249" si="229">E1236+I1236</f>
        <v>1893001.2699999958</v>
      </c>
    </row>
    <row r="1237" spans="2:10" ht="12.65" customHeight="1">
      <c r="B1237" s="33">
        <f t="shared" si="210"/>
        <v>44790</v>
      </c>
      <c r="C1237" s="41">
        <v>103668703.75</v>
      </c>
      <c r="D1237" s="47">
        <f t="shared" si="226"/>
        <v>104996705.02</v>
      </c>
      <c r="E1237" s="170">
        <f t="shared" ref="E1237" si="230">D1237-C1237</f>
        <v>1328001.2699999958</v>
      </c>
      <c r="G1237" s="173">
        <v>1835000</v>
      </c>
      <c r="H1237" s="47">
        <f t="shared" si="227"/>
        <v>2400000</v>
      </c>
      <c r="I1237" s="171">
        <f t="shared" ref="I1237" si="231">H1237-G1237</f>
        <v>565000</v>
      </c>
      <c r="J1237" s="170">
        <f t="shared" ref="J1237" si="232">E1237+I1237</f>
        <v>1893001.2699999958</v>
      </c>
    </row>
    <row r="1238" spans="2:10" ht="12.65" customHeight="1">
      <c r="B1238" s="33">
        <f t="shared" si="210"/>
        <v>44791</v>
      </c>
      <c r="C1238" s="41">
        <v>103668703.75</v>
      </c>
      <c r="D1238" s="47">
        <f>104973756.83+22948.19</f>
        <v>104996705.02</v>
      </c>
      <c r="E1238" s="170">
        <f t="shared" ref="E1238" si="233">D1238-C1238</f>
        <v>1328001.2699999958</v>
      </c>
      <c r="G1238" s="173">
        <v>1835000</v>
      </c>
      <c r="H1238" s="47">
        <f t="shared" si="227"/>
        <v>2400000</v>
      </c>
      <c r="I1238" s="171">
        <f t="shared" ref="I1238" si="234">H1238-G1238</f>
        <v>565000</v>
      </c>
      <c r="J1238" s="170">
        <f t="shared" ref="J1238" si="235">E1238+I1238</f>
        <v>1893001.2699999958</v>
      </c>
    </row>
    <row r="1239" spans="2:10" ht="12.65" customHeight="1">
      <c r="B1239" s="33">
        <f t="shared" si="210"/>
        <v>44792</v>
      </c>
      <c r="C1239" s="41">
        <v>103668703.75</v>
      </c>
      <c r="D1239" s="47">
        <f>104473756.83+22948.19</f>
        <v>104496705.02</v>
      </c>
      <c r="E1239" s="170">
        <f t="shared" si="216"/>
        <v>828001.26999999583</v>
      </c>
      <c r="G1239" s="173">
        <v>1835000</v>
      </c>
      <c r="H1239" s="47">
        <f>2400000+0</f>
        <v>2400000</v>
      </c>
      <c r="I1239" s="171">
        <f t="shared" ref="I1239" si="236">H1239-G1239</f>
        <v>565000</v>
      </c>
      <c r="J1239" s="170">
        <f t="shared" ref="J1239" si="237">E1239+I1239</f>
        <v>1393001.2699999958</v>
      </c>
    </row>
    <row r="1240" spans="2:10" ht="12.65" customHeight="1">
      <c r="B1240" s="33">
        <f t="shared" si="210"/>
        <v>44795</v>
      </c>
      <c r="C1240" s="41">
        <v>103668703.75</v>
      </c>
      <c r="D1240" s="47">
        <f>104473756.83+22948.19</f>
        <v>104496705.02</v>
      </c>
      <c r="E1240" s="170">
        <f t="shared" si="216"/>
        <v>828001.26999999583</v>
      </c>
      <c r="G1240" s="173">
        <v>1835000</v>
      </c>
      <c r="H1240" s="47">
        <f>2400000+0</f>
        <v>2400000</v>
      </c>
      <c r="I1240" s="171">
        <f t="shared" si="228"/>
        <v>565000</v>
      </c>
      <c r="J1240" s="170">
        <f t="shared" si="229"/>
        <v>1393001.2699999958</v>
      </c>
    </row>
    <row r="1241" spans="2:10" ht="12.65" customHeight="1">
      <c r="B1241" s="33">
        <f t="shared" si="210"/>
        <v>44796</v>
      </c>
      <c r="C1241" s="41">
        <v>103668703.75</v>
      </c>
      <c r="D1241" s="47">
        <f>104473756.83+22948.19</f>
        <v>104496705.02</v>
      </c>
      <c r="E1241" s="170">
        <f t="shared" si="216"/>
        <v>828001.26999999583</v>
      </c>
      <c r="G1241" s="173">
        <v>1835000</v>
      </c>
      <c r="H1241" s="47">
        <f>2400000+0</f>
        <v>2400000</v>
      </c>
      <c r="I1241" s="171">
        <f t="shared" si="228"/>
        <v>565000</v>
      </c>
      <c r="J1241" s="170">
        <f t="shared" si="229"/>
        <v>1393001.2699999958</v>
      </c>
    </row>
    <row r="1242" spans="2:10" ht="12.65" customHeight="1">
      <c r="B1242" s="33">
        <f t="shared" si="210"/>
        <v>44797</v>
      </c>
      <c r="C1242" s="41">
        <v>103668703.75</v>
      </c>
      <c r="D1242" s="47">
        <f>104473756.83+22948.19</f>
        <v>104496705.02</v>
      </c>
      <c r="E1242" s="170">
        <f t="shared" si="216"/>
        <v>828001.26999999583</v>
      </c>
      <c r="G1242" s="173">
        <v>1835000</v>
      </c>
      <c r="H1242" s="47">
        <f>2400000+0</f>
        <v>2400000</v>
      </c>
      <c r="I1242" s="171">
        <f t="shared" si="228"/>
        <v>565000</v>
      </c>
      <c r="J1242" s="170">
        <f t="shared" si="229"/>
        <v>1393001.2699999958</v>
      </c>
    </row>
    <row r="1243" spans="2:10" ht="12.65" customHeight="1">
      <c r="B1243" s="33">
        <f t="shared" si="210"/>
        <v>44798</v>
      </c>
      <c r="C1243" s="41">
        <v>103668703.75</v>
      </c>
      <c r="D1243" s="47">
        <f>104473756.83+23387.55</f>
        <v>104497144.38</v>
      </c>
      <c r="E1243" s="170">
        <f t="shared" si="216"/>
        <v>828440.62999999523</v>
      </c>
      <c r="G1243" s="173">
        <v>1835000</v>
      </c>
      <c r="H1243" s="47">
        <f>2400000+0</f>
        <v>2400000</v>
      </c>
      <c r="I1243" s="171">
        <f t="shared" si="228"/>
        <v>565000</v>
      </c>
      <c r="J1243" s="170">
        <f t="shared" si="229"/>
        <v>1393440.6299999952</v>
      </c>
    </row>
    <row r="1244" spans="2:10" ht="12.65" customHeight="1">
      <c r="B1244" s="33">
        <f t="shared" si="210"/>
        <v>44799</v>
      </c>
      <c r="C1244" s="41">
        <v>103668703.75</v>
      </c>
      <c r="D1244" s="47">
        <f>104473756.83+23387.55</f>
        <v>104497144.38</v>
      </c>
      <c r="E1244" s="170">
        <f t="shared" si="216"/>
        <v>828440.62999999523</v>
      </c>
      <c r="G1244" s="173">
        <v>1835000</v>
      </c>
      <c r="H1244" s="47">
        <f>2400000</f>
        <v>2400000</v>
      </c>
      <c r="I1244" s="171">
        <f t="shared" si="228"/>
        <v>565000</v>
      </c>
      <c r="J1244" s="170">
        <f t="shared" si="229"/>
        <v>1393440.6299999952</v>
      </c>
    </row>
    <row r="1245" spans="2:10" ht="12.65" customHeight="1">
      <c r="B1245" s="33">
        <f t="shared" si="210"/>
        <v>44802</v>
      </c>
      <c r="C1245" s="41">
        <v>103668703.75</v>
      </c>
      <c r="D1245" s="47">
        <f>104473756.83+23387.55</f>
        <v>104497144.38</v>
      </c>
      <c r="E1245" s="170">
        <f t="shared" si="216"/>
        <v>828440.62999999523</v>
      </c>
      <c r="G1245" s="173">
        <v>1835000</v>
      </c>
      <c r="H1245" s="47">
        <f t="shared" ref="H1245:H1251" si="238">2400000+0</f>
        <v>2400000</v>
      </c>
      <c r="I1245" s="171">
        <f t="shared" si="228"/>
        <v>565000</v>
      </c>
      <c r="J1245" s="170">
        <f t="shared" si="229"/>
        <v>1393440.6299999952</v>
      </c>
    </row>
    <row r="1246" spans="2:10" ht="12.65" customHeight="1">
      <c r="B1246" s="33">
        <f t="shared" si="210"/>
        <v>44803</v>
      </c>
      <c r="C1246" s="41">
        <v>103668703.75</v>
      </c>
      <c r="D1246" s="47">
        <f>104473756.83+23387.55</f>
        <v>104497144.38</v>
      </c>
      <c r="E1246" s="170">
        <f t="shared" si="216"/>
        <v>828440.62999999523</v>
      </c>
      <c r="G1246" s="173">
        <v>1835000</v>
      </c>
      <c r="H1246" s="47">
        <f t="shared" si="238"/>
        <v>2400000</v>
      </c>
      <c r="I1246" s="171">
        <f t="shared" si="228"/>
        <v>565000</v>
      </c>
      <c r="J1246" s="170">
        <f t="shared" si="229"/>
        <v>1393440.6299999952</v>
      </c>
    </row>
    <row r="1247" spans="2:10" ht="12.65" customHeight="1">
      <c r="B1247" s="33">
        <f t="shared" si="210"/>
        <v>44804</v>
      </c>
      <c r="C1247" s="41">
        <v>103668703.75</v>
      </c>
      <c r="D1247" s="47">
        <f>104473756.83+23387.55</f>
        <v>104497144.38</v>
      </c>
      <c r="E1247" s="170">
        <f t="shared" si="216"/>
        <v>828440.62999999523</v>
      </c>
      <c r="G1247" s="173">
        <v>1835000</v>
      </c>
      <c r="H1247" s="47">
        <f t="shared" si="238"/>
        <v>2400000</v>
      </c>
      <c r="I1247" s="171">
        <f t="shared" si="228"/>
        <v>565000</v>
      </c>
      <c r="J1247" s="170">
        <f t="shared" si="229"/>
        <v>1393440.6299999952</v>
      </c>
    </row>
    <row r="1248" spans="2:10" ht="12.65" customHeight="1">
      <c r="B1248" s="33">
        <f t="shared" ref="B1248:B1311" si="239">WORKDAY(B1247,1)</f>
        <v>44805</v>
      </c>
      <c r="C1248" s="41">
        <v>100891793.256</v>
      </c>
      <c r="D1248" s="47">
        <f>276773756.83+23387.55</f>
        <v>276797144.38</v>
      </c>
      <c r="E1248" s="170">
        <f t="shared" si="216"/>
        <v>175905351.12400001</v>
      </c>
      <c r="G1248" s="173">
        <v>1935000</v>
      </c>
      <c r="H1248" s="47">
        <f t="shared" si="238"/>
        <v>2400000</v>
      </c>
      <c r="I1248" s="171">
        <f t="shared" si="228"/>
        <v>465000</v>
      </c>
      <c r="J1248" s="170">
        <f t="shared" si="229"/>
        <v>176370351.12400001</v>
      </c>
    </row>
    <row r="1249" spans="2:10" ht="12.65" customHeight="1">
      <c r="B1249" s="33">
        <f t="shared" si="239"/>
        <v>44806</v>
      </c>
      <c r="C1249" s="41">
        <v>100891793.256</v>
      </c>
      <c r="D1249" s="47">
        <f t="shared" ref="D1249:D1254" si="240">101773756.83+23387.55</f>
        <v>101797144.38</v>
      </c>
      <c r="E1249" s="170">
        <f t="shared" si="216"/>
        <v>905351.12399999797</v>
      </c>
      <c r="G1249" s="173">
        <v>1935000</v>
      </c>
      <c r="H1249" s="47">
        <f t="shared" si="238"/>
        <v>2400000</v>
      </c>
      <c r="I1249" s="171">
        <f t="shared" si="228"/>
        <v>465000</v>
      </c>
      <c r="J1249" s="170">
        <f t="shared" si="229"/>
        <v>1370351.123999998</v>
      </c>
    </row>
    <row r="1250" spans="2:10" ht="12.65" customHeight="1">
      <c r="B1250" s="33">
        <f t="shared" si="239"/>
        <v>44809</v>
      </c>
      <c r="C1250" s="41">
        <v>100891793.256</v>
      </c>
      <c r="D1250" s="47">
        <f t="shared" si="240"/>
        <v>101797144.38</v>
      </c>
      <c r="E1250" s="170">
        <f t="shared" si="216"/>
        <v>905351.12399999797</v>
      </c>
      <c r="G1250" s="173">
        <v>1935000</v>
      </c>
      <c r="H1250" s="47">
        <f t="shared" si="238"/>
        <v>2400000</v>
      </c>
      <c r="I1250" s="171">
        <f t="shared" ref="I1250:I1262" si="241">H1250-G1250</f>
        <v>465000</v>
      </c>
      <c r="J1250" s="170">
        <f t="shared" ref="J1250:J1262" si="242">E1250+I1250</f>
        <v>1370351.123999998</v>
      </c>
    </row>
    <row r="1251" spans="2:10" ht="12.65" customHeight="1">
      <c r="B1251" s="33">
        <f t="shared" si="239"/>
        <v>44810</v>
      </c>
      <c r="C1251" s="41">
        <v>100891793.256</v>
      </c>
      <c r="D1251" s="47">
        <f t="shared" si="240"/>
        <v>101797144.38</v>
      </c>
      <c r="E1251" s="170">
        <f t="shared" si="216"/>
        <v>905351.12399999797</v>
      </c>
      <c r="G1251" s="173">
        <v>1935000</v>
      </c>
      <c r="H1251" s="47">
        <f t="shared" si="238"/>
        <v>2400000</v>
      </c>
      <c r="I1251" s="171">
        <f t="shared" si="241"/>
        <v>465000</v>
      </c>
      <c r="J1251" s="170">
        <f t="shared" si="242"/>
        <v>1370351.123999998</v>
      </c>
    </row>
    <row r="1252" spans="2:10" ht="12.65" customHeight="1">
      <c r="B1252" s="33">
        <f t="shared" si="239"/>
        <v>44811</v>
      </c>
      <c r="C1252" s="41">
        <v>100891793.256</v>
      </c>
      <c r="D1252" s="47">
        <f t="shared" si="240"/>
        <v>101797144.38</v>
      </c>
      <c r="E1252" s="170">
        <f t="shared" si="216"/>
        <v>905351.12399999797</v>
      </c>
      <c r="G1252" s="173">
        <v>1935000</v>
      </c>
      <c r="H1252" s="47">
        <f t="shared" ref="H1252:H1256" si="243">2400000+0</f>
        <v>2400000</v>
      </c>
      <c r="I1252" s="171">
        <f t="shared" si="241"/>
        <v>465000</v>
      </c>
      <c r="J1252" s="170">
        <f t="shared" si="242"/>
        <v>1370351.123999998</v>
      </c>
    </row>
    <row r="1253" spans="2:10" ht="12.65" customHeight="1">
      <c r="B1253" s="33">
        <f t="shared" si="239"/>
        <v>44812</v>
      </c>
      <c r="C1253" s="41">
        <v>100891793.256</v>
      </c>
      <c r="D1253" s="47">
        <f t="shared" si="240"/>
        <v>101797144.38</v>
      </c>
      <c r="E1253" s="170">
        <f t="shared" si="216"/>
        <v>905351.12399999797</v>
      </c>
      <c r="G1253" s="173">
        <v>1935000</v>
      </c>
      <c r="H1253" s="47">
        <f t="shared" si="243"/>
        <v>2400000</v>
      </c>
      <c r="I1253" s="171">
        <f t="shared" si="241"/>
        <v>465000</v>
      </c>
      <c r="J1253" s="170">
        <f t="shared" si="242"/>
        <v>1370351.123999998</v>
      </c>
    </row>
    <row r="1254" spans="2:10" ht="12.65" customHeight="1">
      <c r="B1254" s="33">
        <f t="shared" si="239"/>
        <v>44813</v>
      </c>
      <c r="C1254" s="41">
        <v>100891793.256</v>
      </c>
      <c r="D1254" s="47">
        <f t="shared" si="240"/>
        <v>101797144.38</v>
      </c>
      <c r="E1254" s="170">
        <f t="shared" si="216"/>
        <v>905351.12399999797</v>
      </c>
      <c r="G1254" s="173">
        <v>1935000</v>
      </c>
      <c r="H1254" s="47">
        <f t="shared" si="243"/>
        <v>2400000</v>
      </c>
      <c r="I1254" s="171">
        <f t="shared" si="241"/>
        <v>465000</v>
      </c>
      <c r="J1254" s="170">
        <f t="shared" si="242"/>
        <v>1370351.123999998</v>
      </c>
    </row>
    <row r="1255" spans="2:10" ht="12.65" customHeight="1">
      <c r="B1255" s="33">
        <f t="shared" si="239"/>
        <v>44816</v>
      </c>
      <c r="C1255" s="41">
        <v>100891793.256</v>
      </c>
      <c r="D1255" s="47">
        <f>101773756.83+23387.55</f>
        <v>101797144.38</v>
      </c>
      <c r="E1255" s="170">
        <f t="shared" si="216"/>
        <v>905351.12399999797</v>
      </c>
      <c r="G1255" s="173">
        <v>1935000</v>
      </c>
      <c r="H1255" s="47">
        <f t="shared" si="243"/>
        <v>2400000</v>
      </c>
      <c r="I1255" s="171">
        <f t="shared" si="241"/>
        <v>465000</v>
      </c>
      <c r="J1255" s="170">
        <f t="shared" si="242"/>
        <v>1370351.123999998</v>
      </c>
    </row>
    <row r="1256" spans="2:10" ht="12.65" customHeight="1">
      <c r="B1256" s="33">
        <f t="shared" si="239"/>
        <v>44817</v>
      </c>
      <c r="C1256" s="41">
        <v>100891793.256</v>
      </c>
      <c r="D1256" s="47">
        <f>101773756.83+23387.55</f>
        <v>101797144.38</v>
      </c>
      <c r="E1256" s="170">
        <f t="shared" si="216"/>
        <v>905351.12399999797</v>
      </c>
      <c r="G1256" s="173">
        <v>1935000</v>
      </c>
      <c r="H1256" s="47">
        <f t="shared" si="243"/>
        <v>2400000</v>
      </c>
      <c r="I1256" s="171">
        <f t="shared" si="241"/>
        <v>465000</v>
      </c>
      <c r="J1256" s="170">
        <f t="shared" si="242"/>
        <v>1370351.123999998</v>
      </c>
    </row>
    <row r="1257" spans="2:10" ht="12.65" customHeight="1">
      <c r="B1257" s="33">
        <f t="shared" si="239"/>
        <v>44818</v>
      </c>
      <c r="C1257" s="41">
        <v>100891793.256</v>
      </c>
      <c r="D1257" s="47">
        <f>101773756.83+23387.55</f>
        <v>101797144.38</v>
      </c>
      <c r="E1257" s="170">
        <f t="shared" si="216"/>
        <v>905351.12399999797</v>
      </c>
      <c r="G1257" s="173">
        <v>1935000</v>
      </c>
      <c r="H1257" s="47">
        <f>2400000+0</f>
        <v>2400000</v>
      </c>
      <c r="I1257" s="171">
        <f t="shared" si="241"/>
        <v>465000</v>
      </c>
      <c r="J1257" s="170">
        <f t="shared" si="242"/>
        <v>1370351.123999998</v>
      </c>
    </row>
    <row r="1258" spans="2:10" ht="12.65" customHeight="1">
      <c r="B1258" s="33">
        <f t="shared" si="239"/>
        <v>44819</v>
      </c>
      <c r="C1258" s="41">
        <v>100891793.256</v>
      </c>
      <c r="D1258" s="47">
        <f>101773756.83+23387.55</f>
        <v>101797144.38</v>
      </c>
      <c r="E1258" s="170">
        <f t="shared" si="216"/>
        <v>905351.12399999797</v>
      </c>
      <c r="G1258" s="173">
        <v>1935000</v>
      </c>
      <c r="H1258" s="47">
        <f>2400000+0</f>
        <v>2400000</v>
      </c>
      <c r="I1258" s="171">
        <f t="shared" si="241"/>
        <v>465000</v>
      </c>
      <c r="J1258" s="170">
        <f t="shared" si="242"/>
        <v>1370351.123999998</v>
      </c>
    </row>
    <row r="1259" spans="2:10" ht="12.65" customHeight="1">
      <c r="B1259" s="33">
        <f t="shared" si="239"/>
        <v>44820</v>
      </c>
      <c r="C1259" s="41">
        <v>102204159.0025</v>
      </c>
      <c r="D1259" s="47">
        <f t="shared" ref="D1259:D1264" si="244">103073756.83+23387.55</f>
        <v>103097144.38</v>
      </c>
      <c r="E1259" s="170">
        <f t="shared" si="216"/>
        <v>892985.37749999762</v>
      </c>
      <c r="G1259" s="173">
        <v>1831000</v>
      </c>
      <c r="H1259" s="47">
        <f t="shared" ref="H1259:H1264" si="245">2300000+0</f>
        <v>2300000</v>
      </c>
      <c r="I1259" s="171">
        <f t="shared" si="241"/>
        <v>469000</v>
      </c>
      <c r="J1259" s="170">
        <f t="shared" si="242"/>
        <v>1361985.3774999976</v>
      </c>
    </row>
    <row r="1260" spans="2:10" ht="12.65" customHeight="1">
      <c r="B1260" s="33">
        <f t="shared" si="239"/>
        <v>44823</v>
      </c>
      <c r="C1260" s="41">
        <v>102204159.0025</v>
      </c>
      <c r="D1260" s="47">
        <f t="shared" si="244"/>
        <v>103097144.38</v>
      </c>
      <c r="E1260" s="170">
        <f t="shared" si="216"/>
        <v>892985.37749999762</v>
      </c>
      <c r="G1260" s="173">
        <v>1831000</v>
      </c>
      <c r="H1260" s="47">
        <f t="shared" si="245"/>
        <v>2300000</v>
      </c>
      <c r="I1260" s="171">
        <f t="shared" si="241"/>
        <v>469000</v>
      </c>
      <c r="J1260" s="170">
        <f t="shared" si="242"/>
        <v>1361985.3774999976</v>
      </c>
    </row>
    <row r="1261" spans="2:10" ht="12.65" customHeight="1">
      <c r="B1261" s="33">
        <f t="shared" si="239"/>
        <v>44824</v>
      </c>
      <c r="C1261" s="41">
        <v>102204159.0025</v>
      </c>
      <c r="D1261" s="47">
        <f t="shared" si="244"/>
        <v>103097144.38</v>
      </c>
      <c r="E1261" s="170">
        <f t="shared" si="216"/>
        <v>892985.37749999762</v>
      </c>
      <c r="G1261" s="173">
        <v>1831000</v>
      </c>
      <c r="H1261" s="47">
        <f t="shared" si="245"/>
        <v>2300000</v>
      </c>
      <c r="I1261" s="171">
        <f t="shared" si="241"/>
        <v>469000</v>
      </c>
      <c r="J1261" s="170">
        <f t="shared" si="242"/>
        <v>1361985.3774999976</v>
      </c>
    </row>
    <row r="1262" spans="2:10" ht="12.65" customHeight="1">
      <c r="B1262" s="33">
        <f t="shared" si="239"/>
        <v>44825</v>
      </c>
      <c r="C1262" s="41">
        <v>102204159.0025</v>
      </c>
      <c r="D1262" s="47">
        <f t="shared" si="244"/>
        <v>103097144.38</v>
      </c>
      <c r="E1262" s="170">
        <f t="shared" si="216"/>
        <v>892985.37749999762</v>
      </c>
      <c r="G1262" s="173">
        <v>1831000</v>
      </c>
      <c r="H1262" s="47">
        <f t="shared" si="245"/>
        <v>2300000</v>
      </c>
      <c r="I1262" s="171">
        <f t="shared" si="241"/>
        <v>469000</v>
      </c>
      <c r="J1262" s="170">
        <f t="shared" si="242"/>
        <v>1361985.3774999976</v>
      </c>
    </row>
    <row r="1263" spans="2:10" ht="12.65" customHeight="1">
      <c r="B1263" s="33">
        <f t="shared" si="239"/>
        <v>44826</v>
      </c>
      <c r="C1263" s="41">
        <v>102204159.0025</v>
      </c>
      <c r="D1263" s="47">
        <f t="shared" si="244"/>
        <v>103097144.38</v>
      </c>
      <c r="E1263" s="170">
        <f t="shared" ref="E1263:E1269" si="246">D1263-C1263</f>
        <v>892985.37749999762</v>
      </c>
      <c r="G1263" s="173">
        <v>1831000</v>
      </c>
      <c r="H1263" s="47">
        <f t="shared" si="245"/>
        <v>2300000</v>
      </c>
      <c r="I1263" s="171">
        <f t="shared" ref="I1263:I1269" si="247">H1263-G1263</f>
        <v>469000</v>
      </c>
      <c r="J1263" s="170">
        <f t="shared" ref="J1263:J1269" si="248">E1263+I1263</f>
        <v>1361985.3774999976</v>
      </c>
    </row>
    <row r="1264" spans="2:10" ht="12.65" customHeight="1">
      <c r="B1264" s="33">
        <f t="shared" si="239"/>
        <v>44827</v>
      </c>
      <c r="C1264" s="41">
        <v>102204159.0025</v>
      </c>
      <c r="D1264" s="47">
        <f t="shared" si="244"/>
        <v>103097144.38</v>
      </c>
      <c r="E1264" s="170">
        <f t="shared" si="246"/>
        <v>892985.37749999762</v>
      </c>
      <c r="G1264" s="173">
        <v>1831000</v>
      </c>
      <c r="H1264" s="47">
        <f t="shared" si="245"/>
        <v>2300000</v>
      </c>
      <c r="I1264" s="171">
        <f t="shared" si="247"/>
        <v>469000</v>
      </c>
      <c r="J1264" s="170">
        <f t="shared" si="248"/>
        <v>1361985.3774999976</v>
      </c>
    </row>
    <row r="1265" spans="2:10" ht="12.65" customHeight="1">
      <c r="B1265" s="33">
        <f t="shared" si="239"/>
        <v>44830</v>
      </c>
      <c r="C1265" s="41">
        <v>102204159.0025</v>
      </c>
      <c r="D1265" s="47">
        <f t="shared" ref="D1265:D1270" si="249">103073756.83+23387.55</f>
        <v>103097144.38</v>
      </c>
      <c r="E1265" s="170">
        <f t="shared" si="246"/>
        <v>892985.37749999762</v>
      </c>
      <c r="G1265" s="173">
        <v>1831000</v>
      </c>
      <c r="H1265" s="47">
        <f t="shared" ref="H1265:H1280" si="250">2300000+0</f>
        <v>2300000</v>
      </c>
      <c r="I1265" s="171">
        <f t="shared" si="247"/>
        <v>469000</v>
      </c>
      <c r="J1265" s="170">
        <f t="shared" si="248"/>
        <v>1361985.3774999976</v>
      </c>
    </row>
    <row r="1266" spans="2:10" ht="12.65" customHeight="1">
      <c r="B1266" s="33">
        <f t="shared" si="239"/>
        <v>44831</v>
      </c>
      <c r="C1266" s="41">
        <v>102204159.0025</v>
      </c>
      <c r="D1266" s="47">
        <f t="shared" si="249"/>
        <v>103097144.38</v>
      </c>
      <c r="E1266" s="170">
        <f t="shared" si="246"/>
        <v>892985.37749999762</v>
      </c>
      <c r="G1266" s="173">
        <v>1831000</v>
      </c>
      <c r="H1266" s="47">
        <f t="shared" si="250"/>
        <v>2300000</v>
      </c>
      <c r="I1266" s="171">
        <f t="shared" si="247"/>
        <v>469000</v>
      </c>
      <c r="J1266" s="170">
        <f t="shared" si="248"/>
        <v>1361985.3774999976</v>
      </c>
    </row>
    <row r="1267" spans="2:10" ht="12.65" customHeight="1">
      <c r="B1267" s="33">
        <f t="shared" si="239"/>
        <v>44832</v>
      </c>
      <c r="C1267" s="41">
        <v>102204159.0025</v>
      </c>
      <c r="D1267" s="47">
        <f t="shared" si="249"/>
        <v>103097144.38</v>
      </c>
      <c r="E1267" s="170">
        <f t="shared" si="246"/>
        <v>892985.37749999762</v>
      </c>
      <c r="G1267" s="173">
        <v>1831000</v>
      </c>
      <c r="H1267" s="47">
        <f t="shared" si="250"/>
        <v>2300000</v>
      </c>
      <c r="I1267" s="171">
        <f t="shared" si="247"/>
        <v>469000</v>
      </c>
      <c r="J1267" s="170">
        <f t="shared" si="248"/>
        <v>1361985.3774999976</v>
      </c>
    </row>
    <row r="1268" spans="2:10" ht="12.65" customHeight="1">
      <c r="B1268" s="33">
        <f t="shared" si="239"/>
        <v>44833</v>
      </c>
      <c r="C1268" s="41">
        <v>102204159.0025</v>
      </c>
      <c r="D1268" s="47">
        <f t="shared" si="249"/>
        <v>103097144.38</v>
      </c>
      <c r="E1268" s="170">
        <f t="shared" si="246"/>
        <v>892985.37749999762</v>
      </c>
      <c r="G1268" s="173">
        <v>1831000</v>
      </c>
      <c r="H1268" s="47">
        <f t="shared" si="250"/>
        <v>2300000</v>
      </c>
      <c r="I1268" s="171">
        <f t="shared" si="247"/>
        <v>469000</v>
      </c>
      <c r="J1268" s="170">
        <f t="shared" si="248"/>
        <v>1361985.3774999976</v>
      </c>
    </row>
    <row r="1269" spans="2:10" ht="12.65" customHeight="1">
      <c r="B1269" s="33">
        <f t="shared" si="239"/>
        <v>44834</v>
      </c>
      <c r="C1269" s="41">
        <v>102204159.0025</v>
      </c>
      <c r="D1269" s="47">
        <f t="shared" si="249"/>
        <v>103097144.38</v>
      </c>
      <c r="E1269" s="170">
        <f t="shared" si="246"/>
        <v>892985.37749999762</v>
      </c>
      <c r="G1269" s="173">
        <v>1831000</v>
      </c>
      <c r="H1269" s="47">
        <f t="shared" si="250"/>
        <v>2300000</v>
      </c>
      <c r="I1269" s="171">
        <f t="shared" si="247"/>
        <v>469000</v>
      </c>
      <c r="J1269" s="170">
        <f t="shared" si="248"/>
        <v>1361985.3774999976</v>
      </c>
    </row>
    <row r="1270" spans="2:10" ht="12.65" customHeight="1">
      <c r="B1270" s="33">
        <f t="shared" si="239"/>
        <v>44837</v>
      </c>
      <c r="C1270" s="41">
        <v>97313124.672000006</v>
      </c>
      <c r="D1270" s="47">
        <f t="shared" si="249"/>
        <v>103097144.38</v>
      </c>
      <c r="E1270" s="170">
        <f t="shared" ref="E1270:E1333" si="251">D1270-C1270</f>
        <v>5784019.7079999894</v>
      </c>
      <c r="G1270" s="173">
        <v>1626000</v>
      </c>
      <c r="H1270" s="47">
        <f t="shared" si="250"/>
        <v>2300000</v>
      </c>
      <c r="I1270" s="171">
        <f t="shared" ref="I1270:I1333" si="252">H1270-G1270</f>
        <v>674000</v>
      </c>
      <c r="J1270" s="170">
        <f t="shared" ref="J1270:J1333" si="253">E1270+I1270</f>
        <v>6458019.7079999894</v>
      </c>
    </row>
    <row r="1271" spans="2:10" ht="12.65" customHeight="1">
      <c r="B1271" s="33">
        <f t="shared" si="239"/>
        <v>44838</v>
      </c>
      <c r="C1271" s="41">
        <v>97313124.672000006</v>
      </c>
      <c r="D1271" s="47">
        <f t="shared" ref="D1271:D1276" si="254">98073756.83+23387.55</f>
        <v>98097144.379999995</v>
      </c>
      <c r="E1271" s="170">
        <f t="shared" si="251"/>
        <v>784019.70799998939</v>
      </c>
      <c r="G1271" s="173">
        <v>1626000</v>
      </c>
      <c r="H1271" s="47">
        <f t="shared" si="250"/>
        <v>2300000</v>
      </c>
      <c r="I1271" s="171">
        <f t="shared" si="252"/>
        <v>674000</v>
      </c>
      <c r="J1271" s="170">
        <f t="shared" si="253"/>
        <v>1458019.7079999894</v>
      </c>
    </row>
    <row r="1272" spans="2:10" ht="12.65" customHeight="1">
      <c r="B1272" s="33">
        <f t="shared" si="239"/>
        <v>44839</v>
      </c>
      <c r="C1272" s="41">
        <v>97313124.672000006</v>
      </c>
      <c r="D1272" s="47">
        <f t="shared" si="254"/>
        <v>98097144.379999995</v>
      </c>
      <c r="E1272" s="170">
        <f t="shared" si="251"/>
        <v>784019.70799998939</v>
      </c>
      <c r="G1272" s="173">
        <v>1626000</v>
      </c>
      <c r="H1272" s="47">
        <f t="shared" si="250"/>
        <v>2300000</v>
      </c>
      <c r="I1272" s="171">
        <f t="shared" si="252"/>
        <v>674000</v>
      </c>
      <c r="J1272" s="170">
        <f t="shared" si="253"/>
        <v>1458019.7079999894</v>
      </c>
    </row>
    <row r="1273" spans="2:10" ht="12.65" customHeight="1">
      <c r="B1273" s="33">
        <f t="shared" si="239"/>
        <v>44840</v>
      </c>
      <c r="C1273" s="41">
        <v>97313124.672000006</v>
      </c>
      <c r="D1273" s="47">
        <f t="shared" si="254"/>
        <v>98097144.379999995</v>
      </c>
      <c r="E1273" s="170">
        <f t="shared" si="251"/>
        <v>784019.70799998939</v>
      </c>
      <c r="G1273" s="173">
        <v>1626000</v>
      </c>
      <c r="H1273" s="47">
        <f t="shared" si="250"/>
        <v>2300000</v>
      </c>
      <c r="I1273" s="171">
        <f t="shared" si="252"/>
        <v>674000</v>
      </c>
      <c r="J1273" s="170">
        <f t="shared" si="253"/>
        <v>1458019.7079999894</v>
      </c>
    </row>
    <row r="1274" spans="2:10" ht="12.65" customHeight="1">
      <c r="B1274" s="33">
        <f t="shared" si="239"/>
        <v>44841</v>
      </c>
      <c r="C1274" s="41">
        <v>97313124.672000006</v>
      </c>
      <c r="D1274" s="47">
        <f t="shared" si="254"/>
        <v>98097144.379999995</v>
      </c>
      <c r="E1274" s="170">
        <f t="shared" si="251"/>
        <v>784019.70799998939</v>
      </c>
      <c r="G1274" s="173">
        <v>1626000</v>
      </c>
      <c r="H1274" s="47">
        <f t="shared" si="250"/>
        <v>2300000</v>
      </c>
      <c r="I1274" s="171">
        <f t="shared" si="252"/>
        <v>674000</v>
      </c>
      <c r="J1274" s="170">
        <f t="shared" si="253"/>
        <v>1458019.7079999894</v>
      </c>
    </row>
    <row r="1275" spans="2:10" ht="12.65" customHeight="1">
      <c r="B1275" s="33">
        <f t="shared" si="239"/>
        <v>44844</v>
      </c>
      <c r="C1275" s="41">
        <v>97313124.672000006</v>
      </c>
      <c r="D1275" s="47">
        <f t="shared" si="254"/>
        <v>98097144.379999995</v>
      </c>
      <c r="E1275" s="170">
        <f t="shared" si="251"/>
        <v>784019.70799998939</v>
      </c>
      <c r="G1275" s="173">
        <v>1626000</v>
      </c>
      <c r="H1275" s="47">
        <f t="shared" si="250"/>
        <v>2300000</v>
      </c>
      <c r="I1275" s="171">
        <f t="shared" si="252"/>
        <v>674000</v>
      </c>
      <c r="J1275" s="170">
        <f t="shared" si="253"/>
        <v>1458019.7079999894</v>
      </c>
    </row>
    <row r="1276" spans="2:10" ht="12.65" customHeight="1">
      <c r="B1276" s="33">
        <f t="shared" si="239"/>
        <v>44845</v>
      </c>
      <c r="C1276" s="41">
        <v>97313124.672000006</v>
      </c>
      <c r="D1276" s="47">
        <f t="shared" si="254"/>
        <v>98097144.379999995</v>
      </c>
      <c r="E1276" s="170">
        <f t="shared" si="251"/>
        <v>784019.70799998939</v>
      </c>
      <c r="G1276" s="173">
        <v>1626000</v>
      </c>
      <c r="H1276" s="47">
        <f t="shared" si="250"/>
        <v>2300000</v>
      </c>
      <c r="I1276" s="171">
        <f t="shared" si="252"/>
        <v>674000</v>
      </c>
      <c r="J1276" s="170">
        <f t="shared" si="253"/>
        <v>1458019.7079999894</v>
      </c>
    </row>
    <row r="1277" spans="2:10" ht="12.65" customHeight="1">
      <c r="B1277" s="33">
        <f t="shared" si="239"/>
        <v>44846</v>
      </c>
      <c r="C1277" s="41">
        <v>97313124.672000006</v>
      </c>
      <c r="D1277" s="47">
        <f>98073756.83+23387.55</f>
        <v>98097144.379999995</v>
      </c>
      <c r="E1277" s="170">
        <f t="shared" si="251"/>
        <v>784019.70799998939</v>
      </c>
      <c r="G1277" s="173">
        <v>1626000</v>
      </c>
      <c r="H1277" s="47">
        <f t="shared" si="250"/>
        <v>2300000</v>
      </c>
      <c r="I1277" s="171">
        <f t="shared" si="252"/>
        <v>674000</v>
      </c>
      <c r="J1277" s="170">
        <f t="shared" si="253"/>
        <v>1458019.7079999894</v>
      </c>
    </row>
    <row r="1278" spans="2:10" ht="12.65" customHeight="1">
      <c r="B1278" s="33">
        <f t="shared" si="239"/>
        <v>44847</v>
      </c>
      <c r="C1278" s="41">
        <v>97313124.672000006</v>
      </c>
      <c r="D1278" s="47">
        <f>98073756.83+23387.55</f>
        <v>98097144.379999995</v>
      </c>
      <c r="E1278" s="170">
        <f t="shared" si="251"/>
        <v>784019.70799998939</v>
      </c>
      <c r="G1278" s="173">
        <v>1626000</v>
      </c>
      <c r="H1278" s="47">
        <f t="shared" si="250"/>
        <v>2300000</v>
      </c>
      <c r="I1278" s="171">
        <f t="shared" si="252"/>
        <v>674000</v>
      </c>
      <c r="J1278" s="170">
        <f t="shared" si="253"/>
        <v>1458019.7079999894</v>
      </c>
    </row>
    <row r="1279" spans="2:10" ht="12.65" customHeight="1">
      <c r="B1279" s="33">
        <f t="shared" si="239"/>
        <v>44848</v>
      </c>
      <c r="C1279" s="41">
        <v>97313124.672000006</v>
      </c>
      <c r="D1279" s="47">
        <f>98073756.83+23387.55</f>
        <v>98097144.379999995</v>
      </c>
      <c r="E1279" s="170">
        <f t="shared" si="251"/>
        <v>784019.70799998939</v>
      </c>
      <c r="G1279" s="173">
        <v>1626000</v>
      </c>
      <c r="H1279" s="47">
        <f t="shared" si="250"/>
        <v>2300000</v>
      </c>
      <c r="I1279" s="171">
        <f t="shared" si="252"/>
        <v>674000</v>
      </c>
      <c r="J1279" s="170">
        <f t="shared" si="253"/>
        <v>1458019.7079999894</v>
      </c>
    </row>
    <row r="1280" spans="2:10" ht="12.65" customHeight="1">
      <c r="B1280" s="33">
        <f t="shared" si="239"/>
        <v>44851</v>
      </c>
      <c r="C1280" s="41">
        <v>94309484.392000005</v>
      </c>
      <c r="D1280" s="47">
        <f>98073756.83+23387.55</f>
        <v>98097144.379999995</v>
      </c>
      <c r="E1280" s="170">
        <f t="shared" si="251"/>
        <v>3787659.9879999906</v>
      </c>
      <c r="G1280" s="173">
        <v>1577000</v>
      </c>
      <c r="H1280" s="47">
        <f t="shared" si="250"/>
        <v>2300000</v>
      </c>
      <c r="I1280" s="171">
        <f t="shared" si="252"/>
        <v>723000</v>
      </c>
      <c r="J1280" s="170">
        <f t="shared" si="253"/>
        <v>4510659.9879999906</v>
      </c>
    </row>
    <row r="1281" spans="2:10" ht="12.65" customHeight="1">
      <c r="B1281" s="33">
        <f t="shared" si="239"/>
        <v>44852</v>
      </c>
      <c r="C1281" s="41">
        <v>94309484.392000005</v>
      </c>
      <c r="D1281" s="47">
        <f t="shared" ref="D1281:D1286" si="255">95173756.83+23387.55</f>
        <v>95197144.379999995</v>
      </c>
      <c r="E1281" s="170">
        <f t="shared" si="251"/>
        <v>887659.98799999058</v>
      </c>
      <c r="G1281" s="173">
        <v>1577000</v>
      </c>
      <c r="H1281" s="47">
        <f t="shared" ref="H1281:H1286" si="256">2100000+0</f>
        <v>2100000</v>
      </c>
      <c r="I1281" s="171">
        <f t="shared" si="252"/>
        <v>523000</v>
      </c>
      <c r="J1281" s="170">
        <f t="shared" si="253"/>
        <v>1410659.9879999906</v>
      </c>
    </row>
    <row r="1282" spans="2:10" ht="12.65" customHeight="1">
      <c r="B1282" s="33">
        <f t="shared" si="239"/>
        <v>44853</v>
      </c>
      <c r="C1282" s="41">
        <v>94309484.392000005</v>
      </c>
      <c r="D1282" s="47">
        <f t="shared" si="255"/>
        <v>95197144.379999995</v>
      </c>
      <c r="E1282" s="170">
        <f t="shared" si="251"/>
        <v>887659.98799999058</v>
      </c>
      <c r="G1282" s="173">
        <v>1577000</v>
      </c>
      <c r="H1282" s="47">
        <f t="shared" si="256"/>
        <v>2100000</v>
      </c>
      <c r="I1282" s="171">
        <f t="shared" si="252"/>
        <v>523000</v>
      </c>
      <c r="J1282" s="170">
        <f t="shared" si="253"/>
        <v>1410659.9879999906</v>
      </c>
    </row>
    <row r="1283" spans="2:10" ht="12.65" customHeight="1">
      <c r="B1283" s="33">
        <f t="shared" si="239"/>
        <v>44854</v>
      </c>
      <c r="C1283" s="41">
        <v>94309484.392000005</v>
      </c>
      <c r="D1283" s="47">
        <f t="shared" si="255"/>
        <v>95197144.379999995</v>
      </c>
      <c r="E1283" s="170">
        <f t="shared" si="251"/>
        <v>887659.98799999058</v>
      </c>
      <c r="G1283" s="173">
        <v>1577000</v>
      </c>
      <c r="H1283" s="47">
        <f t="shared" si="256"/>
        <v>2100000</v>
      </c>
      <c r="I1283" s="171">
        <f t="shared" si="252"/>
        <v>523000</v>
      </c>
      <c r="J1283" s="170">
        <f t="shared" si="253"/>
        <v>1410659.9879999906</v>
      </c>
    </row>
    <row r="1284" spans="2:10" ht="12.65" customHeight="1">
      <c r="B1284" s="33">
        <f t="shared" si="239"/>
        <v>44855</v>
      </c>
      <c r="C1284" s="41">
        <v>94309484.392000005</v>
      </c>
      <c r="D1284" s="47">
        <f t="shared" si="255"/>
        <v>95197144.379999995</v>
      </c>
      <c r="E1284" s="170">
        <f t="shared" si="251"/>
        <v>887659.98799999058</v>
      </c>
      <c r="G1284" s="173">
        <v>1577000</v>
      </c>
      <c r="H1284" s="47">
        <f t="shared" si="256"/>
        <v>2100000</v>
      </c>
      <c r="I1284" s="171">
        <f t="shared" si="252"/>
        <v>523000</v>
      </c>
      <c r="J1284" s="170">
        <f t="shared" si="253"/>
        <v>1410659.9879999906</v>
      </c>
    </row>
    <row r="1285" spans="2:10" ht="12.65" customHeight="1">
      <c r="B1285" s="33">
        <f t="shared" si="239"/>
        <v>44858</v>
      </c>
      <c r="C1285" s="41">
        <v>94309484.392000005</v>
      </c>
      <c r="D1285" s="47">
        <f t="shared" si="255"/>
        <v>95197144.379999995</v>
      </c>
      <c r="E1285" s="170">
        <f t="shared" si="251"/>
        <v>887659.98799999058</v>
      </c>
      <c r="G1285" s="173">
        <v>1577000</v>
      </c>
      <c r="H1285" s="47">
        <f t="shared" si="256"/>
        <v>2100000</v>
      </c>
      <c r="I1285" s="171">
        <f t="shared" si="252"/>
        <v>523000</v>
      </c>
      <c r="J1285" s="170">
        <f t="shared" si="253"/>
        <v>1410659.9879999906</v>
      </c>
    </row>
    <row r="1286" spans="2:10" ht="12.65" customHeight="1">
      <c r="B1286" s="33">
        <f t="shared" si="239"/>
        <v>44859</v>
      </c>
      <c r="C1286" s="41">
        <v>94309484.392000005</v>
      </c>
      <c r="D1286" s="47">
        <f t="shared" si="255"/>
        <v>95197144.379999995</v>
      </c>
      <c r="E1286" s="170">
        <f t="shared" si="251"/>
        <v>887659.98799999058</v>
      </c>
      <c r="G1286" s="173">
        <v>1577000</v>
      </c>
      <c r="H1286" s="47">
        <f t="shared" si="256"/>
        <v>2100000</v>
      </c>
      <c r="I1286" s="171">
        <f t="shared" si="252"/>
        <v>523000</v>
      </c>
      <c r="J1286" s="170">
        <f t="shared" si="253"/>
        <v>1410659.9879999906</v>
      </c>
    </row>
    <row r="1287" spans="2:10" ht="12.65" customHeight="1">
      <c r="B1287" s="33">
        <f t="shared" si="239"/>
        <v>44860</v>
      </c>
      <c r="C1287" s="41">
        <v>94309484.392000005</v>
      </c>
      <c r="D1287" s="47">
        <f t="shared" ref="D1287:D1291" si="257">95173756.83+23387.55</f>
        <v>95197144.379999995</v>
      </c>
      <c r="E1287" s="170">
        <f t="shared" si="251"/>
        <v>887659.98799999058</v>
      </c>
      <c r="G1287" s="173">
        <v>1577000</v>
      </c>
      <c r="H1287" s="47">
        <f t="shared" ref="H1287:H1294" si="258">2100000+0</f>
        <v>2100000</v>
      </c>
      <c r="I1287" s="171">
        <f t="shared" si="252"/>
        <v>523000</v>
      </c>
      <c r="J1287" s="170">
        <f t="shared" si="253"/>
        <v>1410659.9879999906</v>
      </c>
    </row>
    <row r="1288" spans="2:10" ht="12.65" customHeight="1">
      <c r="B1288" s="33">
        <f t="shared" si="239"/>
        <v>44861</v>
      </c>
      <c r="C1288" s="41">
        <v>94309484.392000005</v>
      </c>
      <c r="D1288" s="47">
        <f t="shared" si="257"/>
        <v>95197144.379999995</v>
      </c>
      <c r="E1288" s="170">
        <f t="shared" si="251"/>
        <v>887659.98799999058</v>
      </c>
      <c r="G1288" s="173">
        <v>1577000</v>
      </c>
      <c r="H1288" s="47">
        <f t="shared" si="258"/>
        <v>2100000</v>
      </c>
      <c r="I1288" s="171">
        <f t="shared" si="252"/>
        <v>523000</v>
      </c>
      <c r="J1288" s="170">
        <f t="shared" si="253"/>
        <v>1410659.9879999906</v>
      </c>
    </row>
    <row r="1289" spans="2:10" ht="12.65" customHeight="1">
      <c r="B1289" s="33">
        <f t="shared" si="239"/>
        <v>44862</v>
      </c>
      <c r="C1289" s="41">
        <v>94309484.392000005</v>
      </c>
      <c r="D1289" s="47">
        <f t="shared" si="257"/>
        <v>95197144.379999995</v>
      </c>
      <c r="E1289" s="170">
        <f t="shared" si="251"/>
        <v>887659.98799999058</v>
      </c>
      <c r="G1289" s="173">
        <v>1577000</v>
      </c>
      <c r="H1289" s="47">
        <f t="shared" si="258"/>
        <v>2100000</v>
      </c>
      <c r="I1289" s="171">
        <f t="shared" si="252"/>
        <v>523000</v>
      </c>
      <c r="J1289" s="170">
        <f t="shared" si="253"/>
        <v>1410659.9879999906</v>
      </c>
    </row>
    <row r="1290" spans="2:10" ht="12.65" customHeight="1">
      <c r="B1290" s="33">
        <f t="shared" si="239"/>
        <v>44865</v>
      </c>
      <c r="C1290" s="41">
        <v>94309484.392000005</v>
      </c>
      <c r="D1290" s="47">
        <f t="shared" si="257"/>
        <v>95197144.379999995</v>
      </c>
      <c r="E1290" s="170">
        <f t="shared" si="251"/>
        <v>887659.98799999058</v>
      </c>
      <c r="G1290" s="173">
        <v>1577000</v>
      </c>
      <c r="H1290" s="47">
        <f t="shared" si="258"/>
        <v>2100000</v>
      </c>
      <c r="I1290" s="171">
        <f t="shared" si="252"/>
        <v>523000</v>
      </c>
      <c r="J1290" s="170">
        <f t="shared" si="253"/>
        <v>1410659.9879999906</v>
      </c>
    </row>
    <row r="1291" spans="2:10" ht="12.65" customHeight="1">
      <c r="B1291" s="33">
        <f t="shared" si="239"/>
        <v>44866</v>
      </c>
      <c r="C1291" s="41">
        <v>92461930.400000006</v>
      </c>
      <c r="D1291" s="47">
        <f t="shared" si="257"/>
        <v>95197144.379999995</v>
      </c>
      <c r="E1291" s="170">
        <f t="shared" si="251"/>
        <v>2735213.9799999893</v>
      </c>
      <c r="G1291" s="173">
        <v>1507000</v>
      </c>
      <c r="H1291" s="47">
        <f t="shared" si="258"/>
        <v>2100000</v>
      </c>
      <c r="I1291" s="171">
        <f t="shared" si="252"/>
        <v>593000</v>
      </c>
      <c r="J1291" s="170">
        <f t="shared" si="253"/>
        <v>3328213.9799999893</v>
      </c>
    </row>
    <row r="1292" spans="2:10" ht="12.65" customHeight="1">
      <c r="B1292" s="33">
        <f t="shared" si="239"/>
        <v>44867</v>
      </c>
      <c r="C1292" s="41">
        <v>92461930.400000006</v>
      </c>
      <c r="D1292" s="47">
        <f>95173756.83+23387.55</f>
        <v>95197144.379999995</v>
      </c>
      <c r="E1292" s="170">
        <f t="shared" si="251"/>
        <v>2735213.9799999893</v>
      </c>
      <c r="G1292" s="173">
        <v>1507000</v>
      </c>
      <c r="H1292" s="47">
        <f t="shared" si="258"/>
        <v>2100000</v>
      </c>
      <c r="I1292" s="171">
        <f t="shared" si="252"/>
        <v>593000</v>
      </c>
      <c r="J1292" s="170">
        <f t="shared" si="253"/>
        <v>3328213.9799999893</v>
      </c>
    </row>
    <row r="1293" spans="2:10" ht="12.65" customHeight="1">
      <c r="B1293" s="33">
        <f t="shared" si="239"/>
        <v>44868</v>
      </c>
      <c r="C1293" s="41">
        <v>92461930.400000006</v>
      </c>
      <c r="D1293" s="47">
        <f>93373756.83+23387.55</f>
        <v>93397144.379999995</v>
      </c>
      <c r="E1293" s="170">
        <f t="shared" si="251"/>
        <v>935213.97999998927</v>
      </c>
      <c r="G1293" s="173">
        <v>1507000</v>
      </c>
      <c r="H1293" s="47">
        <f t="shared" si="258"/>
        <v>2100000</v>
      </c>
      <c r="I1293" s="171">
        <f t="shared" si="252"/>
        <v>593000</v>
      </c>
      <c r="J1293" s="170">
        <f t="shared" si="253"/>
        <v>1528213.9799999893</v>
      </c>
    </row>
    <row r="1294" spans="2:10" ht="12.65" customHeight="1">
      <c r="B1294" s="33">
        <f t="shared" si="239"/>
        <v>44869</v>
      </c>
      <c r="C1294" s="41">
        <v>92461930.400000006</v>
      </c>
      <c r="D1294" s="47">
        <f>93373756.83+23387.55</f>
        <v>93397144.379999995</v>
      </c>
      <c r="E1294" s="170">
        <f t="shared" si="251"/>
        <v>935213.97999998927</v>
      </c>
      <c r="G1294" s="173">
        <v>1507000</v>
      </c>
      <c r="H1294" s="47">
        <f t="shared" si="258"/>
        <v>2100000</v>
      </c>
      <c r="I1294" s="171">
        <f t="shared" si="252"/>
        <v>593000</v>
      </c>
      <c r="J1294" s="170">
        <f t="shared" si="253"/>
        <v>1528213.9799999893</v>
      </c>
    </row>
    <row r="1295" spans="2:10" ht="12.65" customHeight="1">
      <c r="B1295" s="33">
        <f t="shared" si="239"/>
        <v>44872</v>
      </c>
      <c r="C1295" s="41">
        <v>92461930.400000006</v>
      </c>
      <c r="D1295" s="47">
        <f>93373756.83+23387.55</f>
        <v>93397144.379999995</v>
      </c>
      <c r="E1295" s="170">
        <f t="shared" si="251"/>
        <v>935213.97999998927</v>
      </c>
      <c r="G1295" s="173">
        <v>1507000</v>
      </c>
      <c r="H1295" s="47">
        <f>2000000+0</f>
        <v>2000000</v>
      </c>
      <c r="I1295" s="171">
        <f t="shared" si="252"/>
        <v>493000</v>
      </c>
      <c r="J1295" s="170">
        <f t="shared" si="253"/>
        <v>1428213.9799999893</v>
      </c>
    </row>
    <row r="1296" spans="2:10" ht="12.65" customHeight="1">
      <c r="B1296" s="33">
        <f t="shared" si="239"/>
        <v>44873</v>
      </c>
      <c r="C1296" s="41">
        <v>92461930.400000006</v>
      </c>
      <c r="D1296" s="47">
        <f>93373756.83+23387.55</f>
        <v>93397144.379999995</v>
      </c>
      <c r="E1296" s="170">
        <f t="shared" si="251"/>
        <v>935213.97999998927</v>
      </c>
      <c r="G1296" s="173">
        <v>1507000</v>
      </c>
      <c r="H1296" s="47">
        <f>2000000+0</f>
        <v>2000000</v>
      </c>
      <c r="I1296" s="171">
        <f t="shared" si="252"/>
        <v>493000</v>
      </c>
      <c r="J1296" s="170">
        <f t="shared" si="253"/>
        <v>1428213.9799999893</v>
      </c>
    </row>
    <row r="1297" spans="2:10" ht="12.65" customHeight="1">
      <c r="B1297" s="33">
        <f t="shared" si="239"/>
        <v>44874</v>
      </c>
      <c r="C1297" s="41">
        <v>92461930.400000006</v>
      </c>
      <c r="D1297" s="47">
        <f>93373756.83+23387.55</f>
        <v>93397144.379999995</v>
      </c>
      <c r="E1297" s="170">
        <f t="shared" si="251"/>
        <v>935213.97999998927</v>
      </c>
      <c r="G1297" s="173">
        <v>1507000</v>
      </c>
      <c r="H1297" s="47">
        <f>2000000+0</f>
        <v>2000000</v>
      </c>
      <c r="I1297" s="171">
        <f t="shared" si="252"/>
        <v>493000</v>
      </c>
      <c r="J1297" s="170">
        <f t="shared" si="253"/>
        <v>1428213.9799999893</v>
      </c>
    </row>
    <row r="1298" spans="2:10" ht="12.65" customHeight="1">
      <c r="B1298" s="33">
        <f t="shared" si="239"/>
        <v>44875</v>
      </c>
      <c r="C1298" s="41">
        <v>92461930.400000006</v>
      </c>
      <c r="D1298" s="47">
        <f>93273756.83+23387.55</f>
        <v>93297144.379999995</v>
      </c>
      <c r="E1298" s="170">
        <f t="shared" si="251"/>
        <v>835213.97999998927</v>
      </c>
      <c r="G1298" s="173">
        <v>1507000</v>
      </c>
      <c r="H1298" s="47">
        <f t="shared" ref="H1298:H1316" si="259">1950000+0</f>
        <v>1950000</v>
      </c>
      <c r="I1298" s="171">
        <f t="shared" si="252"/>
        <v>443000</v>
      </c>
      <c r="J1298" s="170">
        <f t="shared" si="253"/>
        <v>1278213.9799999893</v>
      </c>
    </row>
    <row r="1299" spans="2:10" ht="12.65" customHeight="1">
      <c r="B1299" s="33">
        <f t="shared" si="239"/>
        <v>44876</v>
      </c>
      <c r="C1299" s="41">
        <v>92461930.400000006</v>
      </c>
      <c r="D1299" s="47">
        <f>93273756.83+23387.55</f>
        <v>93297144.379999995</v>
      </c>
      <c r="E1299" s="170">
        <f t="shared" si="251"/>
        <v>835213.97999998927</v>
      </c>
      <c r="G1299" s="173">
        <v>1507000</v>
      </c>
      <c r="H1299" s="47">
        <f t="shared" si="259"/>
        <v>1950000</v>
      </c>
      <c r="I1299" s="171">
        <f t="shared" si="252"/>
        <v>443000</v>
      </c>
      <c r="J1299" s="170">
        <f t="shared" si="253"/>
        <v>1278213.9799999893</v>
      </c>
    </row>
    <row r="1300" spans="2:10" ht="12.65" customHeight="1">
      <c r="B1300" s="33">
        <f t="shared" si="239"/>
        <v>44879</v>
      </c>
      <c r="C1300" s="41">
        <v>92461930.400000006</v>
      </c>
      <c r="D1300" s="47">
        <f>93273756.83+23387.55</f>
        <v>93297144.379999995</v>
      </c>
      <c r="E1300" s="170">
        <f t="shared" si="251"/>
        <v>835213.97999998927</v>
      </c>
      <c r="G1300" s="173">
        <v>1507000</v>
      </c>
      <c r="H1300" s="47">
        <f t="shared" si="259"/>
        <v>1950000</v>
      </c>
      <c r="I1300" s="171">
        <f t="shared" si="252"/>
        <v>443000</v>
      </c>
      <c r="J1300" s="170">
        <f t="shared" si="253"/>
        <v>1278213.9799999893</v>
      </c>
    </row>
    <row r="1301" spans="2:10" ht="12.65" customHeight="1">
      <c r="B1301" s="33">
        <f t="shared" si="239"/>
        <v>44880</v>
      </c>
      <c r="C1301" s="41">
        <v>92461930.400000006</v>
      </c>
      <c r="D1301" s="47">
        <f>93273756.83+23387.55</f>
        <v>93297144.379999995</v>
      </c>
      <c r="E1301" s="170">
        <f t="shared" si="251"/>
        <v>835213.97999998927</v>
      </c>
      <c r="G1301" s="173">
        <v>1507000</v>
      </c>
      <c r="H1301" s="47">
        <f t="shared" si="259"/>
        <v>1950000</v>
      </c>
      <c r="I1301" s="171">
        <f t="shared" si="252"/>
        <v>443000</v>
      </c>
      <c r="J1301" s="170">
        <f t="shared" si="253"/>
        <v>1278213.9799999893</v>
      </c>
    </row>
    <row r="1302" spans="2:10" ht="12.65" customHeight="1">
      <c r="B1302" s="33">
        <f t="shared" si="239"/>
        <v>44881</v>
      </c>
      <c r="C1302" s="41">
        <f>89619576.1375</f>
        <v>89619576.137500003</v>
      </c>
      <c r="D1302" s="47">
        <f>93273756.83+23387.55</f>
        <v>93297144.379999995</v>
      </c>
      <c r="E1302" s="170">
        <f t="shared" si="251"/>
        <v>3677568.2424999923</v>
      </c>
      <c r="G1302" s="173">
        <v>1620000</v>
      </c>
      <c r="H1302" s="47">
        <f t="shared" si="259"/>
        <v>1950000</v>
      </c>
      <c r="I1302" s="171">
        <f t="shared" si="252"/>
        <v>330000</v>
      </c>
      <c r="J1302" s="170">
        <f t="shared" si="253"/>
        <v>4007568.2424999923</v>
      </c>
    </row>
    <row r="1303" spans="2:10" ht="12.65" customHeight="1">
      <c r="B1303" s="33">
        <f t="shared" si="239"/>
        <v>44882</v>
      </c>
      <c r="C1303" s="41">
        <f t="shared" ref="C1303:C1312" si="260">89619576.1375</f>
        <v>89619576.137500003</v>
      </c>
      <c r="D1303" s="47">
        <f t="shared" ref="D1303:D1308" si="261">90473756.83+23387.55</f>
        <v>90497144.379999995</v>
      </c>
      <c r="E1303" s="170">
        <f t="shared" si="251"/>
        <v>877568.24249999225</v>
      </c>
      <c r="G1303" s="173">
        <v>1620000</v>
      </c>
      <c r="H1303" s="47">
        <f t="shared" si="259"/>
        <v>1950000</v>
      </c>
      <c r="I1303" s="171">
        <f t="shared" si="252"/>
        <v>330000</v>
      </c>
      <c r="J1303" s="170">
        <f t="shared" si="253"/>
        <v>1207568.2424999923</v>
      </c>
    </row>
    <row r="1304" spans="2:10" ht="12.65" customHeight="1">
      <c r="B1304" s="33">
        <f t="shared" si="239"/>
        <v>44883</v>
      </c>
      <c r="C1304" s="41">
        <f t="shared" si="260"/>
        <v>89619576.137500003</v>
      </c>
      <c r="D1304" s="47">
        <f t="shared" si="261"/>
        <v>90497144.379999995</v>
      </c>
      <c r="E1304" s="170">
        <f t="shared" si="251"/>
        <v>877568.24249999225</v>
      </c>
      <c r="G1304" s="173">
        <v>1620000</v>
      </c>
      <c r="H1304" s="47">
        <f t="shared" si="259"/>
        <v>1950000</v>
      </c>
      <c r="I1304" s="171">
        <f t="shared" si="252"/>
        <v>330000</v>
      </c>
      <c r="J1304" s="170">
        <f t="shared" si="253"/>
        <v>1207568.2424999923</v>
      </c>
    </row>
    <row r="1305" spans="2:10" ht="12.65" customHeight="1">
      <c r="B1305" s="33">
        <f t="shared" si="239"/>
        <v>44886</v>
      </c>
      <c r="C1305" s="41">
        <f t="shared" si="260"/>
        <v>89619576.137500003</v>
      </c>
      <c r="D1305" s="47">
        <f t="shared" si="261"/>
        <v>90497144.379999995</v>
      </c>
      <c r="E1305" s="170">
        <f t="shared" si="251"/>
        <v>877568.24249999225</v>
      </c>
      <c r="G1305" s="173">
        <v>1620000</v>
      </c>
      <c r="H1305" s="47">
        <f t="shared" si="259"/>
        <v>1950000</v>
      </c>
      <c r="I1305" s="171">
        <f t="shared" si="252"/>
        <v>330000</v>
      </c>
      <c r="J1305" s="170">
        <f t="shared" si="253"/>
        <v>1207568.2424999923</v>
      </c>
    </row>
    <row r="1306" spans="2:10" ht="12.65" customHeight="1">
      <c r="B1306" s="33">
        <f t="shared" si="239"/>
        <v>44887</v>
      </c>
      <c r="C1306" s="41">
        <f t="shared" si="260"/>
        <v>89619576.137500003</v>
      </c>
      <c r="D1306" s="47">
        <f t="shared" si="261"/>
        <v>90497144.379999995</v>
      </c>
      <c r="E1306" s="170">
        <f t="shared" si="251"/>
        <v>877568.24249999225</v>
      </c>
      <c r="G1306" s="173">
        <v>1620000</v>
      </c>
      <c r="H1306" s="47">
        <f t="shared" si="259"/>
        <v>1950000</v>
      </c>
      <c r="I1306" s="171">
        <f t="shared" si="252"/>
        <v>330000</v>
      </c>
      <c r="J1306" s="170">
        <f t="shared" si="253"/>
        <v>1207568.2424999923</v>
      </c>
    </row>
    <row r="1307" spans="2:10" ht="12.65" customHeight="1">
      <c r="B1307" s="33">
        <f t="shared" si="239"/>
        <v>44888</v>
      </c>
      <c r="C1307" s="41">
        <f t="shared" si="260"/>
        <v>89619576.137500003</v>
      </c>
      <c r="D1307" s="47">
        <f t="shared" si="261"/>
        <v>90497144.379999995</v>
      </c>
      <c r="E1307" s="170">
        <f t="shared" si="251"/>
        <v>877568.24249999225</v>
      </c>
      <c r="G1307" s="173">
        <v>1620000</v>
      </c>
      <c r="H1307" s="47">
        <f t="shared" si="259"/>
        <v>1950000</v>
      </c>
      <c r="I1307" s="171">
        <f t="shared" si="252"/>
        <v>330000</v>
      </c>
      <c r="J1307" s="170">
        <f t="shared" si="253"/>
        <v>1207568.2424999923</v>
      </c>
    </row>
    <row r="1308" spans="2:10" ht="12.65" customHeight="1">
      <c r="B1308" s="33">
        <f t="shared" si="239"/>
        <v>44889</v>
      </c>
      <c r="C1308" s="41">
        <f t="shared" si="260"/>
        <v>89619576.137500003</v>
      </c>
      <c r="D1308" s="47">
        <f t="shared" si="261"/>
        <v>90497144.379999995</v>
      </c>
      <c r="E1308" s="170">
        <f t="shared" si="251"/>
        <v>877568.24249999225</v>
      </c>
      <c r="G1308" s="173">
        <v>1620000</v>
      </c>
      <c r="H1308" s="47">
        <f t="shared" si="259"/>
        <v>1950000</v>
      </c>
      <c r="I1308" s="171">
        <f t="shared" si="252"/>
        <v>330000</v>
      </c>
      <c r="J1308" s="170">
        <f t="shared" si="253"/>
        <v>1207568.2424999923</v>
      </c>
    </row>
    <row r="1309" spans="2:10" ht="12.65" customHeight="1">
      <c r="B1309" s="33">
        <f t="shared" si="239"/>
        <v>44890</v>
      </c>
      <c r="C1309" s="41">
        <f t="shared" si="260"/>
        <v>89619576.137500003</v>
      </c>
      <c r="D1309" s="47">
        <f>90473756.83+23387.55</f>
        <v>90497144.379999995</v>
      </c>
      <c r="E1309" s="170">
        <f t="shared" si="251"/>
        <v>877568.24249999225</v>
      </c>
      <c r="G1309" s="173">
        <v>1620000</v>
      </c>
      <c r="H1309" s="47">
        <f t="shared" si="259"/>
        <v>1950000</v>
      </c>
      <c r="I1309" s="171">
        <f t="shared" si="252"/>
        <v>330000</v>
      </c>
      <c r="J1309" s="170">
        <f t="shared" si="253"/>
        <v>1207568.2424999923</v>
      </c>
    </row>
    <row r="1310" spans="2:10" ht="12.65" customHeight="1">
      <c r="B1310" s="33">
        <f t="shared" si="239"/>
        <v>44893</v>
      </c>
      <c r="C1310" s="41">
        <f t="shared" si="260"/>
        <v>89619576.137500003</v>
      </c>
      <c r="D1310" s="47">
        <f>90473756.83+23387.55</f>
        <v>90497144.379999995</v>
      </c>
      <c r="E1310" s="170">
        <f t="shared" si="251"/>
        <v>877568.24249999225</v>
      </c>
      <c r="G1310" s="173">
        <v>1620000</v>
      </c>
      <c r="H1310" s="47">
        <f t="shared" si="259"/>
        <v>1950000</v>
      </c>
      <c r="I1310" s="171">
        <f t="shared" si="252"/>
        <v>330000</v>
      </c>
      <c r="J1310" s="170">
        <f t="shared" si="253"/>
        <v>1207568.2424999923</v>
      </c>
    </row>
    <row r="1311" spans="2:10" ht="12.65" customHeight="1">
      <c r="B1311" s="33">
        <f t="shared" si="239"/>
        <v>44894</v>
      </c>
      <c r="C1311" s="41">
        <f t="shared" si="260"/>
        <v>89619576.137500003</v>
      </c>
      <c r="D1311" s="47">
        <f>90473756.83+23387.55</f>
        <v>90497144.379999995</v>
      </c>
      <c r="E1311" s="170">
        <f t="shared" si="251"/>
        <v>877568.24249999225</v>
      </c>
      <c r="G1311" s="173">
        <v>1620000</v>
      </c>
      <c r="H1311" s="47">
        <f t="shared" si="259"/>
        <v>1950000</v>
      </c>
      <c r="I1311" s="171">
        <f t="shared" si="252"/>
        <v>330000</v>
      </c>
      <c r="J1311" s="170">
        <f t="shared" si="253"/>
        <v>1207568.2424999923</v>
      </c>
    </row>
    <row r="1312" spans="2:10" ht="12.65" customHeight="1">
      <c r="B1312" s="33">
        <f t="shared" ref="B1312:B1375" si="262">WORKDAY(B1311,1)</f>
        <v>44895</v>
      </c>
      <c r="C1312" s="41">
        <f t="shared" si="260"/>
        <v>89619576.137500003</v>
      </c>
      <c r="D1312" s="47">
        <f>90473756.83+23387.55</f>
        <v>90497144.379999995</v>
      </c>
      <c r="E1312" s="170">
        <f t="shared" si="251"/>
        <v>877568.24249999225</v>
      </c>
      <c r="G1312" s="173">
        <v>1620000</v>
      </c>
      <c r="H1312" s="47">
        <f t="shared" si="259"/>
        <v>1950000</v>
      </c>
      <c r="I1312" s="171">
        <f t="shared" si="252"/>
        <v>330000</v>
      </c>
      <c r="J1312" s="170">
        <f t="shared" si="253"/>
        <v>1207568.2424999923</v>
      </c>
    </row>
    <row r="1313" spans="2:10" ht="12.65" customHeight="1">
      <c r="B1313" s="33">
        <f t="shared" si="262"/>
        <v>44896</v>
      </c>
      <c r="C1313" s="41">
        <f>94104312.2826666</f>
        <v>94104312.282666594</v>
      </c>
      <c r="D1313" s="47">
        <f t="shared" ref="D1313:D1317" si="263">94973756.83+23387.55</f>
        <v>94997144.379999995</v>
      </c>
      <c r="E1313" s="170">
        <f t="shared" si="251"/>
        <v>892832.09733340144</v>
      </c>
      <c r="G1313" s="173">
        <f>1376000</f>
        <v>1376000</v>
      </c>
      <c r="H1313" s="47">
        <f t="shared" si="259"/>
        <v>1950000</v>
      </c>
      <c r="I1313" s="171">
        <f t="shared" si="252"/>
        <v>574000</v>
      </c>
      <c r="J1313" s="170">
        <f t="shared" si="253"/>
        <v>1466832.0973334014</v>
      </c>
    </row>
    <row r="1314" spans="2:10" ht="12.65" customHeight="1">
      <c r="B1314" s="33">
        <f t="shared" si="262"/>
        <v>44897</v>
      </c>
      <c r="C1314" s="41">
        <f t="shared" ref="C1314:C1323" si="264">94104312.2826666</f>
        <v>94104312.282666594</v>
      </c>
      <c r="D1314" s="47">
        <f t="shared" si="263"/>
        <v>94997144.379999995</v>
      </c>
      <c r="E1314" s="170">
        <f t="shared" si="251"/>
        <v>892832.09733340144</v>
      </c>
      <c r="G1314" s="173">
        <f t="shared" ref="G1314:G1322" si="265">1376000</f>
        <v>1376000</v>
      </c>
      <c r="H1314" s="47">
        <f t="shared" si="259"/>
        <v>1950000</v>
      </c>
      <c r="I1314" s="171">
        <f t="shared" si="252"/>
        <v>574000</v>
      </c>
      <c r="J1314" s="170">
        <f t="shared" si="253"/>
        <v>1466832.0973334014</v>
      </c>
    </row>
    <row r="1315" spans="2:10" ht="12.65" customHeight="1">
      <c r="B1315" s="33">
        <f t="shared" si="262"/>
        <v>44900</v>
      </c>
      <c r="C1315" s="41">
        <f t="shared" si="264"/>
        <v>94104312.282666594</v>
      </c>
      <c r="D1315" s="47">
        <f t="shared" si="263"/>
        <v>94997144.379999995</v>
      </c>
      <c r="E1315" s="170">
        <f t="shared" si="251"/>
        <v>892832.09733340144</v>
      </c>
      <c r="G1315" s="173">
        <f t="shared" si="265"/>
        <v>1376000</v>
      </c>
      <c r="H1315" s="47">
        <f t="shared" si="259"/>
        <v>1950000</v>
      </c>
      <c r="I1315" s="171">
        <f t="shared" si="252"/>
        <v>574000</v>
      </c>
      <c r="J1315" s="170">
        <f t="shared" si="253"/>
        <v>1466832.0973334014</v>
      </c>
    </row>
    <row r="1316" spans="2:10" ht="12.65" customHeight="1">
      <c r="B1316" s="33">
        <f t="shared" si="262"/>
        <v>44901</v>
      </c>
      <c r="C1316" s="41">
        <f t="shared" si="264"/>
        <v>94104312.282666594</v>
      </c>
      <c r="D1316" s="47">
        <f t="shared" si="263"/>
        <v>94997144.379999995</v>
      </c>
      <c r="E1316" s="170">
        <f t="shared" si="251"/>
        <v>892832.09733340144</v>
      </c>
      <c r="G1316" s="173">
        <f t="shared" si="265"/>
        <v>1376000</v>
      </c>
      <c r="H1316" s="47">
        <f t="shared" si="259"/>
        <v>1950000</v>
      </c>
      <c r="I1316" s="171">
        <f t="shared" si="252"/>
        <v>574000</v>
      </c>
      <c r="J1316" s="170">
        <f t="shared" si="253"/>
        <v>1466832.0973334014</v>
      </c>
    </row>
    <row r="1317" spans="2:10" ht="12.65" customHeight="1">
      <c r="B1317" s="33">
        <f t="shared" si="262"/>
        <v>44902</v>
      </c>
      <c r="C1317" s="41">
        <f t="shared" si="264"/>
        <v>94104312.282666594</v>
      </c>
      <c r="D1317" s="47">
        <f t="shared" si="263"/>
        <v>94997144.379999995</v>
      </c>
      <c r="E1317" s="170">
        <f t="shared" si="251"/>
        <v>892832.09733340144</v>
      </c>
      <c r="G1317" s="173">
        <f t="shared" si="265"/>
        <v>1376000</v>
      </c>
      <c r="H1317" s="47">
        <f t="shared" ref="H1317:H1325" si="266">1850000+0</f>
        <v>1850000</v>
      </c>
      <c r="I1317" s="171">
        <f t="shared" si="252"/>
        <v>474000</v>
      </c>
      <c r="J1317" s="170">
        <f t="shared" si="253"/>
        <v>1366832.0973334014</v>
      </c>
    </row>
    <row r="1318" spans="2:10" ht="12.65" customHeight="1">
      <c r="B1318" s="33">
        <f t="shared" si="262"/>
        <v>44903</v>
      </c>
      <c r="C1318" s="41">
        <f t="shared" si="264"/>
        <v>94104312.282666594</v>
      </c>
      <c r="D1318" s="47">
        <f t="shared" ref="D1318:D1322" si="267">94973756.83+23387.55</f>
        <v>94997144.379999995</v>
      </c>
      <c r="E1318" s="170">
        <f t="shared" si="251"/>
        <v>892832.09733340144</v>
      </c>
      <c r="G1318" s="173">
        <f t="shared" si="265"/>
        <v>1376000</v>
      </c>
      <c r="H1318" s="47">
        <f t="shared" si="266"/>
        <v>1850000</v>
      </c>
      <c r="I1318" s="171">
        <f t="shared" si="252"/>
        <v>474000</v>
      </c>
      <c r="J1318" s="170">
        <f t="shared" si="253"/>
        <v>1366832.0973334014</v>
      </c>
    </row>
    <row r="1319" spans="2:10" ht="12.65" customHeight="1">
      <c r="B1319" s="33">
        <f t="shared" si="262"/>
        <v>44904</v>
      </c>
      <c r="C1319" s="41">
        <f t="shared" si="264"/>
        <v>94104312.282666594</v>
      </c>
      <c r="D1319" s="47">
        <f t="shared" si="267"/>
        <v>94997144.379999995</v>
      </c>
      <c r="E1319" s="170">
        <f t="shared" si="251"/>
        <v>892832.09733340144</v>
      </c>
      <c r="G1319" s="173">
        <f t="shared" si="265"/>
        <v>1376000</v>
      </c>
      <c r="H1319" s="47">
        <f t="shared" si="266"/>
        <v>1850000</v>
      </c>
      <c r="I1319" s="171">
        <f t="shared" si="252"/>
        <v>474000</v>
      </c>
      <c r="J1319" s="170">
        <f t="shared" si="253"/>
        <v>1366832.0973334014</v>
      </c>
    </row>
    <row r="1320" spans="2:10" ht="12.65" customHeight="1">
      <c r="B1320" s="33">
        <f t="shared" si="262"/>
        <v>44907</v>
      </c>
      <c r="C1320" s="41">
        <f t="shared" si="264"/>
        <v>94104312.282666594</v>
      </c>
      <c r="D1320" s="47">
        <f t="shared" si="267"/>
        <v>94997144.379999995</v>
      </c>
      <c r="E1320" s="170">
        <f t="shared" si="251"/>
        <v>892832.09733340144</v>
      </c>
      <c r="G1320" s="173">
        <f t="shared" si="265"/>
        <v>1376000</v>
      </c>
      <c r="H1320" s="47">
        <f t="shared" si="266"/>
        <v>1850000</v>
      </c>
      <c r="I1320" s="171">
        <f t="shared" si="252"/>
        <v>474000</v>
      </c>
      <c r="J1320" s="170">
        <f t="shared" si="253"/>
        <v>1366832.0973334014</v>
      </c>
    </row>
    <row r="1321" spans="2:10" ht="12.65" customHeight="1">
      <c r="B1321" s="33">
        <f t="shared" si="262"/>
        <v>44908</v>
      </c>
      <c r="C1321" s="41">
        <f t="shared" si="264"/>
        <v>94104312.282666594</v>
      </c>
      <c r="D1321" s="47">
        <f t="shared" si="267"/>
        <v>94997144.379999995</v>
      </c>
      <c r="E1321" s="170">
        <f t="shared" si="251"/>
        <v>892832.09733340144</v>
      </c>
      <c r="G1321" s="173">
        <f t="shared" si="265"/>
        <v>1376000</v>
      </c>
      <c r="H1321" s="47">
        <f t="shared" si="266"/>
        <v>1850000</v>
      </c>
      <c r="I1321" s="171">
        <f t="shared" si="252"/>
        <v>474000</v>
      </c>
      <c r="J1321" s="170">
        <f t="shared" si="253"/>
        <v>1366832.0973334014</v>
      </c>
    </row>
    <row r="1322" spans="2:10" ht="12.65" customHeight="1">
      <c r="B1322" s="33">
        <f t="shared" si="262"/>
        <v>44909</v>
      </c>
      <c r="C1322" s="41">
        <f t="shared" si="264"/>
        <v>94104312.282666594</v>
      </c>
      <c r="D1322" s="47">
        <f t="shared" si="267"/>
        <v>94997144.379999995</v>
      </c>
      <c r="E1322" s="170">
        <f t="shared" si="251"/>
        <v>892832.09733340144</v>
      </c>
      <c r="G1322" s="173">
        <f t="shared" si="265"/>
        <v>1376000</v>
      </c>
      <c r="H1322" s="47">
        <f t="shared" si="266"/>
        <v>1850000</v>
      </c>
      <c r="I1322" s="171">
        <f t="shared" si="252"/>
        <v>474000</v>
      </c>
      <c r="J1322" s="170">
        <f t="shared" si="253"/>
        <v>1366832.0973334014</v>
      </c>
    </row>
    <row r="1323" spans="2:10" ht="12.65" customHeight="1">
      <c r="B1323" s="33">
        <f t="shared" si="262"/>
        <v>44910</v>
      </c>
      <c r="C1323" s="41">
        <f t="shared" si="264"/>
        <v>94104312.282666594</v>
      </c>
      <c r="D1323" s="47">
        <f>94973756.83+23387.55</f>
        <v>94997144.379999995</v>
      </c>
      <c r="E1323" s="170">
        <f t="shared" si="251"/>
        <v>892832.09733340144</v>
      </c>
      <c r="G1323" s="173">
        <f>1376000</f>
        <v>1376000</v>
      </c>
      <c r="H1323" s="47">
        <f t="shared" si="266"/>
        <v>1850000</v>
      </c>
      <c r="I1323" s="171">
        <f t="shared" si="252"/>
        <v>474000</v>
      </c>
      <c r="J1323" s="170">
        <f t="shared" si="253"/>
        <v>1366832.0973334014</v>
      </c>
    </row>
    <row r="1324" spans="2:10" ht="12.65" customHeight="1">
      <c r="B1324" s="33">
        <f t="shared" si="262"/>
        <v>44911</v>
      </c>
      <c r="C1324" s="41">
        <v>95205688.871999994</v>
      </c>
      <c r="D1324" s="47">
        <f t="shared" ref="D1324:D1330" si="268">95973756.83+23387.55</f>
        <v>95997144.379999995</v>
      </c>
      <c r="E1324" s="170">
        <f t="shared" si="251"/>
        <v>791455.50800000131</v>
      </c>
      <c r="G1324" s="173">
        <v>1261000</v>
      </c>
      <c r="H1324" s="47">
        <f t="shared" si="266"/>
        <v>1850000</v>
      </c>
      <c r="I1324" s="171">
        <f t="shared" si="252"/>
        <v>589000</v>
      </c>
      <c r="J1324" s="170">
        <f t="shared" si="253"/>
        <v>1380455.5080000013</v>
      </c>
    </row>
    <row r="1325" spans="2:10" ht="12.65" customHeight="1">
      <c r="B1325" s="33">
        <f t="shared" si="262"/>
        <v>44914</v>
      </c>
      <c r="C1325" s="41">
        <v>95205688.871999994</v>
      </c>
      <c r="D1325" s="47">
        <f t="shared" si="268"/>
        <v>95997144.379999995</v>
      </c>
      <c r="E1325" s="170">
        <f t="shared" si="251"/>
        <v>791455.50800000131</v>
      </c>
      <c r="G1325" s="173">
        <v>1261000</v>
      </c>
      <c r="H1325" s="47">
        <f t="shared" si="266"/>
        <v>1850000</v>
      </c>
      <c r="I1325" s="171">
        <f t="shared" si="252"/>
        <v>589000</v>
      </c>
      <c r="J1325" s="170">
        <f t="shared" si="253"/>
        <v>1380455.5080000013</v>
      </c>
    </row>
    <row r="1326" spans="2:10" ht="12.65" customHeight="1">
      <c r="B1326" s="33">
        <f t="shared" si="262"/>
        <v>44915</v>
      </c>
      <c r="C1326" s="41">
        <v>95205688.871999994</v>
      </c>
      <c r="D1326" s="47">
        <f t="shared" si="268"/>
        <v>95997144.379999995</v>
      </c>
      <c r="E1326" s="170">
        <f t="shared" si="251"/>
        <v>791455.50800000131</v>
      </c>
      <c r="G1326" s="173">
        <v>1261000</v>
      </c>
      <c r="H1326" s="47">
        <f>1850000+0</f>
        <v>1850000</v>
      </c>
      <c r="I1326" s="171">
        <f t="shared" si="252"/>
        <v>589000</v>
      </c>
      <c r="J1326" s="170">
        <f t="shared" si="253"/>
        <v>1380455.5080000013</v>
      </c>
    </row>
    <row r="1327" spans="2:10" ht="12.65" customHeight="1">
      <c r="B1327" s="33">
        <f t="shared" si="262"/>
        <v>44916</v>
      </c>
      <c r="C1327" s="41">
        <v>95205688.871999994</v>
      </c>
      <c r="D1327" s="47">
        <f t="shared" si="268"/>
        <v>95997144.379999995</v>
      </c>
      <c r="E1327" s="170">
        <f t="shared" si="251"/>
        <v>791455.50800000131</v>
      </c>
      <c r="G1327" s="173">
        <v>1261000</v>
      </c>
      <c r="H1327" s="47">
        <f t="shared" ref="H1327:H1333" si="269">1650000+0</f>
        <v>1650000</v>
      </c>
      <c r="I1327" s="171">
        <f t="shared" si="252"/>
        <v>389000</v>
      </c>
      <c r="J1327" s="170">
        <f t="shared" si="253"/>
        <v>1180455.5080000013</v>
      </c>
    </row>
    <row r="1328" spans="2:10" ht="12.65" customHeight="1">
      <c r="B1328" s="33">
        <f t="shared" si="262"/>
        <v>44917</v>
      </c>
      <c r="C1328" s="41">
        <v>95205688.871999994</v>
      </c>
      <c r="D1328" s="47">
        <f t="shared" si="268"/>
        <v>95997144.379999995</v>
      </c>
      <c r="E1328" s="170">
        <f t="shared" si="251"/>
        <v>791455.50800000131</v>
      </c>
      <c r="G1328" s="173">
        <v>1261000</v>
      </c>
      <c r="H1328" s="47">
        <f t="shared" si="269"/>
        <v>1650000</v>
      </c>
      <c r="I1328" s="171">
        <f t="shared" si="252"/>
        <v>389000</v>
      </c>
      <c r="J1328" s="170">
        <f t="shared" si="253"/>
        <v>1180455.5080000013</v>
      </c>
    </row>
    <row r="1329" spans="2:10" ht="12.65" customHeight="1">
      <c r="B1329" s="33">
        <f t="shared" si="262"/>
        <v>44918</v>
      </c>
      <c r="C1329" s="41">
        <v>95205688.871999994</v>
      </c>
      <c r="D1329" s="47">
        <f t="shared" si="268"/>
        <v>95997144.379999995</v>
      </c>
      <c r="E1329" s="170">
        <f t="shared" si="251"/>
        <v>791455.50800000131</v>
      </c>
      <c r="G1329" s="173">
        <v>1261000</v>
      </c>
      <c r="H1329" s="47">
        <f t="shared" si="269"/>
        <v>1650000</v>
      </c>
      <c r="I1329" s="171">
        <f t="shared" si="252"/>
        <v>389000</v>
      </c>
      <c r="J1329" s="170">
        <f t="shared" si="253"/>
        <v>1180455.5080000013</v>
      </c>
    </row>
    <row r="1330" spans="2:10" ht="12.65" customHeight="1">
      <c r="B1330" s="33">
        <f t="shared" si="262"/>
        <v>44921</v>
      </c>
      <c r="C1330" s="41">
        <v>95205688.871999994</v>
      </c>
      <c r="D1330" s="47">
        <f t="shared" si="268"/>
        <v>95997144.379999995</v>
      </c>
      <c r="E1330" s="170">
        <f t="shared" si="251"/>
        <v>791455.50800000131</v>
      </c>
      <c r="G1330" s="173">
        <v>1261000</v>
      </c>
      <c r="H1330" s="47">
        <f t="shared" si="269"/>
        <v>1650000</v>
      </c>
      <c r="I1330" s="171">
        <f t="shared" si="252"/>
        <v>389000</v>
      </c>
      <c r="J1330" s="170">
        <f t="shared" si="253"/>
        <v>1180455.5080000013</v>
      </c>
    </row>
    <row r="1331" spans="2:10" ht="12.65" customHeight="1">
      <c r="B1331" s="33">
        <f t="shared" si="262"/>
        <v>44922</v>
      </c>
      <c r="C1331" s="41">
        <v>95205688.871999994</v>
      </c>
      <c r="D1331" s="47">
        <f>95973756.83+23387.55</f>
        <v>95997144.379999995</v>
      </c>
      <c r="E1331" s="170">
        <f t="shared" si="251"/>
        <v>791455.50800000131</v>
      </c>
      <c r="G1331" s="173">
        <v>1261000</v>
      </c>
      <c r="H1331" s="47">
        <f t="shared" si="269"/>
        <v>1650000</v>
      </c>
      <c r="I1331" s="171">
        <f t="shared" si="252"/>
        <v>389000</v>
      </c>
      <c r="J1331" s="170">
        <f t="shared" si="253"/>
        <v>1180455.5080000013</v>
      </c>
    </row>
    <row r="1332" spans="2:10" ht="12.65" customHeight="1">
      <c r="B1332" s="33">
        <f t="shared" si="262"/>
        <v>44923</v>
      </c>
      <c r="C1332" s="41">
        <v>95205688.871999994</v>
      </c>
      <c r="D1332" s="47">
        <f>95973756.83+23387.55</f>
        <v>95997144.379999995</v>
      </c>
      <c r="E1332" s="170">
        <f t="shared" si="251"/>
        <v>791455.50800000131</v>
      </c>
      <c r="G1332" s="173">
        <v>1261000</v>
      </c>
      <c r="H1332" s="47">
        <f t="shared" si="269"/>
        <v>1650000</v>
      </c>
      <c r="I1332" s="171">
        <f t="shared" si="252"/>
        <v>389000</v>
      </c>
      <c r="J1332" s="170">
        <f t="shared" si="253"/>
        <v>1180455.5080000013</v>
      </c>
    </row>
    <row r="1333" spans="2:10" ht="12.65" customHeight="1">
      <c r="B1333" s="33">
        <f t="shared" si="262"/>
        <v>44924</v>
      </c>
      <c r="C1333" s="41">
        <v>95205688.871999994</v>
      </c>
      <c r="D1333" s="47">
        <f>95973756.83+23387.55</f>
        <v>95997144.379999995</v>
      </c>
      <c r="E1333" s="170">
        <f t="shared" si="251"/>
        <v>791455.50800000131</v>
      </c>
      <c r="G1333" s="173">
        <v>1261000</v>
      </c>
      <c r="H1333" s="47">
        <f t="shared" si="269"/>
        <v>1650000</v>
      </c>
      <c r="I1333" s="171">
        <f t="shared" si="252"/>
        <v>389000</v>
      </c>
      <c r="J1333" s="170">
        <f t="shared" si="253"/>
        <v>1180455.5080000013</v>
      </c>
    </row>
    <row r="1334" spans="2:10" ht="12.65" customHeight="1">
      <c r="B1334" s="33">
        <f>WORKDAY(B1333,1)</f>
        <v>44925</v>
      </c>
      <c r="C1334" s="41">
        <v>95205688.871999994</v>
      </c>
      <c r="D1334" s="47">
        <f t="shared" ref="D1334:D1339" si="270">98473756.83+23387.55</f>
        <v>98497144.379999995</v>
      </c>
      <c r="E1334" s="170">
        <f t="shared" ref="E1334:E1397" si="271">D1334-C1334</f>
        <v>3291455.5080000013</v>
      </c>
      <c r="G1334" s="173">
        <v>1261000</v>
      </c>
      <c r="H1334" s="47">
        <f t="shared" ref="H1334:H1339" si="272">1650000+0</f>
        <v>1650000</v>
      </c>
      <c r="I1334" s="171">
        <f t="shared" ref="I1334:I1397" si="273">H1334-G1334</f>
        <v>389000</v>
      </c>
      <c r="J1334" s="170">
        <f t="shared" ref="J1334:J1397" si="274">E1334+I1334</f>
        <v>3680455.5080000013</v>
      </c>
    </row>
    <row r="1335" spans="2:10" ht="12.65" customHeight="1">
      <c r="B1335" s="33">
        <v>44926</v>
      </c>
      <c r="C1335" s="41">
        <v>95205688.871999994</v>
      </c>
      <c r="D1335" s="47">
        <f t="shared" si="270"/>
        <v>98497144.379999995</v>
      </c>
      <c r="E1335" s="170">
        <f t="shared" ref="E1335" si="275">D1335-C1335</f>
        <v>3291455.5080000013</v>
      </c>
      <c r="G1335" s="173">
        <v>1261000</v>
      </c>
      <c r="H1335" s="47">
        <f t="shared" si="272"/>
        <v>1650000</v>
      </c>
      <c r="I1335" s="171">
        <f t="shared" ref="I1335" si="276">H1335-G1335</f>
        <v>389000</v>
      </c>
      <c r="J1335" s="170">
        <f t="shared" ref="J1335" si="277">E1335+I1335</f>
        <v>3680455.5080000013</v>
      </c>
    </row>
    <row r="1336" spans="2:10" ht="12.65" customHeight="1">
      <c r="B1336" s="33">
        <f>WORKDAY(B1334,1)</f>
        <v>44928</v>
      </c>
      <c r="C1336" s="41">
        <f>97629814.128</f>
        <v>97629814.128000006</v>
      </c>
      <c r="D1336" s="47">
        <f t="shared" si="270"/>
        <v>98497144.379999995</v>
      </c>
      <c r="E1336" s="170">
        <f t="shared" si="271"/>
        <v>867330.25199998915</v>
      </c>
      <c r="G1336" s="173">
        <f>1151000</f>
        <v>1151000</v>
      </c>
      <c r="H1336" s="47">
        <f t="shared" si="272"/>
        <v>1650000</v>
      </c>
      <c r="I1336" s="171">
        <f t="shared" si="273"/>
        <v>499000</v>
      </c>
      <c r="J1336" s="170">
        <f t="shared" si="274"/>
        <v>1366330.2519999892</v>
      </c>
    </row>
    <row r="1337" spans="2:10" ht="12.65" customHeight="1">
      <c r="B1337" s="33">
        <f t="shared" si="262"/>
        <v>44929</v>
      </c>
      <c r="C1337" s="41">
        <f t="shared" ref="C1337:C1345" si="278">97629814.128</f>
        <v>97629814.128000006</v>
      </c>
      <c r="D1337" s="47">
        <f t="shared" si="270"/>
        <v>98497144.379999995</v>
      </c>
      <c r="E1337" s="170">
        <f t="shared" si="271"/>
        <v>867330.25199998915</v>
      </c>
      <c r="G1337" s="173">
        <f t="shared" ref="G1337:G1344" si="279">1151000</f>
        <v>1151000</v>
      </c>
      <c r="H1337" s="47">
        <f t="shared" si="272"/>
        <v>1650000</v>
      </c>
      <c r="I1337" s="171">
        <f t="shared" si="273"/>
        <v>499000</v>
      </c>
      <c r="J1337" s="170">
        <f t="shared" si="274"/>
        <v>1366330.2519999892</v>
      </c>
    </row>
    <row r="1338" spans="2:10" ht="12.65" customHeight="1">
      <c r="B1338" s="33">
        <f t="shared" si="262"/>
        <v>44930</v>
      </c>
      <c r="C1338" s="41">
        <f t="shared" si="278"/>
        <v>97629814.128000006</v>
      </c>
      <c r="D1338" s="47">
        <f t="shared" si="270"/>
        <v>98497144.379999995</v>
      </c>
      <c r="E1338" s="170">
        <f t="shared" si="271"/>
        <v>867330.25199998915</v>
      </c>
      <c r="G1338" s="173">
        <f t="shared" si="279"/>
        <v>1151000</v>
      </c>
      <c r="H1338" s="47">
        <f t="shared" si="272"/>
        <v>1650000</v>
      </c>
      <c r="I1338" s="171">
        <f t="shared" si="273"/>
        <v>499000</v>
      </c>
      <c r="J1338" s="170">
        <f t="shared" si="274"/>
        <v>1366330.2519999892</v>
      </c>
    </row>
    <row r="1339" spans="2:10" ht="12.65" customHeight="1">
      <c r="B1339" s="33">
        <f t="shared" si="262"/>
        <v>44931</v>
      </c>
      <c r="C1339" s="41">
        <f t="shared" si="278"/>
        <v>97629814.128000006</v>
      </c>
      <c r="D1339" s="47">
        <f t="shared" si="270"/>
        <v>98497144.379999995</v>
      </c>
      <c r="E1339" s="170">
        <f t="shared" si="271"/>
        <v>867330.25199998915</v>
      </c>
      <c r="G1339" s="173">
        <f t="shared" si="279"/>
        <v>1151000</v>
      </c>
      <c r="H1339" s="47">
        <f t="shared" si="272"/>
        <v>1650000</v>
      </c>
      <c r="I1339" s="171">
        <f t="shared" si="273"/>
        <v>499000</v>
      </c>
      <c r="J1339" s="170">
        <f t="shared" si="274"/>
        <v>1366330.2519999892</v>
      </c>
    </row>
    <row r="1340" spans="2:10" ht="12.65" customHeight="1">
      <c r="B1340" s="33">
        <f t="shared" si="262"/>
        <v>44932</v>
      </c>
      <c r="C1340" s="41">
        <f t="shared" si="278"/>
        <v>97629814.128000006</v>
      </c>
      <c r="D1340" s="47">
        <f t="shared" ref="D1340:D1345" si="280">98473756.83+23387.55</f>
        <v>98497144.379999995</v>
      </c>
      <c r="E1340" s="170">
        <f t="shared" si="271"/>
        <v>867330.25199998915</v>
      </c>
      <c r="G1340" s="173">
        <f t="shared" si="279"/>
        <v>1151000</v>
      </c>
      <c r="H1340" s="47">
        <f t="shared" ref="H1340:H1346" si="281">1500000+0</f>
        <v>1500000</v>
      </c>
      <c r="I1340" s="171">
        <f t="shared" si="273"/>
        <v>349000</v>
      </c>
      <c r="J1340" s="170">
        <f t="shared" si="274"/>
        <v>1216330.2519999892</v>
      </c>
    </row>
    <row r="1341" spans="2:10" ht="12.65" customHeight="1">
      <c r="B1341" s="33">
        <f t="shared" si="262"/>
        <v>44935</v>
      </c>
      <c r="C1341" s="41">
        <f t="shared" si="278"/>
        <v>97629814.128000006</v>
      </c>
      <c r="D1341" s="47">
        <f t="shared" si="280"/>
        <v>98497144.379999995</v>
      </c>
      <c r="E1341" s="170">
        <f t="shared" si="271"/>
        <v>867330.25199998915</v>
      </c>
      <c r="G1341" s="173">
        <f t="shared" si="279"/>
        <v>1151000</v>
      </c>
      <c r="H1341" s="47">
        <f t="shared" si="281"/>
        <v>1500000</v>
      </c>
      <c r="I1341" s="171">
        <f t="shared" si="273"/>
        <v>349000</v>
      </c>
      <c r="J1341" s="170">
        <f t="shared" si="274"/>
        <v>1216330.2519999892</v>
      </c>
    </row>
    <row r="1342" spans="2:10" ht="12.65" customHeight="1">
      <c r="B1342" s="33">
        <f t="shared" si="262"/>
        <v>44936</v>
      </c>
      <c r="C1342" s="41">
        <f t="shared" si="278"/>
        <v>97629814.128000006</v>
      </c>
      <c r="D1342" s="47">
        <f t="shared" si="280"/>
        <v>98497144.379999995</v>
      </c>
      <c r="E1342" s="170">
        <f t="shared" si="271"/>
        <v>867330.25199998915</v>
      </c>
      <c r="G1342" s="173">
        <f t="shared" si="279"/>
        <v>1151000</v>
      </c>
      <c r="H1342" s="47">
        <f t="shared" si="281"/>
        <v>1500000</v>
      </c>
      <c r="I1342" s="171">
        <f t="shared" si="273"/>
        <v>349000</v>
      </c>
      <c r="J1342" s="170">
        <f t="shared" si="274"/>
        <v>1216330.2519999892</v>
      </c>
    </row>
    <row r="1343" spans="2:10" ht="12.65" customHeight="1">
      <c r="B1343" s="33">
        <f t="shared" si="262"/>
        <v>44937</v>
      </c>
      <c r="C1343" s="41">
        <f t="shared" si="278"/>
        <v>97629814.128000006</v>
      </c>
      <c r="D1343" s="47">
        <f t="shared" si="280"/>
        <v>98497144.379999995</v>
      </c>
      <c r="E1343" s="170">
        <f t="shared" si="271"/>
        <v>867330.25199998915</v>
      </c>
      <c r="G1343" s="173">
        <f t="shared" si="279"/>
        <v>1151000</v>
      </c>
      <c r="H1343" s="47">
        <f t="shared" si="281"/>
        <v>1500000</v>
      </c>
      <c r="I1343" s="171">
        <f t="shared" si="273"/>
        <v>349000</v>
      </c>
      <c r="J1343" s="170">
        <f t="shared" si="274"/>
        <v>1216330.2519999892</v>
      </c>
    </row>
    <row r="1344" spans="2:10" ht="12.65" customHeight="1">
      <c r="B1344" s="33">
        <f t="shared" si="262"/>
        <v>44938</v>
      </c>
      <c r="C1344" s="41">
        <f t="shared" si="278"/>
        <v>97629814.128000006</v>
      </c>
      <c r="D1344" s="47">
        <f t="shared" si="280"/>
        <v>98497144.379999995</v>
      </c>
      <c r="E1344" s="170">
        <f t="shared" si="271"/>
        <v>867330.25199998915</v>
      </c>
      <c r="G1344" s="173">
        <f t="shared" si="279"/>
        <v>1151000</v>
      </c>
      <c r="H1344" s="47">
        <f t="shared" si="281"/>
        <v>1500000</v>
      </c>
      <c r="I1344" s="171">
        <f t="shared" si="273"/>
        <v>349000</v>
      </c>
      <c r="J1344" s="170">
        <f t="shared" si="274"/>
        <v>1216330.2519999892</v>
      </c>
    </row>
    <row r="1345" spans="2:10" ht="12.65" customHeight="1">
      <c r="B1345" s="33">
        <f t="shared" si="262"/>
        <v>44939</v>
      </c>
      <c r="C1345" s="41">
        <f t="shared" si="278"/>
        <v>97629814.128000006</v>
      </c>
      <c r="D1345" s="47">
        <f t="shared" si="280"/>
        <v>98497144.379999995</v>
      </c>
      <c r="E1345" s="170">
        <f t="shared" si="271"/>
        <v>867330.25199998915</v>
      </c>
      <c r="G1345" s="173">
        <f>1151000</f>
        <v>1151000</v>
      </c>
      <c r="H1345" s="47">
        <f t="shared" si="281"/>
        <v>1500000</v>
      </c>
      <c r="I1345" s="171">
        <f t="shared" si="273"/>
        <v>349000</v>
      </c>
      <c r="J1345" s="170">
        <f t="shared" si="274"/>
        <v>1216330.2519999892</v>
      </c>
    </row>
    <row r="1346" spans="2:10" ht="12.65" customHeight="1">
      <c r="B1346" s="33">
        <f t="shared" si="262"/>
        <v>44942</v>
      </c>
      <c r="C1346" s="41">
        <f>98900527.52</f>
        <v>98900527.519999996</v>
      </c>
      <c r="D1346" s="47">
        <f>98473756.83+23387.55</f>
        <v>98497144.379999995</v>
      </c>
      <c r="E1346" s="170">
        <f t="shared" si="271"/>
        <v>-403383.1400000006</v>
      </c>
      <c r="G1346" s="173">
        <f>1290000</f>
        <v>1290000</v>
      </c>
      <c r="H1346" s="47">
        <f t="shared" si="281"/>
        <v>1500000</v>
      </c>
      <c r="I1346" s="171">
        <f t="shared" si="273"/>
        <v>210000</v>
      </c>
      <c r="J1346" s="170">
        <f t="shared" si="274"/>
        <v>-193383.1400000006</v>
      </c>
    </row>
    <row r="1347" spans="2:10" ht="12.65" customHeight="1">
      <c r="B1347" s="33">
        <f t="shared" si="262"/>
        <v>44943</v>
      </c>
      <c r="C1347" s="41">
        <f t="shared" ref="C1347:C1356" si="282">98900527.52</f>
        <v>98900527.519999996</v>
      </c>
      <c r="D1347" s="47">
        <f t="shared" ref="D1347:D1353" si="283">99773756.83+31547.55</f>
        <v>99805304.379999995</v>
      </c>
      <c r="E1347" s="170">
        <f t="shared" si="271"/>
        <v>904776.8599999994</v>
      </c>
      <c r="G1347" s="173">
        <f t="shared" ref="G1347:G1356" si="284">1290000</f>
        <v>1290000</v>
      </c>
      <c r="H1347" s="47">
        <f t="shared" ref="H1347:H1356" si="285">1500000+0</f>
        <v>1500000</v>
      </c>
      <c r="I1347" s="171">
        <f t="shared" si="273"/>
        <v>210000</v>
      </c>
      <c r="J1347" s="170">
        <f t="shared" si="274"/>
        <v>1114776.8599999994</v>
      </c>
    </row>
    <row r="1348" spans="2:10" ht="12.65" customHeight="1">
      <c r="B1348" s="33">
        <f t="shared" si="262"/>
        <v>44944</v>
      </c>
      <c r="C1348" s="41">
        <f t="shared" si="282"/>
        <v>98900527.519999996</v>
      </c>
      <c r="D1348" s="47">
        <f t="shared" si="283"/>
        <v>99805304.379999995</v>
      </c>
      <c r="E1348" s="170">
        <f t="shared" si="271"/>
        <v>904776.8599999994</v>
      </c>
      <c r="G1348" s="173">
        <f t="shared" si="284"/>
        <v>1290000</v>
      </c>
      <c r="H1348" s="47">
        <f t="shared" si="285"/>
        <v>1500000</v>
      </c>
      <c r="I1348" s="171">
        <f t="shared" si="273"/>
        <v>210000</v>
      </c>
      <c r="J1348" s="170">
        <f t="shared" si="274"/>
        <v>1114776.8599999994</v>
      </c>
    </row>
    <row r="1349" spans="2:10" ht="12.65" customHeight="1">
      <c r="B1349" s="33">
        <f t="shared" si="262"/>
        <v>44945</v>
      </c>
      <c r="C1349" s="41">
        <f t="shared" si="282"/>
        <v>98900527.519999996</v>
      </c>
      <c r="D1349" s="47">
        <f t="shared" si="283"/>
        <v>99805304.379999995</v>
      </c>
      <c r="E1349" s="170">
        <f t="shared" si="271"/>
        <v>904776.8599999994</v>
      </c>
      <c r="G1349" s="173">
        <f t="shared" si="284"/>
        <v>1290000</v>
      </c>
      <c r="H1349" s="47">
        <f t="shared" si="285"/>
        <v>1500000</v>
      </c>
      <c r="I1349" s="171">
        <f t="shared" si="273"/>
        <v>210000</v>
      </c>
      <c r="J1349" s="170">
        <f t="shared" si="274"/>
        <v>1114776.8599999994</v>
      </c>
    </row>
    <row r="1350" spans="2:10" ht="12.65" customHeight="1">
      <c r="B1350" s="33">
        <f t="shared" si="262"/>
        <v>44946</v>
      </c>
      <c r="C1350" s="41">
        <f t="shared" si="282"/>
        <v>98900527.519999996</v>
      </c>
      <c r="D1350" s="47">
        <f t="shared" si="283"/>
        <v>99805304.379999995</v>
      </c>
      <c r="E1350" s="170">
        <f t="shared" si="271"/>
        <v>904776.8599999994</v>
      </c>
      <c r="G1350" s="173">
        <f t="shared" si="284"/>
        <v>1290000</v>
      </c>
      <c r="H1350" s="47">
        <f t="shared" si="285"/>
        <v>1500000</v>
      </c>
      <c r="I1350" s="171">
        <f t="shared" si="273"/>
        <v>210000</v>
      </c>
      <c r="J1350" s="170">
        <f t="shared" si="274"/>
        <v>1114776.8599999994</v>
      </c>
    </row>
    <row r="1351" spans="2:10" ht="12.65" customHeight="1">
      <c r="B1351" s="33">
        <f>WORKDAY(B1350,2)</f>
        <v>44950</v>
      </c>
      <c r="C1351" s="41">
        <f t="shared" si="282"/>
        <v>98900527.519999996</v>
      </c>
      <c r="D1351" s="47">
        <f t="shared" si="283"/>
        <v>99805304.379999995</v>
      </c>
      <c r="E1351" s="170">
        <f t="shared" si="271"/>
        <v>904776.8599999994</v>
      </c>
      <c r="G1351" s="173">
        <f t="shared" si="284"/>
        <v>1290000</v>
      </c>
      <c r="H1351" s="47">
        <f t="shared" si="285"/>
        <v>1500000</v>
      </c>
      <c r="I1351" s="171">
        <f t="shared" si="273"/>
        <v>210000</v>
      </c>
      <c r="J1351" s="170">
        <f t="shared" si="274"/>
        <v>1114776.8599999994</v>
      </c>
    </row>
    <row r="1352" spans="2:10" ht="12.65" customHeight="1">
      <c r="B1352" s="33">
        <f t="shared" si="262"/>
        <v>44951</v>
      </c>
      <c r="C1352" s="41">
        <f t="shared" si="282"/>
        <v>98900527.519999996</v>
      </c>
      <c r="D1352" s="47">
        <f t="shared" si="283"/>
        <v>99805304.379999995</v>
      </c>
      <c r="E1352" s="170">
        <f t="shared" si="271"/>
        <v>904776.8599999994</v>
      </c>
      <c r="G1352" s="173">
        <f t="shared" si="284"/>
        <v>1290000</v>
      </c>
      <c r="H1352" s="47">
        <f t="shared" si="285"/>
        <v>1500000</v>
      </c>
      <c r="I1352" s="171">
        <f t="shared" si="273"/>
        <v>210000</v>
      </c>
      <c r="J1352" s="170">
        <f t="shared" si="274"/>
        <v>1114776.8599999994</v>
      </c>
    </row>
    <row r="1353" spans="2:10" ht="12.65" customHeight="1">
      <c r="B1353" s="33">
        <f t="shared" si="262"/>
        <v>44952</v>
      </c>
      <c r="C1353" s="41">
        <f t="shared" si="282"/>
        <v>98900527.519999996</v>
      </c>
      <c r="D1353" s="47">
        <f t="shared" si="283"/>
        <v>99805304.379999995</v>
      </c>
      <c r="E1353" s="170">
        <f t="shared" si="271"/>
        <v>904776.8599999994</v>
      </c>
      <c r="G1353" s="173">
        <f t="shared" si="284"/>
        <v>1290000</v>
      </c>
      <c r="H1353" s="47">
        <f t="shared" si="285"/>
        <v>1500000</v>
      </c>
      <c r="I1353" s="171">
        <f t="shared" si="273"/>
        <v>210000</v>
      </c>
      <c r="J1353" s="170">
        <f t="shared" si="274"/>
        <v>1114776.8599999994</v>
      </c>
    </row>
    <row r="1354" spans="2:10" ht="12.65" customHeight="1">
      <c r="B1354" s="33">
        <f t="shared" si="262"/>
        <v>44953</v>
      </c>
      <c r="C1354" s="41">
        <f t="shared" si="282"/>
        <v>98900527.519999996</v>
      </c>
      <c r="D1354" s="47">
        <f>99773756.83+31547.55</f>
        <v>99805304.379999995</v>
      </c>
      <c r="E1354" s="170">
        <f t="shared" si="271"/>
        <v>904776.8599999994</v>
      </c>
      <c r="G1354" s="173">
        <f t="shared" si="284"/>
        <v>1290000</v>
      </c>
      <c r="H1354" s="47">
        <f t="shared" si="285"/>
        <v>1500000</v>
      </c>
      <c r="I1354" s="171">
        <f t="shared" si="273"/>
        <v>210000</v>
      </c>
      <c r="J1354" s="170">
        <f t="shared" si="274"/>
        <v>1114776.8599999994</v>
      </c>
    </row>
    <row r="1355" spans="2:10" ht="12.65" customHeight="1">
      <c r="B1355" s="33">
        <f t="shared" si="262"/>
        <v>44956</v>
      </c>
      <c r="C1355" s="41">
        <f t="shared" si="282"/>
        <v>98900527.519999996</v>
      </c>
      <c r="D1355" s="47">
        <f>99773756.83+31547.55</f>
        <v>99805304.379999995</v>
      </c>
      <c r="E1355" s="170">
        <f t="shared" si="271"/>
        <v>904776.8599999994</v>
      </c>
      <c r="G1355" s="173">
        <f t="shared" si="284"/>
        <v>1290000</v>
      </c>
      <c r="H1355" s="47">
        <f t="shared" si="285"/>
        <v>1500000</v>
      </c>
      <c r="I1355" s="171">
        <f t="shared" si="273"/>
        <v>210000</v>
      </c>
      <c r="J1355" s="170">
        <f t="shared" si="274"/>
        <v>1114776.8599999994</v>
      </c>
    </row>
    <row r="1356" spans="2:10" ht="12.65" customHeight="1">
      <c r="B1356" s="33">
        <f t="shared" si="262"/>
        <v>44957</v>
      </c>
      <c r="C1356" s="41">
        <f t="shared" si="282"/>
        <v>98900527.519999996</v>
      </c>
      <c r="D1356" s="47">
        <f>99765596.83+31547.55</f>
        <v>99797144.379999995</v>
      </c>
      <c r="E1356" s="170">
        <f t="shared" si="271"/>
        <v>896616.8599999994</v>
      </c>
      <c r="G1356" s="173">
        <f t="shared" si="284"/>
        <v>1290000</v>
      </c>
      <c r="H1356" s="47">
        <f t="shared" si="285"/>
        <v>1500000</v>
      </c>
      <c r="I1356" s="171">
        <f t="shared" si="273"/>
        <v>210000</v>
      </c>
      <c r="J1356" s="170">
        <f t="shared" si="274"/>
        <v>1106616.8599999994</v>
      </c>
    </row>
    <row r="1357" spans="2:10" ht="12.65" customHeight="1">
      <c r="B1357" s="33">
        <f t="shared" si="262"/>
        <v>44958</v>
      </c>
      <c r="C1357" s="41">
        <f>98884579.7386667</f>
        <v>98884579.738666698</v>
      </c>
      <c r="D1357" s="47">
        <f>31547.55+99765596.83</f>
        <v>99797144.379999995</v>
      </c>
      <c r="E1357" s="170">
        <f t="shared" si="271"/>
        <v>912564.6413332969</v>
      </c>
      <c r="G1357" s="173">
        <f>1353000</f>
        <v>1353000</v>
      </c>
      <c r="H1357" s="47">
        <f t="shared" ref="H1357:H1363" si="286">1490000+0</f>
        <v>1490000</v>
      </c>
      <c r="I1357" s="171">
        <f t="shared" si="273"/>
        <v>137000</v>
      </c>
      <c r="J1357" s="170">
        <f t="shared" si="274"/>
        <v>1049564.6413332969</v>
      </c>
    </row>
    <row r="1358" spans="2:10" ht="12.65" customHeight="1">
      <c r="B1358" s="33">
        <f t="shared" si="262"/>
        <v>44959</v>
      </c>
      <c r="C1358" s="41">
        <f t="shared" ref="C1358:C1367" si="287">98884579.7386667</f>
        <v>98884579.738666698</v>
      </c>
      <c r="D1358" s="47">
        <f>31547.55+99765596.83</f>
        <v>99797144.379999995</v>
      </c>
      <c r="E1358" s="170">
        <f t="shared" si="271"/>
        <v>912564.6413332969</v>
      </c>
      <c r="G1358" s="173">
        <f t="shared" ref="G1358:G1367" si="288">1353000</f>
        <v>1353000</v>
      </c>
      <c r="H1358" s="47">
        <f t="shared" si="286"/>
        <v>1490000</v>
      </c>
      <c r="I1358" s="171">
        <f t="shared" si="273"/>
        <v>137000</v>
      </c>
      <c r="J1358" s="170">
        <f t="shared" si="274"/>
        <v>1049564.6413332969</v>
      </c>
    </row>
    <row r="1359" spans="2:10" ht="12.65" customHeight="1">
      <c r="B1359" s="33">
        <f t="shared" si="262"/>
        <v>44960</v>
      </c>
      <c r="C1359" s="41">
        <f t="shared" si="287"/>
        <v>98884579.738666698</v>
      </c>
      <c r="D1359" s="47">
        <f t="shared" ref="D1359:D1364" si="289">99765596.83+31547.55</f>
        <v>99797144.379999995</v>
      </c>
      <c r="E1359" s="170">
        <f t="shared" si="271"/>
        <v>912564.6413332969</v>
      </c>
      <c r="G1359" s="173">
        <f t="shared" si="288"/>
        <v>1353000</v>
      </c>
      <c r="H1359" s="47">
        <f t="shared" si="286"/>
        <v>1490000</v>
      </c>
      <c r="I1359" s="171">
        <f t="shared" si="273"/>
        <v>137000</v>
      </c>
      <c r="J1359" s="170">
        <f t="shared" si="274"/>
        <v>1049564.6413332969</v>
      </c>
    </row>
    <row r="1360" spans="2:10" ht="12.65" customHeight="1">
      <c r="B1360" s="33">
        <f t="shared" si="262"/>
        <v>44963</v>
      </c>
      <c r="C1360" s="41">
        <f t="shared" si="287"/>
        <v>98884579.738666698</v>
      </c>
      <c r="D1360" s="47">
        <f t="shared" si="289"/>
        <v>99797144.379999995</v>
      </c>
      <c r="E1360" s="170">
        <f t="shared" si="271"/>
        <v>912564.6413332969</v>
      </c>
      <c r="G1360" s="173">
        <f t="shared" si="288"/>
        <v>1353000</v>
      </c>
      <c r="H1360" s="47">
        <f t="shared" si="286"/>
        <v>1490000</v>
      </c>
      <c r="I1360" s="171">
        <f t="shared" si="273"/>
        <v>137000</v>
      </c>
      <c r="J1360" s="170">
        <f t="shared" si="274"/>
        <v>1049564.6413332969</v>
      </c>
    </row>
    <row r="1361" spans="2:10" ht="12.65" customHeight="1">
      <c r="B1361" s="33">
        <f t="shared" si="262"/>
        <v>44964</v>
      </c>
      <c r="C1361" s="41">
        <f t="shared" si="287"/>
        <v>98884579.738666698</v>
      </c>
      <c r="D1361" s="47">
        <f t="shared" si="289"/>
        <v>99797144.379999995</v>
      </c>
      <c r="E1361" s="170">
        <f t="shared" si="271"/>
        <v>912564.6413332969</v>
      </c>
      <c r="G1361" s="173">
        <f t="shared" si="288"/>
        <v>1353000</v>
      </c>
      <c r="H1361" s="47">
        <f t="shared" si="286"/>
        <v>1490000</v>
      </c>
      <c r="I1361" s="171">
        <f t="shared" si="273"/>
        <v>137000</v>
      </c>
      <c r="J1361" s="170">
        <f t="shared" si="274"/>
        <v>1049564.6413332969</v>
      </c>
    </row>
    <row r="1362" spans="2:10" ht="12.65" customHeight="1">
      <c r="B1362" s="33">
        <f t="shared" si="262"/>
        <v>44965</v>
      </c>
      <c r="C1362" s="41">
        <f t="shared" si="287"/>
        <v>98884579.738666698</v>
      </c>
      <c r="D1362" s="47">
        <f t="shared" si="289"/>
        <v>99797144.379999995</v>
      </c>
      <c r="E1362" s="170">
        <f t="shared" si="271"/>
        <v>912564.6413332969</v>
      </c>
      <c r="G1362" s="173">
        <f t="shared" si="288"/>
        <v>1353000</v>
      </c>
      <c r="H1362" s="47">
        <f t="shared" si="286"/>
        <v>1490000</v>
      </c>
      <c r="I1362" s="171">
        <f t="shared" si="273"/>
        <v>137000</v>
      </c>
      <c r="J1362" s="170">
        <f t="shared" si="274"/>
        <v>1049564.6413332969</v>
      </c>
    </row>
    <row r="1363" spans="2:10" ht="12.65" customHeight="1">
      <c r="B1363" s="33">
        <f t="shared" si="262"/>
        <v>44966</v>
      </c>
      <c r="C1363" s="41">
        <f t="shared" si="287"/>
        <v>98884579.738666698</v>
      </c>
      <c r="D1363" s="47">
        <f t="shared" si="289"/>
        <v>99797144.379999995</v>
      </c>
      <c r="E1363" s="170">
        <f t="shared" si="271"/>
        <v>912564.6413332969</v>
      </c>
      <c r="G1363" s="173">
        <f t="shared" si="288"/>
        <v>1353000</v>
      </c>
      <c r="H1363" s="47">
        <f t="shared" si="286"/>
        <v>1490000</v>
      </c>
      <c r="I1363" s="171">
        <f t="shared" si="273"/>
        <v>137000</v>
      </c>
      <c r="J1363" s="170">
        <f t="shared" si="274"/>
        <v>1049564.6413332969</v>
      </c>
    </row>
    <row r="1364" spans="2:10" ht="12.65" customHeight="1">
      <c r="B1364" s="33">
        <f t="shared" si="262"/>
        <v>44967</v>
      </c>
      <c r="C1364" s="41">
        <f t="shared" si="287"/>
        <v>98884579.738666698</v>
      </c>
      <c r="D1364" s="47">
        <f t="shared" si="289"/>
        <v>99797144.379999995</v>
      </c>
      <c r="E1364" s="170">
        <f t="shared" si="271"/>
        <v>912564.6413332969</v>
      </c>
      <c r="G1364" s="173">
        <f t="shared" si="288"/>
        <v>1353000</v>
      </c>
      <c r="H1364" s="47">
        <f>1490000+0</f>
        <v>1490000</v>
      </c>
      <c r="I1364" s="171">
        <f t="shared" si="273"/>
        <v>137000</v>
      </c>
      <c r="J1364" s="170">
        <f t="shared" si="274"/>
        <v>1049564.6413332969</v>
      </c>
    </row>
    <row r="1365" spans="2:10" ht="12.65" customHeight="1">
      <c r="B1365" s="33">
        <f t="shared" si="262"/>
        <v>44970</v>
      </c>
      <c r="C1365" s="41">
        <f t="shared" si="287"/>
        <v>98884579.738666698</v>
      </c>
      <c r="D1365" s="47">
        <f>99765596.83+31547.55</f>
        <v>99797144.379999995</v>
      </c>
      <c r="E1365" s="170">
        <f t="shared" si="271"/>
        <v>912564.6413332969</v>
      </c>
      <c r="G1365" s="173">
        <f t="shared" si="288"/>
        <v>1353000</v>
      </c>
      <c r="H1365" s="47">
        <f>1490000+0</f>
        <v>1490000</v>
      </c>
      <c r="I1365" s="171">
        <f t="shared" si="273"/>
        <v>137000</v>
      </c>
      <c r="J1365" s="170">
        <f t="shared" si="274"/>
        <v>1049564.6413332969</v>
      </c>
    </row>
    <row r="1366" spans="2:10" ht="12.65" customHeight="1">
      <c r="B1366" s="33">
        <f t="shared" si="262"/>
        <v>44971</v>
      </c>
      <c r="C1366" s="41">
        <f t="shared" si="287"/>
        <v>98884579.738666698</v>
      </c>
      <c r="D1366" s="47">
        <f>31547.55+99765596.83</f>
        <v>99797144.379999995</v>
      </c>
      <c r="E1366" s="170">
        <f t="shared" si="271"/>
        <v>912564.6413332969</v>
      </c>
      <c r="G1366" s="173">
        <f t="shared" si="288"/>
        <v>1353000</v>
      </c>
      <c r="H1366" s="47">
        <f>1490000+0</f>
        <v>1490000</v>
      </c>
      <c r="I1366" s="171">
        <f t="shared" si="273"/>
        <v>137000</v>
      </c>
      <c r="J1366" s="170">
        <f t="shared" si="274"/>
        <v>1049564.6413332969</v>
      </c>
    </row>
    <row r="1367" spans="2:10" ht="12.65" customHeight="1">
      <c r="B1367" s="33">
        <f t="shared" si="262"/>
        <v>44972</v>
      </c>
      <c r="C1367" s="41">
        <f t="shared" si="287"/>
        <v>98884579.738666698</v>
      </c>
      <c r="D1367" s="47">
        <f>31547.55+99765596.83</f>
        <v>99797144.379999995</v>
      </c>
      <c r="E1367" s="170">
        <f t="shared" si="271"/>
        <v>912564.6413332969</v>
      </c>
      <c r="G1367" s="173">
        <f t="shared" si="288"/>
        <v>1353000</v>
      </c>
      <c r="H1367" s="47">
        <f>1490000+0</f>
        <v>1490000</v>
      </c>
      <c r="I1367" s="171">
        <f t="shared" si="273"/>
        <v>137000</v>
      </c>
      <c r="J1367" s="170">
        <f t="shared" si="274"/>
        <v>1049564.6413332969</v>
      </c>
    </row>
    <row r="1368" spans="2:10" ht="12.65" customHeight="1">
      <c r="B1368" s="33">
        <f t="shared" si="262"/>
        <v>44973</v>
      </c>
      <c r="C1368" s="41">
        <f>97211461.9</f>
        <v>97211461.900000006</v>
      </c>
      <c r="D1368" s="47">
        <f>99765596.83+31547.55</f>
        <v>99797144.379999995</v>
      </c>
      <c r="E1368" s="170">
        <f t="shared" si="271"/>
        <v>2585682.4799999893</v>
      </c>
      <c r="G1368" s="173">
        <f>2067000</f>
        <v>2067000</v>
      </c>
      <c r="H1368" s="47">
        <f t="shared" ref="H1368:H1376" si="290">2490000+0</f>
        <v>2490000</v>
      </c>
      <c r="I1368" s="171">
        <f t="shared" si="273"/>
        <v>423000</v>
      </c>
      <c r="J1368" s="170">
        <f t="shared" si="274"/>
        <v>3008682.4799999893</v>
      </c>
    </row>
    <row r="1369" spans="2:10" ht="12.65" customHeight="1">
      <c r="B1369" s="33">
        <f t="shared" si="262"/>
        <v>44974</v>
      </c>
      <c r="C1369" s="41">
        <f t="shared" ref="C1369:C1376" si="291">97211461.9</f>
        <v>97211461.900000006</v>
      </c>
      <c r="D1369" s="47">
        <f>98065596.83+31547.55</f>
        <v>98097144.379999995</v>
      </c>
      <c r="E1369" s="170">
        <f t="shared" si="271"/>
        <v>885682.47999998927</v>
      </c>
      <c r="G1369" s="173">
        <f t="shared" ref="G1369:G1376" si="292">2067000</f>
        <v>2067000</v>
      </c>
      <c r="H1369" s="47">
        <f t="shared" si="290"/>
        <v>2490000</v>
      </c>
      <c r="I1369" s="171">
        <f t="shared" si="273"/>
        <v>423000</v>
      </c>
      <c r="J1369" s="170">
        <f t="shared" si="274"/>
        <v>1308682.4799999893</v>
      </c>
    </row>
    <row r="1370" spans="2:10" ht="12.65" customHeight="1">
      <c r="B1370" s="33">
        <f t="shared" si="262"/>
        <v>44977</v>
      </c>
      <c r="C1370" s="41">
        <f t="shared" si="291"/>
        <v>97211461.900000006</v>
      </c>
      <c r="D1370" s="47">
        <f>98065596.83+31547.55</f>
        <v>98097144.379999995</v>
      </c>
      <c r="E1370" s="170">
        <f t="shared" si="271"/>
        <v>885682.47999998927</v>
      </c>
      <c r="G1370" s="173">
        <f t="shared" si="292"/>
        <v>2067000</v>
      </c>
      <c r="H1370" s="47">
        <f t="shared" si="290"/>
        <v>2490000</v>
      </c>
      <c r="I1370" s="171">
        <f t="shared" si="273"/>
        <v>423000</v>
      </c>
      <c r="J1370" s="170">
        <f t="shared" si="274"/>
        <v>1308682.4799999893</v>
      </c>
    </row>
    <row r="1371" spans="2:10" ht="12.65" customHeight="1">
      <c r="B1371" s="33">
        <f t="shared" si="262"/>
        <v>44978</v>
      </c>
      <c r="C1371" s="41">
        <f t="shared" si="291"/>
        <v>97211461.900000006</v>
      </c>
      <c r="D1371" s="47">
        <f>31547.55+98065596.83</f>
        <v>98097144.379999995</v>
      </c>
      <c r="E1371" s="170">
        <f t="shared" si="271"/>
        <v>885682.47999998927</v>
      </c>
      <c r="G1371" s="173">
        <f t="shared" si="292"/>
        <v>2067000</v>
      </c>
      <c r="H1371" s="47">
        <f t="shared" si="290"/>
        <v>2490000</v>
      </c>
      <c r="I1371" s="171">
        <f t="shared" si="273"/>
        <v>423000</v>
      </c>
      <c r="J1371" s="170">
        <f t="shared" si="274"/>
        <v>1308682.4799999893</v>
      </c>
    </row>
    <row r="1372" spans="2:10" ht="12.65" customHeight="1">
      <c r="B1372" s="33">
        <f t="shared" si="262"/>
        <v>44979</v>
      </c>
      <c r="C1372" s="41">
        <f t="shared" si="291"/>
        <v>97211461.900000006</v>
      </c>
      <c r="D1372" s="47">
        <f>98065596.83+31547.55</f>
        <v>98097144.379999995</v>
      </c>
      <c r="E1372" s="170">
        <f t="shared" si="271"/>
        <v>885682.47999998927</v>
      </c>
      <c r="G1372" s="173">
        <f t="shared" si="292"/>
        <v>2067000</v>
      </c>
      <c r="H1372" s="47">
        <f t="shared" si="290"/>
        <v>2490000</v>
      </c>
      <c r="I1372" s="171">
        <f t="shared" si="273"/>
        <v>423000</v>
      </c>
      <c r="J1372" s="170">
        <f t="shared" si="274"/>
        <v>1308682.4799999893</v>
      </c>
    </row>
    <row r="1373" spans="2:10" ht="12.65" customHeight="1">
      <c r="B1373" s="33">
        <f t="shared" si="262"/>
        <v>44980</v>
      </c>
      <c r="C1373" s="41">
        <f t="shared" si="291"/>
        <v>97211461.900000006</v>
      </c>
      <c r="D1373" s="47">
        <f>31547.55+98065596.83</f>
        <v>98097144.379999995</v>
      </c>
      <c r="E1373" s="170">
        <f t="shared" si="271"/>
        <v>885682.47999998927</v>
      </c>
      <c r="G1373" s="173">
        <f t="shared" si="292"/>
        <v>2067000</v>
      </c>
      <c r="H1373" s="47">
        <f t="shared" si="290"/>
        <v>2490000</v>
      </c>
      <c r="I1373" s="171">
        <f t="shared" si="273"/>
        <v>423000</v>
      </c>
      <c r="J1373" s="170">
        <f t="shared" si="274"/>
        <v>1308682.4799999893</v>
      </c>
    </row>
    <row r="1374" spans="2:10" ht="12.65" customHeight="1">
      <c r="B1374" s="33">
        <f t="shared" si="262"/>
        <v>44981</v>
      </c>
      <c r="C1374" s="41">
        <f t="shared" si="291"/>
        <v>97211461.900000006</v>
      </c>
      <c r="D1374" s="47">
        <f>98065596.83+31547.55</f>
        <v>98097144.379999995</v>
      </c>
      <c r="E1374" s="170">
        <f t="shared" si="271"/>
        <v>885682.47999998927</v>
      </c>
      <c r="G1374" s="173">
        <f t="shared" si="292"/>
        <v>2067000</v>
      </c>
      <c r="H1374" s="47">
        <f t="shared" si="290"/>
        <v>2490000</v>
      </c>
      <c r="I1374" s="171">
        <f t="shared" si="273"/>
        <v>423000</v>
      </c>
      <c r="J1374" s="170">
        <f t="shared" si="274"/>
        <v>1308682.4799999893</v>
      </c>
    </row>
    <row r="1375" spans="2:10" ht="12.65" customHeight="1">
      <c r="B1375" s="33">
        <f t="shared" si="262"/>
        <v>44984</v>
      </c>
      <c r="C1375" s="41">
        <f t="shared" si="291"/>
        <v>97211461.900000006</v>
      </c>
      <c r="D1375" s="47">
        <f>98065596.83+31547.55</f>
        <v>98097144.379999995</v>
      </c>
      <c r="E1375" s="170">
        <f t="shared" si="271"/>
        <v>885682.47999998927</v>
      </c>
      <c r="G1375" s="173">
        <f t="shared" si="292"/>
        <v>2067000</v>
      </c>
      <c r="H1375" s="47">
        <f t="shared" si="290"/>
        <v>2490000</v>
      </c>
      <c r="I1375" s="171">
        <f t="shared" si="273"/>
        <v>423000</v>
      </c>
      <c r="J1375" s="170">
        <f t="shared" si="274"/>
        <v>1308682.4799999893</v>
      </c>
    </row>
    <row r="1376" spans="2:10" ht="12.65" customHeight="1">
      <c r="B1376" s="33">
        <f t="shared" ref="B1376:B1391" si="293">WORKDAY(B1375,1)</f>
        <v>44985</v>
      </c>
      <c r="C1376" s="41">
        <f t="shared" si="291"/>
        <v>97211461.900000006</v>
      </c>
      <c r="D1376" s="47">
        <f>98065596.83+31547.55</f>
        <v>98097144.379999995</v>
      </c>
      <c r="E1376" s="170">
        <f t="shared" si="271"/>
        <v>885682.47999998927</v>
      </c>
      <c r="G1376" s="173">
        <f t="shared" si="292"/>
        <v>2067000</v>
      </c>
      <c r="H1376" s="47">
        <f t="shared" si="290"/>
        <v>2490000</v>
      </c>
      <c r="I1376" s="171">
        <f t="shared" si="273"/>
        <v>423000</v>
      </c>
      <c r="J1376" s="170">
        <f t="shared" si="274"/>
        <v>1308682.4799999893</v>
      </c>
    </row>
    <row r="1377" spans="2:10" ht="12.65" customHeight="1">
      <c r="B1377" s="33">
        <f t="shared" si="293"/>
        <v>44986</v>
      </c>
      <c r="C1377" s="41">
        <v>94826527.445333302</v>
      </c>
      <c r="D1377" s="47">
        <f>98065596.83+31547.55</f>
        <v>98097144.379999995</v>
      </c>
      <c r="E1377" s="170">
        <f t="shared" si="271"/>
        <v>3270616.9346666932</v>
      </c>
      <c r="G1377" s="173">
        <f>3691000</f>
        <v>3691000</v>
      </c>
      <c r="H1377" s="47">
        <f t="shared" ref="H1377:H1401" si="294">4490000+0</f>
        <v>4490000</v>
      </c>
      <c r="I1377" s="171">
        <f t="shared" si="273"/>
        <v>799000</v>
      </c>
      <c r="J1377" s="170">
        <f t="shared" si="274"/>
        <v>4069616.9346666932</v>
      </c>
    </row>
    <row r="1378" spans="2:10" ht="12.65" customHeight="1">
      <c r="B1378" s="33">
        <f t="shared" si="293"/>
        <v>44987</v>
      </c>
      <c r="C1378" s="41">
        <v>94826527.445333302</v>
      </c>
      <c r="D1378" s="47">
        <f>101328096.83+31547.55</f>
        <v>101359644.38</v>
      </c>
      <c r="E1378" s="170">
        <f t="shared" si="271"/>
        <v>6533116.9346666932</v>
      </c>
      <c r="G1378" s="173">
        <f t="shared" ref="G1378:G1387" si="295">3691000</f>
        <v>3691000</v>
      </c>
      <c r="H1378" s="47">
        <f t="shared" si="294"/>
        <v>4490000</v>
      </c>
      <c r="I1378" s="171">
        <f t="shared" si="273"/>
        <v>799000</v>
      </c>
      <c r="J1378" s="170">
        <f t="shared" si="274"/>
        <v>7332116.9346666932</v>
      </c>
    </row>
    <row r="1379" spans="2:10" ht="12.65" customHeight="1">
      <c r="B1379" s="33">
        <f t="shared" si="293"/>
        <v>44988</v>
      </c>
      <c r="C1379" s="41">
        <v>94826527.445333302</v>
      </c>
      <c r="D1379" s="47">
        <f>98828096.83+31547.55</f>
        <v>98859644.379999995</v>
      </c>
      <c r="E1379" s="170">
        <f t="shared" si="271"/>
        <v>4033116.9346666932</v>
      </c>
      <c r="G1379" s="173">
        <f t="shared" si="295"/>
        <v>3691000</v>
      </c>
      <c r="H1379" s="47">
        <f t="shared" si="294"/>
        <v>4490000</v>
      </c>
      <c r="I1379" s="171">
        <f t="shared" si="273"/>
        <v>799000</v>
      </c>
      <c r="J1379" s="170">
        <f t="shared" si="274"/>
        <v>4832116.9346666932</v>
      </c>
    </row>
    <row r="1380" spans="2:10" ht="12.65" customHeight="1">
      <c r="B1380" s="33">
        <f t="shared" si="293"/>
        <v>44991</v>
      </c>
      <c r="C1380" s="41">
        <v>94826527.445333302</v>
      </c>
      <c r="D1380" s="47">
        <f>31547.55+95565596.83</f>
        <v>95597144.379999995</v>
      </c>
      <c r="E1380" s="170">
        <f t="shared" si="271"/>
        <v>770616.93466669321</v>
      </c>
      <c r="G1380" s="173">
        <f t="shared" si="295"/>
        <v>3691000</v>
      </c>
      <c r="H1380" s="47">
        <f t="shared" si="294"/>
        <v>4490000</v>
      </c>
      <c r="I1380" s="171">
        <f t="shared" si="273"/>
        <v>799000</v>
      </c>
      <c r="J1380" s="170">
        <f t="shared" si="274"/>
        <v>1569616.9346666932</v>
      </c>
    </row>
    <row r="1381" spans="2:10" ht="12.65" customHeight="1">
      <c r="B1381" s="33">
        <f t="shared" si="293"/>
        <v>44992</v>
      </c>
      <c r="C1381" s="41">
        <v>94826527.445333302</v>
      </c>
      <c r="D1381" s="47">
        <f>31547.55+95565596.83</f>
        <v>95597144.379999995</v>
      </c>
      <c r="E1381" s="170">
        <f t="shared" si="271"/>
        <v>770616.93466669321</v>
      </c>
      <c r="G1381" s="173">
        <f t="shared" si="295"/>
        <v>3691000</v>
      </c>
      <c r="H1381" s="47">
        <f t="shared" si="294"/>
        <v>4490000</v>
      </c>
      <c r="I1381" s="171">
        <f t="shared" si="273"/>
        <v>799000</v>
      </c>
      <c r="J1381" s="170">
        <f t="shared" si="274"/>
        <v>1569616.9346666932</v>
      </c>
    </row>
    <row r="1382" spans="2:10" ht="12.65" customHeight="1">
      <c r="B1382" s="33">
        <f t="shared" si="293"/>
        <v>44993</v>
      </c>
      <c r="C1382" s="41">
        <v>94826527.445333302</v>
      </c>
      <c r="D1382" s="47">
        <f>31547.55+95565596.83</f>
        <v>95597144.379999995</v>
      </c>
      <c r="E1382" s="170">
        <f t="shared" si="271"/>
        <v>770616.93466669321</v>
      </c>
      <c r="G1382" s="173">
        <f t="shared" si="295"/>
        <v>3691000</v>
      </c>
      <c r="H1382" s="47">
        <f t="shared" si="294"/>
        <v>4490000</v>
      </c>
      <c r="I1382" s="171">
        <f t="shared" si="273"/>
        <v>799000</v>
      </c>
      <c r="J1382" s="170">
        <f t="shared" si="274"/>
        <v>1569616.9346666932</v>
      </c>
    </row>
    <row r="1383" spans="2:10" ht="12.65" customHeight="1">
      <c r="B1383" s="33">
        <f t="shared" si="293"/>
        <v>44994</v>
      </c>
      <c r="C1383" s="41">
        <v>94826527.445333302</v>
      </c>
      <c r="D1383" s="47">
        <f>31547.55+95565596.83</f>
        <v>95597144.379999995</v>
      </c>
      <c r="E1383" s="170">
        <f t="shared" si="271"/>
        <v>770616.93466669321</v>
      </c>
      <c r="G1383" s="173">
        <f t="shared" si="295"/>
        <v>3691000</v>
      </c>
      <c r="H1383" s="47">
        <f t="shared" si="294"/>
        <v>4490000</v>
      </c>
      <c r="I1383" s="171">
        <f t="shared" si="273"/>
        <v>799000</v>
      </c>
      <c r="J1383" s="170">
        <f t="shared" si="274"/>
        <v>1569616.9346666932</v>
      </c>
    </row>
    <row r="1384" spans="2:10" ht="12.65" customHeight="1">
      <c r="B1384" s="33">
        <f t="shared" si="293"/>
        <v>44995</v>
      </c>
      <c r="C1384" s="41">
        <v>94826527.445333302</v>
      </c>
      <c r="D1384" s="47">
        <f>31547.55+95565596.83</f>
        <v>95597144.379999995</v>
      </c>
      <c r="E1384" s="170">
        <f t="shared" si="271"/>
        <v>770616.93466669321</v>
      </c>
      <c r="G1384" s="173">
        <f t="shared" si="295"/>
        <v>3691000</v>
      </c>
      <c r="H1384" s="47">
        <f t="shared" si="294"/>
        <v>4490000</v>
      </c>
      <c r="I1384" s="171">
        <f t="shared" si="273"/>
        <v>799000</v>
      </c>
      <c r="J1384" s="170">
        <f t="shared" si="274"/>
        <v>1569616.9346666932</v>
      </c>
    </row>
    <row r="1385" spans="2:10" ht="12.65" customHeight="1">
      <c r="B1385" s="33">
        <f t="shared" si="293"/>
        <v>44998</v>
      </c>
      <c r="C1385" s="41">
        <v>94826527.445333302</v>
      </c>
      <c r="D1385" s="47">
        <f>95565596.83+31547.55</f>
        <v>95597144.379999995</v>
      </c>
      <c r="E1385" s="170">
        <f t="shared" si="271"/>
        <v>770616.93466669321</v>
      </c>
      <c r="G1385" s="173">
        <f t="shared" si="295"/>
        <v>3691000</v>
      </c>
      <c r="H1385" s="47">
        <f t="shared" si="294"/>
        <v>4490000</v>
      </c>
      <c r="I1385" s="171">
        <f t="shared" si="273"/>
        <v>799000</v>
      </c>
      <c r="J1385" s="170">
        <f t="shared" si="274"/>
        <v>1569616.9346666932</v>
      </c>
    </row>
    <row r="1386" spans="2:10" ht="12.65" customHeight="1">
      <c r="B1386" s="33">
        <f t="shared" si="293"/>
        <v>44999</v>
      </c>
      <c r="C1386" s="41">
        <v>94826527.445333302</v>
      </c>
      <c r="D1386" s="47">
        <f>95565596.83+31547.55</f>
        <v>95597144.379999995</v>
      </c>
      <c r="E1386" s="170">
        <f t="shared" si="271"/>
        <v>770616.93466669321</v>
      </c>
      <c r="G1386" s="173">
        <f t="shared" si="295"/>
        <v>3691000</v>
      </c>
      <c r="H1386" s="47">
        <f t="shared" si="294"/>
        <v>4490000</v>
      </c>
      <c r="I1386" s="171">
        <f t="shared" si="273"/>
        <v>799000</v>
      </c>
      <c r="J1386" s="170">
        <f t="shared" si="274"/>
        <v>1569616.9346666932</v>
      </c>
    </row>
    <row r="1387" spans="2:10" ht="12.65" customHeight="1">
      <c r="B1387" s="33">
        <f t="shared" si="293"/>
        <v>45000</v>
      </c>
      <c r="C1387" s="41">
        <v>94826527.445333302</v>
      </c>
      <c r="D1387" s="47">
        <f>31547.55+95565596.83</f>
        <v>95597144.379999995</v>
      </c>
      <c r="E1387" s="170">
        <f t="shared" si="271"/>
        <v>770616.93466669321</v>
      </c>
      <c r="G1387" s="173">
        <f t="shared" si="295"/>
        <v>3691000</v>
      </c>
      <c r="H1387" s="47">
        <f t="shared" si="294"/>
        <v>4490000</v>
      </c>
      <c r="I1387" s="171">
        <f t="shared" si="273"/>
        <v>799000</v>
      </c>
      <c r="J1387" s="170">
        <f t="shared" si="274"/>
        <v>1569616.9346666932</v>
      </c>
    </row>
    <row r="1388" spans="2:10" ht="12.65" customHeight="1">
      <c r="B1388" s="33">
        <f t="shared" si="293"/>
        <v>45001</v>
      </c>
      <c r="C1388" s="41">
        <f>94336238.5938462</f>
        <v>94336238.593846202</v>
      </c>
      <c r="D1388" s="47">
        <f>95565596.83+31547.55</f>
        <v>95597144.379999995</v>
      </c>
      <c r="E1388" s="170">
        <f t="shared" si="271"/>
        <v>1260905.7861537933</v>
      </c>
      <c r="G1388" s="173">
        <f>3788000</f>
        <v>3788000</v>
      </c>
      <c r="H1388" s="47">
        <f t="shared" si="294"/>
        <v>4490000</v>
      </c>
      <c r="I1388" s="171">
        <f t="shared" si="273"/>
        <v>702000</v>
      </c>
      <c r="J1388" s="170">
        <f t="shared" si="274"/>
        <v>1962905.7861537933</v>
      </c>
    </row>
    <row r="1389" spans="2:10" ht="12.65" customHeight="1">
      <c r="B1389" s="33">
        <f t="shared" si="293"/>
        <v>45002</v>
      </c>
      <c r="C1389" s="41">
        <f t="shared" ref="C1389:C1397" si="296">94336238.5938462</f>
        <v>94336238.593846202</v>
      </c>
      <c r="D1389" s="47">
        <f>31547.55+95065596.83</f>
        <v>95097144.379999995</v>
      </c>
      <c r="E1389" s="170">
        <f t="shared" si="271"/>
        <v>760905.78615379333</v>
      </c>
      <c r="G1389" s="173">
        <f t="shared" ref="G1389:G1397" si="297">3788000</f>
        <v>3788000</v>
      </c>
      <c r="H1389" s="47">
        <f t="shared" si="294"/>
        <v>4490000</v>
      </c>
      <c r="I1389" s="171">
        <f t="shared" si="273"/>
        <v>702000</v>
      </c>
      <c r="J1389" s="170">
        <f t="shared" si="274"/>
        <v>1462905.7861537933</v>
      </c>
    </row>
    <row r="1390" spans="2:10" ht="12.65" customHeight="1">
      <c r="B1390" s="33">
        <f t="shared" si="293"/>
        <v>45005</v>
      </c>
      <c r="C1390" s="41">
        <f t="shared" si="296"/>
        <v>94336238.593846202</v>
      </c>
      <c r="D1390" s="47">
        <f>31547.55+95065596.83</f>
        <v>95097144.379999995</v>
      </c>
      <c r="E1390" s="170">
        <f t="shared" si="271"/>
        <v>760905.78615379333</v>
      </c>
      <c r="G1390" s="173">
        <f t="shared" si="297"/>
        <v>3788000</v>
      </c>
      <c r="H1390" s="47">
        <f t="shared" si="294"/>
        <v>4490000</v>
      </c>
      <c r="I1390" s="171">
        <f t="shared" si="273"/>
        <v>702000</v>
      </c>
      <c r="J1390" s="170">
        <f t="shared" si="274"/>
        <v>1462905.7861537933</v>
      </c>
    </row>
    <row r="1391" spans="2:10" ht="12.65" customHeight="1">
      <c r="B1391" s="33">
        <f t="shared" si="293"/>
        <v>45006</v>
      </c>
      <c r="C1391" s="41">
        <f t="shared" si="296"/>
        <v>94336238.593846202</v>
      </c>
      <c r="D1391" s="47">
        <f>31547.55+95065596.83</f>
        <v>95097144.379999995</v>
      </c>
      <c r="E1391" s="170">
        <f t="shared" si="271"/>
        <v>760905.78615379333</v>
      </c>
      <c r="G1391" s="173">
        <f t="shared" si="297"/>
        <v>3788000</v>
      </c>
      <c r="H1391" s="47">
        <f t="shared" si="294"/>
        <v>4490000</v>
      </c>
      <c r="I1391" s="171">
        <f t="shared" si="273"/>
        <v>702000</v>
      </c>
      <c r="J1391" s="170">
        <f t="shared" si="274"/>
        <v>1462905.7861537933</v>
      </c>
    </row>
    <row r="1392" spans="2:10" ht="12.65" customHeight="1">
      <c r="B1392" s="33">
        <f>WORKDAY(B1391,3)</f>
        <v>45009</v>
      </c>
      <c r="C1392" s="41">
        <f t="shared" si="296"/>
        <v>94336238.593846202</v>
      </c>
      <c r="D1392" s="47">
        <f>81547.55+95015596.83</f>
        <v>95097144.379999995</v>
      </c>
      <c r="E1392" s="170">
        <f t="shared" si="271"/>
        <v>760905.78615379333</v>
      </c>
      <c r="G1392" s="173">
        <f t="shared" si="297"/>
        <v>3788000</v>
      </c>
      <c r="H1392" s="47">
        <f t="shared" si="294"/>
        <v>4490000</v>
      </c>
      <c r="I1392" s="171">
        <f t="shared" si="273"/>
        <v>702000</v>
      </c>
      <c r="J1392" s="170">
        <f t="shared" si="274"/>
        <v>1462905.7861537933</v>
      </c>
    </row>
    <row r="1393" spans="2:10" ht="12.65" customHeight="1">
      <c r="B1393" s="33">
        <f>WORKDAY(B1392,1)</f>
        <v>45012</v>
      </c>
      <c r="C1393" s="41">
        <f t="shared" si="296"/>
        <v>94336238.593846202</v>
      </c>
      <c r="D1393" s="47">
        <f>51166.5+95015596.83</f>
        <v>95066763.329999998</v>
      </c>
      <c r="E1393" s="170">
        <f t="shared" si="271"/>
        <v>730524.73615379632</v>
      </c>
      <c r="G1393" s="173">
        <f t="shared" si="297"/>
        <v>3788000</v>
      </c>
      <c r="H1393" s="47">
        <f t="shared" si="294"/>
        <v>4490000</v>
      </c>
      <c r="I1393" s="171">
        <f t="shared" si="273"/>
        <v>702000</v>
      </c>
      <c r="J1393" s="170">
        <f t="shared" si="274"/>
        <v>1432524.7361537963</v>
      </c>
    </row>
    <row r="1394" spans="2:10" ht="12.65" customHeight="1">
      <c r="B1394" s="33">
        <f t="shared" ref="B1394:B1453" si="298">WORKDAY(B1393,1)</f>
        <v>45013</v>
      </c>
      <c r="C1394" s="41">
        <f t="shared" si="296"/>
        <v>94336238.593846202</v>
      </c>
      <c r="D1394" s="47">
        <f>51166.5+95015596.83</f>
        <v>95066763.329999998</v>
      </c>
      <c r="E1394" s="170">
        <f t="shared" si="271"/>
        <v>730524.73615379632</v>
      </c>
      <c r="G1394" s="173">
        <f t="shared" si="297"/>
        <v>3788000</v>
      </c>
      <c r="H1394" s="47">
        <f t="shared" si="294"/>
        <v>4490000</v>
      </c>
      <c r="I1394" s="171">
        <f t="shared" si="273"/>
        <v>702000</v>
      </c>
      <c r="J1394" s="170">
        <f t="shared" si="274"/>
        <v>1432524.7361537963</v>
      </c>
    </row>
    <row r="1395" spans="2:10" ht="12.65" customHeight="1">
      <c r="B1395" s="33">
        <f t="shared" si="298"/>
        <v>45014</v>
      </c>
      <c r="C1395" s="41">
        <f t="shared" si="296"/>
        <v>94336238.593846202</v>
      </c>
      <c r="D1395" s="47">
        <f>31547.69+95035215.64</f>
        <v>95066763.329999998</v>
      </c>
      <c r="E1395" s="170">
        <f t="shared" si="271"/>
        <v>730524.73615379632</v>
      </c>
      <c r="G1395" s="173">
        <f t="shared" si="297"/>
        <v>3788000</v>
      </c>
      <c r="H1395" s="47">
        <f t="shared" si="294"/>
        <v>4490000</v>
      </c>
      <c r="I1395" s="171">
        <f t="shared" si="273"/>
        <v>702000</v>
      </c>
      <c r="J1395" s="170">
        <f t="shared" si="274"/>
        <v>1432524.7361537963</v>
      </c>
    </row>
    <row r="1396" spans="2:10" ht="12.65" customHeight="1">
      <c r="B1396" s="33">
        <f t="shared" si="298"/>
        <v>45015</v>
      </c>
      <c r="C1396" s="41">
        <f t="shared" si="296"/>
        <v>94336238.593846202</v>
      </c>
      <c r="D1396" s="47">
        <f>31547.69+95035215.64</f>
        <v>95066763.329999998</v>
      </c>
      <c r="E1396" s="170">
        <f t="shared" si="271"/>
        <v>730524.73615379632</v>
      </c>
      <c r="G1396" s="173">
        <f t="shared" si="297"/>
        <v>3788000</v>
      </c>
      <c r="H1396" s="47">
        <f t="shared" si="294"/>
        <v>4490000</v>
      </c>
      <c r="I1396" s="171">
        <f t="shared" si="273"/>
        <v>702000</v>
      </c>
      <c r="J1396" s="170">
        <f t="shared" si="274"/>
        <v>1432524.7361537963</v>
      </c>
    </row>
    <row r="1397" spans="2:10" ht="12.65" customHeight="1">
      <c r="B1397" s="33">
        <f t="shared" si="298"/>
        <v>45016</v>
      </c>
      <c r="C1397" s="41">
        <f t="shared" si="296"/>
        <v>94336238.593846202</v>
      </c>
      <c r="D1397" s="47">
        <f>31547.69+95035215.64</f>
        <v>95066763.329999998</v>
      </c>
      <c r="E1397" s="170">
        <f t="shared" si="271"/>
        <v>730524.73615379632</v>
      </c>
      <c r="G1397" s="173">
        <f t="shared" si="297"/>
        <v>3788000</v>
      </c>
      <c r="H1397" s="47">
        <f t="shared" si="294"/>
        <v>4490000</v>
      </c>
      <c r="I1397" s="171">
        <f t="shared" si="273"/>
        <v>702000</v>
      </c>
      <c r="J1397" s="170">
        <f t="shared" si="274"/>
        <v>1432524.7361537963</v>
      </c>
    </row>
    <row r="1398" spans="2:10" ht="12.65" customHeight="1">
      <c r="B1398" s="33">
        <f t="shared" si="298"/>
        <v>45019</v>
      </c>
      <c r="C1398" s="41">
        <v>93004317.773333296</v>
      </c>
      <c r="D1398" s="47">
        <f>31547.69+95035215.64</f>
        <v>95066763.329999998</v>
      </c>
      <c r="E1398" s="170">
        <f t="shared" ref="E1398:E1459" si="299">D1398-C1398</f>
        <v>2062445.556666702</v>
      </c>
      <c r="G1398" s="173">
        <f>3926000</f>
        <v>3926000</v>
      </c>
      <c r="H1398" s="47">
        <f t="shared" si="294"/>
        <v>4490000</v>
      </c>
      <c r="I1398" s="171">
        <f t="shared" ref="I1398:I1459" si="300">H1398-G1398</f>
        <v>564000</v>
      </c>
      <c r="J1398" s="170">
        <f t="shared" ref="J1398:J1459" si="301">E1398+I1398</f>
        <v>2626445.556666702</v>
      </c>
    </row>
    <row r="1399" spans="2:10" ht="12.65" customHeight="1">
      <c r="B1399" s="33">
        <f t="shared" si="298"/>
        <v>45020</v>
      </c>
      <c r="C1399" s="41">
        <v>93004317.773333296</v>
      </c>
      <c r="D1399" s="47">
        <f>93835215.64+31547.69</f>
        <v>93866763.329999998</v>
      </c>
      <c r="E1399" s="170">
        <f t="shared" si="299"/>
        <v>862445.55666670203</v>
      </c>
      <c r="G1399" s="173">
        <f t="shared" ref="G1399:G1405" si="302">3926000</f>
        <v>3926000</v>
      </c>
      <c r="H1399" s="47">
        <f t="shared" si="294"/>
        <v>4490000</v>
      </c>
      <c r="I1399" s="171">
        <f t="shared" si="300"/>
        <v>564000</v>
      </c>
      <c r="J1399" s="170">
        <f t="shared" si="301"/>
        <v>1426445.556666702</v>
      </c>
    </row>
    <row r="1400" spans="2:10" ht="12.65" customHeight="1">
      <c r="B1400" s="33">
        <f t="shared" si="298"/>
        <v>45021</v>
      </c>
      <c r="C1400" s="41">
        <v>93004317.773333296</v>
      </c>
      <c r="D1400" s="47">
        <f>31547.69+93835215.64</f>
        <v>93866763.329999998</v>
      </c>
      <c r="E1400" s="170">
        <f t="shared" si="299"/>
        <v>862445.55666670203</v>
      </c>
      <c r="G1400" s="173">
        <f t="shared" si="302"/>
        <v>3926000</v>
      </c>
      <c r="H1400" s="47">
        <f t="shared" si="294"/>
        <v>4490000</v>
      </c>
      <c r="I1400" s="171">
        <f t="shared" si="300"/>
        <v>564000</v>
      </c>
      <c r="J1400" s="170">
        <f t="shared" si="301"/>
        <v>1426445.556666702</v>
      </c>
    </row>
    <row r="1401" spans="2:10" ht="12.65" customHeight="1">
      <c r="B1401" s="33">
        <f t="shared" si="298"/>
        <v>45022</v>
      </c>
      <c r="C1401" s="41">
        <v>93004317.773333296</v>
      </c>
      <c r="D1401" s="47">
        <f>31547.69+93835215.64</f>
        <v>93866763.329999998</v>
      </c>
      <c r="E1401" s="170">
        <f t="shared" si="299"/>
        <v>862445.55666670203</v>
      </c>
      <c r="G1401" s="173">
        <f t="shared" si="302"/>
        <v>3926000</v>
      </c>
      <c r="H1401" s="47">
        <f t="shared" si="294"/>
        <v>4490000</v>
      </c>
      <c r="I1401" s="171">
        <f t="shared" si="300"/>
        <v>564000</v>
      </c>
      <c r="J1401" s="170">
        <f t="shared" si="301"/>
        <v>1426445.556666702</v>
      </c>
    </row>
    <row r="1402" spans="2:10" ht="12.65" customHeight="1">
      <c r="B1402" s="33">
        <f>WORKDAY(B1401,2)</f>
        <v>45026</v>
      </c>
      <c r="C1402" s="41">
        <v>93004317.773333296</v>
      </c>
      <c r="D1402" s="47">
        <f>93835215.64+31547.69</f>
        <v>93866763.329999998</v>
      </c>
      <c r="E1402" s="170">
        <f t="shared" si="299"/>
        <v>862445.55666670203</v>
      </c>
      <c r="G1402" s="173">
        <f t="shared" si="302"/>
        <v>3926000</v>
      </c>
      <c r="H1402" s="47">
        <f t="shared" ref="H1402:H1409" si="303">4240000+0</f>
        <v>4240000</v>
      </c>
      <c r="I1402" s="171">
        <f t="shared" si="300"/>
        <v>314000</v>
      </c>
      <c r="J1402" s="170">
        <f t="shared" si="301"/>
        <v>1176445.556666702</v>
      </c>
    </row>
    <row r="1403" spans="2:10" ht="12.65" customHeight="1">
      <c r="B1403" s="33">
        <f>WORKDAY(B1402,1)</f>
        <v>45027</v>
      </c>
      <c r="C1403" s="41">
        <v>93004317.773333296</v>
      </c>
      <c r="D1403" s="47">
        <f>31547.69+93835215.64</f>
        <v>93866763.329999998</v>
      </c>
      <c r="E1403" s="170">
        <f t="shared" si="299"/>
        <v>862445.55666670203</v>
      </c>
      <c r="G1403" s="173">
        <f t="shared" si="302"/>
        <v>3926000</v>
      </c>
      <c r="H1403" s="47">
        <f t="shared" si="303"/>
        <v>4240000</v>
      </c>
      <c r="I1403" s="171">
        <f t="shared" si="300"/>
        <v>314000</v>
      </c>
      <c r="J1403" s="170">
        <f t="shared" si="301"/>
        <v>1176445.556666702</v>
      </c>
    </row>
    <row r="1404" spans="2:10" ht="12.65" customHeight="1">
      <c r="B1404" s="33">
        <f t="shared" si="298"/>
        <v>45028</v>
      </c>
      <c r="C1404" s="41">
        <v>93004317.773333296</v>
      </c>
      <c r="D1404" s="47">
        <f>31547.69+93835215.64</f>
        <v>93866763.329999998</v>
      </c>
      <c r="E1404" s="170">
        <f t="shared" si="299"/>
        <v>862445.55666670203</v>
      </c>
      <c r="G1404" s="173">
        <f t="shared" si="302"/>
        <v>3926000</v>
      </c>
      <c r="H1404" s="47">
        <f t="shared" si="303"/>
        <v>4240000</v>
      </c>
      <c r="I1404" s="171">
        <f t="shared" si="300"/>
        <v>314000</v>
      </c>
      <c r="J1404" s="170">
        <f t="shared" si="301"/>
        <v>1176445.556666702</v>
      </c>
    </row>
    <row r="1405" spans="2:10" ht="12.65" customHeight="1">
      <c r="B1405" s="33">
        <f t="shared" si="298"/>
        <v>45029</v>
      </c>
      <c r="C1405" s="41">
        <v>93004317.773333296</v>
      </c>
      <c r="D1405" s="47">
        <f>31547.69+93835215.64</f>
        <v>93866763.329999998</v>
      </c>
      <c r="E1405" s="170">
        <f t="shared" si="299"/>
        <v>862445.55666670203</v>
      </c>
      <c r="G1405" s="173">
        <f t="shared" si="302"/>
        <v>3926000</v>
      </c>
      <c r="H1405" s="47">
        <f t="shared" si="303"/>
        <v>4240000</v>
      </c>
      <c r="I1405" s="171">
        <f t="shared" si="300"/>
        <v>314000</v>
      </c>
      <c r="J1405" s="170">
        <f t="shared" si="301"/>
        <v>1176445.556666702</v>
      </c>
    </row>
    <row r="1406" spans="2:10" ht="12.65" customHeight="1">
      <c r="B1406" s="33">
        <f t="shared" si="298"/>
        <v>45030</v>
      </c>
      <c r="C1406" s="41">
        <v>93004317.773333296</v>
      </c>
      <c r="D1406" s="47">
        <f>31547.69+93835215.64</f>
        <v>93866763.329999998</v>
      </c>
      <c r="E1406" s="170">
        <f t="shared" si="299"/>
        <v>862445.55666670203</v>
      </c>
      <c r="G1406" s="173">
        <f>3926000</f>
        <v>3926000</v>
      </c>
      <c r="H1406" s="47">
        <f t="shared" si="303"/>
        <v>4240000</v>
      </c>
      <c r="I1406" s="171">
        <f t="shared" si="300"/>
        <v>314000</v>
      </c>
      <c r="J1406" s="170">
        <f t="shared" si="301"/>
        <v>1176445.556666702</v>
      </c>
    </row>
    <row r="1407" spans="2:10" ht="12.65" customHeight="1">
      <c r="B1407" s="33">
        <f t="shared" si="298"/>
        <v>45033</v>
      </c>
      <c r="C1407" s="41">
        <f>96657044.9175</f>
        <v>96657044.917500004</v>
      </c>
      <c r="D1407" s="47">
        <f>97535215.64+31547.69</f>
        <v>97566763.329999998</v>
      </c>
      <c r="E1407" s="170">
        <f t="shared" si="299"/>
        <v>909718.41249999404</v>
      </c>
      <c r="G1407" s="173">
        <f>3947000</f>
        <v>3947000</v>
      </c>
      <c r="H1407" s="47">
        <f t="shared" si="303"/>
        <v>4240000</v>
      </c>
      <c r="I1407" s="171">
        <f t="shared" si="300"/>
        <v>293000</v>
      </c>
      <c r="J1407" s="170">
        <f t="shared" si="301"/>
        <v>1202718.412499994</v>
      </c>
    </row>
    <row r="1408" spans="2:10" ht="12.65" customHeight="1">
      <c r="B1408" s="33">
        <f t="shared" si="298"/>
        <v>45034</v>
      </c>
      <c r="C1408" s="41">
        <f t="shared" ref="C1408:C1412" si="304">96657044.9175</f>
        <v>96657044.917500004</v>
      </c>
      <c r="D1408" s="47">
        <f>97535215.64+31547.69</f>
        <v>97566763.329999998</v>
      </c>
      <c r="E1408" s="170">
        <f t="shared" si="299"/>
        <v>909718.41249999404</v>
      </c>
      <c r="G1408" s="173">
        <f t="shared" ref="G1408:G1412" si="305">3947000</f>
        <v>3947000</v>
      </c>
      <c r="H1408" s="47">
        <f t="shared" si="303"/>
        <v>4240000</v>
      </c>
      <c r="I1408" s="171">
        <f t="shared" si="300"/>
        <v>293000</v>
      </c>
      <c r="J1408" s="170">
        <f t="shared" si="301"/>
        <v>1202718.412499994</v>
      </c>
    </row>
    <row r="1409" spans="2:10" ht="12.65" customHeight="1">
      <c r="B1409" s="33">
        <f>WORKDAY(B1408,6)</f>
        <v>45042</v>
      </c>
      <c r="C1409" s="41">
        <f t="shared" si="304"/>
        <v>96657044.917500004</v>
      </c>
      <c r="D1409" s="47">
        <f t="shared" ref="D1409:D1414" si="306">31547.69+97535215.64</f>
        <v>97566763.329999998</v>
      </c>
      <c r="E1409" s="170">
        <f t="shared" si="299"/>
        <v>909718.41249999404</v>
      </c>
      <c r="G1409" s="173">
        <f t="shared" si="305"/>
        <v>3947000</v>
      </c>
      <c r="H1409" s="47">
        <f t="shared" si="303"/>
        <v>4240000</v>
      </c>
      <c r="I1409" s="171">
        <f t="shared" si="300"/>
        <v>293000</v>
      </c>
      <c r="J1409" s="170">
        <f t="shared" si="301"/>
        <v>1202718.412499994</v>
      </c>
    </row>
    <row r="1410" spans="2:10" ht="12.65" customHeight="1">
      <c r="B1410" s="33">
        <f t="shared" si="298"/>
        <v>45043</v>
      </c>
      <c r="C1410" s="41">
        <f t="shared" si="304"/>
        <v>96657044.917500004</v>
      </c>
      <c r="D1410" s="47">
        <f t="shared" si="306"/>
        <v>97566763.329999998</v>
      </c>
      <c r="E1410" s="170">
        <f t="shared" si="299"/>
        <v>909718.41249999404</v>
      </c>
      <c r="G1410" s="173">
        <f t="shared" si="305"/>
        <v>3947000</v>
      </c>
      <c r="H1410" s="47">
        <f>4240000</f>
        <v>4240000</v>
      </c>
      <c r="I1410" s="171">
        <f t="shared" si="300"/>
        <v>293000</v>
      </c>
      <c r="J1410" s="170">
        <f t="shared" si="301"/>
        <v>1202718.412499994</v>
      </c>
    </row>
    <row r="1411" spans="2:10" ht="12.65" customHeight="1">
      <c r="B1411" s="33">
        <f t="shared" si="298"/>
        <v>45044</v>
      </c>
      <c r="C1411" s="41">
        <f t="shared" si="304"/>
        <v>96657044.917500004</v>
      </c>
      <c r="D1411" s="47">
        <f t="shared" si="306"/>
        <v>97566763.329999998</v>
      </c>
      <c r="E1411" s="170">
        <f t="shared" si="299"/>
        <v>909718.41249999404</v>
      </c>
      <c r="G1411" s="173">
        <f t="shared" si="305"/>
        <v>3947000</v>
      </c>
      <c r="H1411" s="47">
        <f t="shared" ref="H1411:H1426" si="307">4940000+0</f>
        <v>4940000</v>
      </c>
      <c r="I1411" s="171">
        <f t="shared" si="300"/>
        <v>993000</v>
      </c>
      <c r="J1411" s="170">
        <f t="shared" si="301"/>
        <v>1902718.412499994</v>
      </c>
    </row>
    <row r="1412" spans="2:10" ht="12.65" customHeight="1">
      <c r="B1412" s="33">
        <v>45046</v>
      </c>
      <c r="C1412" s="41">
        <f t="shared" si="304"/>
        <v>96657044.917500004</v>
      </c>
      <c r="D1412" s="47">
        <f t="shared" si="306"/>
        <v>97566763.329999998</v>
      </c>
      <c r="E1412" s="170">
        <f t="shared" ref="E1412" si="308">D1412-C1412</f>
        <v>909718.41249999404</v>
      </c>
      <c r="G1412" s="173">
        <f t="shared" si="305"/>
        <v>3947000</v>
      </c>
      <c r="H1412" s="47">
        <f t="shared" si="307"/>
        <v>4940000</v>
      </c>
      <c r="I1412" s="171">
        <f t="shared" ref="I1412" si="309">H1412-G1412</f>
        <v>993000</v>
      </c>
      <c r="J1412" s="170">
        <f t="shared" ref="J1412" si="310">E1412+I1412</f>
        <v>1902718.412499994</v>
      </c>
    </row>
    <row r="1413" spans="2:10" s="1385" customFormat="1" ht="12.65" customHeight="1">
      <c r="B1413" s="1377">
        <f>WORKDAY(B1411,1)</f>
        <v>45047</v>
      </c>
      <c r="C1413" s="1386">
        <v>95707644.304000005</v>
      </c>
      <c r="D1413" s="1387">
        <f t="shared" si="306"/>
        <v>97566763.329999998</v>
      </c>
      <c r="E1413" s="1388">
        <f t="shared" ref="E1413" si="311">D1413-C1413</f>
        <v>1859119.0259999931</v>
      </c>
      <c r="F1413" s="1389"/>
      <c r="G1413" s="1390">
        <v>4690000</v>
      </c>
      <c r="H1413" s="1387">
        <f t="shared" si="307"/>
        <v>4940000</v>
      </c>
      <c r="I1413" s="1391">
        <f t="shared" ref="I1413" si="312">H1413-G1413</f>
        <v>250000</v>
      </c>
      <c r="J1413" s="1388">
        <f t="shared" ref="J1413" si="313">E1413+I1413</f>
        <v>2109119.0259999931</v>
      </c>
    </row>
    <row r="1414" spans="2:10" ht="12.65" customHeight="1">
      <c r="B1414" s="33">
        <f>WORKDAY(B1411,2)</f>
        <v>45048</v>
      </c>
      <c r="C1414" s="41">
        <f>95707644.304</f>
        <v>95707644.304000005</v>
      </c>
      <c r="D1414" s="47">
        <f t="shared" si="306"/>
        <v>97566763.329999998</v>
      </c>
      <c r="E1414" s="170">
        <f t="shared" si="299"/>
        <v>1859119.0259999931</v>
      </c>
      <c r="G1414" s="173">
        <v>4690000</v>
      </c>
      <c r="H1414" s="1392">
        <f t="shared" si="307"/>
        <v>4940000</v>
      </c>
      <c r="I1414" s="171">
        <f t="shared" si="300"/>
        <v>250000</v>
      </c>
      <c r="J1414" s="170">
        <f t="shared" si="301"/>
        <v>2109119.0259999931</v>
      </c>
    </row>
    <row r="1415" spans="2:10" ht="12.65" customHeight="1">
      <c r="B1415" s="33">
        <f t="shared" si="298"/>
        <v>45049</v>
      </c>
      <c r="C1415" s="41">
        <f t="shared" ref="C1415:C1423" si="314">95707644.304</f>
        <v>95707644.304000005</v>
      </c>
      <c r="D1415" s="47">
        <f>31547.69+96535215.64</f>
        <v>96566763.329999998</v>
      </c>
      <c r="E1415" s="170">
        <f t="shared" si="299"/>
        <v>859119.02599999309</v>
      </c>
      <c r="G1415" s="173">
        <v>4690000</v>
      </c>
      <c r="H1415" s="1392">
        <f t="shared" si="307"/>
        <v>4940000</v>
      </c>
      <c r="I1415" s="171">
        <f t="shared" si="300"/>
        <v>250000</v>
      </c>
      <c r="J1415" s="170">
        <f t="shared" si="301"/>
        <v>1109119.0259999931</v>
      </c>
    </row>
    <row r="1416" spans="2:10" ht="12.65" customHeight="1">
      <c r="B1416" s="33">
        <f t="shared" si="298"/>
        <v>45050</v>
      </c>
      <c r="C1416" s="41">
        <f t="shared" si="314"/>
        <v>95707644.304000005</v>
      </c>
      <c r="D1416" s="47">
        <f>31547.69+96535215.64</f>
        <v>96566763.329999998</v>
      </c>
      <c r="E1416" s="170">
        <f t="shared" si="299"/>
        <v>859119.02599999309</v>
      </c>
      <c r="G1416" s="173">
        <v>4690000</v>
      </c>
      <c r="H1416" s="1392">
        <f t="shared" si="307"/>
        <v>4940000</v>
      </c>
      <c r="I1416" s="171">
        <f t="shared" si="300"/>
        <v>250000</v>
      </c>
      <c r="J1416" s="170">
        <f t="shared" si="301"/>
        <v>1109119.0259999931</v>
      </c>
    </row>
    <row r="1417" spans="2:10" ht="12.65" customHeight="1">
      <c r="B1417" s="33">
        <f t="shared" si="298"/>
        <v>45051</v>
      </c>
      <c r="C1417" s="41">
        <f t="shared" si="314"/>
        <v>95707644.304000005</v>
      </c>
      <c r="D1417" s="47">
        <f>31547.69+96535215.64</f>
        <v>96566763.329999998</v>
      </c>
      <c r="E1417" s="170">
        <f t="shared" si="299"/>
        <v>859119.02599999309</v>
      </c>
      <c r="G1417" s="173">
        <v>4690000</v>
      </c>
      <c r="H1417" s="1392">
        <f t="shared" si="307"/>
        <v>4940000</v>
      </c>
      <c r="I1417" s="171">
        <f t="shared" si="300"/>
        <v>250000</v>
      </c>
      <c r="J1417" s="170">
        <f t="shared" si="301"/>
        <v>1109119.0259999931</v>
      </c>
    </row>
    <row r="1418" spans="2:10" ht="12.65" customHeight="1">
      <c r="B1418" s="33">
        <f t="shared" si="298"/>
        <v>45054</v>
      </c>
      <c r="C1418" s="41">
        <f t="shared" si="314"/>
        <v>95707644.304000005</v>
      </c>
      <c r="D1418" s="47">
        <f>96535215.64+31547.69</f>
        <v>96566763.329999998</v>
      </c>
      <c r="E1418" s="170">
        <f t="shared" si="299"/>
        <v>859119.02599999309</v>
      </c>
      <c r="G1418" s="173">
        <v>4690000</v>
      </c>
      <c r="H1418" s="1392">
        <f t="shared" si="307"/>
        <v>4940000</v>
      </c>
      <c r="I1418" s="171">
        <f t="shared" si="300"/>
        <v>250000</v>
      </c>
      <c r="J1418" s="170">
        <f t="shared" si="301"/>
        <v>1109119.0259999931</v>
      </c>
    </row>
    <row r="1419" spans="2:10" ht="12.65" customHeight="1">
      <c r="B1419" s="33">
        <f t="shared" si="298"/>
        <v>45055</v>
      </c>
      <c r="C1419" s="41">
        <f t="shared" si="314"/>
        <v>95707644.304000005</v>
      </c>
      <c r="D1419" s="47">
        <f>31547.69+96535215.64</f>
        <v>96566763.329999998</v>
      </c>
      <c r="E1419" s="170">
        <f t="shared" si="299"/>
        <v>859119.02599999309</v>
      </c>
      <c r="G1419" s="173">
        <v>4690000</v>
      </c>
      <c r="H1419" s="1392">
        <f t="shared" si="307"/>
        <v>4940000</v>
      </c>
      <c r="I1419" s="171">
        <f t="shared" si="300"/>
        <v>250000</v>
      </c>
      <c r="J1419" s="170">
        <f t="shared" si="301"/>
        <v>1109119.0259999931</v>
      </c>
    </row>
    <row r="1420" spans="2:10" ht="12.65" customHeight="1">
      <c r="B1420" s="33">
        <f t="shared" si="298"/>
        <v>45056</v>
      </c>
      <c r="C1420" s="41">
        <f t="shared" si="314"/>
        <v>95707644.304000005</v>
      </c>
      <c r="D1420" s="47">
        <f>96535215.64+31547.69</f>
        <v>96566763.329999998</v>
      </c>
      <c r="E1420" s="170">
        <f t="shared" si="299"/>
        <v>859119.02599999309</v>
      </c>
      <c r="G1420" s="173">
        <v>4690000</v>
      </c>
      <c r="H1420" s="1392">
        <f t="shared" si="307"/>
        <v>4940000</v>
      </c>
      <c r="I1420" s="171">
        <f t="shared" si="300"/>
        <v>250000</v>
      </c>
      <c r="J1420" s="170">
        <f t="shared" si="301"/>
        <v>1109119.0259999931</v>
      </c>
    </row>
    <row r="1421" spans="2:10" ht="12.65" customHeight="1">
      <c r="B1421" s="33">
        <f t="shared" si="298"/>
        <v>45057</v>
      </c>
      <c r="C1421" s="41">
        <f t="shared" si="314"/>
        <v>95707644.304000005</v>
      </c>
      <c r="D1421" s="47">
        <f>31547.69+96535215.64</f>
        <v>96566763.329999998</v>
      </c>
      <c r="E1421" s="170">
        <f t="shared" si="299"/>
        <v>859119.02599999309</v>
      </c>
      <c r="G1421" s="173">
        <v>4690000</v>
      </c>
      <c r="H1421" s="1392">
        <f t="shared" si="307"/>
        <v>4940000</v>
      </c>
      <c r="I1421" s="171">
        <f t="shared" si="300"/>
        <v>250000</v>
      </c>
      <c r="J1421" s="170">
        <f t="shared" si="301"/>
        <v>1109119.0259999931</v>
      </c>
    </row>
    <row r="1422" spans="2:10" ht="12.65" customHeight="1">
      <c r="B1422" s="33">
        <f t="shared" si="298"/>
        <v>45058</v>
      </c>
      <c r="C1422" s="41">
        <f t="shared" si="314"/>
        <v>95707644.304000005</v>
      </c>
      <c r="D1422" s="47">
        <f>31547.69+96535215.64</f>
        <v>96566763.329999998</v>
      </c>
      <c r="E1422" s="170">
        <f t="shared" si="299"/>
        <v>859119.02599999309</v>
      </c>
      <c r="G1422" s="173">
        <v>4690000</v>
      </c>
      <c r="H1422" s="1392">
        <f t="shared" si="307"/>
        <v>4940000</v>
      </c>
      <c r="I1422" s="171">
        <f t="shared" si="300"/>
        <v>250000</v>
      </c>
      <c r="J1422" s="170">
        <f t="shared" si="301"/>
        <v>1109119.0259999931</v>
      </c>
    </row>
    <row r="1423" spans="2:10" ht="12.65" customHeight="1">
      <c r="B1423" s="33">
        <f t="shared" si="298"/>
        <v>45061</v>
      </c>
      <c r="C1423" s="41">
        <f t="shared" si="314"/>
        <v>95707644.304000005</v>
      </c>
      <c r="D1423" s="47">
        <f>31547.69+96535215.64</f>
        <v>96566763.329999998</v>
      </c>
      <c r="E1423" s="170">
        <f t="shared" si="299"/>
        <v>859119.02599999309</v>
      </c>
      <c r="G1423" s="173">
        <v>4690000</v>
      </c>
      <c r="H1423" s="1392">
        <f t="shared" si="307"/>
        <v>4940000</v>
      </c>
      <c r="I1423" s="171">
        <f t="shared" si="300"/>
        <v>250000</v>
      </c>
      <c r="J1423" s="170">
        <f t="shared" si="301"/>
        <v>1109119.0259999931</v>
      </c>
    </row>
    <row r="1424" spans="2:10" ht="12.65" customHeight="1">
      <c r="B1424" s="33">
        <f t="shared" si="298"/>
        <v>45062</v>
      </c>
      <c r="C1424" s="41">
        <f>91203232.032</f>
        <v>91203232.032000005</v>
      </c>
      <c r="D1424" s="47">
        <f>31547.69+96535215.64</f>
        <v>96566763.329999998</v>
      </c>
      <c r="E1424" s="170">
        <f t="shared" si="299"/>
        <v>5363531.297999993</v>
      </c>
      <c r="G1424" s="173">
        <f>4031000</f>
        <v>4031000</v>
      </c>
      <c r="H1424" s="1392">
        <f t="shared" si="307"/>
        <v>4940000</v>
      </c>
      <c r="I1424" s="171">
        <f t="shared" si="300"/>
        <v>909000</v>
      </c>
      <c r="J1424" s="170">
        <f t="shared" si="301"/>
        <v>6272531.297999993</v>
      </c>
    </row>
    <row r="1425" spans="2:10" ht="12.65" customHeight="1">
      <c r="B1425" s="33">
        <f t="shared" si="298"/>
        <v>45063</v>
      </c>
      <c r="C1425" s="41">
        <f t="shared" ref="C1425:C1435" si="315">91203232.032</f>
        <v>91203232.032000005</v>
      </c>
      <c r="D1425" s="47">
        <f>96535215.64+31547.69</f>
        <v>96566763.329999998</v>
      </c>
      <c r="E1425" s="170">
        <f t="shared" si="299"/>
        <v>5363531.297999993</v>
      </c>
      <c r="G1425" s="173">
        <f t="shared" ref="G1425:G1435" si="316">4031000</f>
        <v>4031000</v>
      </c>
      <c r="H1425" s="1392">
        <f t="shared" si="307"/>
        <v>4940000</v>
      </c>
      <c r="I1425" s="171">
        <f t="shared" si="300"/>
        <v>909000</v>
      </c>
      <c r="J1425" s="170">
        <f t="shared" si="301"/>
        <v>6272531.297999993</v>
      </c>
    </row>
    <row r="1426" spans="2:10" ht="12.65" customHeight="1">
      <c r="B1426" s="33">
        <f t="shared" si="298"/>
        <v>45064</v>
      </c>
      <c r="C1426" s="41">
        <f t="shared" si="315"/>
        <v>91203232.032000005</v>
      </c>
      <c r="D1426" s="47">
        <f>96535215.64+31547.69</f>
        <v>96566763.329999998</v>
      </c>
      <c r="E1426" s="170">
        <f t="shared" si="299"/>
        <v>5363531.297999993</v>
      </c>
      <c r="G1426" s="173">
        <f t="shared" si="316"/>
        <v>4031000</v>
      </c>
      <c r="H1426" s="1392">
        <f t="shared" si="307"/>
        <v>4940000</v>
      </c>
      <c r="I1426" s="171">
        <f t="shared" si="300"/>
        <v>909000</v>
      </c>
      <c r="J1426" s="170">
        <f t="shared" si="301"/>
        <v>6272531.297999993</v>
      </c>
    </row>
    <row r="1427" spans="2:10" ht="12.65" customHeight="1">
      <c r="B1427" s="33">
        <f t="shared" si="298"/>
        <v>45065</v>
      </c>
      <c r="C1427" s="41">
        <f t="shared" si="315"/>
        <v>91203232.032000005</v>
      </c>
      <c r="D1427" s="47">
        <f>31547.69+92135215.64</f>
        <v>92166763.329999998</v>
      </c>
      <c r="E1427" s="170">
        <f t="shared" si="299"/>
        <v>963531.29799999297</v>
      </c>
      <c r="G1427" s="173">
        <f t="shared" si="316"/>
        <v>4031000</v>
      </c>
      <c r="H1427" s="1392">
        <f t="shared" ref="H1427:H1438" si="317">4340000+0</f>
        <v>4340000</v>
      </c>
      <c r="I1427" s="171">
        <f t="shared" si="300"/>
        <v>309000</v>
      </c>
      <c r="J1427" s="170">
        <f t="shared" si="301"/>
        <v>1272531.297999993</v>
      </c>
    </row>
    <row r="1428" spans="2:10" ht="12.65" customHeight="1">
      <c r="B1428" s="33">
        <f t="shared" si="298"/>
        <v>45068</v>
      </c>
      <c r="C1428" s="41">
        <f t="shared" si="315"/>
        <v>91203232.032000005</v>
      </c>
      <c r="D1428" s="47">
        <f>31547.69+92135215.64</f>
        <v>92166763.329999998</v>
      </c>
      <c r="E1428" s="170">
        <f t="shared" si="299"/>
        <v>963531.29799999297</v>
      </c>
      <c r="G1428" s="173">
        <f t="shared" si="316"/>
        <v>4031000</v>
      </c>
      <c r="H1428" s="1392">
        <f t="shared" si="317"/>
        <v>4340000</v>
      </c>
      <c r="I1428" s="171">
        <f t="shared" si="300"/>
        <v>309000</v>
      </c>
      <c r="J1428" s="170">
        <f t="shared" si="301"/>
        <v>1272531.297999993</v>
      </c>
    </row>
    <row r="1429" spans="2:10" ht="12.65" customHeight="1">
      <c r="B1429" s="33">
        <f t="shared" si="298"/>
        <v>45069</v>
      </c>
      <c r="C1429" s="41">
        <f t="shared" si="315"/>
        <v>91203232.032000005</v>
      </c>
      <c r="D1429" s="47">
        <f>92135215.64+31547.69</f>
        <v>92166763.329999998</v>
      </c>
      <c r="E1429" s="170">
        <f t="shared" si="299"/>
        <v>963531.29799999297</v>
      </c>
      <c r="G1429" s="173">
        <f t="shared" si="316"/>
        <v>4031000</v>
      </c>
      <c r="H1429" s="1392">
        <f t="shared" si="317"/>
        <v>4340000</v>
      </c>
      <c r="I1429" s="171">
        <f t="shared" si="300"/>
        <v>309000</v>
      </c>
      <c r="J1429" s="170">
        <f t="shared" si="301"/>
        <v>1272531.297999993</v>
      </c>
    </row>
    <row r="1430" spans="2:10" ht="12.65" customHeight="1">
      <c r="B1430" s="33">
        <f t="shared" si="298"/>
        <v>45070</v>
      </c>
      <c r="C1430" s="41">
        <f t="shared" si="315"/>
        <v>91203232.032000005</v>
      </c>
      <c r="D1430" s="47">
        <f>92135215.64+31547.69</f>
        <v>92166763.329999998</v>
      </c>
      <c r="E1430" s="170">
        <f t="shared" si="299"/>
        <v>963531.29799999297</v>
      </c>
      <c r="G1430" s="173">
        <f t="shared" si="316"/>
        <v>4031000</v>
      </c>
      <c r="H1430" s="47">
        <f t="shared" si="317"/>
        <v>4340000</v>
      </c>
      <c r="I1430" s="171">
        <f t="shared" si="300"/>
        <v>309000</v>
      </c>
      <c r="J1430" s="170">
        <f t="shared" si="301"/>
        <v>1272531.297999993</v>
      </c>
    </row>
    <row r="1431" spans="2:10" ht="12.65" customHeight="1">
      <c r="B1431" s="33">
        <f t="shared" si="298"/>
        <v>45071</v>
      </c>
      <c r="C1431" s="41">
        <f t="shared" si="315"/>
        <v>91203232.032000005</v>
      </c>
      <c r="D1431" s="47">
        <f>92135215.64+9790648.69</f>
        <v>101925864.33</v>
      </c>
      <c r="E1431" s="170">
        <f t="shared" si="299"/>
        <v>10722632.297999993</v>
      </c>
      <c r="G1431" s="173">
        <f t="shared" si="316"/>
        <v>4031000</v>
      </c>
      <c r="H1431" s="47">
        <f t="shared" si="317"/>
        <v>4340000</v>
      </c>
      <c r="I1431" s="171">
        <f t="shared" si="300"/>
        <v>309000</v>
      </c>
      <c r="J1431" s="170">
        <f t="shared" si="301"/>
        <v>11031632.297999993</v>
      </c>
    </row>
    <row r="1432" spans="2:10" ht="12.65" customHeight="1">
      <c r="B1432" s="33">
        <f t="shared" si="298"/>
        <v>45072</v>
      </c>
      <c r="C1432" s="41">
        <f t="shared" si="315"/>
        <v>91203232.032000005</v>
      </c>
      <c r="D1432" s="47">
        <f>55788.43+92135215.64</f>
        <v>92191004.070000008</v>
      </c>
      <c r="E1432" s="170">
        <f t="shared" si="299"/>
        <v>987772.0380000025</v>
      </c>
      <c r="G1432" s="173">
        <f t="shared" si="316"/>
        <v>4031000</v>
      </c>
      <c r="H1432" s="47">
        <f t="shared" si="317"/>
        <v>4340000</v>
      </c>
      <c r="I1432" s="171">
        <f t="shared" si="300"/>
        <v>309000</v>
      </c>
      <c r="J1432" s="170">
        <f t="shared" si="301"/>
        <v>1296772.0380000025</v>
      </c>
    </row>
    <row r="1433" spans="2:10" ht="12.65" customHeight="1">
      <c r="B1433" s="33">
        <f t="shared" si="298"/>
        <v>45075</v>
      </c>
      <c r="C1433" s="41">
        <f t="shared" si="315"/>
        <v>91203232.032000005</v>
      </c>
      <c r="D1433" s="47">
        <f>55788.43+92135215.64</f>
        <v>92191004.070000008</v>
      </c>
      <c r="E1433" s="170">
        <f t="shared" si="299"/>
        <v>987772.0380000025</v>
      </c>
      <c r="G1433" s="173">
        <f t="shared" si="316"/>
        <v>4031000</v>
      </c>
      <c r="H1433" s="47">
        <f t="shared" si="317"/>
        <v>4340000</v>
      </c>
      <c r="I1433" s="171">
        <f t="shared" si="300"/>
        <v>309000</v>
      </c>
      <c r="J1433" s="170">
        <f t="shared" si="301"/>
        <v>1296772.0380000025</v>
      </c>
    </row>
    <row r="1434" spans="2:10" ht="12.65" customHeight="1">
      <c r="B1434" s="33">
        <f t="shared" si="298"/>
        <v>45076</v>
      </c>
      <c r="C1434" s="41">
        <f t="shared" si="315"/>
        <v>91203232.032000005</v>
      </c>
      <c r="D1434" s="47">
        <f>55788.43+92135215.64</f>
        <v>92191004.070000008</v>
      </c>
      <c r="E1434" s="170">
        <f t="shared" si="299"/>
        <v>987772.0380000025</v>
      </c>
      <c r="G1434" s="173">
        <f t="shared" si="316"/>
        <v>4031000</v>
      </c>
      <c r="H1434" s="47">
        <f t="shared" si="317"/>
        <v>4340000</v>
      </c>
      <c r="I1434" s="171">
        <f t="shared" si="300"/>
        <v>309000</v>
      </c>
      <c r="J1434" s="170">
        <f t="shared" si="301"/>
        <v>1296772.0380000025</v>
      </c>
    </row>
    <row r="1435" spans="2:10" ht="12.65" customHeight="1">
      <c r="B1435" s="33">
        <f t="shared" si="298"/>
        <v>45077</v>
      </c>
      <c r="C1435" s="41">
        <f t="shared" si="315"/>
        <v>91203232.032000005</v>
      </c>
      <c r="D1435" s="47">
        <f>55788.43+94835215.64</f>
        <v>94891004.070000008</v>
      </c>
      <c r="E1435" s="170">
        <f t="shared" si="299"/>
        <v>3687772.0380000025</v>
      </c>
      <c r="G1435" s="173">
        <f t="shared" si="316"/>
        <v>4031000</v>
      </c>
      <c r="H1435" s="47">
        <f t="shared" si="317"/>
        <v>4340000</v>
      </c>
      <c r="I1435" s="171">
        <f t="shared" si="300"/>
        <v>309000</v>
      </c>
      <c r="J1435" s="170">
        <f t="shared" si="301"/>
        <v>3996772.0380000025</v>
      </c>
    </row>
    <row r="1436" spans="2:10" s="1385" customFormat="1" ht="12.65" customHeight="1">
      <c r="B1436" s="1377">
        <f>WORKDAY(B1435,2)</f>
        <v>45079</v>
      </c>
      <c r="C1436" s="1386">
        <f t="shared" ref="C1436:C1445" si="318">94037476.6533333</f>
        <v>94037476.653333306</v>
      </c>
      <c r="D1436" s="1387">
        <f>55788.43+94835215.64</f>
        <v>94891004.070000008</v>
      </c>
      <c r="E1436" s="1388">
        <f t="shared" si="299"/>
        <v>853527.41666670144</v>
      </c>
      <c r="F1436" s="1389"/>
      <c r="G1436" s="1390">
        <f t="shared" ref="G1436:G1445" si="319">2766000</f>
        <v>2766000</v>
      </c>
      <c r="H1436" s="1387">
        <f t="shared" si="317"/>
        <v>4340000</v>
      </c>
      <c r="I1436" s="1391">
        <f t="shared" si="300"/>
        <v>1574000</v>
      </c>
      <c r="J1436" s="1388">
        <f t="shared" si="301"/>
        <v>2427527.4166667014</v>
      </c>
    </row>
    <row r="1437" spans="2:10" ht="12.65" customHeight="1">
      <c r="B1437" s="33">
        <f t="shared" si="298"/>
        <v>45082</v>
      </c>
      <c r="C1437" s="41">
        <f t="shared" si="318"/>
        <v>94037476.653333306</v>
      </c>
      <c r="D1437" s="47">
        <f>94835215.64+55788.43</f>
        <v>94891004.070000008</v>
      </c>
      <c r="E1437" s="170">
        <f t="shared" si="299"/>
        <v>853527.41666670144</v>
      </c>
      <c r="G1437" s="173">
        <f t="shared" si="319"/>
        <v>2766000</v>
      </c>
      <c r="H1437" s="47">
        <f t="shared" si="317"/>
        <v>4340000</v>
      </c>
      <c r="I1437" s="171">
        <f t="shared" si="300"/>
        <v>1574000</v>
      </c>
      <c r="J1437" s="170">
        <f t="shared" si="301"/>
        <v>2427527.4166667014</v>
      </c>
    </row>
    <row r="1438" spans="2:10" ht="12.65" customHeight="1">
      <c r="B1438" s="33">
        <f t="shared" si="298"/>
        <v>45083</v>
      </c>
      <c r="C1438" s="41">
        <f t="shared" si="318"/>
        <v>94037476.653333306</v>
      </c>
      <c r="D1438" s="47">
        <f>94835215.64+55788.43</f>
        <v>94891004.070000008</v>
      </c>
      <c r="E1438" s="170">
        <f t="shared" si="299"/>
        <v>853527.41666670144</v>
      </c>
      <c r="G1438" s="173">
        <f t="shared" si="319"/>
        <v>2766000</v>
      </c>
      <c r="H1438" s="47">
        <f t="shared" si="317"/>
        <v>4340000</v>
      </c>
      <c r="I1438" s="171">
        <f t="shared" si="300"/>
        <v>1574000</v>
      </c>
      <c r="J1438" s="170">
        <f t="shared" si="301"/>
        <v>2427527.4166667014</v>
      </c>
    </row>
    <row r="1439" spans="2:10" ht="12.65" customHeight="1">
      <c r="B1439" s="33">
        <f t="shared" si="298"/>
        <v>45084</v>
      </c>
      <c r="C1439" s="41">
        <f t="shared" si="318"/>
        <v>94037476.653333306</v>
      </c>
      <c r="D1439" s="47">
        <f>94835215.64+55788.43</f>
        <v>94891004.070000008</v>
      </c>
      <c r="E1439" s="170">
        <f t="shared" si="299"/>
        <v>853527.41666670144</v>
      </c>
      <c r="G1439" s="173">
        <f t="shared" si="319"/>
        <v>2766000</v>
      </c>
      <c r="H1439" s="47">
        <f t="shared" ref="H1439:H1447" si="320">3040000+0</f>
        <v>3040000</v>
      </c>
      <c r="I1439" s="171">
        <f t="shared" si="300"/>
        <v>274000</v>
      </c>
      <c r="J1439" s="170">
        <f t="shared" si="301"/>
        <v>1127527.4166667014</v>
      </c>
    </row>
    <row r="1440" spans="2:10" ht="12.65" customHeight="1">
      <c r="B1440" s="33">
        <f t="shared" si="298"/>
        <v>45085</v>
      </c>
      <c r="C1440" s="41">
        <f t="shared" si="318"/>
        <v>94037476.653333306</v>
      </c>
      <c r="D1440" s="47">
        <f>55788.43+94835215.64</f>
        <v>94891004.070000008</v>
      </c>
      <c r="E1440" s="170">
        <f t="shared" si="299"/>
        <v>853527.41666670144</v>
      </c>
      <c r="G1440" s="173">
        <f t="shared" si="319"/>
        <v>2766000</v>
      </c>
      <c r="H1440" s="47">
        <f t="shared" si="320"/>
        <v>3040000</v>
      </c>
      <c r="I1440" s="171">
        <f t="shared" si="300"/>
        <v>274000</v>
      </c>
      <c r="J1440" s="170">
        <f t="shared" si="301"/>
        <v>1127527.4166667014</v>
      </c>
    </row>
    <row r="1441" spans="2:10" ht="12.65" customHeight="1">
      <c r="B1441" s="33">
        <f t="shared" si="298"/>
        <v>45086</v>
      </c>
      <c r="C1441" s="41">
        <f t="shared" si="318"/>
        <v>94037476.653333306</v>
      </c>
      <c r="D1441" s="47">
        <f>55788.43+94835215.64</f>
        <v>94891004.070000008</v>
      </c>
      <c r="E1441" s="170">
        <f t="shared" si="299"/>
        <v>853527.41666670144</v>
      </c>
      <c r="G1441" s="173">
        <f t="shared" si="319"/>
        <v>2766000</v>
      </c>
      <c r="H1441" s="47">
        <f t="shared" si="320"/>
        <v>3040000</v>
      </c>
      <c r="I1441" s="171">
        <f t="shared" si="300"/>
        <v>274000</v>
      </c>
      <c r="J1441" s="170">
        <f t="shared" si="301"/>
        <v>1127527.4166667014</v>
      </c>
    </row>
    <row r="1442" spans="2:10" ht="12.65" customHeight="1">
      <c r="B1442" s="33">
        <f t="shared" si="298"/>
        <v>45089</v>
      </c>
      <c r="C1442" s="41">
        <f t="shared" si="318"/>
        <v>94037476.653333306</v>
      </c>
      <c r="D1442" s="47">
        <f>55788.43+94835215.64</f>
        <v>94891004.070000008</v>
      </c>
      <c r="E1442" s="170">
        <f t="shared" si="299"/>
        <v>853527.41666670144</v>
      </c>
      <c r="G1442" s="173">
        <f t="shared" si="319"/>
        <v>2766000</v>
      </c>
      <c r="H1442" s="47">
        <f t="shared" si="320"/>
        <v>3040000</v>
      </c>
      <c r="I1442" s="171">
        <f t="shared" si="300"/>
        <v>274000</v>
      </c>
      <c r="J1442" s="170">
        <f t="shared" si="301"/>
        <v>1127527.4166667014</v>
      </c>
    </row>
    <row r="1443" spans="2:10" ht="12.65" customHeight="1">
      <c r="B1443" s="33">
        <f t="shared" si="298"/>
        <v>45090</v>
      </c>
      <c r="C1443" s="41">
        <f t="shared" si="318"/>
        <v>94037476.653333306</v>
      </c>
      <c r="D1443" s="47">
        <f>55788.43+94835215.64</f>
        <v>94891004.070000008</v>
      </c>
      <c r="E1443" s="170">
        <f t="shared" si="299"/>
        <v>853527.41666670144</v>
      </c>
      <c r="G1443" s="173">
        <f t="shared" si="319"/>
        <v>2766000</v>
      </c>
      <c r="H1443" s="47">
        <f t="shared" si="320"/>
        <v>3040000</v>
      </c>
      <c r="I1443" s="171">
        <f t="shared" si="300"/>
        <v>274000</v>
      </c>
      <c r="J1443" s="170">
        <f t="shared" si="301"/>
        <v>1127527.4166667014</v>
      </c>
    </row>
    <row r="1444" spans="2:10" ht="12.65" customHeight="1">
      <c r="B1444" s="33">
        <f t="shared" si="298"/>
        <v>45091</v>
      </c>
      <c r="C1444" s="41">
        <f t="shared" si="318"/>
        <v>94037476.653333306</v>
      </c>
      <c r="D1444" s="47">
        <f>94835215.64+55788.43</f>
        <v>94891004.070000008</v>
      </c>
      <c r="E1444" s="170">
        <f t="shared" si="299"/>
        <v>853527.41666670144</v>
      </c>
      <c r="G1444" s="173">
        <f t="shared" si="319"/>
        <v>2766000</v>
      </c>
      <c r="H1444" s="47">
        <f t="shared" si="320"/>
        <v>3040000</v>
      </c>
      <c r="I1444" s="171">
        <f t="shared" si="300"/>
        <v>274000</v>
      </c>
      <c r="J1444" s="170">
        <f t="shared" si="301"/>
        <v>1127527.4166667014</v>
      </c>
    </row>
    <row r="1445" spans="2:10" ht="12.65" customHeight="1">
      <c r="B1445" s="33">
        <f t="shared" si="298"/>
        <v>45092</v>
      </c>
      <c r="C1445" s="41">
        <f t="shared" si="318"/>
        <v>94037476.653333306</v>
      </c>
      <c r="D1445" s="47">
        <f>94835215.64+55788.43</f>
        <v>94891004.070000008</v>
      </c>
      <c r="E1445" s="170">
        <f t="shared" si="299"/>
        <v>853527.41666670144</v>
      </c>
      <c r="G1445" s="173">
        <f t="shared" si="319"/>
        <v>2766000</v>
      </c>
      <c r="H1445" s="47">
        <f t="shared" si="320"/>
        <v>3040000</v>
      </c>
      <c r="I1445" s="171">
        <f t="shared" si="300"/>
        <v>274000</v>
      </c>
      <c r="J1445" s="170">
        <f t="shared" si="301"/>
        <v>1127527.4166667014</v>
      </c>
    </row>
    <row r="1446" spans="2:10" ht="12.65" customHeight="1">
      <c r="B1446" s="33">
        <f t="shared" si="298"/>
        <v>45093</v>
      </c>
      <c r="C1446" s="41">
        <v>92014119.247500002</v>
      </c>
      <c r="D1446" s="47">
        <f>55788.43+94835215.64</f>
        <v>94891004.070000008</v>
      </c>
      <c r="E1446" s="170">
        <f t="shared" si="299"/>
        <v>2876884.8225000054</v>
      </c>
      <c r="G1446" s="173">
        <f>2736000</f>
        <v>2736000</v>
      </c>
      <c r="H1446" s="47">
        <f t="shared" si="320"/>
        <v>3040000</v>
      </c>
      <c r="I1446" s="171">
        <f t="shared" si="300"/>
        <v>304000</v>
      </c>
      <c r="J1446" s="170">
        <f t="shared" si="301"/>
        <v>3180884.8225000054</v>
      </c>
    </row>
    <row r="1447" spans="2:10" ht="12.65" customHeight="1">
      <c r="B1447" s="33">
        <f t="shared" si="298"/>
        <v>45096</v>
      </c>
      <c r="C1447" s="41">
        <v>92014119.247500002</v>
      </c>
      <c r="D1447" s="47">
        <f>55788.43+94835215.64</f>
        <v>94891004.070000008</v>
      </c>
      <c r="E1447" s="170">
        <f t="shared" si="299"/>
        <v>2876884.8225000054</v>
      </c>
      <c r="G1447" s="173">
        <f t="shared" ref="G1447:G1454" si="321">2736000</f>
        <v>2736000</v>
      </c>
      <c r="H1447" s="47">
        <f t="shared" si="320"/>
        <v>3040000</v>
      </c>
      <c r="I1447" s="171">
        <f t="shared" si="300"/>
        <v>304000</v>
      </c>
      <c r="J1447" s="170">
        <f t="shared" si="301"/>
        <v>3180884.8225000054</v>
      </c>
    </row>
    <row r="1448" spans="2:10" ht="12.65" customHeight="1">
      <c r="B1448" s="33">
        <f t="shared" si="298"/>
        <v>45097</v>
      </c>
      <c r="C1448" s="41">
        <v>92014119.247500002</v>
      </c>
      <c r="D1448" s="47">
        <f>92835215.64+55788.43</f>
        <v>92891004.070000008</v>
      </c>
      <c r="E1448" s="170">
        <f t="shared" si="299"/>
        <v>876884.82250000536</v>
      </c>
      <c r="G1448" s="173">
        <f t="shared" si="321"/>
        <v>2736000</v>
      </c>
      <c r="H1448" s="47">
        <f t="shared" ref="H1448:H1454" si="322">2940000+0</f>
        <v>2940000</v>
      </c>
      <c r="I1448" s="171">
        <f t="shared" si="300"/>
        <v>204000</v>
      </c>
      <c r="J1448" s="170">
        <f t="shared" si="301"/>
        <v>1080884.8225000054</v>
      </c>
    </row>
    <row r="1449" spans="2:10" ht="12.65" customHeight="1">
      <c r="B1449" s="33">
        <f t="shared" si="298"/>
        <v>45098</v>
      </c>
      <c r="C1449" s="41">
        <v>92014119.247500002</v>
      </c>
      <c r="D1449" s="47">
        <f t="shared" ref="D1449:D1454" si="323">55788.43+92835215.64</f>
        <v>92891004.070000008</v>
      </c>
      <c r="E1449" s="170">
        <f t="shared" si="299"/>
        <v>876884.82250000536</v>
      </c>
      <c r="G1449" s="173">
        <f t="shared" si="321"/>
        <v>2736000</v>
      </c>
      <c r="H1449" s="47">
        <f t="shared" si="322"/>
        <v>2940000</v>
      </c>
      <c r="I1449" s="171">
        <f t="shared" si="300"/>
        <v>204000</v>
      </c>
      <c r="J1449" s="170">
        <f t="shared" si="301"/>
        <v>1080884.8225000054</v>
      </c>
    </row>
    <row r="1450" spans="2:10" ht="12.65" customHeight="1">
      <c r="B1450" s="33">
        <f t="shared" si="298"/>
        <v>45099</v>
      </c>
      <c r="C1450" s="41">
        <v>92014119.247500002</v>
      </c>
      <c r="D1450" s="47">
        <f t="shared" si="323"/>
        <v>92891004.070000008</v>
      </c>
      <c r="E1450" s="170">
        <f t="shared" si="299"/>
        <v>876884.82250000536</v>
      </c>
      <c r="G1450" s="173">
        <f t="shared" si="321"/>
        <v>2736000</v>
      </c>
      <c r="H1450" s="47">
        <f t="shared" si="322"/>
        <v>2940000</v>
      </c>
      <c r="I1450" s="171">
        <f t="shared" si="300"/>
        <v>204000</v>
      </c>
      <c r="J1450" s="170">
        <f t="shared" si="301"/>
        <v>1080884.8225000054</v>
      </c>
    </row>
    <row r="1451" spans="2:10" ht="12.65" customHeight="1">
      <c r="B1451" s="33">
        <f t="shared" si="298"/>
        <v>45100</v>
      </c>
      <c r="C1451" s="41">
        <v>92014119.247500002</v>
      </c>
      <c r="D1451" s="47">
        <f t="shared" si="323"/>
        <v>92891004.070000008</v>
      </c>
      <c r="E1451" s="170">
        <f t="shared" si="299"/>
        <v>876884.82250000536</v>
      </c>
      <c r="G1451" s="173">
        <f t="shared" si="321"/>
        <v>2736000</v>
      </c>
      <c r="H1451" s="47">
        <f t="shared" si="322"/>
        <v>2940000</v>
      </c>
      <c r="I1451" s="171">
        <f t="shared" si="300"/>
        <v>204000</v>
      </c>
      <c r="J1451" s="170">
        <f t="shared" si="301"/>
        <v>1080884.8225000054</v>
      </c>
    </row>
    <row r="1452" spans="2:10" ht="12.65" customHeight="1">
      <c r="B1452" s="33">
        <f t="shared" si="298"/>
        <v>45103</v>
      </c>
      <c r="C1452" s="41">
        <v>92014119.247500002</v>
      </c>
      <c r="D1452" s="47">
        <f t="shared" si="323"/>
        <v>92891004.070000008</v>
      </c>
      <c r="E1452" s="170">
        <f t="shared" si="299"/>
        <v>876884.82250000536</v>
      </c>
      <c r="G1452" s="173">
        <f t="shared" si="321"/>
        <v>2736000</v>
      </c>
      <c r="H1452" s="47">
        <f t="shared" si="322"/>
        <v>2940000</v>
      </c>
      <c r="I1452" s="171">
        <f t="shared" si="300"/>
        <v>204000</v>
      </c>
      <c r="J1452" s="170">
        <f t="shared" si="301"/>
        <v>1080884.8225000054</v>
      </c>
    </row>
    <row r="1453" spans="2:10" ht="12.65" customHeight="1">
      <c r="B1453" s="33">
        <f t="shared" si="298"/>
        <v>45104</v>
      </c>
      <c r="C1453" s="41">
        <v>92014119.247500002</v>
      </c>
      <c r="D1453" s="47">
        <f t="shared" si="323"/>
        <v>92891004.070000008</v>
      </c>
      <c r="E1453" s="170">
        <f t="shared" si="299"/>
        <v>876884.82250000536</v>
      </c>
      <c r="G1453" s="173">
        <f t="shared" si="321"/>
        <v>2736000</v>
      </c>
      <c r="H1453" s="47">
        <f t="shared" si="322"/>
        <v>2940000</v>
      </c>
      <c r="I1453" s="171">
        <f t="shared" si="300"/>
        <v>204000</v>
      </c>
      <c r="J1453" s="170">
        <f t="shared" si="301"/>
        <v>1080884.8225000054</v>
      </c>
    </row>
    <row r="1454" spans="2:10" ht="12.65" customHeight="1">
      <c r="B1454" s="1377">
        <f>WORKDAY(B1453,3)</f>
        <v>45107</v>
      </c>
      <c r="C1454" s="1386">
        <v>92014119.247500002</v>
      </c>
      <c r="D1454" s="1387">
        <f t="shared" si="323"/>
        <v>92891004.070000008</v>
      </c>
      <c r="E1454" s="1388">
        <f t="shared" si="299"/>
        <v>876884.82250000536</v>
      </c>
      <c r="F1454" s="1389"/>
      <c r="G1454" s="1390">
        <f t="shared" si="321"/>
        <v>2736000</v>
      </c>
      <c r="H1454" s="1387">
        <f t="shared" si="322"/>
        <v>2940000</v>
      </c>
      <c r="I1454" s="1391">
        <f t="shared" si="300"/>
        <v>204000</v>
      </c>
      <c r="J1454" s="1388">
        <f t="shared" si="301"/>
        <v>1080884.8225000054</v>
      </c>
    </row>
    <row r="1455" spans="2:10" ht="12.65" customHeight="1">
      <c r="B1455" s="33">
        <f t="shared" ref="B1455:B1519" si="324">WORKDAY(B1454,1)</f>
        <v>45110</v>
      </c>
      <c r="C1455" s="41">
        <f>89194171.8906667</f>
        <v>89194171.890666693</v>
      </c>
      <c r="D1455" s="47">
        <f>55788.43+90035215.64</f>
        <v>90091004.070000008</v>
      </c>
      <c r="E1455" s="170">
        <f t="shared" si="299"/>
        <v>896832.1793333143</v>
      </c>
      <c r="G1455" s="173">
        <f>2337000</f>
        <v>2337000</v>
      </c>
      <c r="H1455" s="47">
        <f>2940000+0</f>
        <v>2940000</v>
      </c>
      <c r="I1455" s="171">
        <f t="shared" si="300"/>
        <v>603000</v>
      </c>
      <c r="J1455" s="170">
        <f t="shared" si="301"/>
        <v>1499832.1793333143</v>
      </c>
    </row>
    <row r="1456" spans="2:10" ht="12.65" customHeight="1">
      <c r="B1456" s="33">
        <f t="shared" si="324"/>
        <v>45111</v>
      </c>
      <c r="C1456" s="41">
        <f t="shared" ref="C1456:C1464" si="325">89194171.8906667</f>
        <v>89194171.890666693</v>
      </c>
      <c r="D1456" s="47">
        <f>55788.43+90035215.64</f>
        <v>90091004.070000008</v>
      </c>
      <c r="E1456" s="170">
        <f t="shared" si="299"/>
        <v>896832.1793333143</v>
      </c>
      <c r="G1456" s="173">
        <f t="shared" ref="G1456:G1464" si="326">2337000</f>
        <v>2337000</v>
      </c>
      <c r="H1456" s="47">
        <f>2940000+0</f>
        <v>2940000</v>
      </c>
      <c r="I1456" s="171">
        <f t="shared" si="300"/>
        <v>603000</v>
      </c>
      <c r="J1456" s="170">
        <f t="shared" si="301"/>
        <v>1499832.1793333143</v>
      </c>
    </row>
    <row r="1457" spans="2:10" ht="12.65" customHeight="1">
      <c r="B1457" s="33">
        <f t="shared" si="324"/>
        <v>45112</v>
      </c>
      <c r="C1457" s="41">
        <f t="shared" si="325"/>
        <v>89194171.890666693</v>
      </c>
      <c r="D1457" s="47">
        <f t="shared" ref="D1457:D1464" si="327">90035215.64+55788.43</f>
        <v>90091004.070000008</v>
      </c>
      <c r="E1457" s="170">
        <f t="shared" si="299"/>
        <v>896832.1793333143</v>
      </c>
      <c r="G1457" s="173">
        <f t="shared" si="326"/>
        <v>2337000</v>
      </c>
      <c r="H1457" s="47">
        <f t="shared" ref="H1457:H1463" si="328">2440000+0</f>
        <v>2440000</v>
      </c>
      <c r="I1457" s="171">
        <f t="shared" si="300"/>
        <v>103000</v>
      </c>
      <c r="J1457" s="170">
        <f t="shared" si="301"/>
        <v>999832.1793333143</v>
      </c>
    </row>
    <row r="1458" spans="2:10" ht="12.65" customHeight="1">
      <c r="B1458" s="33">
        <f t="shared" si="324"/>
        <v>45113</v>
      </c>
      <c r="C1458" s="41">
        <f t="shared" si="325"/>
        <v>89194171.890666693</v>
      </c>
      <c r="D1458" s="47">
        <f t="shared" si="327"/>
        <v>90091004.070000008</v>
      </c>
      <c r="E1458" s="170">
        <f t="shared" si="299"/>
        <v>896832.1793333143</v>
      </c>
      <c r="G1458" s="173">
        <f t="shared" si="326"/>
        <v>2337000</v>
      </c>
      <c r="H1458" s="47">
        <f t="shared" si="328"/>
        <v>2440000</v>
      </c>
      <c r="I1458" s="171">
        <f t="shared" si="300"/>
        <v>103000</v>
      </c>
      <c r="J1458" s="170">
        <f t="shared" si="301"/>
        <v>999832.1793333143</v>
      </c>
    </row>
    <row r="1459" spans="2:10" ht="12.65" customHeight="1">
      <c r="B1459" s="33">
        <f t="shared" si="324"/>
        <v>45114</v>
      </c>
      <c r="C1459" s="41">
        <f t="shared" si="325"/>
        <v>89194171.890666693</v>
      </c>
      <c r="D1459" s="47">
        <f t="shared" si="327"/>
        <v>90091004.070000008</v>
      </c>
      <c r="E1459" s="170">
        <f t="shared" si="299"/>
        <v>896832.1793333143</v>
      </c>
      <c r="G1459" s="173">
        <f t="shared" si="326"/>
        <v>2337000</v>
      </c>
      <c r="H1459" s="47">
        <f t="shared" si="328"/>
        <v>2440000</v>
      </c>
      <c r="I1459" s="171">
        <f t="shared" si="300"/>
        <v>103000</v>
      </c>
      <c r="J1459" s="170">
        <f t="shared" si="301"/>
        <v>999832.1793333143</v>
      </c>
    </row>
    <row r="1460" spans="2:10" ht="12.65" customHeight="1">
      <c r="B1460" s="33">
        <f t="shared" si="324"/>
        <v>45117</v>
      </c>
      <c r="C1460" s="41">
        <f t="shared" si="325"/>
        <v>89194171.890666693</v>
      </c>
      <c r="D1460" s="47">
        <f t="shared" si="327"/>
        <v>90091004.070000008</v>
      </c>
      <c r="E1460" s="170">
        <f t="shared" ref="E1460:E1524" si="329">D1460-C1460</f>
        <v>896832.1793333143</v>
      </c>
      <c r="G1460" s="173">
        <f t="shared" si="326"/>
        <v>2337000</v>
      </c>
      <c r="H1460" s="47">
        <f t="shared" si="328"/>
        <v>2440000</v>
      </c>
      <c r="I1460" s="171">
        <f t="shared" ref="I1460:I1524" si="330">H1460-G1460</f>
        <v>103000</v>
      </c>
      <c r="J1460" s="170">
        <f t="shared" ref="J1460:J1524" si="331">E1460+I1460</f>
        <v>999832.1793333143</v>
      </c>
    </row>
    <row r="1461" spans="2:10" ht="12.65" customHeight="1">
      <c r="B1461" s="33">
        <f t="shared" si="324"/>
        <v>45118</v>
      </c>
      <c r="C1461" s="41">
        <f t="shared" si="325"/>
        <v>89194171.890666693</v>
      </c>
      <c r="D1461" s="47">
        <f t="shared" si="327"/>
        <v>90091004.070000008</v>
      </c>
      <c r="E1461" s="170">
        <f t="shared" si="329"/>
        <v>896832.1793333143</v>
      </c>
      <c r="G1461" s="173">
        <f t="shared" si="326"/>
        <v>2337000</v>
      </c>
      <c r="H1461" s="47">
        <f t="shared" si="328"/>
        <v>2440000</v>
      </c>
      <c r="I1461" s="171">
        <f t="shared" si="330"/>
        <v>103000</v>
      </c>
      <c r="J1461" s="170">
        <f t="shared" si="331"/>
        <v>999832.1793333143</v>
      </c>
    </row>
    <row r="1462" spans="2:10" ht="12.65" customHeight="1">
      <c r="B1462" s="33">
        <f t="shared" si="324"/>
        <v>45119</v>
      </c>
      <c r="C1462" s="41">
        <f t="shared" si="325"/>
        <v>89194171.890666693</v>
      </c>
      <c r="D1462" s="47">
        <f t="shared" si="327"/>
        <v>90091004.070000008</v>
      </c>
      <c r="E1462" s="170">
        <f t="shared" si="329"/>
        <v>896832.1793333143</v>
      </c>
      <c r="G1462" s="173">
        <f t="shared" si="326"/>
        <v>2337000</v>
      </c>
      <c r="H1462" s="47">
        <f t="shared" si="328"/>
        <v>2440000</v>
      </c>
      <c r="I1462" s="171">
        <f t="shared" si="330"/>
        <v>103000</v>
      </c>
      <c r="J1462" s="170">
        <f t="shared" si="331"/>
        <v>999832.1793333143</v>
      </c>
    </row>
    <row r="1463" spans="2:10" ht="12.65" customHeight="1">
      <c r="B1463" s="33">
        <f t="shared" si="324"/>
        <v>45120</v>
      </c>
      <c r="C1463" s="41">
        <f t="shared" si="325"/>
        <v>89194171.890666693</v>
      </c>
      <c r="D1463" s="47">
        <f t="shared" si="327"/>
        <v>90091004.070000008</v>
      </c>
      <c r="E1463" s="170">
        <f t="shared" si="329"/>
        <v>896832.1793333143</v>
      </c>
      <c r="G1463" s="173">
        <f t="shared" si="326"/>
        <v>2337000</v>
      </c>
      <c r="H1463" s="47">
        <f t="shared" si="328"/>
        <v>2440000</v>
      </c>
      <c r="I1463" s="171">
        <f t="shared" si="330"/>
        <v>103000</v>
      </c>
      <c r="J1463" s="170">
        <f t="shared" si="331"/>
        <v>999832.1793333143</v>
      </c>
    </row>
    <row r="1464" spans="2:10" ht="12.65" customHeight="1">
      <c r="B1464" s="33">
        <f t="shared" si="324"/>
        <v>45121</v>
      </c>
      <c r="C1464" s="41">
        <f t="shared" si="325"/>
        <v>89194171.890666693</v>
      </c>
      <c r="D1464" s="47">
        <f t="shared" si="327"/>
        <v>90091004.070000008</v>
      </c>
      <c r="E1464" s="170">
        <f t="shared" si="329"/>
        <v>896832.1793333143</v>
      </c>
      <c r="G1464" s="173">
        <f t="shared" si="326"/>
        <v>2337000</v>
      </c>
      <c r="H1464" s="47">
        <v>2690000</v>
      </c>
      <c r="I1464" s="171">
        <f t="shared" si="330"/>
        <v>353000</v>
      </c>
      <c r="J1464" s="170">
        <f t="shared" si="331"/>
        <v>1249832.1793333143</v>
      </c>
    </row>
    <row r="1465" spans="2:10" ht="12.65" customHeight="1">
      <c r="B1465" s="33">
        <f t="shared" si="324"/>
        <v>45124</v>
      </c>
      <c r="C1465" s="41">
        <f>85439213.8933333</f>
        <v>85439213.893333301</v>
      </c>
      <c r="D1465" s="47">
        <f>55788.43+86245400.64</f>
        <v>86301189.070000008</v>
      </c>
      <c r="E1465" s="170">
        <f t="shared" si="329"/>
        <v>861975.1766667068</v>
      </c>
      <c r="G1465" s="173">
        <f>2612738.86933333</f>
        <v>2612738.8693333301</v>
      </c>
      <c r="H1465" s="47">
        <v>2690000</v>
      </c>
      <c r="I1465" s="171">
        <f t="shared" si="330"/>
        <v>77261.130666669924</v>
      </c>
      <c r="J1465" s="170">
        <f t="shared" si="331"/>
        <v>939236.30733337672</v>
      </c>
    </row>
    <row r="1466" spans="2:10" ht="12.65" customHeight="1">
      <c r="B1466" s="33">
        <f t="shared" si="324"/>
        <v>45125</v>
      </c>
      <c r="C1466" s="41">
        <f t="shared" ref="C1466:C1475" si="332">85439213.8933333</f>
        <v>85439213.893333301</v>
      </c>
      <c r="D1466" s="47">
        <f>55788.43+86245400.64</f>
        <v>86301189.070000008</v>
      </c>
      <c r="E1466" s="170">
        <f t="shared" si="329"/>
        <v>861975.1766667068</v>
      </c>
      <c r="G1466" s="173">
        <f t="shared" ref="G1466:G1475" si="333">2612738.86933333</f>
        <v>2612738.8693333301</v>
      </c>
      <c r="H1466" s="47">
        <f t="shared" ref="H1466:H1471" si="334">2690000+0</f>
        <v>2690000</v>
      </c>
      <c r="I1466" s="171">
        <f t="shared" si="330"/>
        <v>77261.130666669924</v>
      </c>
      <c r="J1466" s="170">
        <f t="shared" si="331"/>
        <v>939236.30733337672</v>
      </c>
    </row>
    <row r="1467" spans="2:10" s="1385" customFormat="1" ht="12.65" customHeight="1">
      <c r="B1467" s="1377">
        <f t="shared" si="324"/>
        <v>45126</v>
      </c>
      <c r="C1467" s="1386">
        <f t="shared" si="332"/>
        <v>85439213.893333301</v>
      </c>
      <c r="D1467" s="1387">
        <f>55788.43+86245400.64</f>
        <v>86301189.070000008</v>
      </c>
      <c r="E1467" s="1388">
        <f t="shared" si="329"/>
        <v>861975.1766667068</v>
      </c>
      <c r="F1467" s="1389"/>
      <c r="G1467" s="1390">
        <f t="shared" si="333"/>
        <v>2612738.8693333301</v>
      </c>
      <c r="H1467" s="1387">
        <f t="shared" si="334"/>
        <v>2690000</v>
      </c>
      <c r="I1467" s="1391">
        <f t="shared" si="330"/>
        <v>77261.130666669924</v>
      </c>
      <c r="J1467" s="1388">
        <f t="shared" si="331"/>
        <v>939236.30733337672</v>
      </c>
    </row>
    <row r="1468" spans="2:10" ht="12.65" customHeight="1">
      <c r="B1468" s="33">
        <f t="shared" si="324"/>
        <v>45127</v>
      </c>
      <c r="C1468" s="41">
        <f t="shared" si="332"/>
        <v>85439213.893333301</v>
      </c>
      <c r="D1468" s="47">
        <f t="shared" ref="D1468:D1472" si="335">55788.43+86235215.64</f>
        <v>86291004.070000008</v>
      </c>
      <c r="E1468" s="170">
        <f t="shared" si="329"/>
        <v>851790.1766667068</v>
      </c>
      <c r="G1468" s="173">
        <f t="shared" si="333"/>
        <v>2612738.8693333301</v>
      </c>
      <c r="H1468" s="47">
        <f t="shared" si="334"/>
        <v>2690000</v>
      </c>
      <c r="I1468" s="171">
        <f t="shared" si="330"/>
        <v>77261.130666669924</v>
      </c>
      <c r="J1468" s="170">
        <f t="shared" si="331"/>
        <v>929051.30733337672</v>
      </c>
    </row>
    <row r="1469" spans="2:10" ht="12.65" customHeight="1">
      <c r="B1469" s="33">
        <f t="shared" si="324"/>
        <v>45128</v>
      </c>
      <c r="C1469" s="41">
        <f t="shared" si="332"/>
        <v>85439213.893333301</v>
      </c>
      <c r="D1469" s="47">
        <f t="shared" si="335"/>
        <v>86291004.070000008</v>
      </c>
      <c r="E1469" s="170">
        <f t="shared" si="329"/>
        <v>851790.1766667068</v>
      </c>
      <c r="G1469" s="173">
        <f t="shared" si="333"/>
        <v>2612738.8693333301</v>
      </c>
      <c r="H1469" s="47">
        <f t="shared" si="334"/>
        <v>2690000</v>
      </c>
      <c r="I1469" s="171">
        <f t="shared" si="330"/>
        <v>77261.130666669924</v>
      </c>
      <c r="J1469" s="170">
        <f t="shared" si="331"/>
        <v>929051.30733337672</v>
      </c>
    </row>
    <row r="1470" spans="2:10" ht="12.65" customHeight="1">
      <c r="B1470" s="33">
        <f t="shared" si="324"/>
        <v>45131</v>
      </c>
      <c r="C1470" s="41">
        <f t="shared" si="332"/>
        <v>85439213.893333301</v>
      </c>
      <c r="D1470" s="47">
        <f t="shared" si="335"/>
        <v>86291004.070000008</v>
      </c>
      <c r="E1470" s="170">
        <f t="shared" si="329"/>
        <v>851790.1766667068</v>
      </c>
      <c r="G1470" s="173">
        <f t="shared" si="333"/>
        <v>2612738.8693333301</v>
      </c>
      <c r="H1470" s="47">
        <f t="shared" si="334"/>
        <v>2690000</v>
      </c>
      <c r="I1470" s="171">
        <f t="shared" si="330"/>
        <v>77261.130666669924</v>
      </c>
      <c r="J1470" s="170">
        <f t="shared" si="331"/>
        <v>929051.30733337672</v>
      </c>
    </row>
    <row r="1471" spans="2:10" ht="12.65" customHeight="1">
      <c r="B1471" s="33">
        <f t="shared" si="324"/>
        <v>45132</v>
      </c>
      <c r="C1471" s="41">
        <f t="shared" si="332"/>
        <v>85439213.893333301</v>
      </c>
      <c r="D1471" s="47">
        <f t="shared" si="335"/>
        <v>86291004.070000008</v>
      </c>
      <c r="E1471" s="170">
        <f t="shared" si="329"/>
        <v>851790.1766667068</v>
      </c>
      <c r="G1471" s="173">
        <f t="shared" si="333"/>
        <v>2612738.8693333301</v>
      </c>
      <c r="H1471" s="47">
        <f t="shared" si="334"/>
        <v>2690000</v>
      </c>
      <c r="I1471" s="171">
        <f t="shared" si="330"/>
        <v>77261.130666669924</v>
      </c>
      <c r="J1471" s="170">
        <f t="shared" si="331"/>
        <v>929051.30733337672</v>
      </c>
    </row>
    <row r="1472" spans="2:10" ht="12.65" customHeight="1">
      <c r="B1472" s="33">
        <f t="shared" si="324"/>
        <v>45133</v>
      </c>
      <c r="C1472" s="41">
        <f t="shared" si="332"/>
        <v>85439213.893333301</v>
      </c>
      <c r="D1472" s="47">
        <f t="shared" si="335"/>
        <v>86291004.070000008</v>
      </c>
      <c r="E1472" s="170">
        <f t="shared" si="329"/>
        <v>851790.1766667068</v>
      </c>
      <c r="G1472" s="173">
        <f t="shared" si="333"/>
        <v>2612738.8693333301</v>
      </c>
      <c r="H1472" s="47">
        <f>2690000+0</f>
        <v>2690000</v>
      </c>
      <c r="I1472" s="171">
        <f t="shared" si="330"/>
        <v>77261.130666669924</v>
      </c>
      <c r="J1472" s="170">
        <f t="shared" si="331"/>
        <v>929051.30733337672</v>
      </c>
    </row>
    <row r="1473" spans="2:10" ht="12.65" customHeight="1">
      <c r="B1473" s="33">
        <f t="shared" si="324"/>
        <v>45134</v>
      </c>
      <c r="C1473" s="41">
        <f t="shared" si="332"/>
        <v>85439213.893333301</v>
      </c>
      <c r="D1473" s="47">
        <f t="shared" ref="D1473:D1477" si="336">55788.43+86235215.64</f>
        <v>86291004.070000008</v>
      </c>
      <c r="E1473" s="170">
        <f t="shared" si="329"/>
        <v>851790.1766667068</v>
      </c>
      <c r="G1473" s="173">
        <f t="shared" si="333"/>
        <v>2612738.8693333301</v>
      </c>
      <c r="H1473" s="47">
        <f>2690000+0</f>
        <v>2690000</v>
      </c>
      <c r="I1473" s="171">
        <f t="shared" si="330"/>
        <v>77261.130666669924</v>
      </c>
      <c r="J1473" s="170">
        <f t="shared" si="331"/>
        <v>929051.30733337672</v>
      </c>
    </row>
    <row r="1474" spans="2:10" ht="12.65" customHeight="1">
      <c r="B1474" s="33">
        <f t="shared" si="324"/>
        <v>45135</v>
      </c>
      <c r="C1474" s="41">
        <f t="shared" si="332"/>
        <v>85439213.893333301</v>
      </c>
      <c r="D1474" s="47">
        <f t="shared" si="336"/>
        <v>86291004.070000008</v>
      </c>
      <c r="E1474" s="170">
        <f t="shared" si="329"/>
        <v>851790.1766667068</v>
      </c>
      <c r="G1474" s="173">
        <f t="shared" si="333"/>
        <v>2612738.8693333301</v>
      </c>
      <c r="H1474" s="47">
        <f>2690000+0</f>
        <v>2690000</v>
      </c>
      <c r="I1474" s="171">
        <f t="shared" si="330"/>
        <v>77261.130666669924</v>
      </c>
      <c r="J1474" s="170">
        <f t="shared" si="331"/>
        <v>929051.30733337672</v>
      </c>
    </row>
    <row r="1475" spans="2:10" ht="12.65" customHeight="1">
      <c r="B1475" s="33">
        <f t="shared" si="324"/>
        <v>45138</v>
      </c>
      <c r="C1475" s="41">
        <f t="shared" si="332"/>
        <v>85439213.893333301</v>
      </c>
      <c r="D1475" s="47">
        <f t="shared" si="336"/>
        <v>86291004.070000008</v>
      </c>
      <c r="E1475" s="170">
        <f t="shared" si="329"/>
        <v>851790.1766667068</v>
      </c>
      <c r="G1475" s="173">
        <f t="shared" si="333"/>
        <v>2612738.8693333301</v>
      </c>
      <c r="H1475" s="47">
        <f>2690000+0</f>
        <v>2690000</v>
      </c>
      <c r="I1475" s="171">
        <f t="shared" si="330"/>
        <v>77261.130666669924</v>
      </c>
      <c r="J1475" s="170">
        <f t="shared" si="331"/>
        <v>929051.30733337672</v>
      </c>
    </row>
    <row r="1476" spans="2:10" ht="12.65" customHeight="1">
      <c r="B1476" s="33">
        <f t="shared" si="324"/>
        <v>45139</v>
      </c>
      <c r="C1476" s="41">
        <f>85658972.048</f>
        <v>85658972.047999993</v>
      </c>
      <c r="D1476" s="47">
        <f t="shared" si="336"/>
        <v>86291004.070000008</v>
      </c>
      <c r="E1476" s="170">
        <f t="shared" si="329"/>
        <v>632032.02200001478</v>
      </c>
      <c r="G1476" s="173">
        <f>2334259.72066667</f>
        <v>2334259.7206666698</v>
      </c>
      <c r="H1476" s="47">
        <f>2690000+0</f>
        <v>2690000</v>
      </c>
      <c r="I1476" s="171">
        <f t="shared" si="330"/>
        <v>355740.27933333023</v>
      </c>
      <c r="J1476" s="170">
        <f t="shared" si="331"/>
        <v>987772.30133334501</v>
      </c>
    </row>
    <row r="1477" spans="2:10" ht="12.65" customHeight="1">
      <c r="B1477" s="33">
        <f t="shared" si="324"/>
        <v>45140</v>
      </c>
      <c r="C1477" s="41">
        <f t="shared" ref="C1477:C1486" si="337">85658972.048</f>
        <v>85658972.047999993</v>
      </c>
      <c r="D1477" s="47">
        <f t="shared" si="336"/>
        <v>86291004.070000008</v>
      </c>
      <c r="E1477" s="170">
        <f t="shared" si="329"/>
        <v>632032.02200001478</v>
      </c>
      <c r="G1477" s="173">
        <f t="shared" ref="G1477:G1486" si="338">2334259.72066667</f>
        <v>2334259.7206666698</v>
      </c>
      <c r="H1477" s="47">
        <f>2440000+0</f>
        <v>2440000</v>
      </c>
      <c r="I1477" s="171">
        <f t="shared" si="330"/>
        <v>105740.27933333023</v>
      </c>
      <c r="J1477" s="170">
        <f t="shared" si="331"/>
        <v>737772.30133334501</v>
      </c>
    </row>
    <row r="1478" spans="2:10" ht="12.65" customHeight="1">
      <c r="B1478" s="33">
        <f t="shared" si="324"/>
        <v>45141</v>
      </c>
      <c r="C1478" s="41">
        <f t="shared" si="337"/>
        <v>85658972.047999993</v>
      </c>
      <c r="D1478" s="47">
        <f t="shared" ref="D1478:D1486" si="339">55788.43+86235215.64</f>
        <v>86291004.070000008</v>
      </c>
      <c r="E1478" s="170">
        <f t="shared" si="329"/>
        <v>632032.02200001478</v>
      </c>
      <c r="G1478" s="173">
        <f t="shared" si="338"/>
        <v>2334259.7206666698</v>
      </c>
      <c r="H1478" s="47">
        <f t="shared" ref="H1478:H1483" si="340">0+2440000</f>
        <v>2440000</v>
      </c>
      <c r="I1478" s="171">
        <f t="shared" si="330"/>
        <v>105740.27933333023</v>
      </c>
      <c r="J1478" s="170">
        <f t="shared" si="331"/>
        <v>737772.30133334501</v>
      </c>
    </row>
    <row r="1479" spans="2:10" ht="12.65" customHeight="1">
      <c r="B1479" s="33">
        <f t="shared" si="324"/>
        <v>45142</v>
      </c>
      <c r="C1479" s="41">
        <f t="shared" si="337"/>
        <v>85658972.047999993</v>
      </c>
      <c r="D1479" s="47">
        <f t="shared" si="339"/>
        <v>86291004.070000008</v>
      </c>
      <c r="E1479" s="170">
        <f t="shared" si="329"/>
        <v>632032.02200001478</v>
      </c>
      <c r="G1479" s="173">
        <f t="shared" si="338"/>
        <v>2334259.7206666698</v>
      </c>
      <c r="H1479" s="47">
        <f t="shared" si="340"/>
        <v>2440000</v>
      </c>
      <c r="I1479" s="171">
        <f t="shared" si="330"/>
        <v>105740.27933333023</v>
      </c>
      <c r="J1479" s="170">
        <f t="shared" si="331"/>
        <v>737772.30133334501</v>
      </c>
    </row>
    <row r="1480" spans="2:10" ht="12.65" customHeight="1">
      <c r="B1480" s="33">
        <f t="shared" si="324"/>
        <v>45145</v>
      </c>
      <c r="C1480" s="41">
        <f t="shared" si="337"/>
        <v>85658972.047999993</v>
      </c>
      <c r="D1480" s="47">
        <f t="shared" si="339"/>
        <v>86291004.070000008</v>
      </c>
      <c r="E1480" s="170">
        <f t="shared" si="329"/>
        <v>632032.02200001478</v>
      </c>
      <c r="G1480" s="173">
        <f t="shared" si="338"/>
        <v>2334259.7206666698</v>
      </c>
      <c r="H1480" s="47">
        <f t="shared" si="340"/>
        <v>2440000</v>
      </c>
      <c r="I1480" s="171">
        <f t="shared" si="330"/>
        <v>105740.27933333023</v>
      </c>
      <c r="J1480" s="170">
        <f t="shared" si="331"/>
        <v>737772.30133334501</v>
      </c>
    </row>
    <row r="1481" spans="2:10" ht="12.65" customHeight="1">
      <c r="B1481" s="33">
        <f t="shared" si="324"/>
        <v>45146</v>
      </c>
      <c r="C1481" s="41">
        <f t="shared" si="337"/>
        <v>85658972.047999993</v>
      </c>
      <c r="D1481" s="47">
        <f t="shared" si="339"/>
        <v>86291004.070000008</v>
      </c>
      <c r="E1481" s="170">
        <f t="shared" si="329"/>
        <v>632032.02200001478</v>
      </c>
      <c r="G1481" s="173">
        <f t="shared" si="338"/>
        <v>2334259.7206666698</v>
      </c>
      <c r="H1481" s="47">
        <f t="shared" si="340"/>
        <v>2440000</v>
      </c>
      <c r="I1481" s="171">
        <f t="shared" si="330"/>
        <v>105740.27933333023</v>
      </c>
      <c r="J1481" s="170">
        <f t="shared" si="331"/>
        <v>737772.30133334501</v>
      </c>
    </row>
    <row r="1482" spans="2:10" ht="12.65" customHeight="1">
      <c r="B1482" s="33">
        <f t="shared" si="324"/>
        <v>45147</v>
      </c>
      <c r="C1482" s="41">
        <f t="shared" si="337"/>
        <v>85658972.047999993</v>
      </c>
      <c r="D1482" s="47">
        <f t="shared" si="339"/>
        <v>86291004.070000008</v>
      </c>
      <c r="E1482" s="170">
        <f t="shared" si="329"/>
        <v>632032.02200001478</v>
      </c>
      <c r="G1482" s="173">
        <f t="shared" si="338"/>
        <v>2334259.7206666698</v>
      </c>
      <c r="H1482" s="47">
        <f t="shared" si="340"/>
        <v>2440000</v>
      </c>
      <c r="I1482" s="171">
        <f t="shared" si="330"/>
        <v>105740.27933333023</v>
      </c>
      <c r="J1482" s="170">
        <f t="shared" si="331"/>
        <v>737772.30133334501</v>
      </c>
    </row>
    <row r="1483" spans="2:10" ht="12.65" customHeight="1">
      <c r="B1483" s="33">
        <f t="shared" si="324"/>
        <v>45148</v>
      </c>
      <c r="C1483" s="41">
        <f t="shared" si="337"/>
        <v>85658972.047999993</v>
      </c>
      <c r="D1483" s="47">
        <f t="shared" si="339"/>
        <v>86291004.070000008</v>
      </c>
      <c r="E1483" s="170">
        <f t="shared" si="329"/>
        <v>632032.02200001478</v>
      </c>
      <c r="G1483" s="173">
        <f t="shared" si="338"/>
        <v>2334259.7206666698</v>
      </c>
      <c r="H1483" s="47">
        <f t="shared" si="340"/>
        <v>2440000</v>
      </c>
      <c r="I1483" s="171">
        <f t="shared" si="330"/>
        <v>105740.27933333023</v>
      </c>
      <c r="J1483" s="170">
        <f t="shared" si="331"/>
        <v>737772.30133334501</v>
      </c>
    </row>
    <row r="1484" spans="2:10" ht="12.65" customHeight="1">
      <c r="B1484" s="33">
        <f t="shared" si="324"/>
        <v>45149</v>
      </c>
      <c r="C1484" s="41">
        <f t="shared" si="337"/>
        <v>85658972.047999993</v>
      </c>
      <c r="D1484" s="47">
        <f t="shared" si="339"/>
        <v>86291004.070000008</v>
      </c>
      <c r="E1484" s="170">
        <f t="shared" si="329"/>
        <v>632032.02200001478</v>
      </c>
      <c r="G1484" s="173">
        <f t="shared" si="338"/>
        <v>2334259.7206666698</v>
      </c>
      <c r="H1484" s="47">
        <f>0+2440000</f>
        <v>2440000</v>
      </c>
      <c r="I1484" s="171">
        <f t="shared" si="330"/>
        <v>105740.27933333023</v>
      </c>
      <c r="J1484" s="170">
        <f t="shared" si="331"/>
        <v>737772.30133334501</v>
      </c>
    </row>
    <row r="1485" spans="2:10" ht="12.65" customHeight="1">
      <c r="B1485" s="33">
        <f t="shared" si="324"/>
        <v>45152</v>
      </c>
      <c r="C1485" s="41">
        <f t="shared" si="337"/>
        <v>85658972.047999993</v>
      </c>
      <c r="D1485" s="47">
        <f t="shared" si="339"/>
        <v>86291004.070000008</v>
      </c>
      <c r="E1485" s="170">
        <f t="shared" si="329"/>
        <v>632032.02200001478</v>
      </c>
      <c r="G1485" s="173">
        <f t="shared" si="338"/>
        <v>2334259.7206666698</v>
      </c>
      <c r="H1485" s="47">
        <f>2440000+0</f>
        <v>2440000</v>
      </c>
      <c r="I1485" s="171">
        <f t="shared" si="330"/>
        <v>105740.27933333023</v>
      </c>
      <c r="J1485" s="170">
        <f t="shared" si="331"/>
        <v>737772.30133334501</v>
      </c>
    </row>
    <row r="1486" spans="2:10" ht="12.65" customHeight="1">
      <c r="B1486" s="33">
        <f t="shared" si="324"/>
        <v>45153</v>
      </c>
      <c r="C1486" s="41">
        <f t="shared" si="337"/>
        <v>85658972.047999993</v>
      </c>
      <c r="D1486" s="47">
        <f t="shared" si="339"/>
        <v>86291004.070000008</v>
      </c>
      <c r="E1486" s="170">
        <f t="shared" si="329"/>
        <v>632032.02200001478</v>
      </c>
      <c r="G1486" s="173">
        <f t="shared" si="338"/>
        <v>2334259.7206666698</v>
      </c>
      <c r="H1486" s="47">
        <f>2440000+0</f>
        <v>2440000</v>
      </c>
      <c r="I1486" s="171">
        <f t="shared" si="330"/>
        <v>105740.27933333023</v>
      </c>
      <c r="J1486" s="170">
        <f t="shared" si="331"/>
        <v>737772.30133334501</v>
      </c>
    </row>
    <row r="1487" spans="2:10" ht="12.65" customHeight="1">
      <c r="B1487" s="33">
        <f t="shared" si="324"/>
        <v>45154</v>
      </c>
      <c r="C1487" s="41">
        <f>86965712.5375</f>
        <v>86965712.537499994</v>
      </c>
      <c r="D1487" s="47">
        <f>55788.43+87735215.64</f>
        <v>87791004.070000008</v>
      </c>
      <c r="E1487" s="170">
        <f t="shared" si="329"/>
        <v>825291.53250001371</v>
      </c>
      <c r="G1487" s="173">
        <f>2341616.95625</f>
        <v>2341616.9562499998</v>
      </c>
      <c r="H1487" s="47">
        <f>0+2490000</f>
        <v>2490000</v>
      </c>
      <c r="I1487" s="171">
        <f>H1487-G1487</f>
        <v>148383.04375000019</v>
      </c>
      <c r="J1487" s="170">
        <f t="shared" si="331"/>
        <v>973674.5762500139</v>
      </c>
    </row>
    <row r="1488" spans="2:10" s="1385" customFormat="1" ht="12.65" customHeight="1">
      <c r="B1488" s="1377">
        <f t="shared" si="324"/>
        <v>45155</v>
      </c>
      <c r="C1488" s="1386">
        <f>86965712.5375</f>
        <v>86965712.537499994</v>
      </c>
      <c r="D1488" s="1387">
        <f>55788.43+87735215.64</f>
        <v>87791004.070000008</v>
      </c>
      <c r="E1488" s="1388">
        <f t="shared" ref="E1488" si="341">D1488-C1488</f>
        <v>825291.53250001371</v>
      </c>
      <c r="F1488" s="1389"/>
      <c r="G1488" s="1390">
        <f>2341616.95625</f>
        <v>2341616.9562499998</v>
      </c>
      <c r="H1488" s="1387">
        <f>0+2490000</f>
        <v>2490000</v>
      </c>
      <c r="I1488" s="1391">
        <f>H1488-G1488</f>
        <v>148383.04375000019</v>
      </c>
      <c r="J1488" s="1388">
        <f t="shared" ref="J1488" si="342">E1488+I1488</f>
        <v>973674.5762500139</v>
      </c>
    </row>
    <row r="1489" spans="2:10" ht="12.65" customHeight="1">
      <c r="B1489" s="33">
        <f t="shared" si="324"/>
        <v>45156</v>
      </c>
      <c r="C1489" s="41">
        <f t="shared" ref="C1489:C1498" si="343">86965712.5375</f>
        <v>86965712.537499994</v>
      </c>
      <c r="D1489" s="47">
        <f>55788.43+87735215.64</f>
        <v>87791004.070000008</v>
      </c>
      <c r="E1489" s="170">
        <f t="shared" si="329"/>
        <v>825291.53250001371</v>
      </c>
      <c r="G1489" s="173">
        <f t="shared" ref="G1489:G1498" si="344">2341616.95625</f>
        <v>2341616.9562499998</v>
      </c>
      <c r="H1489" s="47">
        <f>0+2490000</f>
        <v>2490000</v>
      </c>
      <c r="I1489" s="171">
        <f t="shared" si="330"/>
        <v>148383.04375000019</v>
      </c>
      <c r="J1489" s="170">
        <f t="shared" si="331"/>
        <v>973674.5762500139</v>
      </c>
    </row>
    <row r="1490" spans="2:10" ht="12.65" customHeight="1">
      <c r="B1490" s="33">
        <f t="shared" si="324"/>
        <v>45159</v>
      </c>
      <c r="C1490" s="41">
        <f t="shared" si="343"/>
        <v>86965712.537499994</v>
      </c>
      <c r="D1490" s="47">
        <f t="shared" ref="D1490:D1495" si="345">87735215.64+55788.43</f>
        <v>87791004.070000008</v>
      </c>
      <c r="E1490" s="170">
        <f t="shared" si="329"/>
        <v>825291.53250001371</v>
      </c>
      <c r="G1490" s="173">
        <f t="shared" si="344"/>
        <v>2341616.9562499998</v>
      </c>
      <c r="H1490" s="47">
        <f>0+2490000</f>
        <v>2490000</v>
      </c>
      <c r="I1490" s="171">
        <f t="shared" si="330"/>
        <v>148383.04375000019</v>
      </c>
      <c r="J1490" s="170">
        <f t="shared" si="331"/>
        <v>973674.5762500139</v>
      </c>
    </row>
    <row r="1491" spans="2:10" ht="12.65" customHeight="1">
      <c r="B1491" s="33">
        <f t="shared" si="324"/>
        <v>45160</v>
      </c>
      <c r="C1491" s="41">
        <f t="shared" si="343"/>
        <v>86965712.537499994</v>
      </c>
      <c r="D1491" s="47">
        <f t="shared" si="345"/>
        <v>87791004.070000008</v>
      </c>
      <c r="E1491" s="170">
        <f t="shared" si="329"/>
        <v>825291.53250001371</v>
      </c>
      <c r="G1491" s="173">
        <f t="shared" si="344"/>
        <v>2341616.9562499998</v>
      </c>
      <c r="H1491" s="47">
        <f>0+2490000</f>
        <v>2490000</v>
      </c>
      <c r="I1491" s="171">
        <f t="shared" si="330"/>
        <v>148383.04375000019</v>
      </c>
      <c r="J1491" s="170">
        <f t="shared" si="331"/>
        <v>973674.5762500139</v>
      </c>
    </row>
    <row r="1492" spans="2:10" ht="12.65" customHeight="1">
      <c r="B1492" s="33">
        <f t="shared" si="324"/>
        <v>45161</v>
      </c>
      <c r="C1492" s="41">
        <f t="shared" si="343"/>
        <v>86965712.537499994</v>
      </c>
      <c r="D1492" s="47">
        <f t="shared" si="345"/>
        <v>87791004.070000008</v>
      </c>
      <c r="E1492" s="170">
        <f t="shared" si="329"/>
        <v>825291.53250001371</v>
      </c>
      <c r="G1492" s="173">
        <f t="shared" si="344"/>
        <v>2341616.9562499998</v>
      </c>
      <c r="H1492" s="47">
        <f t="shared" ref="H1492:H1498" si="346">2490000+0</f>
        <v>2490000</v>
      </c>
      <c r="I1492" s="171">
        <f t="shared" si="330"/>
        <v>148383.04375000019</v>
      </c>
      <c r="J1492" s="170">
        <f t="shared" si="331"/>
        <v>973674.5762500139</v>
      </c>
    </row>
    <row r="1493" spans="2:10" ht="12.65" customHeight="1">
      <c r="B1493" s="33">
        <f t="shared" si="324"/>
        <v>45162</v>
      </c>
      <c r="C1493" s="41">
        <f t="shared" si="343"/>
        <v>86965712.537499994</v>
      </c>
      <c r="D1493" s="47">
        <f t="shared" si="345"/>
        <v>87791004.070000008</v>
      </c>
      <c r="E1493" s="170">
        <f t="shared" si="329"/>
        <v>825291.53250001371</v>
      </c>
      <c r="G1493" s="173">
        <f t="shared" si="344"/>
        <v>2341616.9562499998</v>
      </c>
      <c r="H1493" s="47">
        <f t="shared" si="346"/>
        <v>2490000</v>
      </c>
      <c r="I1493" s="171">
        <f t="shared" si="330"/>
        <v>148383.04375000019</v>
      </c>
      <c r="J1493" s="170">
        <f t="shared" si="331"/>
        <v>973674.5762500139</v>
      </c>
    </row>
    <row r="1494" spans="2:10" ht="12.65" customHeight="1">
      <c r="B1494" s="33">
        <f t="shared" si="324"/>
        <v>45163</v>
      </c>
      <c r="C1494" s="41">
        <f t="shared" si="343"/>
        <v>86965712.537499994</v>
      </c>
      <c r="D1494" s="47">
        <f t="shared" si="345"/>
        <v>87791004.070000008</v>
      </c>
      <c r="E1494" s="170">
        <f t="shared" si="329"/>
        <v>825291.53250001371</v>
      </c>
      <c r="G1494" s="173">
        <f t="shared" si="344"/>
        <v>2341616.9562499998</v>
      </c>
      <c r="H1494" s="47">
        <f t="shared" si="346"/>
        <v>2490000</v>
      </c>
      <c r="I1494" s="171">
        <f t="shared" si="330"/>
        <v>148383.04375000019</v>
      </c>
      <c r="J1494" s="170">
        <f t="shared" si="331"/>
        <v>973674.5762500139</v>
      </c>
    </row>
    <row r="1495" spans="2:10" ht="12.65" customHeight="1">
      <c r="B1495" s="33">
        <f t="shared" si="324"/>
        <v>45166</v>
      </c>
      <c r="C1495" s="41">
        <f t="shared" si="343"/>
        <v>86965712.537499994</v>
      </c>
      <c r="D1495" s="47">
        <f t="shared" si="345"/>
        <v>87791004.070000008</v>
      </c>
      <c r="E1495" s="170">
        <f t="shared" si="329"/>
        <v>825291.53250001371</v>
      </c>
      <c r="G1495" s="173">
        <f t="shared" si="344"/>
        <v>2341616.9562499998</v>
      </c>
      <c r="H1495" s="47">
        <f t="shared" si="346"/>
        <v>2490000</v>
      </c>
      <c r="I1495" s="171">
        <f t="shared" si="330"/>
        <v>148383.04375000019</v>
      </c>
      <c r="J1495" s="170">
        <f t="shared" si="331"/>
        <v>973674.5762500139</v>
      </c>
    </row>
    <row r="1496" spans="2:10" ht="12.65" customHeight="1">
      <c r="B1496" s="33">
        <f t="shared" si="324"/>
        <v>45167</v>
      </c>
      <c r="C1496" s="41">
        <f t="shared" si="343"/>
        <v>86965712.537499994</v>
      </c>
      <c r="D1496" s="47">
        <f>87735215.64+55788.43</f>
        <v>87791004.070000008</v>
      </c>
      <c r="E1496" s="170">
        <f t="shared" si="329"/>
        <v>825291.53250001371</v>
      </c>
      <c r="G1496" s="173">
        <f t="shared" si="344"/>
        <v>2341616.9562499998</v>
      </c>
      <c r="H1496" s="47">
        <f t="shared" si="346"/>
        <v>2490000</v>
      </c>
      <c r="I1496" s="171">
        <f t="shared" si="330"/>
        <v>148383.04375000019</v>
      </c>
      <c r="J1496" s="170">
        <f t="shared" si="331"/>
        <v>973674.5762500139</v>
      </c>
    </row>
    <row r="1497" spans="2:10" ht="12.65" customHeight="1">
      <c r="B1497" s="33">
        <f t="shared" si="324"/>
        <v>45168</v>
      </c>
      <c r="C1497" s="41">
        <f t="shared" si="343"/>
        <v>86965712.537499994</v>
      </c>
      <c r="D1497" s="47">
        <f>87735215.64+55788.43</f>
        <v>87791004.070000008</v>
      </c>
      <c r="E1497" s="170">
        <f t="shared" si="329"/>
        <v>825291.53250001371</v>
      </c>
      <c r="G1497" s="173">
        <f t="shared" si="344"/>
        <v>2341616.9562499998</v>
      </c>
      <c r="H1497" s="47">
        <f t="shared" si="346"/>
        <v>2490000</v>
      </c>
      <c r="I1497" s="171">
        <f t="shared" si="330"/>
        <v>148383.04375000019</v>
      </c>
      <c r="J1497" s="170">
        <f t="shared" si="331"/>
        <v>973674.5762500139</v>
      </c>
    </row>
    <row r="1498" spans="2:10" ht="12.65" customHeight="1">
      <c r="B1498" s="33">
        <f t="shared" si="324"/>
        <v>45169</v>
      </c>
      <c r="C1498" s="41">
        <f t="shared" si="343"/>
        <v>86965712.537499994</v>
      </c>
      <c r="D1498" s="47">
        <f>87735215.64+55788.43</f>
        <v>87791004.070000008</v>
      </c>
      <c r="E1498" s="170">
        <f t="shared" si="329"/>
        <v>825291.53250001371</v>
      </c>
      <c r="G1498" s="173">
        <f t="shared" si="344"/>
        <v>2341616.9562499998</v>
      </c>
      <c r="H1498" s="47">
        <f t="shared" si="346"/>
        <v>2490000</v>
      </c>
      <c r="I1498" s="171">
        <f>H1498-G1498</f>
        <v>148383.04375000019</v>
      </c>
      <c r="J1498" s="170">
        <f t="shared" si="331"/>
        <v>973674.5762500139</v>
      </c>
    </row>
    <row r="1499" spans="2:10" ht="12.65" customHeight="1">
      <c r="B1499" s="33">
        <f t="shared" si="324"/>
        <v>45170</v>
      </c>
      <c r="C1499" s="41">
        <f>88035366.608</f>
        <v>88035366.607999995</v>
      </c>
      <c r="D1499" s="47">
        <f>88835215.64+55788.43</f>
        <v>88891004.070000008</v>
      </c>
      <c r="E1499" s="170">
        <f t="shared" si="329"/>
        <v>855637.4620000124</v>
      </c>
      <c r="G1499" s="173">
        <f>2641808.13466667</f>
        <v>2641808.1346666701</v>
      </c>
      <c r="H1499" s="47">
        <f>2790000+0</f>
        <v>2790000</v>
      </c>
      <c r="I1499" s="171">
        <f t="shared" si="330"/>
        <v>148191.86533332989</v>
      </c>
      <c r="J1499" s="170">
        <f t="shared" si="331"/>
        <v>1003829.3273333423</v>
      </c>
    </row>
    <row r="1500" spans="2:10" ht="12.65" customHeight="1">
      <c r="B1500" s="33">
        <f t="shared" si="324"/>
        <v>45173</v>
      </c>
      <c r="C1500" s="41">
        <f t="shared" ref="C1500:C1509" si="347">88035366.608</f>
        <v>88035366.607999995</v>
      </c>
      <c r="D1500" s="47">
        <f>88835215.64+3318288.43</f>
        <v>92153504.070000008</v>
      </c>
      <c r="E1500" s="170">
        <f t="shared" si="329"/>
        <v>4118137.4620000124</v>
      </c>
      <c r="G1500" s="173">
        <f t="shared" ref="G1500:G1509" si="348">2641808.13466667</f>
        <v>2641808.1346666701</v>
      </c>
      <c r="H1500" s="47">
        <f>2790000+0</f>
        <v>2790000</v>
      </c>
      <c r="I1500" s="171">
        <f t="shared" si="330"/>
        <v>148191.86533332989</v>
      </c>
      <c r="J1500" s="170">
        <f t="shared" si="331"/>
        <v>4266329.3273333423</v>
      </c>
    </row>
    <row r="1501" spans="2:10" ht="12.65" customHeight="1">
      <c r="B1501" s="33">
        <f t="shared" si="324"/>
        <v>45174</v>
      </c>
      <c r="C1501" s="41">
        <f t="shared" si="347"/>
        <v>88035366.607999995</v>
      </c>
      <c r="D1501" s="47">
        <f>92097715.64+55788.43</f>
        <v>92153504.070000008</v>
      </c>
      <c r="E1501" s="170">
        <f t="shared" si="329"/>
        <v>4118137.4620000124</v>
      </c>
      <c r="G1501" s="173">
        <f t="shared" si="348"/>
        <v>2641808.1346666701</v>
      </c>
      <c r="H1501" s="47">
        <f>2790000+0</f>
        <v>2790000</v>
      </c>
      <c r="I1501" s="171">
        <f t="shared" si="330"/>
        <v>148191.86533332989</v>
      </c>
      <c r="J1501" s="170">
        <f t="shared" si="331"/>
        <v>4266329.3273333423</v>
      </c>
    </row>
    <row r="1502" spans="2:10" ht="12.65" customHeight="1">
      <c r="B1502" s="33">
        <f t="shared" si="324"/>
        <v>45175</v>
      </c>
      <c r="C1502" s="41">
        <f t="shared" si="347"/>
        <v>88035366.607999995</v>
      </c>
      <c r="D1502" s="47">
        <f>55788.43+92097715.64</f>
        <v>92153504.070000008</v>
      </c>
      <c r="E1502" s="170">
        <f t="shared" si="329"/>
        <v>4118137.4620000124</v>
      </c>
      <c r="G1502" s="173">
        <f t="shared" si="348"/>
        <v>2641808.1346666701</v>
      </c>
      <c r="H1502" s="47">
        <f>0+2790000</f>
        <v>2790000</v>
      </c>
      <c r="I1502" s="171">
        <f t="shared" si="330"/>
        <v>148191.86533332989</v>
      </c>
      <c r="J1502" s="170">
        <f t="shared" si="331"/>
        <v>4266329.3273333423</v>
      </c>
    </row>
    <row r="1503" spans="2:10" ht="12.65" customHeight="1">
      <c r="B1503" s="33">
        <f t="shared" si="324"/>
        <v>45176</v>
      </c>
      <c r="C1503" s="41">
        <f t="shared" si="347"/>
        <v>88035366.607999995</v>
      </c>
      <c r="D1503" s="47">
        <f t="shared" ref="D1503:D1508" si="349">88835215.64+55788.43</f>
        <v>88891004.070000008</v>
      </c>
      <c r="E1503" s="170">
        <f t="shared" si="329"/>
        <v>855637.4620000124</v>
      </c>
      <c r="G1503" s="173">
        <f t="shared" si="348"/>
        <v>2641808.1346666701</v>
      </c>
      <c r="H1503" s="47">
        <f>0+2790000</f>
        <v>2790000</v>
      </c>
      <c r="I1503" s="171">
        <f t="shared" si="330"/>
        <v>148191.86533332989</v>
      </c>
      <c r="J1503" s="170">
        <f t="shared" si="331"/>
        <v>1003829.3273333423</v>
      </c>
    </row>
    <row r="1504" spans="2:10" ht="12.65" customHeight="1">
      <c r="B1504" s="33">
        <f t="shared" si="324"/>
        <v>45177</v>
      </c>
      <c r="C1504" s="41">
        <f t="shared" si="347"/>
        <v>88035366.607999995</v>
      </c>
      <c r="D1504" s="47">
        <f t="shared" si="349"/>
        <v>88891004.070000008</v>
      </c>
      <c r="E1504" s="170">
        <f t="shared" si="329"/>
        <v>855637.4620000124</v>
      </c>
      <c r="G1504" s="173">
        <f t="shared" si="348"/>
        <v>2641808.1346666701</v>
      </c>
      <c r="H1504" s="47">
        <f>0+2790000</f>
        <v>2790000</v>
      </c>
      <c r="I1504" s="171">
        <f t="shared" si="330"/>
        <v>148191.86533332989</v>
      </c>
      <c r="J1504" s="170">
        <f t="shared" si="331"/>
        <v>1003829.3273333423</v>
      </c>
    </row>
    <row r="1505" spans="2:10" ht="12.65" customHeight="1">
      <c r="B1505" s="33">
        <f t="shared" si="324"/>
        <v>45180</v>
      </c>
      <c r="C1505" s="41">
        <f t="shared" si="347"/>
        <v>88035366.607999995</v>
      </c>
      <c r="D1505" s="47">
        <f t="shared" si="349"/>
        <v>88891004.070000008</v>
      </c>
      <c r="E1505" s="170">
        <f t="shared" si="329"/>
        <v>855637.4620000124</v>
      </c>
      <c r="G1505" s="173">
        <f t="shared" si="348"/>
        <v>2641808.1346666701</v>
      </c>
      <c r="H1505" s="47">
        <f>0+2790000</f>
        <v>2790000</v>
      </c>
      <c r="I1505" s="171">
        <f t="shared" si="330"/>
        <v>148191.86533332989</v>
      </c>
      <c r="J1505" s="170">
        <f t="shared" si="331"/>
        <v>1003829.3273333423</v>
      </c>
    </row>
    <row r="1506" spans="2:10" ht="12.65" customHeight="1">
      <c r="B1506" s="33">
        <f t="shared" si="324"/>
        <v>45181</v>
      </c>
      <c r="C1506" s="41">
        <f t="shared" si="347"/>
        <v>88035366.607999995</v>
      </c>
      <c r="D1506" s="47">
        <f t="shared" si="349"/>
        <v>88891004.070000008</v>
      </c>
      <c r="E1506" s="170">
        <f t="shared" si="329"/>
        <v>855637.4620000124</v>
      </c>
      <c r="G1506" s="173">
        <f t="shared" si="348"/>
        <v>2641808.1346666701</v>
      </c>
      <c r="H1506" s="47">
        <f>0+2790000</f>
        <v>2790000</v>
      </c>
      <c r="I1506" s="171">
        <f t="shared" si="330"/>
        <v>148191.86533332989</v>
      </c>
      <c r="J1506" s="170">
        <f t="shared" si="331"/>
        <v>1003829.3273333423</v>
      </c>
    </row>
    <row r="1507" spans="2:10" ht="12.65" customHeight="1">
      <c r="B1507" s="33">
        <f t="shared" si="324"/>
        <v>45182</v>
      </c>
      <c r="C1507" s="41">
        <f t="shared" si="347"/>
        <v>88035366.607999995</v>
      </c>
      <c r="D1507" s="47">
        <f t="shared" si="349"/>
        <v>88891004.070000008</v>
      </c>
      <c r="E1507" s="170">
        <f t="shared" si="329"/>
        <v>855637.4620000124</v>
      </c>
      <c r="G1507" s="173">
        <f t="shared" si="348"/>
        <v>2641808.1346666701</v>
      </c>
      <c r="H1507" s="47">
        <f>2790000+0</f>
        <v>2790000</v>
      </c>
      <c r="I1507" s="171">
        <f t="shared" si="330"/>
        <v>148191.86533332989</v>
      </c>
      <c r="J1507" s="170">
        <f t="shared" si="331"/>
        <v>1003829.3273333423</v>
      </c>
    </row>
    <row r="1508" spans="2:10" ht="12.65" customHeight="1">
      <c r="B1508" s="33">
        <f t="shared" si="324"/>
        <v>45183</v>
      </c>
      <c r="C1508" s="41">
        <f t="shared" si="347"/>
        <v>88035366.607999995</v>
      </c>
      <c r="D1508" s="47">
        <f t="shared" si="349"/>
        <v>88891004.070000008</v>
      </c>
      <c r="E1508" s="170">
        <f t="shared" si="329"/>
        <v>855637.4620000124</v>
      </c>
      <c r="G1508" s="173">
        <f t="shared" si="348"/>
        <v>2641808.1346666701</v>
      </c>
      <c r="H1508" s="47">
        <f>2790000+0</f>
        <v>2790000</v>
      </c>
      <c r="I1508" s="171">
        <f t="shared" si="330"/>
        <v>148191.86533332989</v>
      </c>
      <c r="J1508" s="170">
        <f t="shared" si="331"/>
        <v>1003829.3273333423</v>
      </c>
    </row>
    <row r="1509" spans="2:10" ht="12.65" customHeight="1">
      <c r="B1509" s="33">
        <f t="shared" si="324"/>
        <v>45184</v>
      </c>
      <c r="C1509" s="41">
        <f t="shared" si="347"/>
        <v>88035366.607999995</v>
      </c>
      <c r="D1509" s="47">
        <f>88835215.64+55788.43</f>
        <v>88891004.070000008</v>
      </c>
      <c r="E1509" s="170">
        <f t="shared" si="329"/>
        <v>855637.4620000124</v>
      </c>
      <c r="G1509" s="173">
        <f t="shared" si="348"/>
        <v>2641808.1346666701</v>
      </c>
      <c r="H1509" s="47">
        <f>2790000+0</f>
        <v>2790000</v>
      </c>
      <c r="I1509" s="171">
        <f t="shared" si="330"/>
        <v>148191.86533332989</v>
      </c>
      <c r="J1509" s="170">
        <f t="shared" si="331"/>
        <v>1003829.3273333423</v>
      </c>
    </row>
    <row r="1510" spans="2:10" ht="12.65" customHeight="1">
      <c r="B1510" s="33">
        <f t="shared" si="324"/>
        <v>45187</v>
      </c>
      <c r="C1510" s="41">
        <f>88572524.2525</f>
        <v>88572524.252499998</v>
      </c>
      <c r="D1510" s="47">
        <f t="shared" ref="D1510:D1515" si="350">89335215.64+55788.43</f>
        <v>89391004.070000008</v>
      </c>
      <c r="E1510" s="170">
        <f t="shared" si="329"/>
        <v>818479.81750001013</v>
      </c>
      <c r="G1510" s="173">
        <f>2752515.8525</f>
        <v>2752515.8525</v>
      </c>
      <c r="H1510" s="47">
        <f t="shared" ref="H1510:H1516" si="351">2890000+0</f>
        <v>2890000</v>
      </c>
      <c r="I1510" s="171">
        <f t="shared" si="330"/>
        <v>137484.14749999996</v>
      </c>
      <c r="J1510" s="170">
        <f t="shared" si="331"/>
        <v>955963.9650000101</v>
      </c>
    </row>
    <row r="1511" spans="2:10" ht="12.65" customHeight="1">
      <c r="B1511" s="33">
        <f t="shared" si="324"/>
        <v>45188</v>
      </c>
      <c r="C1511" s="41">
        <f t="shared" ref="C1511:C1520" si="352">88572524.2525</f>
        <v>88572524.252499998</v>
      </c>
      <c r="D1511" s="47">
        <f t="shared" si="350"/>
        <v>89391004.070000008</v>
      </c>
      <c r="E1511" s="170">
        <f t="shared" si="329"/>
        <v>818479.81750001013</v>
      </c>
      <c r="G1511" s="173">
        <f t="shared" ref="G1511:G1520" si="353">2752515.8525</f>
        <v>2752515.8525</v>
      </c>
      <c r="H1511" s="47">
        <f t="shared" si="351"/>
        <v>2890000</v>
      </c>
      <c r="I1511" s="171">
        <f t="shared" si="330"/>
        <v>137484.14749999996</v>
      </c>
      <c r="J1511" s="170">
        <f t="shared" si="331"/>
        <v>955963.9650000101</v>
      </c>
    </row>
    <row r="1512" spans="2:10" ht="12.65" customHeight="1">
      <c r="B1512" s="33">
        <f t="shared" si="324"/>
        <v>45189</v>
      </c>
      <c r="C1512" s="41">
        <f t="shared" si="352"/>
        <v>88572524.252499998</v>
      </c>
      <c r="D1512" s="47">
        <f t="shared" si="350"/>
        <v>89391004.070000008</v>
      </c>
      <c r="E1512" s="170">
        <f t="shared" si="329"/>
        <v>818479.81750001013</v>
      </c>
      <c r="G1512" s="173">
        <f t="shared" si="353"/>
        <v>2752515.8525</v>
      </c>
      <c r="H1512" s="47">
        <f t="shared" si="351"/>
        <v>2890000</v>
      </c>
      <c r="I1512" s="171">
        <f t="shared" si="330"/>
        <v>137484.14749999996</v>
      </c>
      <c r="J1512" s="170">
        <f t="shared" si="331"/>
        <v>955963.9650000101</v>
      </c>
    </row>
    <row r="1513" spans="2:10" ht="12.65" customHeight="1">
      <c r="B1513" s="33">
        <f t="shared" si="324"/>
        <v>45190</v>
      </c>
      <c r="C1513" s="41">
        <f t="shared" si="352"/>
        <v>88572524.252499998</v>
      </c>
      <c r="D1513" s="47">
        <f t="shared" si="350"/>
        <v>89391004.070000008</v>
      </c>
      <c r="E1513" s="170">
        <f t="shared" si="329"/>
        <v>818479.81750001013</v>
      </c>
      <c r="G1513" s="173">
        <f t="shared" si="353"/>
        <v>2752515.8525</v>
      </c>
      <c r="H1513" s="47">
        <f t="shared" si="351"/>
        <v>2890000</v>
      </c>
      <c r="I1513" s="171">
        <f t="shared" si="330"/>
        <v>137484.14749999996</v>
      </c>
      <c r="J1513" s="170">
        <f t="shared" si="331"/>
        <v>955963.9650000101</v>
      </c>
    </row>
    <row r="1514" spans="2:10" ht="12.65" customHeight="1">
      <c r="B1514" s="33">
        <f t="shared" si="324"/>
        <v>45191</v>
      </c>
      <c r="C1514" s="41">
        <f t="shared" si="352"/>
        <v>88572524.252499998</v>
      </c>
      <c r="D1514" s="47">
        <f t="shared" si="350"/>
        <v>89391004.070000008</v>
      </c>
      <c r="E1514" s="170">
        <f t="shared" si="329"/>
        <v>818479.81750001013</v>
      </c>
      <c r="G1514" s="173">
        <f t="shared" si="353"/>
        <v>2752515.8525</v>
      </c>
      <c r="H1514" s="47">
        <f t="shared" si="351"/>
        <v>2890000</v>
      </c>
      <c r="I1514" s="171">
        <f t="shared" si="330"/>
        <v>137484.14749999996</v>
      </c>
      <c r="J1514" s="170">
        <f t="shared" si="331"/>
        <v>955963.9650000101</v>
      </c>
    </row>
    <row r="1515" spans="2:10" ht="12.65" customHeight="1">
      <c r="B1515" s="33">
        <f t="shared" si="324"/>
        <v>45194</v>
      </c>
      <c r="C1515" s="41">
        <f t="shared" si="352"/>
        <v>88572524.252499998</v>
      </c>
      <c r="D1515" s="47">
        <f t="shared" si="350"/>
        <v>89391004.070000008</v>
      </c>
      <c r="E1515" s="170">
        <f t="shared" si="329"/>
        <v>818479.81750001013</v>
      </c>
      <c r="G1515" s="173">
        <f t="shared" si="353"/>
        <v>2752515.8525</v>
      </c>
      <c r="H1515" s="47">
        <f t="shared" si="351"/>
        <v>2890000</v>
      </c>
      <c r="I1515" s="171">
        <f t="shared" si="330"/>
        <v>137484.14749999996</v>
      </c>
      <c r="J1515" s="170">
        <f t="shared" si="331"/>
        <v>955963.9650000101</v>
      </c>
    </row>
    <row r="1516" spans="2:10" ht="12.65" customHeight="1">
      <c r="B1516" s="33">
        <f t="shared" si="324"/>
        <v>45195</v>
      </c>
      <c r="C1516" s="41">
        <f t="shared" si="352"/>
        <v>88572524.252499998</v>
      </c>
      <c r="D1516" s="47">
        <f>89335215.64+55788.43</f>
        <v>89391004.070000008</v>
      </c>
      <c r="E1516" s="170">
        <f t="shared" si="329"/>
        <v>818479.81750001013</v>
      </c>
      <c r="G1516" s="173">
        <f t="shared" si="353"/>
        <v>2752515.8525</v>
      </c>
      <c r="H1516" s="47">
        <f t="shared" si="351"/>
        <v>2890000</v>
      </c>
      <c r="I1516" s="171">
        <f t="shared" si="330"/>
        <v>137484.14749999996</v>
      </c>
      <c r="J1516" s="170">
        <f t="shared" si="331"/>
        <v>955963.9650000101</v>
      </c>
    </row>
    <row r="1517" spans="2:10" ht="12.65" customHeight="1">
      <c r="B1517" s="33">
        <f t="shared" si="324"/>
        <v>45196</v>
      </c>
      <c r="C1517" s="41">
        <f t="shared" si="352"/>
        <v>88572524.252499998</v>
      </c>
      <c r="D1517" s="47">
        <f>89335215.64+55788.43</f>
        <v>89391004.070000008</v>
      </c>
      <c r="E1517" s="170">
        <f t="shared" si="329"/>
        <v>818479.81750001013</v>
      </c>
      <c r="G1517" s="173">
        <f t="shared" si="353"/>
        <v>2752515.8525</v>
      </c>
      <c r="H1517" s="47">
        <f>2890000+0</f>
        <v>2890000</v>
      </c>
      <c r="I1517" s="171">
        <f t="shared" si="330"/>
        <v>137484.14749999996</v>
      </c>
      <c r="J1517" s="170">
        <f t="shared" si="331"/>
        <v>955963.9650000101</v>
      </c>
    </row>
    <row r="1518" spans="2:10" s="1385" customFormat="1" ht="12.65" customHeight="1">
      <c r="B1518" s="1377">
        <f t="shared" si="324"/>
        <v>45197</v>
      </c>
      <c r="C1518" s="1386">
        <f t="shared" si="352"/>
        <v>88572524.252499998</v>
      </c>
      <c r="D1518" s="1387">
        <f>89335215.64+55788.43</f>
        <v>89391004.070000008</v>
      </c>
      <c r="E1518" s="1388">
        <f t="shared" si="329"/>
        <v>818479.81750001013</v>
      </c>
      <c r="F1518" s="1389"/>
      <c r="G1518" s="1390">
        <f t="shared" si="353"/>
        <v>2752515.8525</v>
      </c>
      <c r="H1518" s="1387">
        <f>2890000+0</f>
        <v>2890000</v>
      </c>
      <c r="I1518" s="1391">
        <f t="shared" si="330"/>
        <v>137484.14749999996</v>
      </c>
      <c r="J1518" s="1388">
        <f t="shared" si="331"/>
        <v>955963.9650000101</v>
      </c>
    </row>
    <row r="1519" spans="2:10" ht="12.65" customHeight="1">
      <c r="B1519" s="33">
        <f t="shared" si="324"/>
        <v>45198</v>
      </c>
      <c r="C1519" s="41">
        <f t="shared" si="352"/>
        <v>88572524.252499998</v>
      </c>
      <c r="D1519" s="47">
        <f>89335215.64+55788.43</f>
        <v>89391004.070000008</v>
      </c>
      <c r="E1519" s="170">
        <f t="shared" si="329"/>
        <v>818479.81750001013</v>
      </c>
      <c r="G1519" s="173">
        <f t="shared" si="353"/>
        <v>2752515.8525</v>
      </c>
      <c r="H1519" s="47">
        <f t="shared" ref="H1519:H1530" si="354">3090000+0</f>
        <v>3090000</v>
      </c>
      <c r="I1519" s="171">
        <f t="shared" si="330"/>
        <v>337484.14749999996</v>
      </c>
      <c r="J1519" s="170">
        <f t="shared" si="331"/>
        <v>1155963.9650000101</v>
      </c>
    </row>
    <row r="1520" spans="2:10" s="1385" customFormat="1" ht="12.65" customHeight="1">
      <c r="B1520" s="1377">
        <v>45199</v>
      </c>
      <c r="C1520" s="1386">
        <f t="shared" si="352"/>
        <v>88572524.252499998</v>
      </c>
      <c r="D1520" s="1387">
        <f>89335215.64+55788.43</f>
        <v>89391004.070000008</v>
      </c>
      <c r="E1520" s="1388">
        <f t="shared" ref="E1520" si="355">D1520-C1520</f>
        <v>818479.81750001013</v>
      </c>
      <c r="F1520" s="1389"/>
      <c r="G1520" s="1390">
        <f t="shared" si="353"/>
        <v>2752515.8525</v>
      </c>
      <c r="H1520" s="1387">
        <f t="shared" si="354"/>
        <v>3090000</v>
      </c>
      <c r="I1520" s="1391">
        <f t="shared" ref="I1520" si="356">H1520-G1520</f>
        <v>337484.14749999996</v>
      </c>
      <c r="J1520" s="1388">
        <f t="shared" ref="J1520" si="357">E1520+I1520</f>
        <v>1155963.9650000101</v>
      </c>
    </row>
    <row r="1521" spans="2:10" ht="12.65" customHeight="1">
      <c r="B1521" s="33">
        <f>WORKDAY(B1519,1)</f>
        <v>45201</v>
      </c>
      <c r="C1521" s="41">
        <f>89816193.0613333</f>
        <v>89816193.061333299</v>
      </c>
      <c r="D1521" s="47">
        <f t="shared" ref="D1521:D1525" si="358">55788.43+90635215.64</f>
        <v>90691004.070000008</v>
      </c>
      <c r="E1521" s="170">
        <f t="shared" si="329"/>
        <v>874811.00866670907</v>
      </c>
      <c r="G1521" s="173">
        <f>2971202.068</f>
        <v>2971202.068</v>
      </c>
      <c r="H1521" s="47">
        <f t="shared" si="354"/>
        <v>3090000</v>
      </c>
      <c r="I1521" s="171">
        <f t="shared" si="330"/>
        <v>118797.93200000003</v>
      </c>
      <c r="J1521" s="170">
        <f t="shared" si="331"/>
        <v>993608.9406667091</v>
      </c>
    </row>
    <row r="1522" spans="2:10" ht="12.65" customHeight="1">
      <c r="B1522" s="33">
        <f t="shared" ref="B1522:B1584" si="359">WORKDAY(B1521,1)</f>
        <v>45202</v>
      </c>
      <c r="C1522" s="41">
        <f t="shared" ref="C1522:C1530" si="360">89816193.0613333</f>
        <v>89816193.061333299</v>
      </c>
      <c r="D1522" s="47">
        <f t="shared" si="358"/>
        <v>90691004.070000008</v>
      </c>
      <c r="E1522" s="170">
        <f t="shared" si="329"/>
        <v>874811.00866670907</v>
      </c>
      <c r="G1522" s="173">
        <f t="shared" ref="G1522:G1530" si="361">2971202.068</f>
        <v>2971202.068</v>
      </c>
      <c r="H1522" s="47">
        <f t="shared" si="354"/>
        <v>3090000</v>
      </c>
      <c r="I1522" s="171">
        <f t="shared" si="330"/>
        <v>118797.93200000003</v>
      </c>
      <c r="J1522" s="170">
        <f t="shared" si="331"/>
        <v>993608.9406667091</v>
      </c>
    </row>
    <row r="1523" spans="2:10" ht="12.65" customHeight="1">
      <c r="B1523" s="33">
        <f t="shared" si="359"/>
        <v>45203</v>
      </c>
      <c r="C1523" s="41">
        <f t="shared" si="360"/>
        <v>89816193.061333299</v>
      </c>
      <c r="D1523" s="47">
        <f t="shared" si="358"/>
        <v>90691004.070000008</v>
      </c>
      <c r="E1523" s="170">
        <f t="shared" si="329"/>
        <v>874811.00866670907</v>
      </c>
      <c r="G1523" s="173">
        <f t="shared" si="361"/>
        <v>2971202.068</v>
      </c>
      <c r="H1523" s="47">
        <f t="shared" si="354"/>
        <v>3090000</v>
      </c>
      <c r="I1523" s="171">
        <f t="shared" si="330"/>
        <v>118797.93200000003</v>
      </c>
      <c r="J1523" s="170">
        <f t="shared" si="331"/>
        <v>993608.9406667091</v>
      </c>
    </row>
    <row r="1524" spans="2:10" ht="12.65" customHeight="1">
      <c r="B1524" s="33">
        <f t="shared" si="359"/>
        <v>45204</v>
      </c>
      <c r="C1524" s="41">
        <f t="shared" si="360"/>
        <v>89816193.061333299</v>
      </c>
      <c r="D1524" s="47">
        <f t="shared" si="358"/>
        <v>90691004.070000008</v>
      </c>
      <c r="E1524" s="170">
        <f t="shared" si="329"/>
        <v>874811.00866670907</v>
      </c>
      <c r="G1524" s="173">
        <f t="shared" si="361"/>
        <v>2971202.068</v>
      </c>
      <c r="H1524" s="47">
        <f t="shared" si="354"/>
        <v>3090000</v>
      </c>
      <c r="I1524" s="171">
        <f t="shared" si="330"/>
        <v>118797.93200000003</v>
      </c>
      <c r="J1524" s="170">
        <f t="shared" si="331"/>
        <v>993608.9406667091</v>
      </c>
    </row>
    <row r="1525" spans="2:10" ht="12.65" customHeight="1">
      <c r="B1525" s="33">
        <f t="shared" si="359"/>
        <v>45205</v>
      </c>
      <c r="C1525" s="41">
        <f t="shared" si="360"/>
        <v>89816193.061333299</v>
      </c>
      <c r="D1525" s="47">
        <f t="shared" si="358"/>
        <v>90691004.070000008</v>
      </c>
      <c r="E1525" s="170">
        <f t="shared" ref="E1525:E1588" si="362">D1525-C1525</f>
        <v>874811.00866670907</v>
      </c>
      <c r="G1525" s="173">
        <f t="shared" si="361"/>
        <v>2971202.068</v>
      </c>
      <c r="H1525" s="47">
        <f t="shared" si="354"/>
        <v>3090000</v>
      </c>
      <c r="I1525" s="171">
        <f t="shared" ref="I1525:I1565" si="363">H1525-G1525</f>
        <v>118797.93200000003</v>
      </c>
      <c r="J1525" s="170">
        <f t="shared" ref="J1525:J1565" si="364">E1525+I1525</f>
        <v>993608.9406667091</v>
      </c>
    </row>
    <row r="1526" spans="2:10" ht="12.65" customHeight="1">
      <c r="B1526" s="33">
        <f t="shared" si="359"/>
        <v>45208</v>
      </c>
      <c r="C1526" s="41">
        <f t="shared" si="360"/>
        <v>89816193.061333299</v>
      </c>
      <c r="D1526" s="47">
        <f>55788.43+90635215.64</f>
        <v>90691004.070000008</v>
      </c>
      <c r="E1526" s="170">
        <f t="shared" si="362"/>
        <v>874811.00866670907</v>
      </c>
      <c r="G1526" s="173">
        <f t="shared" si="361"/>
        <v>2971202.068</v>
      </c>
      <c r="H1526" s="47">
        <f t="shared" si="354"/>
        <v>3090000</v>
      </c>
      <c r="I1526" s="171">
        <f t="shared" si="363"/>
        <v>118797.93200000003</v>
      </c>
      <c r="J1526" s="170">
        <f t="shared" si="364"/>
        <v>993608.9406667091</v>
      </c>
    </row>
    <row r="1527" spans="2:10" ht="12.65" customHeight="1">
      <c r="B1527" s="33">
        <f t="shared" si="359"/>
        <v>45209</v>
      </c>
      <c r="C1527" s="41">
        <f t="shared" si="360"/>
        <v>89816193.061333299</v>
      </c>
      <c r="D1527" s="47">
        <f>90635215.64+55788.43</f>
        <v>90691004.070000008</v>
      </c>
      <c r="E1527" s="170">
        <f t="shared" si="362"/>
        <v>874811.00866670907</v>
      </c>
      <c r="G1527" s="173">
        <f t="shared" si="361"/>
        <v>2971202.068</v>
      </c>
      <c r="H1527" s="47">
        <f t="shared" si="354"/>
        <v>3090000</v>
      </c>
      <c r="I1527" s="171">
        <f t="shared" si="363"/>
        <v>118797.93200000003</v>
      </c>
      <c r="J1527" s="170">
        <f t="shared" si="364"/>
        <v>993608.9406667091</v>
      </c>
    </row>
    <row r="1528" spans="2:10" ht="12.65" customHeight="1">
      <c r="B1528" s="33">
        <f t="shared" si="359"/>
        <v>45210</v>
      </c>
      <c r="C1528" s="41">
        <f t="shared" si="360"/>
        <v>89816193.061333299</v>
      </c>
      <c r="D1528" s="47">
        <f>55788.43+90635215.64</f>
        <v>90691004.070000008</v>
      </c>
      <c r="E1528" s="170">
        <f t="shared" si="362"/>
        <v>874811.00866670907</v>
      </c>
      <c r="G1528" s="173">
        <f t="shared" si="361"/>
        <v>2971202.068</v>
      </c>
      <c r="H1528" s="47">
        <f t="shared" si="354"/>
        <v>3090000</v>
      </c>
      <c r="I1528" s="171">
        <f t="shared" si="363"/>
        <v>118797.93200000003</v>
      </c>
      <c r="J1528" s="170">
        <f t="shared" si="364"/>
        <v>993608.9406667091</v>
      </c>
    </row>
    <row r="1529" spans="2:10" ht="12.65" customHeight="1">
      <c r="B1529" s="33">
        <f t="shared" si="359"/>
        <v>45211</v>
      </c>
      <c r="C1529" s="41">
        <f t="shared" si="360"/>
        <v>89816193.061333299</v>
      </c>
      <c r="D1529" s="47">
        <f>55788.43+90635215.64</f>
        <v>90691004.070000008</v>
      </c>
      <c r="E1529" s="170">
        <f t="shared" si="362"/>
        <v>874811.00866670907</v>
      </c>
      <c r="G1529" s="173">
        <f t="shared" si="361"/>
        <v>2971202.068</v>
      </c>
      <c r="H1529" s="47">
        <f t="shared" si="354"/>
        <v>3090000</v>
      </c>
      <c r="I1529" s="171">
        <f t="shared" si="363"/>
        <v>118797.93200000003</v>
      </c>
      <c r="J1529" s="170">
        <f t="shared" si="364"/>
        <v>993608.9406667091</v>
      </c>
    </row>
    <row r="1530" spans="2:10" ht="12.65" customHeight="1">
      <c r="B1530" s="33">
        <f t="shared" si="359"/>
        <v>45212</v>
      </c>
      <c r="C1530" s="41">
        <f t="shared" si="360"/>
        <v>89816193.061333299</v>
      </c>
      <c r="D1530" s="47">
        <f>55788.43+90635215.64</f>
        <v>90691004.070000008</v>
      </c>
      <c r="E1530" s="170">
        <f t="shared" si="362"/>
        <v>874811.00866670907</v>
      </c>
      <c r="G1530" s="173">
        <f t="shared" si="361"/>
        <v>2971202.068</v>
      </c>
      <c r="H1530" s="47">
        <f t="shared" si="354"/>
        <v>3090000</v>
      </c>
      <c r="I1530" s="171">
        <f t="shared" si="363"/>
        <v>118797.93200000003</v>
      </c>
      <c r="J1530" s="170">
        <f t="shared" si="364"/>
        <v>993608.9406667091</v>
      </c>
    </row>
    <row r="1531" spans="2:10" ht="12.65" customHeight="1">
      <c r="B1531" s="33">
        <f t="shared" si="359"/>
        <v>45215</v>
      </c>
      <c r="C1531" s="41">
        <f>90548180.9146667</f>
        <v>90548180.914666697</v>
      </c>
      <c r="D1531" s="47">
        <f>91335215.64+55788.43</f>
        <v>91391004.070000008</v>
      </c>
      <c r="E1531" s="170">
        <f t="shared" si="362"/>
        <v>842823.15533331037</v>
      </c>
      <c r="G1531" s="173">
        <f>2968457.15</f>
        <v>2968457.15</v>
      </c>
      <c r="H1531" s="47">
        <f t="shared" ref="H1531:H1535" si="365">3140000+0</f>
        <v>3140000</v>
      </c>
      <c r="I1531" s="171">
        <f t="shared" si="363"/>
        <v>171542.85000000009</v>
      </c>
      <c r="J1531" s="170">
        <f t="shared" si="364"/>
        <v>1014366.0053333105</v>
      </c>
    </row>
    <row r="1532" spans="2:10" ht="12.65" customHeight="1">
      <c r="B1532" s="33">
        <f t="shared" si="359"/>
        <v>45216</v>
      </c>
      <c r="C1532" s="41">
        <f t="shared" ref="C1532:C1542" si="366">90548180.9146667</f>
        <v>90548180.914666697</v>
      </c>
      <c r="D1532" s="47">
        <f>91335215.64+2052788.43</f>
        <v>93388004.070000008</v>
      </c>
      <c r="E1532" s="170">
        <f t="shared" si="362"/>
        <v>2839823.1553333104</v>
      </c>
      <c r="G1532" s="173">
        <f t="shared" ref="G1532:G1542" si="367">2968457.15</f>
        <v>2968457.15</v>
      </c>
      <c r="H1532" s="47">
        <f t="shared" si="365"/>
        <v>3140000</v>
      </c>
      <c r="I1532" s="171">
        <f t="shared" si="363"/>
        <v>171542.85000000009</v>
      </c>
      <c r="J1532" s="170">
        <f t="shared" si="364"/>
        <v>3011366.0053333105</v>
      </c>
    </row>
    <row r="1533" spans="2:10" ht="12.65" customHeight="1">
      <c r="B1533" s="33">
        <f t="shared" si="359"/>
        <v>45217</v>
      </c>
      <c r="C1533" s="41">
        <f t="shared" si="366"/>
        <v>90548180.914666697</v>
      </c>
      <c r="D1533" s="47">
        <f t="shared" ref="D1533:D1537" si="368">91335215.64+56448.43</f>
        <v>91391664.070000008</v>
      </c>
      <c r="E1533" s="170">
        <f t="shared" si="362"/>
        <v>843483.15533331037</v>
      </c>
      <c r="G1533" s="173">
        <f t="shared" si="367"/>
        <v>2968457.15</v>
      </c>
      <c r="H1533" s="47">
        <f t="shared" si="365"/>
        <v>3140000</v>
      </c>
      <c r="I1533" s="171">
        <f t="shared" si="363"/>
        <v>171542.85000000009</v>
      </c>
      <c r="J1533" s="170">
        <f t="shared" si="364"/>
        <v>1015026.0053333105</v>
      </c>
    </row>
    <row r="1534" spans="2:10" ht="12.65" customHeight="1">
      <c r="B1534" s="33">
        <f t="shared" si="359"/>
        <v>45218</v>
      </c>
      <c r="C1534" s="41">
        <f t="shared" si="366"/>
        <v>90548180.914666697</v>
      </c>
      <c r="D1534" s="47">
        <f t="shared" si="368"/>
        <v>91391664.070000008</v>
      </c>
      <c r="E1534" s="170">
        <f t="shared" si="362"/>
        <v>843483.15533331037</v>
      </c>
      <c r="G1534" s="173">
        <f t="shared" si="367"/>
        <v>2968457.15</v>
      </c>
      <c r="H1534" s="47">
        <f t="shared" si="365"/>
        <v>3140000</v>
      </c>
      <c r="I1534" s="171">
        <f t="shared" si="363"/>
        <v>171542.85000000009</v>
      </c>
      <c r="J1534" s="170">
        <f t="shared" si="364"/>
        <v>1015026.0053333105</v>
      </c>
    </row>
    <row r="1535" spans="2:10" ht="12.65" customHeight="1">
      <c r="B1535" s="33">
        <f t="shared" si="359"/>
        <v>45219</v>
      </c>
      <c r="C1535" s="41">
        <f t="shared" si="366"/>
        <v>90548180.914666697</v>
      </c>
      <c r="D1535" s="47">
        <f t="shared" si="368"/>
        <v>91391664.070000008</v>
      </c>
      <c r="E1535" s="170">
        <f t="shared" si="362"/>
        <v>843483.15533331037</v>
      </c>
      <c r="G1535" s="173">
        <f t="shared" si="367"/>
        <v>2968457.15</v>
      </c>
      <c r="H1535" s="47">
        <f t="shared" si="365"/>
        <v>3140000</v>
      </c>
      <c r="I1535" s="171">
        <f t="shared" si="363"/>
        <v>171542.85000000009</v>
      </c>
      <c r="J1535" s="170">
        <f t="shared" si="364"/>
        <v>1015026.0053333105</v>
      </c>
    </row>
    <row r="1536" spans="2:10" ht="12.65" customHeight="1">
      <c r="B1536" s="33">
        <f t="shared" si="359"/>
        <v>45222</v>
      </c>
      <c r="C1536" s="41">
        <f t="shared" si="366"/>
        <v>90548180.914666697</v>
      </c>
      <c r="D1536" s="47">
        <f t="shared" si="368"/>
        <v>91391664.070000008</v>
      </c>
      <c r="E1536" s="170">
        <f t="shared" si="362"/>
        <v>843483.15533331037</v>
      </c>
      <c r="G1536" s="173">
        <f t="shared" si="367"/>
        <v>2968457.15</v>
      </c>
      <c r="H1536" s="47">
        <f t="shared" ref="H1536:H1541" si="369">3140000+0</f>
        <v>3140000</v>
      </c>
      <c r="I1536" s="171">
        <f t="shared" si="363"/>
        <v>171542.85000000009</v>
      </c>
      <c r="J1536" s="170">
        <f t="shared" si="364"/>
        <v>1015026.0053333105</v>
      </c>
    </row>
    <row r="1537" spans="2:10" ht="12.65" customHeight="1">
      <c r="B1537" s="33">
        <f t="shared" si="359"/>
        <v>45223</v>
      </c>
      <c r="C1537" s="41">
        <f t="shared" si="366"/>
        <v>90548180.914666697</v>
      </c>
      <c r="D1537" s="47">
        <f t="shared" si="368"/>
        <v>91391664.070000008</v>
      </c>
      <c r="E1537" s="170">
        <f t="shared" si="362"/>
        <v>843483.15533331037</v>
      </c>
      <c r="G1537" s="173">
        <f t="shared" si="367"/>
        <v>2968457.15</v>
      </c>
      <c r="H1537" s="47">
        <f t="shared" si="369"/>
        <v>3140000</v>
      </c>
      <c r="I1537" s="171">
        <f t="shared" si="363"/>
        <v>171542.85000000009</v>
      </c>
      <c r="J1537" s="170">
        <f t="shared" si="364"/>
        <v>1015026.0053333105</v>
      </c>
    </row>
    <row r="1538" spans="2:10" ht="12.65" customHeight="1">
      <c r="B1538" s="33">
        <f t="shared" si="359"/>
        <v>45224</v>
      </c>
      <c r="C1538" s="41">
        <f t="shared" si="366"/>
        <v>90548180.914666697</v>
      </c>
      <c r="D1538" s="47">
        <f>91335215.64+56448.43</f>
        <v>91391664.070000008</v>
      </c>
      <c r="E1538" s="170">
        <f t="shared" si="362"/>
        <v>843483.15533331037</v>
      </c>
      <c r="G1538" s="173">
        <f t="shared" si="367"/>
        <v>2968457.15</v>
      </c>
      <c r="H1538" s="47">
        <f t="shared" si="369"/>
        <v>3140000</v>
      </c>
      <c r="I1538" s="171">
        <f t="shared" si="363"/>
        <v>171542.85000000009</v>
      </c>
      <c r="J1538" s="170">
        <f t="shared" si="364"/>
        <v>1015026.0053333105</v>
      </c>
    </row>
    <row r="1539" spans="2:10" ht="12.65" customHeight="1">
      <c r="B1539" s="33">
        <f t="shared" si="359"/>
        <v>45225</v>
      </c>
      <c r="C1539" s="41">
        <f t="shared" si="366"/>
        <v>90548180.914666697</v>
      </c>
      <c r="D1539" s="47">
        <f>91335215.64+56448.43</f>
        <v>91391664.070000008</v>
      </c>
      <c r="E1539" s="170">
        <f t="shared" si="362"/>
        <v>843483.15533331037</v>
      </c>
      <c r="G1539" s="173">
        <f t="shared" si="367"/>
        <v>2968457.15</v>
      </c>
      <c r="H1539" s="47">
        <f t="shared" si="369"/>
        <v>3140000</v>
      </c>
      <c r="I1539" s="171">
        <f t="shared" si="363"/>
        <v>171542.85000000009</v>
      </c>
      <c r="J1539" s="170">
        <f t="shared" si="364"/>
        <v>1015026.0053333105</v>
      </c>
    </row>
    <row r="1540" spans="2:10" ht="12.65" customHeight="1">
      <c r="B1540" s="33">
        <f t="shared" si="359"/>
        <v>45226</v>
      </c>
      <c r="C1540" s="41">
        <f t="shared" si="366"/>
        <v>90548180.914666697</v>
      </c>
      <c r="D1540" s="47">
        <f>91335215.64+56448.43</f>
        <v>91391664.070000008</v>
      </c>
      <c r="E1540" s="170">
        <f t="shared" si="362"/>
        <v>843483.15533331037</v>
      </c>
      <c r="G1540" s="173">
        <f t="shared" si="367"/>
        <v>2968457.15</v>
      </c>
      <c r="H1540" s="47">
        <f t="shared" si="369"/>
        <v>3140000</v>
      </c>
      <c r="I1540" s="171">
        <f t="shared" si="363"/>
        <v>171542.85000000009</v>
      </c>
      <c r="J1540" s="170">
        <f t="shared" si="364"/>
        <v>1015026.0053333105</v>
      </c>
    </row>
    <row r="1541" spans="2:10" ht="12.65" customHeight="1">
      <c r="B1541" s="33">
        <f t="shared" si="359"/>
        <v>45229</v>
      </c>
      <c r="C1541" s="41">
        <f t="shared" si="366"/>
        <v>90548180.914666697</v>
      </c>
      <c r="D1541" s="47">
        <f>93335215.64+56448.43</f>
        <v>93391664.070000008</v>
      </c>
      <c r="E1541" s="170">
        <f t="shared" si="362"/>
        <v>2843483.1553333104</v>
      </c>
      <c r="G1541" s="173">
        <f t="shared" si="367"/>
        <v>2968457.15</v>
      </c>
      <c r="H1541" s="47">
        <f t="shared" si="369"/>
        <v>3140000</v>
      </c>
      <c r="I1541" s="171">
        <f t="shared" si="363"/>
        <v>171542.85000000009</v>
      </c>
      <c r="J1541" s="170">
        <f t="shared" si="364"/>
        <v>3015026.0053333105</v>
      </c>
    </row>
    <row r="1542" spans="2:10" ht="12.65" customHeight="1">
      <c r="B1542" s="33">
        <f t="shared" si="359"/>
        <v>45230</v>
      </c>
      <c r="C1542" s="41">
        <f t="shared" si="366"/>
        <v>90548180.914666697</v>
      </c>
      <c r="D1542" s="47">
        <f>93335215.64+56448.43</f>
        <v>93391664.070000008</v>
      </c>
      <c r="E1542" s="170">
        <f t="shared" si="362"/>
        <v>2843483.1553333104</v>
      </c>
      <c r="G1542" s="173">
        <f t="shared" si="367"/>
        <v>2968457.15</v>
      </c>
      <c r="H1542" s="47">
        <f>3140000+0</f>
        <v>3140000</v>
      </c>
      <c r="I1542" s="171">
        <f t="shared" si="363"/>
        <v>171542.85000000009</v>
      </c>
      <c r="J1542" s="170">
        <f t="shared" si="364"/>
        <v>3015026.0053333105</v>
      </c>
    </row>
    <row r="1543" spans="2:10" ht="12.65" customHeight="1">
      <c r="B1543" s="33">
        <f t="shared" si="359"/>
        <v>45231</v>
      </c>
      <c r="C1543" s="41">
        <f>90862955.3466667</f>
        <v>90862955.346666694</v>
      </c>
      <c r="D1543" s="47">
        <f>93335215.64+56448.43</f>
        <v>93391664.070000008</v>
      </c>
      <c r="E1543" s="170">
        <f t="shared" si="362"/>
        <v>2528708.7233333141</v>
      </c>
      <c r="G1543" s="173">
        <f>3021187.25266667</f>
        <v>3021187.2526666699</v>
      </c>
      <c r="H1543" s="47">
        <f t="shared" ref="H1543:H1549" si="370">3165000+0</f>
        <v>3165000</v>
      </c>
      <c r="I1543" s="171">
        <f t="shared" si="363"/>
        <v>143812.7473333301</v>
      </c>
      <c r="J1543" s="170">
        <f t="shared" si="364"/>
        <v>2672521.4706666442</v>
      </c>
    </row>
    <row r="1544" spans="2:10" ht="12.65" customHeight="1">
      <c r="B1544" s="33">
        <f t="shared" si="359"/>
        <v>45232</v>
      </c>
      <c r="C1544" s="41">
        <f t="shared" ref="C1544:C1553" si="371">90862955.3466667</f>
        <v>90862955.346666694</v>
      </c>
      <c r="D1544" s="47">
        <f>91735215.64+56448.43</f>
        <v>91791664.070000008</v>
      </c>
      <c r="E1544" s="170">
        <f t="shared" si="362"/>
        <v>928708.72333331406</v>
      </c>
      <c r="G1544" s="173">
        <f t="shared" ref="G1544:G1553" si="372">3021187.25266667</f>
        <v>3021187.2526666699</v>
      </c>
      <c r="H1544" s="47">
        <f t="shared" si="370"/>
        <v>3165000</v>
      </c>
      <c r="I1544" s="171">
        <f t="shared" si="363"/>
        <v>143812.7473333301</v>
      </c>
      <c r="J1544" s="170">
        <f t="shared" si="364"/>
        <v>1072521.4706666442</v>
      </c>
    </row>
    <row r="1545" spans="2:10" ht="12.65" customHeight="1">
      <c r="B1545" s="33">
        <f t="shared" si="359"/>
        <v>45233</v>
      </c>
      <c r="C1545" s="41">
        <f t="shared" si="371"/>
        <v>90862955.346666694</v>
      </c>
      <c r="D1545" s="47">
        <f>91735215.64+56448.43</f>
        <v>91791664.070000008</v>
      </c>
      <c r="E1545" s="170">
        <f t="shared" si="362"/>
        <v>928708.72333331406</v>
      </c>
      <c r="G1545" s="173">
        <f t="shared" si="372"/>
        <v>3021187.2526666699</v>
      </c>
      <c r="H1545" s="47">
        <f t="shared" si="370"/>
        <v>3165000</v>
      </c>
      <c r="I1545" s="171">
        <f t="shared" si="363"/>
        <v>143812.7473333301</v>
      </c>
      <c r="J1545" s="170">
        <f t="shared" si="364"/>
        <v>1072521.4706666442</v>
      </c>
    </row>
    <row r="1546" spans="2:10" ht="12.65" customHeight="1">
      <c r="B1546" s="33">
        <f t="shared" si="359"/>
        <v>45236</v>
      </c>
      <c r="C1546" s="41">
        <f t="shared" si="371"/>
        <v>90862955.346666694</v>
      </c>
      <c r="D1546" s="47">
        <f>91735215.64+56448.43</f>
        <v>91791664.070000008</v>
      </c>
      <c r="E1546" s="170">
        <f t="shared" si="362"/>
        <v>928708.72333331406</v>
      </c>
      <c r="G1546" s="173">
        <f t="shared" si="372"/>
        <v>3021187.2526666699</v>
      </c>
      <c r="H1546" s="47">
        <f t="shared" si="370"/>
        <v>3165000</v>
      </c>
      <c r="I1546" s="171">
        <f t="shared" si="363"/>
        <v>143812.7473333301</v>
      </c>
      <c r="J1546" s="170">
        <f t="shared" si="364"/>
        <v>1072521.4706666442</v>
      </c>
    </row>
    <row r="1547" spans="2:10" ht="12.65" customHeight="1">
      <c r="B1547" s="33">
        <f t="shared" si="359"/>
        <v>45237</v>
      </c>
      <c r="C1547" s="41">
        <f t="shared" si="371"/>
        <v>90862955.346666694</v>
      </c>
      <c r="D1547" s="47">
        <f t="shared" ref="D1547:D1552" si="373">56448.43+91735215.64</f>
        <v>91791664.070000008</v>
      </c>
      <c r="E1547" s="170">
        <f t="shared" si="362"/>
        <v>928708.72333331406</v>
      </c>
      <c r="G1547" s="173">
        <f t="shared" si="372"/>
        <v>3021187.2526666699</v>
      </c>
      <c r="H1547" s="47">
        <f t="shared" si="370"/>
        <v>3165000</v>
      </c>
      <c r="I1547" s="171">
        <f t="shared" si="363"/>
        <v>143812.7473333301</v>
      </c>
      <c r="J1547" s="170">
        <f t="shared" si="364"/>
        <v>1072521.4706666442</v>
      </c>
    </row>
    <row r="1548" spans="2:10" ht="12.65" customHeight="1">
      <c r="B1548" s="33">
        <f t="shared" si="359"/>
        <v>45238</v>
      </c>
      <c r="C1548" s="41">
        <f t="shared" si="371"/>
        <v>90862955.346666694</v>
      </c>
      <c r="D1548" s="47">
        <f t="shared" si="373"/>
        <v>91791664.070000008</v>
      </c>
      <c r="E1548" s="170">
        <f t="shared" si="362"/>
        <v>928708.72333331406</v>
      </c>
      <c r="G1548" s="173">
        <f t="shared" si="372"/>
        <v>3021187.2526666699</v>
      </c>
      <c r="H1548" s="47">
        <f t="shared" si="370"/>
        <v>3165000</v>
      </c>
      <c r="I1548" s="171">
        <f t="shared" si="363"/>
        <v>143812.7473333301</v>
      </c>
      <c r="J1548" s="170">
        <f t="shared" si="364"/>
        <v>1072521.4706666442</v>
      </c>
    </row>
    <row r="1549" spans="2:10" ht="12.65" customHeight="1">
      <c r="B1549" s="33">
        <f t="shared" si="359"/>
        <v>45239</v>
      </c>
      <c r="C1549" s="41">
        <f t="shared" si="371"/>
        <v>90862955.346666694</v>
      </c>
      <c r="D1549" s="47">
        <f t="shared" si="373"/>
        <v>91791664.070000008</v>
      </c>
      <c r="E1549" s="170">
        <f t="shared" si="362"/>
        <v>928708.72333331406</v>
      </c>
      <c r="G1549" s="173">
        <f t="shared" si="372"/>
        <v>3021187.2526666699</v>
      </c>
      <c r="H1549" s="47">
        <f t="shared" si="370"/>
        <v>3165000</v>
      </c>
      <c r="I1549" s="171">
        <f t="shared" si="363"/>
        <v>143812.7473333301</v>
      </c>
      <c r="J1549" s="170">
        <f t="shared" si="364"/>
        <v>1072521.4706666442</v>
      </c>
    </row>
    <row r="1550" spans="2:10" ht="12.65" customHeight="1">
      <c r="B1550" s="33">
        <f t="shared" si="359"/>
        <v>45240</v>
      </c>
      <c r="C1550" s="41">
        <f t="shared" si="371"/>
        <v>90862955.346666694</v>
      </c>
      <c r="D1550" s="47">
        <f t="shared" si="373"/>
        <v>91791664.070000008</v>
      </c>
      <c r="E1550" s="170">
        <f t="shared" si="362"/>
        <v>928708.72333331406</v>
      </c>
      <c r="G1550" s="173">
        <f t="shared" si="372"/>
        <v>3021187.2526666699</v>
      </c>
      <c r="H1550" s="47">
        <f t="shared" ref="H1550:H1555" si="374">3165000+0</f>
        <v>3165000</v>
      </c>
      <c r="I1550" s="171">
        <f t="shared" si="363"/>
        <v>143812.7473333301</v>
      </c>
      <c r="J1550" s="170">
        <f t="shared" si="364"/>
        <v>1072521.4706666442</v>
      </c>
    </row>
    <row r="1551" spans="2:10" ht="12.65" customHeight="1">
      <c r="B1551" s="33">
        <f t="shared" si="359"/>
        <v>45243</v>
      </c>
      <c r="C1551" s="41">
        <f t="shared" si="371"/>
        <v>90862955.346666694</v>
      </c>
      <c r="D1551" s="47">
        <f t="shared" si="373"/>
        <v>91791664.070000008</v>
      </c>
      <c r="E1551" s="170">
        <f t="shared" si="362"/>
        <v>928708.72333331406</v>
      </c>
      <c r="G1551" s="173">
        <f t="shared" si="372"/>
        <v>3021187.2526666699</v>
      </c>
      <c r="H1551" s="47">
        <f t="shared" si="374"/>
        <v>3165000</v>
      </c>
      <c r="I1551" s="171">
        <f t="shared" si="363"/>
        <v>143812.7473333301</v>
      </c>
      <c r="J1551" s="170">
        <f t="shared" si="364"/>
        <v>1072521.4706666442</v>
      </c>
    </row>
    <row r="1552" spans="2:10" ht="12.65" customHeight="1">
      <c r="B1552" s="33">
        <f t="shared" si="359"/>
        <v>45244</v>
      </c>
      <c r="C1552" s="41">
        <f t="shared" si="371"/>
        <v>90862955.346666694</v>
      </c>
      <c r="D1552" s="47">
        <f t="shared" si="373"/>
        <v>91791664.070000008</v>
      </c>
      <c r="E1552" s="170">
        <f t="shared" si="362"/>
        <v>928708.72333331406</v>
      </c>
      <c r="G1552" s="173">
        <f t="shared" si="372"/>
        <v>3021187.2526666699</v>
      </c>
      <c r="H1552" s="47">
        <f t="shared" si="374"/>
        <v>3165000</v>
      </c>
      <c r="I1552" s="171">
        <f t="shared" si="363"/>
        <v>143812.7473333301</v>
      </c>
      <c r="J1552" s="170">
        <f t="shared" si="364"/>
        <v>1072521.4706666442</v>
      </c>
    </row>
    <row r="1553" spans="2:10" ht="12.65" customHeight="1">
      <c r="B1553" s="33">
        <f t="shared" si="359"/>
        <v>45245</v>
      </c>
      <c r="C1553" s="41">
        <f t="shared" si="371"/>
        <v>90862955.346666694</v>
      </c>
      <c r="D1553" s="47">
        <f>56448.43+91735215.64</f>
        <v>91791664.070000008</v>
      </c>
      <c r="E1553" s="170">
        <f t="shared" si="362"/>
        <v>928708.72333331406</v>
      </c>
      <c r="G1553" s="173">
        <f t="shared" si="372"/>
        <v>3021187.2526666699</v>
      </c>
      <c r="H1553" s="47">
        <f t="shared" si="374"/>
        <v>3165000</v>
      </c>
      <c r="I1553" s="171">
        <f t="shared" si="363"/>
        <v>143812.7473333301</v>
      </c>
      <c r="J1553" s="170">
        <f t="shared" si="364"/>
        <v>1072521.4706666442</v>
      </c>
    </row>
    <row r="1554" spans="2:10" ht="12.65" customHeight="1">
      <c r="B1554" s="33">
        <f t="shared" si="359"/>
        <v>45246</v>
      </c>
      <c r="C1554" s="41">
        <f>90457369.71</f>
        <v>90457369.709999993</v>
      </c>
      <c r="D1554" s="47">
        <f>56448.43+91735215.64</f>
        <v>91791664.070000008</v>
      </c>
      <c r="E1554" s="170">
        <f t="shared" si="362"/>
        <v>1334294.3600000143</v>
      </c>
      <c r="G1554" s="173">
        <f>2821297.315</f>
        <v>2821297.3149999999</v>
      </c>
      <c r="H1554" s="47">
        <f t="shared" si="374"/>
        <v>3165000</v>
      </c>
      <c r="I1554" s="171">
        <f t="shared" si="363"/>
        <v>343702.68500000006</v>
      </c>
      <c r="J1554" s="170">
        <f t="shared" si="364"/>
        <v>1677997.0450000144</v>
      </c>
    </row>
    <row r="1555" spans="2:10" ht="12.65" customHeight="1">
      <c r="B1555" s="33">
        <f t="shared" si="359"/>
        <v>45247</v>
      </c>
      <c r="C1555" s="41">
        <f t="shared" ref="C1555:C1564" si="375">90457369.71</f>
        <v>90457369.709999993</v>
      </c>
      <c r="D1555" s="47">
        <f>56448.43+91235215.64</f>
        <v>91291664.070000008</v>
      </c>
      <c r="E1555" s="170">
        <f t="shared" si="362"/>
        <v>834294.36000001431</v>
      </c>
      <c r="G1555" s="173">
        <f t="shared" ref="G1555:G1563" si="376">2821297.315</f>
        <v>2821297.3149999999</v>
      </c>
      <c r="H1555" s="47">
        <f t="shared" si="374"/>
        <v>3165000</v>
      </c>
      <c r="I1555" s="171">
        <f t="shared" si="363"/>
        <v>343702.68500000006</v>
      </c>
      <c r="J1555" s="170">
        <f t="shared" si="364"/>
        <v>1177997.0450000144</v>
      </c>
    </row>
    <row r="1556" spans="2:10" ht="12.65" customHeight="1">
      <c r="B1556" s="33">
        <f t="shared" si="359"/>
        <v>45250</v>
      </c>
      <c r="C1556" s="41">
        <f t="shared" si="375"/>
        <v>90457369.709999993</v>
      </c>
      <c r="D1556" s="47">
        <f>56448.43+91235215.64</f>
        <v>91291664.070000008</v>
      </c>
      <c r="E1556" s="170">
        <f t="shared" si="362"/>
        <v>834294.36000001431</v>
      </c>
      <c r="G1556" s="173">
        <f t="shared" si="376"/>
        <v>2821297.3149999999</v>
      </c>
      <c r="H1556" s="47">
        <f t="shared" ref="H1556:H1563" si="377">3065000+0</f>
        <v>3065000</v>
      </c>
      <c r="I1556" s="171">
        <f t="shared" si="363"/>
        <v>243702.68500000006</v>
      </c>
      <c r="J1556" s="170">
        <f t="shared" si="364"/>
        <v>1077997.0450000144</v>
      </c>
    </row>
    <row r="1557" spans="2:10" ht="12.65" customHeight="1">
      <c r="B1557" s="33">
        <f t="shared" si="359"/>
        <v>45251</v>
      </c>
      <c r="C1557" s="41">
        <f t="shared" si="375"/>
        <v>90457369.709999993</v>
      </c>
      <c r="D1557" s="47">
        <f>56448.43+91235215.64</f>
        <v>91291664.070000008</v>
      </c>
      <c r="E1557" s="170">
        <f t="shared" si="362"/>
        <v>834294.36000001431</v>
      </c>
      <c r="G1557" s="173">
        <f t="shared" si="376"/>
        <v>2821297.3149999999</v>
      </c>
      <c r="H1557" s="47">
        <f t="shared" si="377"/>
        <v>3065000</v>
      </c>
      <c r="I1557" s="171">
        <f t="shared" si="363"/>
        <v>243702.68500000006</v>
      </c>
      <c r="J1557" s="170">
        <f t="shared" si="364"/>
        <v>1077997.0450000144</v>
      </c>
    </row>
    <row r="1558" spans="2:10" ht="12.65" customHeight="1">
      <c r="B1558" s="33">
        <f t="shared" si="359"/>
        <v>45252</v>
      </c>
      <c r="C1558" s="41">
        <f t="shared" si="375"/>
        <v>90457369.709999993</v>
      </c>
      <c r="D1558" s="47">
        <f>5056448.43+91235215.64</f>
        <v>96291664.069999993</v>
      </c>
      <c r="E1558" s="170">
        <f t="shared" si="362"/>
        <v>5834294.3599999994</v>
      </c>
      <c r="G1558" s="173">
        <f t="shared" si="376"/>
        <v>2821297.3149999999</v>
      </c>
      <c r="H1558" s="47">
        <f t="shared" si="377"/>
        <v>3065000</v>
      </c>
      <c r="I1558" s="171">
        <f t="shared" si="363"/>
        <v>243702.68500000006</v>
      </c>
      <c r="J1558" s="170">
        <f t="shared" si="364"/>
        <v>6077997.0449999999</v>
      </c>
    </row>
    <row r="1559" spans="2:10" ht="12.65" customHeight="1">
      <c r="B1559" s="33">
        <f t="shared" si="359"/>
        <v>45253</v>
      </c>
      <c r="C1559" s="41">
        <f t="shared" si="375"/>
        <v>90457369.709999993</v>
      </c>
      <c r="D1559" s="47">
        <f>5056448.43+91235215.64</f>
        <v>96291664.069999993</v>
      </c>
      <c r="E1559" s="170">
        <f t="shared" si="362"/>
        <v>5834294.3599999994</v>
      </c>
      <c r="G1559" s="173">
        <f t="shared" si="376"/>
        <v>2821297.3149999999</v>
      </c>
      <c r="H1559" s="47">
        <f t="shared" si="377"/>
        <v>3065000</v>
      </c>
      <c r="I1559" s="171">
        <f t="shared" si="363"/>
        <v>243702.68500000006</v>
      </c>
      <c r="J1559" s="170">
        <f t="shared" si="364"/>
        <v>6077997.0449999999</v>
      </c>
    </row>
    <row r="1560" spans="2:10" ht="12.65" customHeight="1">
      <c r="B1560" s="33">
        <f t="shared" si="359"/>
        <v>45254</v>
      </c>
      <c r="C1560" s="41">
        <f t="shared" si="375"/>
        <v>90457369.709999993</v>
      </c>
      <c r="D1560" s="47">
        <f>81167.28+91235215.64</f>
        <v>91316382.920000002</v>
      </c>
      <c r="E1560" s="170">
        <f t="shared" si="362"/>
        <v>859013.21000000834</v>
      </c>
      <c r="G1560" s="173">
        <f t="shared" si="376"/>
        <v>2821297.3149999999</v>
      </c>
      <c r="H1560" s="47">
        <f t="shared" si="377"/>
        <v>3065000</v>
      </c>
      <c r="I1560" s="171">
        <f t="shared" si="363"/>
        <v>243702.68500000006</v>
      </c>
      <c r="J1560" s="170">
        <f t="shared" si="364"/>
        <v>1102715.8950000084</v>
      </c>
    </row>
    <row r="1561" spans="2:10" ht="12.65" customHeight="1">
      <c r="B1561" s="33">
        <f t="shared" si="359"/>
        <v>45257</v>
      </c>
      <c r="C1561" s="41">
        <f t="shared" si="375"/>
        <v>90457369.709999993</v>
      </c>
      <c r="D1561" s="47">
        <f>10081167.28+91235215.64</f>
        <v>101316382.92</v>
      </c>
      <c r="E1561" s="170">
        <f t="shared" si="362"/>
        <v>10859013.210000008</v>
      </c>
      <c r="G1561" s="173">
        <f t="shared" si="376"/>
        <v>2821297.3149999999</v>
      </c>
      <c r="H1561" s="47">
        <f t="shared" si="377"/>
        <v>3065000</v>
      </c>
      <c r="I1561" s="171">
        <f t="shared" si="363"/>
        <v>243702.68500000006</v>
      </c>
      <c r="J1561" s="170">
        <f t="shared" si="364"/>
        <v>11102715.895000009</v>
      </c>
    </row>
    <row r="1562" spans="2:10" ht="12.65" customHeight="1">
      <c r="B1562" s="33">
        <f t="shared" si="359"/>
        <v>45258</v>
      </c>
      <c r="C1562" s="41">
        <f t="shared" si="375"/>
        <v>90457369.709999993</v>
      </c>
      <c r="D1562" s="47">
        <f>81167.28+101235215.64</f>
        <v>101316382.92</v>
      </c>
      <c r="E1562" s="170">
        <f t="shared" si="362"/>
        <v>10859013.210000008</v>
      </c>
      <c r="G1562" s="173">
        <f t="shared" si="376"/>
        <v>2821297.3149999999</v>
      </c>
      <c r="H1562" s="47">
        <f t="shared" si="377"/>
        <v>3065000</v>
      </c>
      <c r="I1562" s="171">
        <f t="shared" si="363"/>
        <v>243702.68500000006</v>
      </c>
      <c r="J1562" s="170">
        <f t="shared" si="364"/>
        <v>11102715.895000009</v>
      </c>
    </row>
    <row r="1563" spans="2:10" ht="12.65" customHeight="1">
      <c r="B1563" s="33">
        <f t="shared" si="359"/>
        <v>45259</v>
      </c>
      <c r="C1563" s="41">
        <f t="shared" si="375"/>
        <v>90457369.709999993</v>
      </c>
      <c r="D1563" s="47">
        <f>81167.28+101235215.64</f>
        <v>101316382.92</v>
      </c>
      <c r="E1563" s="170">
        <f t="shared" si="362"/>
        <v>10859013.210000008</v>
      </c>
      <c r="G1563" s="173">
        <f t="shared" si="376"/>
        <v>2821297.3149999999</v>
      </c>
      <c r="H1563" s="47">
        <f t="shared" si="377"/>
        <v>3065000</v>
      </c>
      <c r="I1563" s="171">
        <f t="shared" si="363"/>
        <v>243702.68500000006</v>
      </c>
      <c r="J1563" s="170">
        <f t="shared" si="364"/>
        <v>11102715.895000009</v>
      </c>
    </row>
    <row r="1564" spans="2:10" ht="12.65" customHeight="1">
      <c r="B1564" s="33">
        <f t="shared" si="359"/>
        <v>45260</v>
      </c>
      <c r="C1564" s="41">
        <f t="shared" si="375"/>
        <v>90457369.709999993</v>
      </c>
      <c r="D1564" s="47">
        <f>81167.28+91235215.64</f>
        <v>91316382.920000002</v>
      </c>
      <c r="E1564" s="170">
        <f t="shared" si="362"/>
        <v>859013.21000000834</v>
      </c>
      <c r="G1564" s="173">
        <f>2821297.315</f>
        <v>2821297.3149999999</v>
      </c>
      <c r="H1564" s="47">
        <v>5065000</v>
      </c>
      <c r="I1564" s="171">
        <f t="shared" si="363"/>
        <v>2243702.6850000001</v>
      </c>
      <c r="J1564" s="170">
        <f t="shared" si="364"/>
        <v>3102715.8950000084</v>
      </c>
    </row>
    <row r="1565" spans="2:10" ht="12.65" customHeight="1">
      <c r="B1565" s="33">
        <f t="shared" si="359"/>
        <v>45261</v>
      </c>
      <c r="C1565" s="41">
        <f>91774837.752</f>
        <v>91774837.752000004</v>
      </c>
      <c r="D1565" s="47">
        <f t="shared" ref="D1565:D1569" si="378">81167.28+92535215.64</f>
        <v>92616382.920000002</v>
      </c>
      <c r="E1565" s="170">
        <f t="shared" si="362"/>
        <v>841545.16799999774</v>
      </c>
      <c r="G1565" s="173">
        <f>2767667.22666667</f>
        <v>2767667.2266666698</v>
      </c>
      <c r="H1565" s="47">
        <f t="shared" ref="H1565:H1586" si="379">3065000+0</f>
        <v>3065000</v>
      </c>
      <c r="I1565" s="171">
        <f t="shared" si="363"/>
        <v>297332.77333333017</v>
      </c>
      <c r="J1565" s="170">
        <f t="shared" si="364"/>
        <v>1138877.9413333279</v>
      </c>
    </row>
    <row r="1566" spans="2:10" ht="12.65" customHeight="1">
      <c r="B1566" s="33">
        <f t="shared" si="359"/>
        <v>45264</v>
      </c>
      <c r="C1566" s="41">
        <f t="shared" ref="C1566:C1575" si="380">91774837.752</f>
        <v>91774837.752000004</v>
      </c>
      <c r="D1566" s="47">
        <f t="shared" si="378"/>
        <v>92616382.920000002</v>
      </c>
      <c r="E1566" s="170">
        <f t="shared" si="362"/>
        <v>841545.16799999774</v>
      </c>
      <c r="G1566" s="173">
        <f t="shared" ref="G1566:G1575" si="381">2767667.22666667</f>
        <v>2767667.2266666698</v>
      </c>
      <c r="H1566" s="47">
        <f t="shared" si="379"/>
        <v>3065000</v>
      </c>
      <c r="I1566" s="171">
        <f t="shared" ref="I1566:I1629" si="382">H1566-G1566</f>
        <v>297332.77333333017</v>
      </c>
      <c r="J1566" s="170">
        <f t="shared" ref="J1566:J1629" si="383">E1566+I1566</f>
        <v>1138877.9413333279</v>
      </c>
    </row>
    <row r="1567" spans="2:10" ht="12.65" customHeight="1">
      <c r="B1567" s="33">
        <f t="shared" si="359"/>
        <v>45265</v>
      </c>
      <c r="C1567" s="41">
        <f t="shared" si="380"/>
        <v>91774837.752000004</v>
      </c>
      <c r="D1567" s="47">
        <f t="shared" si="378"/>
        <v>92616382.920000002</v>
      </c>
      <c r="E1567" s="170">
        <f t="shared" si="362"/>
        <v>841545.16799999774</v>
      </c>
      <c r="G1567" s="173">
        <f t="shared" si="381"/>
        <v>2767667.2266666698</v>
      </c>
      <c r="H1567" s="47">
        <f t="shared" si="379"/>
        <v>3065000</v>
      </c>
      <c r="I1567" s="171">
        <f t="shared" si="382"/>
        <v>297332.77333333017</v>
      </c>
      <c r="J1567" s="170">
        <f t="shared" si="383"/>
        <v>1138877.9413333279</v>
      </c>
    </row>
    <row r="1568" spans="2:10" ht="12.65" customHeight="1">
      <c r="B1568" s="33">
        <f t="shared" si="359"/>
        <v>45266</v>
      </c>
      <c r="C1568" s="41">
        <f t="shared" si="380"/>
        <v>91774837.752000004</v>
      </c>
      <c r="D1568" s="47">
        <f t="shared" si="378"/>
        <v>92616382.920000002</v>
      </c>
      <c r="E1568" s="170">
        <f t="shared" si="362"/>
        <v>841545.16799999774</v>
      </c>
      <c r="G1568" s="173">
        <f t="shared" si="381"/>
        <v>2767667.2266666698</v>
      </c>
      <c r="H1568" s="47">
        <f t="shared" si="379"/>
        <v>3065000</v>
      </c>
      <c r="I1568" s="171">
        <f t="shared" si="382"/>
        <v>297332.77333333017</v>
      </c>
      <c r="J1568" s="170">
        <f t="shared" si="383"/>
        <v>1138877.9413333279</v>
      </c>
    </row>
    <row r="1569" spans="2:10" ht="12.65" customHeight="1">
      <c r="B1569" s="33">
        <f t="shared" si="359"/>
        <v>45267</v>
      </c>
      <c r="C1569" s="41">
        <f t="shared" si="380"/>
        <v>91774837.752000004</v>
      </c>
      <c r="D1569" s="47">
        <f t="shared" si="378"/>
        <v>92616382.920000002</v>
      </c>
      <c r="E1569" s="170">
        <f t="shared" si="362"/>
        <v>841545.16799999774</v>
      </c>
      <c r="G1569" s="173">
        <f t="shared" si="381"/>
        <v>2767667.2266666698</v>
      </c>
      <c r="H1569" s="47">
        <f t="shared" si="379"/>
        <v>3065000</v>
      </c>
      <c r="I1569" s="171">
        <f t="shared" si="382"/>
        <v>297332.77333333017</v>
      </c>
      <c r="J1569" s="170">
        <f t="shared" si="383"/>
        <v>1138877.9413333279</v>
      </c>
    </row>
    <row r="1570" spans="2:10" ht="12.65" customHeight="1">
      <c r="B1570" s="33">
        <f t="shared" si="359"/>
        <v>45268</v>
      </c>
      <c r="C1570" s="41">
        <f t="shared" si="380"/>
        <v>91774837.752000004</v>
      </c>
      <c r="D1570" s="47">
        <f t="shared" ref="D1570:D1577" si="384">81167.28+92535215.64</f>
        <v>92616382.920000002</v>
      </c>
      <c r="E1570" s="170">
        <f t="shared" si="362"/>
        <v>841545.16799999774</v>
      </c>
      <c r="G1570" s="173">
        <f t="shared" si="381"/>
        <v>2767667.2266666698</v>
      </c>
      <c r="H1570" s="47">
        <f t="shared" si="379"/>
        <v>3065000</v>
      </c>
      <c r="I1570" s="171">
        <f t="shared" si="382"/>
        <v>297332.77333333017</v>
      </c>
      <c r="J1570" s="170">
        <f t="shared" si="383"/>
        <v>1138877.9413333279</v>
      </c>
    </row>
    <row r="1571" spans="2:10" ht="12.65" customHeight="1">
      <c r="B1571" s="33">
        <f t="shared" si="359"/>
        <v>45271</v>
      </c>
      <c r="C1571" s="41">
        <f t="shared" si="380"/>
        <v>91774837.752000004</v>
      </c>
      <c r="D1571" s="47">
        <f t="shared" si="384"/>
        <v>92616382.920000002</v>
      </c>
      <c r="E1571" s="170">
        <f t="shared" si="362"/>
        <v>841545.16799999774</v>
      </c>
      <c r="G1571" s="173">
        <f t="shared" si="381"/>
        <v>2767667.2266666698</v>
      </c>
      <c r="H1571" s="47">
        <f t="shared" si="379"/>
        <v>3065000</v>
      </c>
      <c r="I1571" s="171">
        <f t="shared" si="382"/>
        <v>297332.77333333017</v>
      </c>
      <c r="J1571" s="170">
        <f t="shared" si="383"/>
        <v>1138877.9413333279</v>
      </c>
    </row>
    <row r="1572" spans="2:10" ht="12.65" customHeight="1">
      <c r="B1572" s="33">
        <f t="shared" si="359"/>
        <v>45272</v>
      </c>
      <c r="C1572" s="41">
        <f t="shared" si="380"/>
        <v>91774837.752000004</v>
      </c>
      <c r="D1572" s="47">
        <f t="shared" si="384"/>
        <v>92616382.920000002</v>
      </c>
      <c r="E1572" s="170">
        <f t="shared" si="362"/>
        <v>841545.16799999774</v>
      </c>
      <c r="G1572" s="173">
        <f t="shared" si="381"/>
        <v>2767667.2266666698</v>
      </c>
      <c r="H1572" s="47">
        <f t="shared" si="379"/>
        <v>3065000</v>
      </c>
      <c r="I1572" s="171">
        <f t="shared" si="382"/>
        <v>297332.77333333017</v>
      </c>
      <c r="J1572" s="170">
        <f t="shared" si="383"/>
        <v>1138877.9413333279</v>
      </c>
    </row>
    <row r="1573" spans="2:10" ht="12.65" customHeight="1">
      <c r="B1573" s="33">
        <f t="shared" si="359"/>
        <v>45273</v>
      </c>
      <c r="C1573" s="41">
        <f t="shared" si="380"/>
        <v>91774837.752000004</v>
      </c>
      <c r="D1573" s="47">
        <f t="shared" si="384"/>
        <v>92616382.920000002</v>
      </c>
      <c r="E1573" s="170">
        <f t="shared" si="362"/>
        <v>841545.16799999774</v>
      </c>
      <c r="G1573" s="173">
        <f t="shared" si="381"/>
        <v>2767667.2266666698</v>
      </c>
      <c r="H1573" s="47">
        <f t="shared" si="379"/>
        <v>3065000</v>
      </c>
      <c r="I1573" s="171">
        <f t="shared" si="382"/>
        <v>297332.77333333017</v>
      </c>
      <c r="J1573" s="170">
        <f t="shared" si="383"/>
        <v>1138877.9413333279</v>
      </c>
    </row>
    <row r="1574" spans="2:10" ht="12.65" customHeight="1">
      <c r="B1574" s="33">
        <f t="shared" si="359"/>
        <v>45274</v>
      </c>
      <c r="C1574" s="41">
        <f t="shared" si="380"/>
        <v>91774837.752000004</v>
      </c>
      <c r="D1574" s="47">
        <f t="shared" si="384"/>
        <v>92616382.920000002</v>
      </c>
      <c r="E1574" s="170">
        <f t="shared" si="362"/>
        <v>841545.16799999774</v>
      </c>
      <c r="G1574" s="173">
        <f t="shared" si="381"/>
        <v>2767667.2266666698</v>
      </c>
      <c r="H1574" s="47">
        <f t="shared" si="379"/>
        <v>3065000</v>
      </c>
      <c r="I1574" s="171">
        <f t="shared" si="382"/>
        <v>297332.77333333017</v>
      </c>
      <c r="J1574" s="170">
        <f t="shared" si="383"/>
        <v>1138877.9413333279</v>
      </c>
    </row>
    <row r="1575" spans="2:10" ht="12.65" customHeight="1">
      <c r="B1575" s="33">
        <f t="shared" si="359"/>
        <v>45275</v>
      </c>
      <c r="C1575" s="41">
        <f t="shared" si="380"/>
        <v>91774837.752000004</v>
      </c>
      <c r="D1575" s="47">
        <f t="shared" si="384"/>
        <v>92616382.920000002</v>
      </c>
      <c r="E1575" s="170">
        <f t="shared" si="362"/>
        <v>841545.16799999774</v>
      </c>
      <c r="G1575" s="173">
        <f t="shared" si="381"/>
        <v>2767667.2266666698</v>
      </c>
      <c r="H1575" s="47">
        <f t="shared" si="379"/>
        <v>3065000</v>
      </c>
      <c r="I1575" s="171">
        <f t="shared" si="382"/>
        <v>297332.77333333017</v>
      </c>
      <c r="J1575" s="170">
        <f t="shared" si="383"/>
        <v>1138877.9413333279</v>
      </c>
    </row>
    <row r="1576" spans="2:10" ht="12.65" customHeight="1">
      <c r="B1576" s="33">
        <f t="shared" si="359"/>
        <v>45278</v>
      </c>
      <c r="C1576" s="41">
        <f>91781849.848</f>
        <v>91781849.848000005</v>
      </c>
      <c r="D1576" s="47">
        <f t="shared" si="384"/>
        <v>92616382.920000002</v>
      </c>
      <c r="E1576" s="170">
        <f t="shared" si="362"/>
        <v>834533.0719999969</v>
      </c>
      <c r="G1576" s="173">
        <f>2865643.644</f>
        <v>2865643.6439999999</v>
      </c>
      <c r="H1576" s="47">
        <f t="shared" si="379"/>
        <v>3065000</v>
      </c>
      <c r="I1576" s="171">
        <f t="shared" si="382"/>
        <v>199356.35600000015</v>
      </c>
      <c r="J1576" s="170">
        <f t="shared" si="383"/>
        <v>1033889.427999997</v>
      </c>
    </row>
    <row r="1577" spans="2:10" ht="12.65" customHeight="1">
      <c r="B1577" s="33">
        <f t="shared" si="359"/>
        <v>45279</v>
      </c>
      <c r="C1577" s="41">
        <f t="shared" ref="C1577:C1585" si="385">91781849.848</f>
        <v>91781849.848000005</v>
      </c>
      <c r="D1577" s="47">
        <f t="shared" si="384"/>
        <v>92616382.920000002</v>
      </c>
      <c r="E1577" s="170">
        <f t="shared" si="362"/>
        <v>834533.0719999969</v>
      </c>
      <c r="G1577" s="173">
        <f t="shared" ref="G1577:G1585" si="386">2865643.644</f>
        <v>2865643.6439999999</v>
      </c>
      <c r="H1577" s="47">
        <f t="shared" si="379"/>
        <v>3065000</v>
      </c>
      <c r="I1577" s="171">
        <f t="shared" si="382"/>
        <v>199356.35600000015</v>
      </c>
      <c r="J1577" s="170">
        <f t="shared" si="383"/>
        <v>1033889.427999997</v>
      </c>
    </row>
    <row r="1578" spans="2:10" ht="12.65" customHeight="1">
      <c r="B1578" s="33">
        <f t="shared" si="359"/>
        <v>45280</v>
      </c>
      <c r="C1578" s="41">
        <f t="shared" si="385"/>
        <v>91781849.848000005</v>
      </c>
      <c r="D1578" s="47">
        <f>81167.28+92535215.64</f>
        <v>92616382.920000002</v>
      </c>
      <c r="E1578" s="170">
        <f t="shared" si="362"/>
        <v>834533.0719999969</v>
      </c>
      <c r="G1578" s="173">
        <f t="shared" si="386"/>
        <v>2865643.6439999999</v>
      </c>
      <c r="H1578" s="47">
        <f t="shared" si="379"/>
        <v>3065000</v>
      </c>
      <c r="I1578" s="171">
        <f t="shared" si="382"/>
        <v>199356.35600000015</v>
      </c>
      <c r="J1578" s="170">
        <f t="shared" si="383"/>
        <v>1033889.427999997</v>
      </c>
    </row>
    <row r="1579" spans="2:10" ht="12.65" customHeight="1">
      <c r="B1579" s="33">
        <f t="shared" si="359"/>
        <v>45281</v>
      </c>
      <c r="C1579" s="41">
        <f t="shared" si="385"/>
        <v>91781849.848000005</v>
      </c>
      <c r="D1579" s="47">
        <f>81167.28+92535215.64</f>
        <v>92616382.920000002</v>
      </c>
      <c r="E1579" s="170">
        <f t="shared" si="362"/>
        <v>834533.0719999969</v>
      </c>
      <c r="G1579" s="173">
        <f t="shared" si="386"/>
        <v>2865643.6439999999</v>
      </c>
      <c r="H1579" s="47">
        <f t="shared" si="379"/>
        <v>3065000</v>
      </c>
      <c r="I1579" s="171">
        <f t="shared" si="382"/>
        <v>199356.35600000015</v>
      </c>
      <c r="J1579" s="170">
        <f t="shared" si="383"/>
        <v>1033889.427999997</v>
      </c>
    </row>
    <row r="1580" spans="2:10" ht="12.65" customHeight="1">
      <c r="B1580" s="33">
        <f t="shared" si="359"/>
        <v>45282</v>
      </c>
      <c r="C1580" s="41">
        <f t="shared" si="385"/>
        <v>91781849.848000005</v>
      </c>
      <c r="D1580" s="47">
        <f>81167.28+92535215.64</f>
        <v>92616382.920000002</v>
      </c>
      <c r="E1580" s="170">
        <f t="shared" si="362"/>
        <v>834533.0719999969</v>
      </c>
      <c r="G1580" s="173">
        <f t="shared" si="386"/>
        <v>2865643.6439999999</v>
      </c>
      <c r="H1580" s="47">
        <f t="shared" si="379"/>
        <v>3065000</v>
      </c>
      <c r="I1580" s="171">
        <f t="shared" si="382"/>
        <v>199356.35600000015</v>
      </c>
      <c r="J1580" s="170">
        <f t="shared" si="383"/>
        <v>1033889.427999997</v>
      </c>
    </row>
    <row r="1581" spans="2:10" s="1385" customFormat="1" ht="12.65" customHeight="1">
      <c r="B1581" s="1377">
        <f>WORKDAY(B1580,2)</f>
        <v>45286</v>
      </c>
      <c r="C1581" s="1386">
        <f t="shared" si="385"/>
        <v>91781849.848000005</v>
      </c>
      <c r="D1581" s="1387">
        <f>81167.28+92535215.64</f>
        <v>92616382.920000002</v>
      </c>
      <c r="E1581" s="1388">
        <f t="shared" si="362"/>
        <v>834533.0719999969</v>
      </c>
      <c r="F1581" s="1389"/>
      <c r="G1581" s="1390">
        <f t="shared" si="386"/>
        <v>2865643.6439999999</v>
      </c>
      <c r="H1581" s="1387">
        <f t="shared" si="379"/>
        <v>3065000</v>
      </c>
      <c r="I1581" s="1391">
        <f t="shared" si="382"/>
        <v>199356.35600000015</v>
      </c>
      <c r="J1581" s="1388">
        <f t="shared" si="383"/>
        <v>1033889.427999997</v>
      </c>
    </row>
    <row r="1582" spans="2:10" ht="12.65" customHeight="1">
      <c r="B1582" s="33">
        <f t="shared" si="359"/>
        <v>45287</v>
      </c>
      <c r="C1582" s="41">
        <f t="shared" si="385"/>
        <v>91781849.848000005</v>
      </c>
      <c r="D1582" s="1392">
        <f>81167.28+97535215.64</f>
        <v>97616382.920000002</v>
      </c>
      <c r="E1582" s="170">
        <f t="shared" si="362"/>
        <v>5834533.0719999969</v>
      </c>
      <c r="G1582" s="173">
        <f t="shared" si="386"/>
        <v>2865643.6439999999</v>
      </c>
      <c r="H1582" s="47">
        <f t="shared" si="379"/>
        <v>3065000</v>
      </c>
      <c r="I1582" s="171">
        <f t="shared" si="382"/>
        <v>199356.35600000015</v>
      </c>
      <c r="J1582" s="170">
        <f t="shared" si="383"/>
        <v>6033889.4279999975</v>
      </c>
    </row>
    <row r="1583" spans="2:10" ht="12.65" customHeight="1">
      <c r="B1583" s="33">
        <f t="shared" si="359"/>
        <v>45288</v>
      </c>
      <c r="C1583" s="41">
        <f t="shared" si="385"/>
        <v>91781849.848000005</v>
      </c>
      <c r="D1583" s="1392">
        <f>81167.28+97535215.64</f>
        <v>97616382.920000002</v>
      </c>
      <c r="E1583" s="170">
        <f t="shared" si="362"/>
        <v>5834533.0719999969</v>
      </c>
      <c r="G1583" s="173">
        <f t="shared" si="386"/>
        <v>2865643.6439999999</v>
      </c>
      <c r="H1583" s="47">
        <f t="shared" si="379"/>
        <v>3065000</v>
      </c>
      <c r="I1583" s="171">
        <f t="shared" si="382"/>
        <v>199356.35600000015</v>
      </c>
      <c r="J1583" s="170">
        <f t="shared" si="383"/>
        <v>6033889.4279999975</v>
      </c>
    </row>
    <row r="1584" spans="2:10" ht="12.65" customHeight="1">
      <c r="B1584" s="33">
        <f t="shared" si="359"/>
        <v>45289</v>
      </c>
      <c r="C1584" s="41">
        <f t="shared" si="385"/>
        <v>91781849.848000005</v>
      </c>
      <c r="D1584" s="1392">
        <f>81167.28+92535215.64</f>
        <v>92616382.920000002</v>
      </c>
      <c r="E1584" s="170">
        <f t="shared" si="362"/>
        <v>834533.0719999969</v>
      </c>
      <c r="G1584" s="173">
        <f t="shared" si="386"/>
        <v>2865643.6439999999</v>
      </c>
      <c r="H1584" s="47">
        <f t="shared" si="379"/>
        <v>3065000</v>
      </c>
      <c r="I1584" s="171">
        <f t="shared" si="382"/>
        <v>199356.35600000015</v>
      </c>
      <c r="J1584" s="170">
        <f t="shared" si="383"/>
        <v>1033889.427999997</v>
      </c>
    </row>
    <row r="1585" spans="2:10" s="1385" customFormat="1" ht="12.65" customHeight="1">
      <c r="B1585" s="1377">
        <f>WORKDAY(B1584,1)-1</f>
        <v>45291</v>
      </c>
      <c r="C1585" s="1386">
        <f t="shared" si="385"/>
        <v>91781849.848000005</v>
      </c>
      <c r="D1585" s="1387">
        <f>81167.28+92535215.64</f>
        <v>92616382.920000002</v>
      </c>
      <c r="E1585" s="1388">
        <f t="shared" ref="E1585" si="387">D1585-C1585</f>
        <v>834533.0719999969</v>
      </c>
      <c r="F1585" s="1389"/>
      <c r="G1585" s="1390">
        <f t="shared" si="386"/>
        <v>2865643.6439999999</v>
      </c>
      <c r="H1585" s="1387">
        <f t="shared" si="379"/>
        <v>3065000</v>
      </c>
      <c r="I1585" s="1391">
        <f t="shared" ref="I1585" si="388">H1585-G1585</f>
        <v>199356.35600000015</v>
      </c>
      <c r="J1585" s="1388">
        <f t="shared" ref="J1585" si="389">E1585+I1585</f>
        <v>1033889.427999997</v>
      </c>
    </row>
    <row r="1586" spans="2:10" ht="12.65" customHeight="1">
      <c r="B1586" s="1377">
        <f>WORKDAY(B1584,1)</f>
        <v>45292</v>
      </c>
      <c r="C1586" s="1386">
        <v>93639012.519999996</v>
      </c>
      <c r="D1586" s="1387">
        <f>81167.28+92535215.64</f>
        <v>92616382.920000002</v>
      </c>
      <c r="E1586" s="1388">
        <f t="shared" si="362"/>
        <v>-1022629.599999994</v>
      </c>
      <c r="F1586" s="1389"/>
      <c r="G1586" s="1390">
        <v>2837306.3280000002</v>
      </c>
      <c r="H1586" s="1387">
        <f t="shared" si="379"/>
        <v>3065000</v>
      </c>
      <c r="I1586" s="1391">
        <f t="shared" si="382"/>
        <v>227693.67199999979</v>
      </c>
      <c r="J1586" s="1388">
        <f t="shared" si="383"/>
        <v>-794935.92799999425</v>
      </c>
    </row>
    <row r="1587" spans="2:10" ht="12.65" customHeight="1">
      <c r="B1587" s="33">
        <f t="shared" ref="B1587:B1652" si="390">WORKDAY(B1586,1)</f>
        <v>45293</v>
      </c>
      <c r="C1587" s="41">
        <f t="shared" ref="C1587:C1596" si="391">93639012.52</f>
        <v>93639012.519999996</v>
      </c>
      <c r="D1587" s="1392">
        <f>81167.28+94435215.64</f>
        <v>94516382.920000002</v>
      </c>
      <c r="E1587" s="170">
        <f t="shared" si="362"/>
        <v>877370.40000000596</v>
      </c>
      <c r="G1587" s="173">
        <f t="shared" ref="G1587:G1596" si="392">2837306.328</f>
        <v>2837306.3280000002</v>
      </c>
      <c r="H1587" s="1392">
        <f>5065000+9989.33</f>
        <v>5074989.33</v>
      </c>
      <c r="I1587" s="171">
        <f t="shared" si="382"/>
        <v>2237683.0019999999</v>
      </c>
      <c r="J1587" s="170">
        <f t="shared" si="383"/>
        <v>3115053.4020000058</v>
      </c>
    </row>
    <row r="1588" spans="2:10" ht="12.65" customHeight="1">
      <c r="B1588" s="33">
        <f t="shared" si="390"/>
        <v>45294</v>
      </c>
      <c r="C1588" s="41">
        <f t="shared" si="391"/>
        <v>93639012.519999996</v>
      </c>
      <c r="D1588" s="1392">
        <f>81167.28+94435215.64</f>
        <v>94516382.920000002</v>
      </c>
      <c r="E1588" s="170">
        <f t="shared" si="362"/>
        <v>877370.40000000596</v>
      </c>
      <c r="G1588" s="173">
        <f t="shared" si="392"/>
        <v>2837306.3280000002</v>
      </c>
      <c r="H1588" s="1392">
        <f>5074989.33+0</f>
        <v>5074989.33</v>
      </c>
      <c r="I1588" s="171">
        <f t="shared" si="382"/>
        <v>2237683.0019999999</v>
      </c>
      <c r="J1588" s="170">
        <f t="shared" si="383"/>
        <v>3115053.4020000058</v>
      </c>
    </row>
    <row r="1589" spans="2:10" ht="12.65" customHeight="1">
      <c r="B1589" s="33">
        <f t="shared" si="390"/>
        <v>45295</v>
      </c>
      <c r="C1589" s="41">
        <f t="shared" si="391"/>
        <v>93639012.519999996</v>
      </c>
      <c r="D1589" s="47">
        <f t="shared" ref="D1589:D1593" si="393">94435215.64+81167.28</f>
        <v>94516382.920000002</v>
      </c>
      <c r="E1589" s="170">
        <f t="shared" ref="E1589:E1654" si="394">D1589-C1589</f>
        <v>877370.40000000596</v>
      </c>
      <c r="G1589" s="173">
        <f t="shared" si="392"/>
        <v>2837306.3280000002</v>
      </c>
      <c r="H1589" s="47">
        <f>5074989.33</f>
        <v>5074989.33</v>
      </c>
      <c r="I1589" s="171">
        <f t="shared" si="382"/>
        <v>2237683.0019999999</v>
      </c>
      <c r="J1589" s="170">
        <f t="shared" si="383"/>
        <v>3115053.4020000058</v>
      </c>
    </row>
    <row r="1590" spans="2:10" ht="12.65" customHeight="1">
      <c r="B1590" s="33">
        <f t="shared" si="390"/>
        <v>45296</v>
      </c>
      <c r="C1590" s="41">
        <f t="shared" si="391"/>
        <v>93639012.519999996</v>
      </c>
      <c r="D1590" s="47">
        <f t="shared" si="393"/>
        <v>94516382.920000002</v>
      </c>
      <c r="E1590" s="170">
        <f t="shared" si="394"/>
        <v>877370.40000000596</v>
      </c>
      <c r="G1590" s="173">
        <f t="shared" si="392"/>
        <v>2837306.3280000002</v>
      </c>
      <c r="H1590" s="47">
        <f>2965000.33</f>
        <v>2965000.33</v>
      </c>
      <c r="I1590" s="171">
        <f t="shared" si="382"/>
        <v>127694.00199999986</v>
      </c>
      <c r="J1590" s="170">
        <f t="shared" si="383"/>
        <v>1005064.4020000058</v>
      </c>
    </row>
    <row r="1591" spans="2:10" ht="12.65" customHeight="1">
      <c r="B1591" s="33">
        <f t="shared" si="390"/>
        <v>45299</v>
      </c>
      <c r="C1591" s="41">
        <f t="shared" si="391"/>
        <v>93639012.519999996</v>
      </c>
      <c r="D1591" s="47">
        <f t="shared" si="393"/>
        <v>94516382.920000002</v>
      </c>
      <c r="E1591" s="170">
        <f t="shared" si="394"/>
        <v>877370.40000000596</v>
      </c>
      <c r="G1591" s="173">
        <f t="shared" si="392"/>
        <v>2837306.3280000002</v>
      </c>
      <c r="H1591" s="47">
        <f t="shared" ref="H1591:H1597" si="395">2965000.33+0</f>
        <v>2965000.33</v>
      </c>
      <c r="I1591" s="171">
        <f t="shared" si="382"/>
        <v>127694.00199999986</v>
      </c>
      <c r="J1591" s="170">
        <f t="shared" si="383"/>
        <v>1005064.4020000058</v>
      </c>
    </row>
    <row r="1592" spans="2:10" ht="12.65" customHeight="1">
      <c r="B1592" s="33">
        <f t="shared" si="390"/>
        <v>45300</v>
      </c>
      <c r="C1592" s="41">
        <f t="shared" si="391"/>
        <v>93639012.519999996</v>
      </c>
      <c r="D1592" s="47">
        <f t="shared" si="393"/>
        <v>94516382.920000002</v>
      </c>
      <c r="E1592" s="170">
        <f t="shared" si="394"/>
        <v>877370.40000000596</v>
      </c>
      <c r="G1592" s="173">
        <f t="shared" si="392"/>
        <v>2837306.3280000002</v>
      </c>
      <c r="H1592" s="47">
        <f t="shared" si="395"/>
        <v>2965000.33</v>
      </c>
      <c r="I1592" s="171">
        <f t="shared" si="382"/>
        <v>127694.00199999986</v>
      </c>
      <c r="J1592" s="170">
        <f t="shared" si="383"/>
        <v>1005064.4020000058</v>
      </c>
    </row>
    <row r="1593" spans="2:10" ht="12.65" customHeight="1">
      <c r="B1593" s="33">
        <f t="shared" si="390"/>
        <v>45301</v>
      </c>
      <c r="C1593" s="41">
        <f t="shared" si="391"/>
        <v>93639012.519999996</v>
      </c>
      <c r="D1593" s="47">
        <f t="shared" si="393"/>
        <v>94516382.920000002</v>
      </c>
      <c r="E1593" s="170">
        <f t="shared" si="394"/>
        <v>877370.40000000596</v>
      </c>
      <c r="G1593" s="173">
        <f t="shared" si="392"/>
        <v>2837306.3280000002</v>
      </c>
      <c r="H1593" s="47">
        <f t="shared" si="395"/>
        <v>2965000.33</v>
      </c>
      <c r="I1593" s="171">
        <f t="shared" si="382"/>
        <v>127694.00199999986</v>
      </c>
      <c r="J1593" s="170">
        <f t="shared" si="383"/>
        <v>1005064.4020000058</v>
      </c>
    </row>
    <row r="1594" spans="2:10" ht="12.65" customHeight="1">
      <c r="B1594" s="33">
        <f t="shared" si="390"/>
        <v>45302</v>
      </c>
      <c r="C1594" s="41">
        <f t="shared" si="391"/>
        <v>93639012.519999996</v>
      </c>
      <c r="D1594" s="47">
        <f>94435215.64+81167.28</f>
        <v>94516382.920000002</v>
      </c>
      <c r="E1594" s="170">
        <f t="shared" si="394"/>
        <v>877370.40000000596</v>
      </c>
      <c r="G1594" s="173">
        <f t="shared" si="392"/>
        <v>2837306.3280000002</v>
      </c>
      <c r="H1594" s="47">
        <f t="shared" si="395"/>
        <v>2965000.33</v>
      </c>
      <c r="I1594" s="171">
        <f t="shared" si="382"/>
        <v>127694.00199999986</v>
      </c>
      <c r="J1594" s="170">
        <f t="shared" si="383"/>
        <v>1005064.4020000058</v>
      </c>
    </row>
    <row r="1595" spans="2:10" ht="12.65" customHeight="1">
      <c r="B1595" s="33">
        <f t="shared" si="390"/>
        <v>45303</v>
      </c>
      <c r="C1595" s="41">
        <f t="shared" si="391"/>
        <v>93639012.519999996</v>
      </c>
      <c r="D1595" s="47">
        <f>94435215.64+81167.28</f>
        <v>94516382.920000002</v>
      </c>
      <c r="E1595" s="170">
        <f t="shared" si="394"/>
        <v>877370.40000000596</v>
      </c>
      <c r="G1595" s="173">
        <f t="shared" si="392"/>
        <v>2837306.3280000002</v>
      </c>
      <c r="H1595" s="47">
        <f t="shared" si="395"/>
        <v>2965000.33</v>
      </c>
      <c r="I1595" s="171">
        <f t="shared" si="382"/>
        <v>127694.00199999986</v>
      </c>
      <c r="J1595" s="170">
        <f t="shared" si="383"/>
        <v>1005064.4020000058</v>
      </c>
    </row>
    <row r="1596" spans="2:10" ht="12.65" customHeight="1">
      <c r="B1596" s="33">
        <f t="shared" si="390"/>
        <v>45306</v>
      </c>
      <c r="C1596" s="41">
        <f t="shared" si="391"/>
        <v>93639012.519999996</v>
      </c>
      <c r="D1596" s="47">
        <f>94435215.64+81167.28</f>
        <v>94516382.920000002</v>
      </c>
      <c r="E1596" s="170">
        <f t="shared" si="394"/>
        <v>877370.40000000596</v>
      </c>
      <c r="G1596" s="173">
        <f t="shared" si="392"/>
        <v>2837306.3280000002</v>
      </c>
      <c r="H1596" s="47">
        <f t="shared" si="395"/>
        <v>2965000.33</v>
      </c>
      <c r="I1596" s="171">
        <f t="shared" si="382"/>
        <v>127694.00199999986</v>
      </c>
      <c r="J1596" s="170">
        <f t="shared" si="383"/>
        <v>1005064.4020000058</v>
      </c>
    </row>
    <row r="1597" spans="2:10" ht="12.65" customHeight="1">
      <c r="B1597" s="33">
        <f t="shared" si="390"/>
        <v>45307</v>
      </c>
      <c r="C1597" s="41">
        <f>96123016.74</f>
        <v>96123016.739999995</v>
      </c>
      <c r="D1597" s="47">
        <f>96945400.64+81167.28</f>
        <v>97026567.920000002</v>
      </c>
      <c r="E1597" s="170">
        <f t="shared" si="394"/>
        <v>903551.18000000715</v>
      </c>
      <c r="G1597" s="173">
        <f>2833497.419375</f>
        <v>2833497.4193750001</v>
      </c>
      <c r="H1597" s="47">
        <f t="shared" si="395"/>
        <v>2965000.33</v>
      </c>
      <c r="I1597" s="171">
        <f t="shared" si="382"/>
        <v>131502.91062500002</v>
      </c>
      <c r="J1597" s="170">
        <f t="shared" si="383"/>
        <v>1035054.0906250072</v>
      </c>
    </row>
    <row r="1598" spans="2:10" ht="12.65" customHeight="1">
      <c r="B1598" s="33">
        <f t="shared" si="390"/>
        <v>45308</v>
      </c>
      <c r="C1598" s="41">
        <f t="shared" ref="C1598:C1608" si="396">96123016.74</f>
        <v>96123016.739999995</v>
      </c>
      <c r="D1598" s="47">
        <f>81167.28+96945400.64</f>
        <v>97026567.920000002</v>
      </c>
      <c r="E1598" s="170">
        <f t="shared" si="394"/>
        <v>903551.18000000715</v>
      </c>
      <c r="G1598" s="173">
        <f t="shared" ref="G1598:G1608" si="397">2833497.419375</f>
        <v>2833497.4193750001</v>
      </c>
      <c r="H1598" s="47">
        <f t="shared" ref="H1598:H1605" si="398">0+2965000.33</f>
        <v>2965000.33</v>
      </c>
      <c r="I1598" s="171">
        <f t="shared" si="382"/>
        <v>131502.91062500002</v>
      </c>
      <c r="J1598" s="170">
        <f t="shared" si="383"/>
        <v>1035054.0906250072</v>
      </c>
    </row>
    <row r="1599" spans="2:10" ht="12.65" customHeight="1">
      <c r="B1599" s="33">
        <f t="shared" si="390"/>
        <v>45309</v>
      </c>
      <c r="C1599" s="41">
        <f t="shared" si="396"/>
        <v>96123016.739999995</v>
      </c>
      <c r="D1599" s="47">
        <f t="shared" ref="D1599:D1603" si="399">81167.28+96935215.64</f>
        <v>97016382.920000002</v>
      </c>
      <c r="E1599" s="170">
        <f t="shared" si="394"/>
        <v>893366.18000000715</v>
      </c>
      <c r="G1599" s="173">
        <f t="shared" si="397"/>
        <v>2833497.4193750001</v>
      </c>
      <c r="H1599" s="47">
        <f t="shared" si="398"/>
        <v>2965000.33</v>
      </c>
      <c r="I1599" s="171">
        <f t="shared" si="382"/>
        <v>131502.91062500002</v>
      </c>
      <c r="J1599" s="170">
        <f t="shared" si="383"/>
        <v>1024869.0906250072</v>
      </c>
    </row>
    <row r="1600" spans="2:10" ht="12.65" customHeight="1">
      <c r="B1600" s="33">
        <f t="shared" si="390"/>
        <v>45310</v>
      </c>
      <c r="C1600" s="41">
        <f t="shared" si="396"/>
        <v>96123016.739999995</v>
      </c>
      <c r="D1600" s="47">
        <f t="shared" si="399"/>
        <v>97016382.920000002</v>
      </c>
      <c r="E1600" s="170">
        <f t="shared" si="394"/>
        <v>893366.18000000715</v>
      </c>
      <c r="G1600" s="173">
        <f t="shared" si="397"/>
        <v>2833497.4193750001</v>
      </c>
      <c r="H1600" s="47">
        <f t="shared" si="398"/>
        <v>2965000.33</v>
      </c>
      <c r="I1600" s="171">
        <f t="shared" si="382"/>
        <v>131502.91062500002</v>
      </c>
      <c r="J1600" s="170">
        <f t="shared" si="383"/>
        <v>1024869.0906250072</v>
      </c>
    </row>
    <row r="1601" spans="2:10" ht="12.65" customHeight="1">
      <c r="B1601" s="33">
        <f t="shared" si="390"/>
        <v>45313</v>
      </c>
      <c r="C1601" s="41">
        <f t="shared" si="396"/>
        <v>96123016.739999995</v>
      </c>
      <c r="D1601" s="47">
        <f t="shared" si="399"/>
        <v>97016382.920000002</v>
      </c>
      <c r="E1601" s="170">
        <f t="shared" si="394"/>
        <v>893366.18000000715</v>
      </c>
      <c r="G1601" s="173">
        <f t="shared" si="397"/>
        <v>2833497.4193750001</v>
      </c>
      <c r="H1601" s="47">
        <f t="shared" si="398"/>
        <v>2965000.33</v>
      </c>
      <c r="I1601" s="171">
        <f t="shared" si="382"/>
        <v>131502.91062500002</v>
      </c>
      <c r="J1601" s="170">
        <f t="shared" si="383"/>
        <v>1024869.0906250072</v>
      </c>
    </row>
    <row r="1602" spans="2:10" ht="12.65" customHeight="1">
      <c r="B1602" s="33">
        <f t="shared" si="390"/>
        <v>45314</v>
      </c>
      <c r="C1602" s="41">
        <f t="shared" si="396"/>
        <v>96123016.739999995</v>
      </c>
      <c r="D1602" s="47">
        <f t="shared" si="399"/>
        <v>97016382.920000002</v>
      </c>
      <c r="E1602" s="170">
        <f t="shared" si="394"/>
        <v>893366.18000000715</v>
      </c>
      <c r="G1602" s="173">
        <f t="shared" si="397"/>
        <v>2833497.4193750001</v>
      </c>
      <c r="H1602" s="47">
        <f t="shared" si="398"/>
        <v>2965000.33</v>
      </c>
      <c r="I1602" s="171">
        <f t="shared" si="382"/>
        <v>131502.91062500002</v>
      </c>
      <c r="J1602" s="170">
        <f t="shared" si="383"/>
        <v>1024869.0906250072</v>
      </c>
    </row>
    <row r="1603" spans="2:10" ht="12.65" customHeight="1">
      <c r="B1603" s="33">
        <f t="shared" si="390"/>
        <v>45315</v>
      </c>
      <c r="C1603" s="41">
        <f t="shared" si="396"/>
        <v>96123016.739999995</v>
      </c>
      <c r="D1603" s="47">
        <f t="shared" si="399"/>
        <v>97016382.920000002</v>
      </c>
      <c r="E1603" s="170">
        <f t="shared" si="394"/>
        <v>893366.18000000715</v>
      </c>
      <c r="G1603" s="173">
        <f t="shared" si="397"/>
        <v>2833497.4193750001</v>
      </c>
      <c r="H1603" s="47">
        <f t="shared" si="398"/>
        <v>2965000.33</v>
      </c>
      <c r="I1603" s="171">
        <f t="shared" si="382"/>
        <v>131502.91062500002</v>
      </c>
      <c r="J1603" s="170">
        <f t="shared" si="383"/>
        <v>1024869.0906250072</v>
      </c>
    </row>
    <row r="1604" spans="2:10" ht="12.65" customHeight="1">
      <c r="B1604" s="33">
        <f t="shared" si="390"/>
        <v>45316</v>
      </c>
      <c r="C1604" s="41">
        <f t="shared" si="396"/>
        <v>96123016.739999995</v>
      </c>
      <c r="D1604" s="47">
        <f t="shared" ref="D1604:D1609" si="400">81167.28+96935215.64</f>
        <v>97016382.920000002</v>
      </c>
      <c r="E1604" s="170">
        <f t="shared" si="394"/>
        <v>893366.18000000715</v>
      </c>
      <c r="G1604" s="173">
        <f t="shared" si="397"/>
        <v>2833497.4193750001</v>
      </c>
      <c r="H1604" s="47">
        <f t="shared" si="398"/>
        <v>2965000.33</v>
      </c>
      <c r="I1604" s="171">
        <f t="shared" si="382"/>
        <v>131502.91062500002</v>
      </c>
      <c r="J1604" s="170">
        <f t="shared" si="383"/>
        <v>1024869.0906250072</v>
      </c>
    </row>
    <row r="1605" spans="2:10" ht="12.65" customHeight="1">
      <c r="B1605" s="33">
        <f t="shared" si="390"/>
        <v>45317</v>
      </c>
      <c r="C1605" s="41">
        <f t="shared" si="396"/>
        <v>96123016.739999995</v>
      </c>
      <c r="D1605" s="47">
        <f t="shared" si="400"/>
        <v>97016382.920000002</v>
      </c>
      <c r="E1605" s="170">
        <f t="shared" si="394"/>
        <v>893366.18000000715</v>
      </c>
      <c r="G1605" s="173">
        <f t="shared" si="397"/>
        <v>2833497.4193750001</v>
      </c>
      <c r="H1605" s="47">
        <f t="shared" si="398"/>
        <v>2965000.33</v>
      </c>
      <c r="I1605" s="171">
        <f t="shared" si="382"/>
        <v>131502.91062500002</v>
      </c>
      <c r="J1605" s="170">
        <f t="shared" si="383"/>
        <v>1024869.0906250072</v>
      </c>
    </row>
    <row r="1606" spans="2:10" ht="12.65" customHeight="1">
      <c r="B1606" s="33">
        <f t="shared" si="390"/>
        <v>45320</v>
      </c>
      <c r="C1606" s="41">
        <f t="shared" si="396"/>
        <v>96123016.739999995</v>
      </c>
      <c r="D1606" s="47">
        <f t="shared" si="400"/>
        <v>97016382.920000002</v>
      </c>
      <c r="E1606" s="170">
        <f t="shared" si="394"/>
        <v>893366.18000000715</v>
      </c>
      <c r="G1606" s="173">
        <f t="shared" si="397"/>
        <v>2833497.4193750001</v>
      </c>
      <c r="H1606" s="47">
        <f t="shared" ref="H1606:H1617" si="401">0+2965000.33</f>
        <v>2965000.33</v>
      </c>
      <c r="I1606" s="171">
        <f t="shared" si="382"/>
        <v>131502.91062500002</v>
      </c>
      <c r="J1606" s="170">
        <f t="shared" si="383"/>
        <v>1024869.0906250072</v>
      </c>
    </row>
    <row r="1607" spans="2:10" ht="12.65" customHeight="1">
      <c r="B1607" s="33">
        <f t="shared" si="390"/>
        <v>45321</v>
      </c>
      <c r="C1607" s="41">
        <f t="shared" si="396"/>
        <v>96123016.739999995</v>
      </c>
      <c r="D1607" s="47">
        <f t="shared" si="400"/>
        <v>97016382.920000002</v>
      </c>
      <c r="E1607" s="170">
        <f t="shared" si="394"/>
        <v>893366.18000000715</v>
      </c>
      <c r="G1607" s="173">
        <f t="shared" si="397"/>
        <v>2833497.4193750001</v>
      </c>
      <c r="H1607" s="47">
        <f t="shared" si="401"/>
        <v>2965000.33</v>
      </c>
      <c r="I1607" s="171">
        <f t="shared" si="382"/>
        <v>131502.91062500002</v>
      </c>
      <c r="J1607" s="170">
        <f t="shared" si="383"/>
        <v>1024869.0906250072</v>
      </c>
    </row>
    <row r="1608" spans="2:10" ht="12.65" customHeight="1">
      <c r="B1608" s="33">
        <f t="shared" si="390"/>
        <v>45322</v>
      </c>
      <c r="C1608" s="41">
        <f t="shared" si="396"/>
        <v>96123016.739999995</v>
      </c>
      <c r="D1608" s="47">
        <f t="shared" si="400"/>
        <v>97016382.920000002</v>
      </c>
      <c r="E1608" s="170">
        <f t="shared" si="394"/>
        <v>893366.18000000715</v>
      </c>
      <c r="G1608" s="173">
        <f t="shared" si="397"/>
        <v>2833497.4193750001</v>
      </c>
      <c r="H1608" s="47">
        <f t="shared" si="401"/>
        <v>2965000.33</v>
      </c>
      <c r="I1608" s="171">
        <f t="shared" si="382"/>
        <v>131502.91062500002</v>
      </c>
      <c r="J1608" s="170">
        <f t="shared" si="383"/>
        <v>1024869.0906250072</v>
      </c>
    </row>
    <row r="1609" spans="2:10" ht="12.65" customHeight="1">
      <c r="B1609" s="33">
        <f t="shared" si="390"/>
        <v>45323</v>
      </c>
      <c r="C1609" s="41">
        <f>95400776.024</f>
        <v>95400776.024000004</v>
      </c>
      <c r="D1609" s="47">
        <f t="shared" si="400"/>
        <v>97016382.920000002</v>
      </c>
      <c r="E1609" s="170">
        <f t="shared" si="394"/>
        <v>1615606.8959999979</v>
      </c>
      <c r="G1609" s="173">
        <f>2839131.94466667</f>
        <v>2839131.9446666702</v>
      </c>
      <c r="H1609" s="47">
        <f t="shared" si="401"/>
        <v>2965000.33</v>
      </c>
      <c r="I1609" s="171">
        <f t="shared" si="382"/>
        <v>125868.3853333299</v>
      </c>
      <c r="J1609" s="170">
        <f t="shared" si="383"/>
        <v>1741475.2813333278</v>
      </c>
    </row>
    <row r="1610" spans="2:10" ht="12.65" customHeight="1">
      <c r="B1610" s="33">
        <f t="shared" si="390"/>
        <v>45324</v>
      </c>
      <c r="C1610" s="41">
        <f t="shared" ref="C1610:C1618" si="402">95400776.024</f>
        <v>95400776.024000004</v>
      </c>
      <c r="D1610" s="47">
        <f>81167.28+96135215.64</f>
        <v>96216382.920000002</v>
      </c>
      <c r="E1610" s="170">
        <f t="shared" si="394"/>
        <v>815606.89599999785</v>
      </c>
      <c r="G1610" s="173">
        <f t="shared" ref="G1610:G1618" si="403">2839131.94466667</f>
        <v>2839131.9446666702</v>
      </c>
      <c r="H1610" s="47">
        <f t="shared" si="401"/>
        <v>2965000.33</v>
      </c>
      <c r="I1610" s="171">
        <f t="shared" si="382"/>
        <v>125868.3853333299</v>
      </c>
      <c r="J1610" s="170">
        <f t="shared" si="383"/>
        <v>941475.28133332776</v>
      </c>
    </row>
    <row r="1611" spans="2:10" ht="12.65" customHeight="1">
      <c r="B1611" s="33">
        <f t="shared" si="390"/>
        <v>45327</v>
      </c>
      <c r="C1611" s="41">
        <f t="shared" si="402"/>
        <v>95400776.024000004</v>
      </c>
      <c r="D1611" s="47">
        <f>81167.28+96135215.64</f>
        <v>96216382.920000002</v>
      </c>
      <c r="E1611" s="170">
        <f t="shared" si="394"/>
        <v>815606.89599999785</v>
      </c>
      <c r="G1611" s="173">
        <f t="shared" si="403"/>
        <v>2839131.9446666702</v>
      </c>
      <c r="H1611" s="47">
        <f t="shared" si="401"/>
        <v>2965000.33</v>
      </c>
      <c r="I1611" s="171">
        <f t="shared" si="382"/>
        <v>125868.3853333299</v>
      </c>
      <c r="J1611" s="170">
        <f t="shared" si="383"/>
        <v>941475.28133332776</v>
      </c>
    </row>
    <row r="1612" spans="2:10" ht="12.65" customHeight="1">
      <c r="B1612" s="33">
        <f t="shared" si="390"/>
        <v>45328</v>
      </c>
      <c r="C1612" s="41">
        <f t="shared" si="402"/>
        <v>95400776.024000004</v>
      </c>
      <c r="D1612" s="47">
        <f>81167.28+96135215.64</f>
        <v>96216382.920000002</v>
      </c>
      <c r="E1612" s="170">
        <f t="shared" si="394"/>
        <v>815606.89599999785</v>
      </c>
      <c r="G1612" s="173">
        <f t="shared" si="403"/>
        <v>2839131.9446666702</v>
      </c>
      <c r="H1612" s="47">
        <f t="shared" si="401"/>
        <v>2965000.33</v>
      </c>
      <c r="I1612" s="171">
        <f t="shared" si="382"/>
        <v>125868.3853333299</v>
      </c>
      <c r="J1612" s="170">
        <f t="shared" si="383"/>
        <v>941475.28133332776</v>
      </c>
    </row>
    <row r="1613" spans="2:10" ht="12.65" customHeight="1">
      <c r="B1613" s="33">
        <f t="shared" si="390"/>
        <v>45329</v>
      </c>
      <c r="C1613" s="41">
        <f t="shared" si="402"/>
        <v>95400776.024000004</v>
      </c>
      <c r="D1613" s="47">
        <f>5081167.28+96135215.64</f>
        <v>101216382.92</v>
      </c>
      <c r="E1613" s="170">
        <f t="shared" si="394"/>
        <v>5815606.8959999979</v>
      </c>
      <c r="G1613" s="173">
        <f t="shared" si="403"/>
        <v>2839131.9446666702</v>
      </c>
      <c r="H1613" s="47">
        <f t="shared" si="401"/>
        <v>2965000.33</v>
      </c>
      <c r="I1613" s="171">
        <f t="shared" si="382"/>
        <v>125868.3853333299</v>
      </c>
      <c r="J1613" s="170">
        <f t="shared" si="383"/>
        <v>5941475.2813333273</v>
      </c>
    </row>
    <row r="1614" spans="2:10" s="1385" customFormat="1" ht="12.65" customHeight="1">
      <c r="B1614" s="1377">
        <f>WORKDAY(B1613,2)</f>
        <v>45331</v>
      </c>
      <c r="C1614" s="1386">
        <f t="shared" si="402"/>
        <v>95400776.024000004</v>
      </c>
      <c r="D1614" s="1387">
        <f>5081167.28+96135215.64</f>
        <v>101216382.92</v>
      </c>
      <c r="E1614" s="1388">
        <f t="shared" si="394"/>
        <v>5815606.8959999979</v>
      </c>
      <c r="F1614" s="1389"/>
      <c r="G1614" s="1390">
        <f t="shared" si="403"/>
        <v>2839131.9446666702</v>
      </c>
      <c r="H1614" s="1387">
        <f t="shared" si="401"/>
        <v>2965000.33</v>
      </c>
      <c r="I1614" s="1391">
        <f t="shared" si="382"/>
        <v>125868.3853333299</v>
      </c>
      <c r="J1614" s="1388">
        <f t="shared" si="383"/>
        <v>5941475.2813333273</v>
      </c>
    </row>
    <row r="1615" spans="2:10" ht="12.65" customHeight="1">
      <c r="B1615" s="33">
        <f t="shared" si="390"/>
        <v>45334</v>
      </c>
      <c r="C1615" s="41">
        <f t="shared" si="402"/>
        <v>95400776.024000004</v>
      </c>
      <c r="D1615" s="1392">
        <f t="shared" ref="D1615:D1619" si="404">104722.45+96135215.64</f>
        <v>96239938.090000004</v>
      </c>
      <c r="E1615" s="170">
        <f t="shared" si="394"/>
        <v>839162.06599999964</v>
      </c>
      <c r="G1615" s="173">
        <f t="shared" si="403"/>
        <v>2839131.9446666702</v>
      </c>
      <c r="H1615" s="1392">
        <f t="shared" si="401"/>
        <v>2965000.33</v>
      </c>
      <c r="I1615" s="171">
        <f t="shared" si="382"/>
        <v>125868.3853333299</v>
      </c>
      <c r="J1615" s="170">
        <f t="shared" si="383"/>
        <v>965030.45133332955</v>
      </c>
    </row>
    <row r="1616" spans="2:10" ht="12.65" customHeight="1">
      <c r="B1616" s="33">
        <f t="shared" si="390"/>
        <v>45335</v>
      </c>
      <c r="C1616" s="41">
        <f t="shared" si="402"/>
        <v>95400776.024000004</v>
      </c>
      <c r="D1616" s="1392">
        <f t="shared" si="404"/>
        <v>96239938.090000004</v>
      </c>
      <c r="E1616" s="170">
        <f t="shared" si="394"/>
        <v>839162.06599999964</v>
      </c>
      <c r="G1616" s="173">
        <f t="shared" si="403"/>
        <v>2839131.9446666702</v>
      </c>
      <c r="H1616" s="1392">
        <f t="shared" si="401"/>
        <v>2965000.33</v>
      </c>
      <c r="I1616" s="171">
        <f t="shared" si="382"/>
        <v>125868.3853333299</v>
      </c>
      <c r="J1616" s="170">
        <f t="shared" si="383"/>
        <v>965030.45133332955</v>
      </c>
    </row>
    <row r="1617" spans="2:10" ht="12.65" customHeight="1">
      <c r="B1617" s="1377">
        <f t="shared" si="390"/>
        <v>45336</v>
      </c>
      <c r="C1617" s="1386">
        <f t="shared" si="402"/>
        <v>95400776.024000004</v>
      </c>
      <c r="D1617" s="1387">
        <f t="shared" si="404"/>
        <v>96239938.090000004</v>
      </c>
      <c r="E1617" s="1388">
        <f t="shared" si="394"/>
        <v>839162.06599999964</v>
      </c>
      <c r="F1617" s="1389"/>
      <c r="G1617" s="1390">
        <f t="shared" si="403"/>
        <v>2839131.9446666702</v>
      </c>
      <c r="H1617" s="1387">
        <f t="shared" si="401"/>
        <v>2965000.33</v>
      </c>
      <c r="I1617" s="1391">
        <f t="shared" si="382"/>
        <v>125868.3853333299</v>
      </c>
      <c r="J1617" s="1388">
        <f t="shared" si="383"/>
        <v>965030.45133332955</v>
      </c>
    </row>
    <row r="1618" spans="2:10" ht="12.65" customHeight="1">
      <c r="B1618" s="33">
        <f t="shared" si="390"/>
        <v>45337</v>
      </c>
      <c r="C1618" s="41">
        <f t="shared" si="402"/>
        <v>95400776.024000004</v>
      </c>
      <c r="D1618" s="1392">
        <f t="shared" si="404"/>
        <v>96239938.090000004</v>
      </c>
      <c r="E1618" s="170">
        <f t="shared" si="394"/>
        <v>839162.06599999964</v>
      </c>
      <c r="G1618" s="173">
        <f t="shared" si="403"/>
        <v>2839131.9446666702</v>
      </c>
      <c r="H1618" s="1392">
        <f t="shared" ref="H1618:H1623" si="405">0+3115000.33</f>
        <v>3115000.33</v>
      </c>
      <c r="I1618" s="171">
        <f t="shared" si="382"/>
        <v>275868.3853333299</v>
      </c>
      <c r="J1618" s="170">
        <f t="shared" si="383"/>
        <v>1115030.4513333295</v>
      </c>
    </row>
    <row r="1619" spans="2:10" ht="12.65" customHeight="1">
      <c r="B1619" s="33">
        <f t="shared" si="390"/>
        <v>45338</v>
      </c>
      <c r="C1619" s="41">
        <f>94082656.165</f>
        <v>94082656.165000007</v>
      </c>
      <c r="D1619" s="1392">
        <f t="shared" si="404"/>
        <v>96239938.090000004</v>
      </c>
      <c r="E1619" s="170">
        <f t="shared" si="394"/>
        <v>2157281.924999997</v>
      </c>
      <c r="G1619" s="173">
        <f>2981536.80928109</f>
        <v>2981536.8092810898</v>
      </c>
      <c r="H1619" s="1392">
        <f t="shared" si="405"/>
        <v>3115000.33</v>
      </c>
      <c r="I1619" s="171">
        <f t="shared" si="382"/>
        <v>133463.52071891027</v>
      </c>
      <c r="J1619" s="170">
        <f t="shared" si="383"/>
        <v>2290745.4457189073</v>
      </c>
    </row>
    <row r="1620" spans="2:10" ht="12.65" customHeight="1">
      <c r="B1620" s="33">
        <f t="shared" si="390"/>
        <v>45341</v>
      </c>
      <c r="C1620" s="41">
        <f t="shared" ref="C1620:C1628" si="406">94082656.165</f>
        <v>94082656.165000007</v>
      </c>
      <c r="D1620" s="1392">
        <f>104722.45+96135215.64</f>
        <v>96239938.090000004</v>
      </c>
      <c r="E1620" s="170">
        <f t="shared" si="394"/>
        <v>2157281.924999997</v>
      </c>
      <c r="G1620" s="173">
        <f t="shared" ref="G1620:G1628" si="407">2981536.80928109</f>
        <v>2981536.8092810898</v>
      </c>
      <c r="H1620" s="1392">
        <f t="shared" si="405"/>
        <v>3115000.33</v>
      </c>
      <c r="I1620" s="171">
        <f t="shared" si="382"/>
        <v>133463.52071891027</v>
      </c>
      <c r="J1620" s="170">
        <f t="shared" si="383"/>
        <v>2290745.4457189073</v>
      </c>
    </row>
    <row r="1621" spans="2:10" ht="12.65" customHeight="1">
      <c r="B1621" s="33">
        <f t="shared" si="390"/>
        <v>45342</v>
      </c>
      <c r="C1621" s="41">
        <f t="shared" si="406"/>
        <v>94082656.165000007</v>
      </c>
      <c r="D1621" s="1392">
        <f>104722.45+94835215.64</f>
        <v>94939938.090000004</v>
      </c>
      <c r="E1621" s="170">
        <f t="shared" si="394"/>
        <v>857281.92499999702</v>
      </c>
      <c r="G1621" s="173">
        <f t="shared" si="407"/>
        <v>2981536.8092810898</v>
      </c>
      <c r="H1621" s="1392">
        <f t="shared" si="405"/>
        <v>3115000.33</v>
      </c>
      <c r="I1621" s="171">
        <f t="shared" si="382"/>
        <v>133463.52071891027</v>
      </c>
      <c r="J1621" s="170">
        <f t="shared" si="383"/>
        <v>990745.44571890729</v>
      </c>
    </row>
    <row r="1622" spans="2:10" ht="12.65" customHeight="1">
      <c r="B1622" s="33">
        <f t="shared" si="390"/>
        <v>45343</v>
      </c>
      <c r="C1622" s="41">
        <f t="shared" si="406"/>
        <v>94082656.165000007</v>
      </c>
      <c r="D1622" s="1392">
        <f>104722.45+94835215.64</f>
        <v>94939938.090000004</v>
      </c>
      <c r="E1622" s="170">
        <f t="shared" si="394"/>
        <v>857281.92499999702</v>
      </c>
      <c r="G1622" s="173">
        <f t="shared" si="407"/>
        <v>2981536.8092810898</v>
      </c>
      <c r="H1622" s="1392">
        <f t="shared" si="405"/>
        <v>3115000.33</v>
      </c>
      <c r="I1622" s="171">
        <f t="shared" si="382"/>
        <v>133463.52071891027</v>
      </c>
      <c r="J1622" s="170">
        <f t="shared" si="383"/>
        <v>990745.44571890729</v>
      </c>
    </row>
    <row r="1623" spans="2:10" ht="12.65" customHeight="1">
      <c r="B1623" s="33">
        <f t="shared" si="390"/>
        <v>45344</v>
      </c>
      <c r="C1623" s="41">
        <f t="shared" si="406"/>
        <v>94082656.165000007</v>
      </c>
      <c r="D1623" s="1392">
        <f t="shared" ref="D1623:D1628" si="408">145499.36+94835215.64</f>
        <v>94980715</v>
      </c>
      <c r="E1623" s="170">
        <f t="shared" si="394"/>
        <v>898058.83499999344</v>
      </c>
      <c r="G1623" s="173">
        <f t="shared" si="407"/>
        <v>2981536.8092810898</v>
      </c>
      <c r="H1623" s="1392">
        <f t="shared" si="405"/>
        <v>3115000.33</v>
      </c>
      <c r="I1623" s="171">
        <f t="shared" si="382"/>
        <v>133463.52071891027</v>
      </c>
      <c r="J1623" s="170">
        <f t="shared" si="383"/>
        <v>1031522.3557189037</v>
      </c>
    </row>
    <row r="1624" spans="2:10" ht="12.65" customHeight="1">
      <c r="B1624" s="33">
        <f t="shared" si="390"/>
        <v>45345</v>
      </c>
      <c r="C1624" s="41">
        <f t="shared" si="406"/>
        <v>94082656.165000007</v>
      </c>
      <c r="D1624" s="1392">
        <f t="shared" si="408"/>
        <v>94980715</v>
      </c>
      <c r="E1624" s="170">
        <f t="shared" si="394"/>
        <v>898058.83499999344</v>
      </c>
      <c r="G1624" s="173">
        <f t="shared" si="407"/>
        <v>2981536.8092810898</v>
      </c>
      <c r="H1624" s="1392">
        <f>0+3115000.33</f>
        <v>3115000.33</v>
      </c>
      <c r="I1624" s="171">
        <f t="shared" si="382"/>
        <v>133463.52071891027</v>
      </c>
      <c r="J1624" s="170">
        <f t="shared" si="383"/>
        <v>1031522.3557189037</v>
      </c>
    </row>
    <row r="1625" spans="2:10" ht="12.65" customHeight="1">
      <c r="B1625" s="33">
        <f t="shared" si="390"/>
        <v>45348</v>
      </c>
      <c r="C1625" s="41">
        <f t="shared" si="406"/>
        <v>94082656.165000007</v>
      </c>
      <c r="D1625" s="1392">
        <f t="shared" si="408"/>
        <v>94980715</v>
      </c>
      <c r="E1625" s="170">
        <f t="shared" si="394"/>
        <v>898058.83499999344</v>
      </c>
      <c r="G1625" s="173">
        <f t="shared" si="407"/>
        <v>2981536.8092810898</v>
      </c>
      <c r="H1625" s="1392">
        <f>0+3115000.33</f>
        <v>3115000.33</v>
      </c>
      <c r="I1625" s="171">
        <f t="shared" si="382"/>
        <v>133463.52071891027</v>
      </c>
      <c r="J1625" s="170">
        <f t="shared" si="383"/>
        <v>1031522.3557189037</v>
      </c>
    </row>
    <row r="1626" spans="2:10" ht="12.65" customHeight="1">
      <c r="B1626" s="33">
        <f t="shared" si="390"/>
        <v>45349</v>
      </c>
      <c r="C1626" s="41">
        <f t="shared" si="406"/>
        <v>94082656.165000007</v>
      </c>
      <c r="D1626" s="1392">
        <f t="shared" si="408"/>
        <v>94980715</v>
      </c>
      <c r="E1626" s="170">
        <f t="shared" si="394"/>
        <v>898058.83499999344</v>
      </c>
      <c r="G1626" s="173">
        <f t="shared" si="407"/>
        <v>2981536.8092810898</v>
      </c>
      <c r="H1626" s="1392">
        <f>0+3115000.33</f>
        <v>3115000.33</v>
      </c>
      <c r="I1626" s="171">
        <f t="shared" si="382"/>
        <v>133463.52071891027</v>
      </c>
      <c r="J1626" s="170">
        <f t="shared" si="383"/>
        <v>1031522.3557189037</v>
      </c>
    </row>
    <row r="1627" spans="2:10" ht="12.65" customHeight="1">
      <c r="B1627" s="33">
        <f t="shared" si="390"/>
        <v>45350</v>
      </c>
      <c r="C1627" s="41">
        <f t="shared" si="406"/>
        <v>94082656.165000007</v>
      </c>
      <c r="D1627" s="1392">
        <f t="shared" si="408"/>
        <v>94980715</v>
      </c>
      <c r="E1627" s="170">
        <f t="shared" si="394"/>
        <v>898058.83499999344</v>
      </c>
      <c r="G1627" s="173">
        <f t="shared" si="407"/>
        <v>2981536.8092810898</v>
      </c>
      <c r="H1627" s="1392">
        <f>0+3115000.33</f>
        <v>3115000.33</v>
      </c>
      <c r="I1627" s="171">
        <f t="shared" si="382"/>
        <v>133463.52071891027</v>
      </c>
      <c r="J1627" s="170">
        <f t="shared" si="383"/>
        <v>1031522.3557189037</v>
      </c>
    </row>
    <row r="1628" spans="2:10" ht="12.65" customHeight="1">
      <c r="B1628" s="33">
        <f t="shared" si="390"/>
        <v>45351</v>
      </c>
      <c r="C1628" s="41">
        <f t="shared" si="406"/>
        <v>94082656.165000007</v>
      </c>
      <c r="D1628" s="1392">
        <f t="shared" si="408"/>
        <v>94980715</v>
      </c>
      <c r="E1628" s="170">
        <f t="shared" si="394"/>
        <v>898058.83499999344</v>
      </c>
      <c r="G1628" s="173">
        <f t="shared" si="407"/>
        <v>2981536.8092810898</v>
      </c>
      <c r="H1628" s="1392">
        <f>0+3315000.3</f>
        <v>3315000.3</v>
      </c>
      <c r="I1628" s="171">
        <f t="shared" si="382"/>
        <v>333463.49071891</v>
      </c>
      <c r="J1628" s="170">
        <f t="shared" si="383"/>
        <v>1231522.3257189034</v>
      </c>
    </row>
    <row r="1629" spans="2:10" ht="12.65" customHeight="1">
      <c r="B1629" s="33">
        <f t="shared" si="390"/>
        <v>45352</v>
      </c>
      <c r="C1629" s="41">
        <f>97832139.288</f>
        <v>97832139.288000003</v>
      </c>
      <c r="D1629" s="1392">
        <f>145499.36+98535215.64</f>
        <v>98680715</v>
      </c>
      <c r="E1629" s="170">
        <f t="shared" si="394"/>
        <v>848575.7119999975</v>
      </c>
      <c r="G1629" s="173">
        <f>3180291.81</f>
        <v>3180291.81</v>
      </c>
      <c r="H1629" s="1392">
        <f t="shared" ref="H1629:H1635" si="409">0+3315000.33</f>
        <v>3315000.33</v>
      </c>
      <c r="I1629" s="171">
        <f t="shared" si="382"/>
        <v>134708.52000000002</v>
      </c>
      <c r="J1629" s="170">
        <f t="shared" si="383"/>
        <v>983284.23199999752</v>
      </c>
    </row>
    <row r="1630" spans="2:10" ht="12.65" customHeight="1">
      <c r="B1630" s="33">
        <f t="shared" si="390"/>
        <v>45355</v>
      </c>
      <c r="C1630" s="41">
        <f t="shared" ref="C1630:C1638" si="410">97832139.288</f>
        <v>97832139.288000003</v>
      </c>
      <c r="D1630" s="1392">
        <f>145499.36+101797715.64</f>
        <v>101943215</v>
      </c>
      <c r="E1630" s="170">
        <f t="shared" si="394"/>
        <v>4111075.7119999975</v>
      </c>
      <c r="G1630" s="173">
        <f t="shared" ref="G1630:G1638" si="411">3180291.81</f>
        <v>3180291.81</v>
      </c>
      <c r="H1630" s="1392">
        <f t="shared" si="409"/>
        <v>3315000.33</v>
      </c>
      <c r="I1630" s="171">
        <f t="shared" ref="I1630:I1693" si="412">H1630-G1630</f>
        <v>134708.52000000002</v>
      </c>
      <c r="J1630" s="170">
        <f t="shared" ref="J1630:J1693" si="413">E1630+I1630</f>
        <v>4245784.231999997</v>
      </c>
    </row>
    <row r="1631" spans="2:10" ht="12.65" customHeight="1">
      <c r="B1631" s="33">
        <f t="shared" si="390"/>
        <v>45356</v>
      </c>
      <c r="C1631" s="41">
        <f t="shared" si="410"/>
        <v>97832139.288000003</v>
      </c>
      <c r="D1631" s="1392">
        <f>145499.36+101797715.64</f>
        <v>101943215</v>
      </c>
      <c r="E1631" s="170">
        <f t="shared" si="394"/>
        <v>4111075.7119999975</v>
      </c>
      <c r="G1631" s="173">
        <f t="shared" si="411"/>
        <v>3180291.81</v>
      </c>
      <c r="H1631" s="1392">
        <f t="shared" si="409"/>
        <v>3315000.33</v>
      </c>
      <c r="I1631" s="171">
        <f t="shared" si="412"/>
        <v>134708.52000000002</v>
      </c>
      <c r="J1631" s="170">
        <f t="shared" si="413"/>
        <v>4245784.231999997</v>
      </c>
    </row>
    <row r="1632" spans="2:10" ht="12.65" customHeight="1">
      <c r="B1632" s="33">
        <f t="shared" si="390"/>
        <v>45357</v>
      </c>
      <c r="C1632" s="41">
        <f t="shared" si="410"/>
        <v>97832139.288000003</v>
      </c>
      <c r="D1632" s="1392">
        <f>145499.36+98535215.64</f>
        <v>98680715</v>
      </c>
      <c r="E1632" s="170">
        <f t="shared" si="394"/>
        <v>848575.7119999975</v>
      </c>
      <c r="G1632" s="173">
        <f t="shared" si="411"/>
        <v>3180291.81</v>
      </c>
      <c r="H1632" s="1392">
        <f t="shared" si="409"/>
        <v>3315000.33</v>
      </c>
      <c r="I1632" s="171">
        <f t="shared" si="412"/>
        <v>134708.52000000002</v>
      </c>
      <c r="J1632" s="170">
        <f t="shared" si="413"/>
        <v>983284.23199999752</v>
      </c>
    </row>
    <row r="1633" spans="2:10" ht="12.65" customHeight="1">
      <c r="B1633" s="33">
        <f t="shared" si="390"/>
        <v>45358</v>
      </c>
      <c r="C1633" s="41">
        <f t="shared" si="410"/>
        <v>97832139.288000003</v>
      </c>
      <c r="D1633" s="1392">
        <f>332932.07+98535215.64</f>
        <v>98868147.709999993</v>
      </c>
      <c r="E1633" s="170">
        <f t="shared" si="394"/>
        <v>1036008.4219999909</v>
      </c>
      <c r="G1633" s="173">
        <f t="shared" si="411"/>
        <v>3180291.81</v>
      </c>
      <c r="H1633" s="1392">
        <f t="shared" si="409"/>
        <v>3315000.33</v>
      </c>
      <c r="I1633" s="171">
        <f t="shared" si="412"/>
        <v>134708.52000000002</v>
      </c>
      <c r="J1633" s="170">
        <f t="shared" si="413"/>
        <v>1170716.941999991</v>
      </c>
    </row>
    <row r="1634" spans="2:10" ht="12.65" customHeight="1">
      <c r="B1634" s="33">
        <f t="shared" si="390"/>
        <v>45359</v>
      </c>
      <c r="C1634" s="41">
        <f t="shared" si="410"/>
        <v>97832139.288000003</v>
      </c>
      <c r="D1634" s="47">
        <f>332932.07+98535215.64</f>
        <v>98868147.709999993</v>
      </c>
      <c r="E1634" s="170">
        <f t="shared" si="394"/>
        <v>1036008.4219999909</v>
      </c>
      <c r="G1634" s="173">
        <f t="shared" si="411"/>
        <v>3180291.81</v>
      </c>
      <c r="H1634" s="1392">
        <f t="shared" si="409"/>
        <v>3315000.33</v>
      </c>
      <c r="I1634" s="171">
        <f t="shared" si="412"/>
        <v>134708.52000000002</v>
      </c>
      <c r="J1634" s="170">
        <f t="shared" si="413"/>
        <v>1170716.941999991</v>
      </c>
    </row>
    <row r="1635" spans="2:10" s="1385" customFormat="1" ht="12.65" customHeight="1">
      <c r="B1635" s="1377">
        <f>WORKDAY(B1634,2)</f>
        <v>45363</v>
      </c>
      <c r="C1635" s="1386">
        <f t="shared" si="410"/>
        <v>97832139.288000003</v>
      </c>
      <c r="D1635" s="1387">
        <f>332932.07+98535215.64</f>
        <v>98868147.709999993</v>
      </c>
      <c r="E1635" s="1388">
        <f t="shared" si="394"/>
        <v>1036008.4219999909</v>
      </c>
      <c r="F1635" s="1389"/>
      <c r="G1635" s="1390">
        <f t="shared" si="411"/>
        <v>3180291.81</v>
      </c>
      <c r="H1635" s="1387">
        <f t="shared" si="409"/>
        <v>3315000.33</v>
      </c>
      <c r="I1635" s="1391">
        <f t="shared" si="412"/>
        <v>134708.52000000002</v>
      </c>
      <c r="J1635" s="1388">
        <f t="shared" si="413"/>
        <v>1170716.941999991</v>
      </c>
    </row>
    <row r="1636" spans="2:10" ht="12.65" customHeight="1">
      <c r="B1636" s="33">
        <f t="shared" si="390"/>
        <v>45364</v>
      </c>
      <c r="C1636" s="41">
        <f t="shared" si="410"/>
        <v>97832139.288000003</v>
      </c>
      <c r="D1636" s="47">
        <f>332932.07+103535215.64</f>
        <v>103868147.70999999</v>
      </c>
      <c r="E1636" s="170">
        <f t="shared" si="394"/>
        <v>6036008.4219999909</v>
      </c>
      <c r="G1636" s="173">
        <f t="shared" si="411"/>
        <v>3180291.81</v>
      </c>
      <c r="H1636" s="47">
        <f t="shared" ref="H1636:H1643" si="414">3315000.33+0</f>
        <v>3315000.33</v>
      </c>
      <c r="I1636" s="171">
        <f t="shared" si="412"/>
        <v>134708.52000000002</v>
      </c>
      <c r="J1636" s="170">
        <f t="shared" si="413"/>
        <v>6170716.9419999905</v>
      </c>
    </row>
    <row r="1637" spans="2:10" ht="12.65" customHeight="1">
      <c r="B1637" s="33">
        <f t="shared" si="390"/>
        <v>45365</v>
      </c>
      <c r="C1637" s="41">
        <f t="shared" si="410"/>
        <v>97832139.288000003</v>
      </c>
      <c r="D1637" s="47">
        <f>332932.07+103535215.64</f>
        <v>103868147.70999999</v>
      </c>
      <c r="E1637" s="170">
        <f t="shared" si="394"/>
        <v>6036008.4219999909</v>
      </c>
      <c r="G1637" s="173">
        <f t="shared" si="411"/>
        <v>3180291.81</v>
      </c>
      <c r="H1637" s="47">
        <f t="shared" si="414"/>
        <v>3315000.33</v>
      </c>
      <c r="I1637" s="171">
        <f t="shared" si="412"/>
        <v>134708.52000000002</v>
      </c>
      <c r="J1637" s="170">
        <f t="shared" si="413"/>
        <v>6170716.9419999905</v>
      </c>
    </row>
    <row r="1638" spans="2:10" ht="12.65" customHeight="1">
      <c r="B1638" s="33">
        <f t="shared" si="390"/>
        <v>45366</v>
      </c>
      <c r="C1638" s="41">
        <f t="shared" si="410"/>
        <v>97832139.288000003</v>
      </c>
      <c r="D1638" s="47">
        <f>332932.07+98535215.64</f>
        <v>98868147.709999993</v>
      </c>
      <c r="E1638" s="170">
        <f t="shared" si="394"/>
        <v>1036008.4219999909</v>
      </c>
      <c r="G1638" s="173">
        <f t="shared" si="411"/>
        <v>3180291.81</v>
      </c>
      <c r="H1638" s="47">
        <f t="shared" si="414"/>
        <v>3315000.33</v>
      </c>
      <c r="I1638" s="171">
        <f t="shared" si="412"/>
        <v>134708.52000000002</v>
      </c>
      <c r="J1638" s="170">
        <f t="shared" si="413"/>
        <v>1170716.941999991</v>
      </c>
    </row>
    <row r="1639" spans="2:10" ht="12.65" customHeight="1">
      <c r="B1639" s="33">
        <f t="shared" si="390"/>
        <v>45369</v>
      </c>
      <c r="C1639" s="41">
        <f>97002998.5114286</f>
        <v>97002998.511428595</v>
      </c>
      <c r="D1639" s="47">
        <f>332932.07+97535215.64</f>
        <v>97868147.709999993</v>
      </c>
      <c r="E1639" s="170">
        <f t="shared" si="394"/>
        <v>865149.19857139885</v>
      </c>
      <c r="G1639" s="173">
        <f>3203067.65928571</f>
        <v>3203067.6592857102</v>
      </c>
      <c r="H1639" s="47">
        <f t="shared" si="414"/>
        <v>3315000.33</v>
      </c>
      <c r="I1639" s="171">
        <f t="shared" si="412"/>
        <v>111932.67071428988</v>
      </c>
      <c r="J1639" s="170">
        <f t="shared" si="413"/>
        <v>977081.86928568874</v>
      </c>
    </row>
    <row r="1640" spans="2:10" ht="12.65" customHeight="1">
      <c r="B1640" s="33">
        <f t="shared" si="390"/>
        <v>45370</v>
      </c>
      <c r="C1640" s="41">
        <f t="shared" ref="C1640:C1650" si="415">97002998.5114286</f>
        <v>97002998.511428595</v>
      </c>
      <c r="D1640" s="47">
        <f>332932.07+97535215.64</f>
        <v>97868147.709999993</v>
      </c>
      <c r="E1640" s="170">
        <f t="shared" si="394"/>
        <v>865149.19857139885</v>
      </c>
      <c r="G1640" s="173">
        <f t="shared" ref="G1640:G1650" si="416">3203067.65928571</f>
        <v>3203067.6592857102</v>
      </c>
      <c r="H1640" s="47">
        <f t="shared" si="414"/>
        <v>3315000.33</v>
      </c>
      <c r="I1640" s="171">
        <f t="shared" si="412"/>
        <v>111932.67071428988</v>
      </c>
      <c r="J1640" s="170">
        <f t="shared" si="413"/>
        <v>977081.86928568874</v>
      </c>
    </row>
    <row r="1641" spans="2:10" ht="12.65" customHeight="1">
      <c r="B1641" s="33">
        <f t="shared" si="390"/>
        <v>45371</v>
      </c>
      <c r="C1641" s="41">
        <f t="shared" si="415"/>
        <v>97002998.511428595</v>
      </c>
      <c r="D1641" s="47">
        <f>332932.07+97535215.64</f>
        <v>97868147.709999993</v>
      </c>
      <c r="E1641" s="170">
        <f t="shared" si="394"/>
        <v>865149.19857139885</v>
      </c>
      <c r="G1641" s="173">
        <f t="shared" si="416"/>
        <v>3203067.6592857102</v>
      </c>
      <c r="H1641" s="47">
        <f t="shared" si="414"/>
        <v>3315000.33</v>
      </c>
      <c r="I1641" s="171">
        <f t="shared" si="412"/>
        <v>111932.67071428988</v>
      </c>
      <c r="J1641" s="170">
        <f t="shared" si="413"/>
        <v>977081.86928568874</v>
      </c>
    </row>
    <row r="1642" spans="2:10" ht="12.65" customHeight="1">
      <c r="B1642" s="33">
        <f t="shared" si="390"/>
        <v>45372</v>
      </c>
      <c r="C1642" s="41">
        <f t="shared" si="415"/>
        <v>97002998.511428595</v>
      </c>
      <c r="D1642" s="47">
        <f>332932.07+97535215.64</f>
        <v>97868147.709999993</v>
      </c>
      <c r="E1642" s="170">
        <f t="shared" si="394"/>
        <v>865149.19857139885</v>
      </c>
      <c r="G1642" s="173">
        <f t="shared" si="416"/>
        <v>3203067.6592857102</v>
      </c>
      <c r="H1642" s="47">
        <f t="shared" si="414"/>
        <v>3315000.33</v>
      </c>
      <c r="I1642" s="171">
        <f t="shared" si="412"/>
        <v>111932.67071428988</v>
      </c>
      <c r="J1642" s="170">
        <f t="shared" si="413"/>
        <v>977081.86928568874</v>
      </c>
    </row>
    <row r="1643" spans="2:10" ht="12.65" customHeight="1">
      <c r="B1643" s="33">
        <f t="shared" si="390"/>
        <v>45373</v>
      </c>
      <c r="C1643" s="41">
        <f t="shared" si="415"/>
        <v>97002998.511428595</v>
      </c>
      <c r="D1643" s="47">
        <f>332932.07+106535215.64</f>
        <v>106868147.70999999</v>
      </c>
      <c r="E1643" s="170">
        <f t="shared" si="394"/>
        <v>9865149.1985713989</v>
      </c>
      <c r="G1643" s="173">
        <f t="shared" si="416"/>
        <v>3203067.6592857102</v>
      </c>
      <c r="H1643" s="47">
        <f t="shared" si="414"/>
        <v>3315000.33</v>
      </c>
      <c r="I1643" s="171">
        <f t="shared" si="412"/>
        <v>111932.67071428988</v>
      </c>
      <c r="J1643" s="170">
        <f t="shared" si="413"/>
        <v>9977081.8692856878</v>
      </c>
    </row>
    <row r="1644" spans="2:10" ht="12.65" customHeight="1">
      <c r="B1644" s="33">
        <f t="shared" si="390"/>
        <v>45376</v>
      </c>
      <c r="C1644" s="41">
        <f t="shared" si="415"/>
        <v>97002998.511428595</v>
      </c>
      <c r="D1644" s="47">
        <f>332932.07+106535215.64</f>
        <v>106868147.70999999</v>
      </c>
      <c r="E1644" s="170">
        <f t="shared" si="394"/>
        <v>9865149.1985713989</v>
      </c>
      <c r="G1644" s="173">
        <f t="shared" si="416"/>
        <v>3203067.6592857102</v>
      </c>
      <c r="H1644" s="47">
        <f t="shared" ref="H1644:H1646" si="417">3315000.33+0</f>
        <v>3315000.33</v>
      </c>
      <c r="I1644" s="171">
        <f t="shared" si="412"/>
        <v>111932.67071428988</v>
      </c>
      <c r="J1644" s="170">
        <f t="shared" si="413"/>
        <v>9977081.8692856878</v>
      </c>
    </row>
    <row r="1645" spans="2:10" ht="12.65" customHeight="1">
      <c r="B1645" s="33">
        <f t="shared" si="390"/>
        <v>45377</v>
      </c>
      <c r="C1645" s="41">
        <f t="shared" si="415"/>
        <v>97002998.511428595</v>
      </c>
      <c r="D1645" s="47">
        <f t="shared" ref="D1645:D1650" si="418">332932.07+97535215.64</f>
        <v>97868147.709999993</v>
      </c>
      <c r="E1645" s="170">
        <f t="shared" si="394"/>
        <v>865149.19857139885</v>
      </c>
      <c r="G1645" s="173">
        <f t="shared" si="416"/>
        <v>3203067.6592857102</v>
      </c>
      <c r="H1645" s="47">
        <f t="shared" si="417"/>
        <v>3315000.33</v>
      </c>
      <c r="I1645" s="171">
        <f t="shared" si="412"/>
        <v>111932.67071428988</v>
      </c>
      <c r="J1645" s="170">
        <f t="shared" si="413"/>
        <v>977081.86928568874</v>
      </c>
    </row>
    <row r="1646" spans="2:10" ht="12.65" customHeight="1">
      <c r="B1646" s="33">
        <f t="shared" si="390"/>
        <v>45378</v>
      </c>
      <c r="C1646" s="41">
        <f t="shared" si="415"/>
        <v>97002998.511428595</v>
      </c>
      <c r="D1646" s="47">
        <f t="shared" si="418"/>
        <v>97868147.709999993</v>
      </c>
      <c r="E1646" s="170">
        <f t="shared" si="394"/>
        <v>865149.19857139885</v>
      </c>
      <c r="G1646" s="173">
        <f t="shared" si="416"/>
        <v>3203067.6592857102</v>
      </c>
      <c r="H1646" s="47">
        <f t="shared" si="417"/>
        <v>3315000.33</v>
      </c>
      <c r="I1646" s="171">
        <f t="shared" si="412"/>
        <v>111932.67071428988</v>
      </c>
      <c r="J1646" s="170">
        <f t="shared" si="413"/>
        <v>977081.86928568874</v>
      </c>
    </row>
    <row r="1647" spans="2:10" ht="12.65" customHeight="1">
      <c r="B1647" s="33">
        <f t="shared" si="390"/>
        <v>45379</v>
      </c>
      <c r="C1647" s="41">
        <f t="shared" si="415"/>
        <v>97002998.511428595</v>
      </c>
      <c r="D1647" s="47">
        <f>332932.07+97535215.64</f>
        <v>97868147.709999993</v>
      </c>
      <c r="E1647" s="170">
        <f t="shared" si="394"/>
        <v>865149.19857139885</v>
      </c>
      <c r="G1647" s="173">
        <f t="shared" si="416"/>
        <v>3203067.6592857102</v>
      </c>
      <c r="H1647" s="47">
        <f>3715000.33+0</f>
        <v>3715000.33</v>
      </c>
      <c r="I1647" s="171">
        <f t="shared" si="412"/>
        <v>511932.67071428988</v>
      </c>
      <c r="J1647" s="170">
        <f t="shared" si="413"/>
        <v>1377081.8692856887</v>
      </c>
    </row>
    <row r="1648" spans="2:10" ht="12.65" customHeight="1">
      <c r="B1648" s="1377">
        <f t="shared" si="390"/>
        <v>45380</v>
      </c>
      <c r="C1648" s="1386">
        <f t="shared" si="415"/>
        <v>97002998.511428595</v>
      </c>
      <c r="D1648" s="1387">
        <f t="shared" si="418"/>
        <v>97868147.709999993</v>
      </c>
      <c r="E1648" s="1388">
        <f t="shared" ref="E1648" si="419">D1648-C1648</f>
        <v>865149.19857139885</v>
      </c>
      <c r="F1648" s="1389"/>
      <c r="G1648" s="1390">
        <f t="shared" si="416"/>
        <v>3203067.6592857102</v>
      </c>
      <c r="H1648" s="1387">
        <f t="shared" ref="H1648:H1654" si="420">3715000.33+0</f>
        <v>3715000.33</v>
      </c>
      <c r="I1648" s="1391">
        <f t="shared" ref="I1648" si="421">H1648-G1648</f>
        <v>511932.67071428988</v>
      </c>
      <c r="J1648" s="1388">
        <f t="shared" ref="J1648" si="422">E1648+I1648</f>
        <v>1377081.8692856887</v>
      </c>
    </row>
    <row r="1649" spans="2:10" ht="12.65" customHeight="1">
      <c r="B1649" s="1377">
        <f>WORKDAY(B1648,1)-1</f>
        <v>45382</v>
      </c>
      <c r="C1649" s="1386">
        <f t="shared" si="415"/>
        <v>97002998.511428595</v>
      </c>
      <c r="D1649" s="1387">
        <f t="shared" si="418"/>
        <v>97868147.709999993</v>
      </c>
      <c r="E1649" s="1388">
        <f t="shared" ref="E1649" si="423">D1649-C1649</f>
        <v>865149.19857139885</v>
      </c>
      <c r="F1649" s="1389"/>
      <c r="G1649" s="1390">
        <f t="shared" si="416"/>
        <v>3203067.6592857102</v>
      </c>
      <c r="H1649" s="1387">
        <f t="shared" si="420"/>
        <v>3715000.33</v>
      </c>
      <c r="I1649" s="1391">
        <f t="shared" ref="I1649" si="424">H1649-G1649</f>
        <v>511932.67071428988</v>
      </c>
      <c r="J1649" s="1388">
        <f t="shared" ref="J1649" si="425">E1649+I1649</f>
        <v>1377081.8692856887</v>
      </c>
    </row>
    <row r="1650" spans="2:10" ht="12.65" customHeight="1">
      <c r="B1650" s="33">
        <f>WORKDAY(B1647,2)</f>
        <v>45383</v>
      </c>
      <c r="C1650" s="41">
        <f t="shared" si="415"/>
        <v>97002998.511428595</v>
      </c>
      <c r="D1650" s="47">
        <f t="shared" si="418"/>
        <v>97868147.709999993</v>
      </c>
      <c r="E1650" s="170">
        <f t="shared" si="394"/>
        <v>865149.19857139885</v>
      </c>
      <c r="G1650" s="173">
        <f t="shared" si="416"/>
        <v>3203067.6592857102</v>
      </c>
      <c r="H1650" s="47">
        <f t="shared" si="420"/>
        <v>3715000.33</v>
      </c>
      <c r="I1650" s="171">
        <f t="shared" si="412"/>
        <v>511932.67071428988</v>
      </c>
      <c r="J1650" s="170">
        <f t="shared" si="413"/>
        <v>1377081.8692856887</v>
      </c>
    </row>
    <row r="1651" spans="2:10" ht="12.65" customHeight="1">
      <c r="B1651" s="33">
        <f t="shared" si="390"/>
        <v>45384</v>
      </c>
      <c r="C1651" s="41">
        <f>96042181.544</f>
        <v>96042181.544</v>
      </c>
      <c r="D1651" s="47">
        <f>332932.07+96535215.64</f>
        <v>96868147.709999993</v>
      </c>
      <c r="E1651" s="170">
        <f t="shared" si="394"/>
        <v>825966.16599999368</v>
      </c>
      <c r="G1651" s="173">
        <f>3545680.27933333</f>
        <v>3545680.2793333302</v>
      </c>
      <c r="H1651" s="47">
        <f t="shared" si="420"/>
        <v>3715000.33</v>
      </c>
      <c r="I1651" s="171">
        <f t="shared" si="412"/>
        <v>169320.05066666985</v>
      </c>
      <c r="J1651" s="170">
        <f t="shared" si="413"/>
        <v>995286.21666666353</v>
      </c>
    </row>
    <row r="1652" spans="2:10" ht="12.65" customHeight="1">
      <c r="B1652" s="33">
        <f t="shared" si="390"/>
        <v>45385</v>
      </c>
      <c r="C1652" s="41">
        <f t="shared" ref="C1652:C1660" si="426">96042181.544</f>
        <v>96042181.544</v>
      </c>
      <c r="D1652" s="47">
        <f>332932.07+96535215.64</f>
        <v>96868147.709999993</v>
      </c>
      <c r="E1652" s="170">
        <f t="shared" si="394"/>
        <v>825966.16599999368</v>
      </c>
      <c r="G1652" s="173">
        <f t="shared" ref="G1652:G1660" si="427">3545680.27933333</f>
        <v>3545680.2793333302</v>
      </c>
      <c r="H1652" s="47">
        <f t="shared" si="420"/>
        <v>3715000.33</v>
      </c>
      <c r="I1652" s="171">
        <f t="shared" si="412"/>
        <v>169320.05066666985</v>
      </c>
      <c r="J1652" s="170">
        <f t="shared" si="413"/>
        <v>995286.21666666353</v>
      </c>
    </row>
    <row r="1653" spans="2:10" ht="12.65" customHeight="1">
      <c r="B1653" s="33">
        <f t="shared" ref="B1653:B1718" si="428">WORKDAY(B1652,1)</f>
        <v>45386</v>
      </c>
      <c r="C1653" s="41">
        <f t="shared" si="426"/>
        <v>96042181.544</v>
      </c>
      <c r="D1653" s="47">
        <f>332932.07+96535215.64</f>
        <v>96868147.709999993</v>
      </c>
      <c r="E1653" s="170">
        <f t="shared" si="394"/>
        <v>825966.16599999368</v>
      </c>
      <c r="G1653" s="173">
        <f t="shared" si="427"/>
        <v>3545680.2793333302</v>
      </c>
      <c r="H1653" s="47">
        <f t="shared" si="420"/>
        <v>3715000.33</v>
      </c>
      <c r="I1653" s="171">
        <f t="shared" si="412"/>
        <v>169320.05066666985</v>
      </c>
      <c r="J1653" s="170">
        <f t="shared" si="413"/>
        <v>995286.21666666353</v>
      </c>
    </row>
    <row r="1654" spans="2:10" ht="12.65" customHeight="1">
      <c r="B1654" s="33">
        <f t="shared" si="428"/>
        <v>45387</v>
      </c>
      <c r="C1654" s="41">
        <f t="shared" si="426"/>
        <v>96042181.544</v>
      </c>
      <c r="D1654" s="47">
        <f>332932.07+96535215.64</f>
        <v>96868147.709999993</v>
      </c>
      <c r="E1654" s="170">
        <f t="shared" si="394"/>
        <v>825966.16599999368</v>
      </c>
      <c r="G1654" s="173">
        <f t="shared" si="427"/>
        <v>3545680.2793333302</v>
      </c>
      <c r="H1654" s="47">
        <f t="shared" si="420"/>
        <v>3715000.33</v>
      </c>
      <c r="I1654" s="171">
        <f t="shared" si="412"/>
        <v>169320.05066666985</v>
      </c>
      <c r="J1654" s="170">
        <f t="shared" si="413"/>
        <v>995286.21666666353</v>
      </c>
    </row>
    <row r="1655" spans="2:10" ht="12.65" customHeight="1">
      <c r="B1655" s="33">
        <f>WORKDAY(B1654,7)</f>
        <v>45398</v>
      </c>
      <c r="C1655" s="41">
        <f t="shared" si="426"/>
        <v>96042181.544</v>
      </c>
      <c r="D1655" s="47">
        <f>332932.07+126535215.64</f>
        <v>126868147.70999999</v>
      </c>
      <c r="E1655" s="170">
        <f t="shared" ref="E1655:E1718" si="429">D1655-C1655</f>
        <v>30825966.165999994</v>
      </c>
      <c r="G1655" s="173">
        <f t="shared" si="427"/>
        <v>3545680.2793333302</v>
      </c>
      <c r="H1655" s="47">
        <f t="shared" ref="H1655:H1664" si="430">3715000.33+0</f>
        <v>3715000.33</v>
      </c>
      <c r="I1655" s="171">
        <f t="shared" si="412"/>
        <v>169320.05066666985</v>
      </c>
      <c r="J1655" s="170">
        <f t="shared" si="413"/>
        <v>30995286.216666665</v>
      </c>
    </row>
    <row r="1656" spans="2:10" ht="12.65" customHeight="1">
      <c r="B1656" s="33">
        <f t="shared" si="428"/>
        <v>45399</v>
      </c>
      <c r="C1656" s="41">
        <f t="shared" si="426"/>
        <v>96042181.544</v>
      </c>
      <c r="D1656" s="47">
        <f>332932.07+126535215.64</f>
        <v>126868147.70999999</v>
      </c>
      <c r="E1656" s="170">
        <f t="shared" si="429"/>
        <v>30825966.165999994</v>
      </c>
      <c r="G1656" s="173">
        <f t="shared" si="427"/>
        <v>3545680.2793333302</v>
      </c>
      <c r="H1656" s="47">
        <f t="shared" si="430"/>
        <v>3715000.33</v>
      </c>
      <c r="I1656" s="171">
        <f t="shared" si="412"/>
        <v>169320.05066666985</v>
      </c>
      <c r="J1656" s="170">
        <f t="shared" si="413"/>
        <v>30995286.216666665</v>
      </c>
    </row>
    <row r="1657" spans="2:10" ht="12.65" customHeight="1">
      <c r="B1657" s="33">
        <f t="shared" si="428"/>
        <v>45400</v>
      </c>
      <c r="C1657" s="41">
        <f t="shared" si="426"/>
        <v>96042181.544</v>
      </c>
      <c r="D1657" s="47">
        <f t="shared" ref="D1657:D1661" si="431">332932.07+93735215.64</f>
        <v>94068147.709999993</v>
      </c>
      <c r="E1657" s="170">
        <f t="shared" si="429"/>
        <v>-1974033.8340000063</v>
      </c>
      <c r="G1657" s="173">
        <f t="shared" si="427"/>
        <v>3545680.2793333302</v>
      </c>
      <c r="H1657" s="47">
        <f t="shared" si="430"/>
        <v>3715000.33</v>
      </c>
      <c r="I1657" s="171">
        <f t="shared" si="412"/>
        <v>169320.05066666985</v>
      </c>
      <c r="J1657" s="170">
        <f t="shared" si="413"/>
        <v>-1804713.7833333365</v>
      </c>
    </row>
    <row r="1658" spans="2:10" ht="12.65" customHeight="1">
      <c r="B1658" s="33">
        <f t="shared" si="428"/>
        <v>45401</v>
      </c>
      <c r="C1658" s="41">
        <f t="shared" si="426"/>
        <v>96042181.544</v>
      </c>
      <c r="D1658" s="47">
        <f t="shared" si="431"/>
        <v>94068147.709999993</v>
      </c>
      <c r="E1658" s="170">
        <f t="shared" si="429"/>
        <v>-1974033.8340000063</v>
      </c>
      <c r="G1658" s="173">
        <f t="shared" si="427"/>
        <v>3545680.2793333302</v>
      </c>
      <c r="H1658" s="47">
        <f t="shared" si="430"/>
        <v>3715000.33</v>
      </c>
      <c r="I1658" s="171">
        <f t="shared" si="412"/>
        <v>169320.05066666985</v>
      </c>
      <c r="J1658" s="170">
        <f t="shared" si="413"/>
        <v>-1804713.7833333365</v>
      </c>
    </row>
    <row r="1659" spans="2:10" ht="12.65" customHeight="1">
      <c r="B1659" s="33">
        <f t="shared" si="428"/>
        <v>45404</v>
      </c>
      <c r="C1659" s="41">
        <f t="shared" si="426"/>
        <v>96042181.544</v>
      </c>
      <c r="D1659" s="47">
        <f t="shared" si="431"/>
        <v>94068147.709999993</v>
      </c>
      <c r="E1659" s="170">
        <f t="shared" si="429"/>
        <v>-1974033.8340000063</v>
      </c>
      <c r="G1659" s="173">
        <f t="shared" si="427"/>
        <v>3545680.2793333302</v>
      </c>
      <c r="H1659" s="47">
        <f t="shared" si="430"/>
        <v>3715000.33</v>
      </c>
      <c r="I1659" s="171">
        <f t="shared" si="412"/>
        <v>169320.05066666985</v>
      </c>
      <c r="J1659" s="170">
        <f t="shared" si="413"/>
        <v>-1804713.7833333365</v>
      </c>
    </row>
    <row r="1660" spans="2:10" ht="12.65" customHeight="1">
      <c r="B1660" s="33">
        <f t="shared" si="428"/>
        <v>45405</v>
      </c>
      <c r="C1660" s="41">
        <f t="shared" si="426"/>
        <v>96042181.544</v>
      </c>
      <c r="D1660" s="47">
        <f t="shared" si="431"/>
        <v>94068147.709999993</v>
      </c>
      <c r="E1660" s="170">
        <f t="shared" si="429"/>
        <v>-1974033.8340000063</v>
      </c>
      <c r="G1660" s="173">
        <f t="shared" si="427"/>
        <v>3545680.2793333302</v>
      </c>
      <c r="H1660" s="47">
        <f t="shared" si="430"/>
        <v>3715000.33</v>
      </c>
      <c r="I1660" s="171">
        <f t="shared" si="412"/>
        <v>169320.05066666985</v>
      </c>
      <c r="J1660" s="170">
        <f t="shared" si="413"/>
        <v>-1804713.7833333365</v>
      </c>
    </row>
    <row r="1661" spans="2:10" ht="12.65" customHeight="1">
      <c r="B1661" s="33">
        <f t="shared" si="428"/>
        <v>45406</v>
      </c>
      <c r="C1661" s="41">
        <f>93249075.255</f>
        <v>93249075.254999995</v>
      </c>
      <c r="D1661" s="47">
        <f t="shared" si="431"/>
        <v>94068147.709999993</v>
      </c>
      <c r="E1661" s="170">
        <f t="shared" si="429"/>
        <v>819072.45499999821</v>
      </c>
      <c r="G1661" s="173">
        <f>3560739.44125</f>
        <v>3560739.4412500001</v>
      </c>
      <c r="H1661" s="47">
        <f t="shared" si="430"/>
        <v>3715000.33</v>
      </c>
      <c r="I1661" s="171">
        <f t="shared" si="412"/>
        <v>154260.88874999993</v>
      </c>
      <c r="J1661" s="170">
        <f t="shared" si="413"/>
        <v>973333.34374999814</v>
      </c>
    </row>
    <row r="1662" spans="2:10" ht="12.65" customHeight="1">
      <c r="B1662" s="33">
        <f t="shared" si="428"/>
        <v>45407</v>
      </c>
      <c r="C1662" s="41">
        <f t="shared" ref="C1662:C1665" si="432">93249075.255</f>
        <v>93249075.254999995</v>
      </c>
      <c r="D1662" s="47">
        <f>332932.07+93735215.64</f>
        <v>94068147.709999993</v>
      </c>
      <c r="E1662" s="170">
        <f t="shared" si="429"/>
        <v>819072.45499999821</v>
      </c>
      <c r="G1662" s="173">
        <f t="shared" ref="G1662:G1675" si="433">3560739.44125</f>
        <v>3560739.4412500001</v>
      </c>
      <c r="H1662" s="47">
        <f t="shared" si="430"/>
        <v>3715000.33</v>
      </c>
      <c r="I1662" s="171">
        <f t="shared" si="412"/>
        <v>154260.88874999993</v>
      </c>
      <c r="J1662" s="170">
        <f t="shared" si="413"/>
        <v>973333.34374999814</v>
      </c>
    </row>
    <row r="1663" spans="2:10" ht="12.65" customHeight="1">
      <c r="B1663" s="33">
        <f t="shared" si="428"/>
        <v>45408</v>
      </c>
      <c r="C1663" s="41">
        <f t="shared" si="432"/>
        <v>93249075.254999995</v>
      </c>
      <c r="D1663" s="47">
        <f>332932.07+93735215.64</f>
        <v>94068147.709999993</v>
      </c>
      <c r="E1663" s="170">
        <f t="shared" si="429"/>
        <v>819072.45499999821</v>
      </c>
      <c r="G1663" s="173">
        <f t="shared" si="433"/>
        <v>3560739.4412500001</v>
      </c>
      <c r="H1663" s="47">
        <f t="shared" si="430"/>
        <v>3715000.33</v>
      </c>
      <c r="I1663" s="171">
        <f t="shared" si="412"/>
        <v>154260.88874999993</v>
      </c>
      <c r="J1663" s="170">
        <f t="shared" si="413"/>
        <v>973333.34374999814</v>
      </c>
    </row>
    <row r="1664" spans="2:10" ht="12.65" customHeight="1">
      <c r="B1664" s="33">
        <f t="shared" si="428"/>
        <v>45411</v>
      </c>
      <c r="C1664" s="41">
        <f t="shared" si="432"/>
        <v>93249075.254999995</v>
      </c>
      <c r="D1664" s="47">
        <f>332932.07+93735215.64</f>
        <v>94068147.709999993</v>
      </c>
      <c r="E1664" s="170">
        <f t="shared" si="429"/>
        <v>819072.45499999821</v>
      </c>
      <c r="G1664" s="173">
        <f t="shared" si="433"/>
        <v>3560739.4412500001</v>
      </c>
      <c r="H1664" s="47">
        <f t="shared" si="430"/>
        <v>3715000.33</v>
      </c>
      <c r="I1664" s="171">
        <f t="shared" si="412"/>
        <v>154260.88874999993</v>
      </c>
      <c r="J1664" s="170">
        <f t="shared" si="413"/>
        <v>973333.34374999814</v>
      </c>
    </row>
    <row r="1665" spans="2:10" ht="12.65" customHeight="1">
      <c r="B1665" s="33">
        <f t="shared" si="428"/>
        <v>45412</v>
      </c>
      <c r="C1665" s="41">
        <f t="shared" si="432"/>
        <v>93249075.254999995</v>
      </c>
      <c r="D1665" s="47">
        <f>332932.07+93735215.64</f>
        <v>94068147.709999993</v>
      </c>
      <c r="E1665" s="170">
        <f t="shared" si="429"/>
        <v>819072.45499999821</v>
      </c>
      <c r="G1665" s="173">
        <f t="shared" si="433"/>
        <v>3560739.4412500001</v>
      </c>
      <c r="H1665" s="47">
        <f>3815000.33+0</f>
        <v>3815000.33</v>
      </c>
      <c r="I1665" s="171">
        <f t="shared" si="412"/>
        <v>254260.88874999993</v>
      </c>
      <c r="J1665" s="170">
        <f t="shared" si="413"/>
        <v>1073333.3437499981</v>
      </c>
    </row>
    <row r="1666" spans="2:10" s="1385" customFormat="1" ht="12.65" customHeight="1">
      <c r="B1666" s="1377">
        <f t="shared" si="428"/>
        <v>45413</v>
      </c>
      <c r="C1666" s="1386">
        <f>92366280.3813333</f>
        <v>92366280.381333306</v>
      </c>
      <c r="D1666" s="1387">
        <v>94068147.709999993</v>
      </c>
      <c r="E1666" s="1388">
        <f t="shared" si="429"/>
        <v>1701867.328666687</v>
      </c>
      <c r="F1666" s="1389"/>
      <c r="G1666" s="1390">
        <f t="shared" si="433"/>
        <v>3560739.4412500001</v>
      </c>
      <c r="H1666" s="1387">
        <v>3815000.33</v>
      </c>
      <c r="I1666" s="1391">
        <f t="shared" si="412"/>
        <v>254260.88874999993</v>
      </c>
      <c r="J1666" s="1388">
        <f t="shared" si="413"/>
        <v>1956128.2174166869</v>
      </c>
    </row>
    <row r="1667" spans="2:10" ht="12.65" customHeight="1">
      <c r="B1667" s="33">
        <f t="shared" si="428"/>
        <v>45414</v>
      </c>
      <c r="C1667" s="41">
        <f t="shared" ref="C1667:C1675" si="434">92366280.3813333</f>
        <v>92366280.381333306</v>
      </c>
      <c r="D1667" s="47">
        <f>332932.07+93735215.64</f>
        <v>94068147.709999993</v>
      </c>
      <c r="E1667" s="170">
        <f t="shared" si="429"/>
        <v>1701867.328666687</v>
      </c>
      <c r="G1667" s="173">
        <f t="shared" si="433"/>
        <v>3560739.4412500001</v>
      </c>
      <c r="H1667" s="47">
        <f>3815000.33+0</f>
        <v>3815000.33</v>
      </c>
      <c r="I1667" s="171">
        <f t="shared" si="412"/>
        <v>254260.88874999993</v>
      </c>
      <c r="J1667" s="170">
        <f t="shared" si="413"/>
        <v>1956128.2174166869</v>
      </c>
    </row>
    <row r="1668" spans="2:10" ht="12.65" customHeight="1">
      <c r="B1668" s="33">
        <f t="shared" si="428"/>
        <v>45415</v>
      </c>
      <c r="C1668" s="41">
        <f t="shared" si="434"/>
        <v>92366280.381333306</v>
      </c>
      <c r="D1668" s="47">
        <f>332932.07+92885215.64</f>
        <v>93218147.709999993</v>
      </c>
      <c r="E1668" s="170">
        <f t="shared" si="429"/>
        <v>851867.32866668701</v>
      </c>
      <c r="G1668" s="173">
        <f t="shared" si="433"/>
        <v>3560739.4412500001</v>
      </c>
      <c r="H1668" s="47">
        <f>3815000.33+0</f>
        <v>3815000.33</v>
      </c>
      <c r="I1668" s="171">
        <f t="shared" si="412"/>
        <v>254260.88874999993</v>
      </c>
      <c r="J1668" s="170">
        <f t="shared" si="413"/>
        <v>1106128.2174166869</v>
      </c>
    </row>
    <row r="1669" spans="2:10" ht="12.65" customHeight="1">
      <c r="B1669" s="33">
        <f t="shared" si="428"/>
        <v>45418</v>
      </c>
      <c r="C1669" s="41">
        <f t="shared" si="434"/>
        <v>92366280.381333306</v>
      </c>
      <c r="D1669" s="47">
        <f>332932.07+92885215.64</f>
        <v>93218147.709999993</v>
      </c>
      <c r="E1669" s="170">
        <f t="shared" si="429"/>
        <v>851867.32866668701</v>
      </c>
      <c r="G1669" s="173">
        <f t="shared" si="433"/>
        <v>3560739.4412500001</v>
      </c>
      <c r="H1669" s="47">
        <f>3815000.33+0</f>
        <v>3815000.33</v>
      </c>
      <c r="I1669" s="171">
        <f t="shared" si="412"/>
        <v>254260.88874999993</v>
      </c>
      <c r="J1669" s="170">
        <f t="shared" si="413"/>
        <v>1106128.2174166869</v>
      </c>
    </row>
    <row r="1670" spans="2:10" ht="12.65" customHeight="1">
      <c r="B1670" s="33">
        <f t="shared" si="428"/>
        <v>45419</v>
      </c>
      <c r="C1670" s="41">
        <f t="shared" si="434"/>
        <v>92366280.381333306</v>
      </c>
      <c r="D1670" s="47">
        <f>332932.07+92885215.64</f>
        <v>93218147.709999993</v>
      </c>
      <c r="E1670" s="170">
        <f t="shared" si="429"/>
        <v>851867.32866668701</v>
      </c>
      <c r="G1670" s="173">
        <f t="shared" si="433"/>
        <v>3560739.4412500001</v>
      </c>
      <c r="H1670" s="47">
        <f>3815000.33+0</f>
        <v>3815000.33</v>
      </c>
      <c r="I1670" s="171">
        <f t="shared" si="412"/>
        <v>254260.88874999993</v>
      </c>
      <c r="J1670" s="170">
        <f t="shared" si="413"/>
        <v>1106128.2174166869</v>
      </c>
    </row>
    <row r="1671" spans="2:10" ht="12.65" customHeight="1">
      <c r="B1671" s="33">
        <f t="shared" si="428"/>
        <v>45420</v>
      </c>
      <c r="C1671" s="41">
        <f t="shared" si="434"/>
        <v>92366280.381333306</v>
      </c>
      <c r="D1671" s="47">
        <f>332932.07+92885215.64</f>
        <v>93218147.709999993</v>
      </c>
      <c r="E1671" s="170">
        <f t="shared" si="429"/>
        <v>851867.32866668701</v>
      </c>
      <c r="G1671" s="173">
        <f t="shared" si="433"/>
        <v>3560739.4412500001</v>
      </c>
      <c r="H1671" s="47">
        <f>3815000.3+0</f>
        <v>3815000.3</v>
      </c>
      <c r="I1671" s="171">
        <f t="shared" si="412"/>
        <v>254260.85874999966</v>
      </c>
      <c r="J1671" s="170">
        <f t="shared" si="413"/>
        <v>1106128.1874166867</v>
      </c>
    </row>
    <row r="1672" spans="2:10" s="1385" customFormat="1" ht="12.65" customHeight="1">
      <c r="B1672" s="1377">
        <f>WORKDAY(B1671,2)</f>
        <v>45422</v>
      </c>
      <c r="C1672" s="1386">
        <f t="shared" si="434"/>
        <v>92366280.381333306</v>
      </c>
      <c r="D1672" s="1387">
        <v>93218147.709999993</v>
      </c>
      <c r="E1672" s="1388">
        <f t="shared" si="429"/>
        <v>851867.32866668701</v>
      </c>
      <c r="F1672" s="1389"/>
      <c r="G1672" s="1390">
        <f t="shared" si="433"/>
        <v>3560739.4412500001</v>
      </c>
      <c r="H1672" s="1387">
        <v>3815000.33</v>
      </c>
      <c r="I1672" s="1391">
        <f t="shared" si="412"/>
        <v>254260.88874999993</v>
      </c>
      <c r="J1672" s="1388">
        <f t="shared" si="413"/>
        <v>1106128.2174166869</v>
      </c>
    </row>
    <row r="1673" spans="2:10" ht="12.65" customHeight="1">
      <c r="B1673" s="33">
        <f t="shared" si="428"/>
        <v>45425</v>
      </c>
      <c r="C1673" s="41">
        <f t="shared" si="434"/>
        <v>92366280.381333306</v>
      </c>
      <c r="D1673" s="47">
        <f>332932.07+92885215.64</f>
        <v>93218147.709999993</v>
      </c>
      <c r="E1673" s="170">
        <f t="shared" si="429"/>
        <v>851867.32866668701</v>
      </c>
      <c r="G1673" s="173">
        <f t="shared" si="433"/>
        <v>3560739.4412500001</v>
      </c>
      <c r="H1673" s="47">
        <f>3815000.3+0</f>
        <v>3815000.3</v>
      </c>
      <c r="I1673" s="171">
        <f t="shared" si="412"/>
        <v>254260.85874999966</v>
      </c>
      <c r="J1673" s="170">
        <f t="shared" si="413"/>
        <v>1106128.1874166867</v>
      </c>
    </row>
    <row r="1674" spans="2:10" ht="12.65" customHeight="1">
      <c r="B1674" s="33">
        <f t="shared" si="428"/>
        <v>45426</v>
      </c>
      <c r="C1674" s="41">
        <f t="shared" si="434"/>
        <v>92366280.381333306</v>
      </c>
      <c r="D1674" s="47">
        <f>332932.07+92885215.64</f>
        <v>93218147.709999993</v>
      </c>
      <c r="E1674" s="170">
        <f t="shared" si="429"/>
        <v>851867.32866668701</v>
      </c>
      <c r="G1674" s="173">
        <f t="shared" si="433"/>
        <v>3560739.4412500001</v>
      </c>
      <c r="H1674" s="47">
        <f>3815000.3+0</f>
        <v>3815000.3</v>
      </c>
      <c r="I1674" s="171">
        <f t="shared" si="412"/>
        <v>254260.85874999966</v>
      </c>
      <c r="J1674" s="170">
        <f t="shared" si="413"/>
        <v>1106128.1874166867</v>
      </c>
    </row>
    <row r="1675" spans="2:10" ht="12.65" customHeight="1">
      <c r="B1675" s="33">
        <f t="shared" si="428"/>
        <v>45427</v>
      </c>
      <c r="C1675" s="41">
        <f t="shared" si="434"/>
        <v>92366280.381333306</v>
      </c>
      <c r="D1675" s="47">
        <f>332932.07+92885215.64</f>
        <v>93218147.709999993</v>
      </c>
      <c r="E1675" s="170">
        <f t="shared" si="429"/>
        <v>851867.32866668701</v>
      </c>
      <c r="G1675" s="173">
        <f t="shared" si="433"/>
        <v>3560739.4412500001</v>
      </c>
      <c r="H1675" s="47">
        <f>3815000.3+0</f>
        <v>3815000.3</v>
      </c>
      <c r="I1675" s="171">
        <f t="shared" si="412"/>
        <v>254260.85874999966</v>
      </c>
      <c r="J1675" s="170">
        <f t="shared" si="413"/>
        <v>1106128.1874166867</v>
      </c>
    </row>
    <row r="1676" spans="2:10" ht="12.65" customHeight="1">
      <c r="B1676" s="33">
        <f t="shared" si="428"/>
        <v>45428</v>
      </c>
      <c r="C1676" s="41">
        <f>91708641.4533333</f>
        <v>91708641.453333303</v>
      </c>
      <c r="D1676" s="47">
        <f>332932.07+92885215.64</f>
        <v>93218147.709999993</v>
      </c>
      <c r="E1676" s="170">
        <f t="shared" si="429"/>
        <v>1509506.2566666901</v>
      </c>
      <c r="G1676" s="173">
        <v>3490532.6940000001</v>
      </c>
      <c r="H1676" s="47">
        <f>3815000.3+0</f>
        <v>3815000.3</v>
      </c>
      <c r="I1676" s="171">
        <f t="shared" si="412"/>
        <v>324467.60599999968</v>
      </c>
      <c r="J1676" s="170">
        <f t="shared" si="413"/>
        <v>1833973.8626666898</v>
      </c>
    </row>
    <row r="1677" spans="2:10" ht="12.65" customHeight="1">
      <c r="B1677" s="33">
        <f t="shared" si="428"/>
        <v>45429</v>
      </c>
      <c r="C1677" s="41">
        <f t="shared" ref="C1677:C1686" si="435">91708641.4533333</f>
        <v>91708641.453333303</v>
      </c>
      <c r="D1677" s="47">
        <f>332932.07+92235215.64</f>
        <v>92568147.709999993</v>
      </c>
      <c r="E1677" s="170">
        <f t="shared" si="429"/>
        <v>859506.25666669011</v>
      </c>
      <c r="G1677" s="173">
        <f>3490532.694</f>
        <v>3490532.6940000001</v>
      </c>
      <c r="H1677" s="47">
        <f>3815000.3+0</f>
        <v>3815000.3</v>
      </c>
      <c r="I1677" s="171">
        <f t="shared" si="412"/>
        <v>324467.60599999968</v>
      </c>
      <c r="J1677" s="170">
        <f t="shared" si="413"/>
        <v>1183973.8626666898</v>
      </c>
    </row>
    <row r="1678" spans="2:10" ht="12.65" customHeight="1">
      <c r="B1678" s="33">
        <f t="shared" si="428"/>
        <v>45432</v>
      </c>
      <c r="C1678" s="41">
        <f t="shared" si="435"/>
        <v>91708641.453333303</v>
      </c>
      <c r="D1678" s="47">
        <f>332932.07+92235215.64</f>
        <v>92568147.709999993</v>
      </c>
      <c r="E1678" s="170">
        <f t="shared" si="429"/>
        <v>859506.25666669011</v>
      </c>
      <c r="G1678" s="173">
        <f t="shared" ref="G1678:G1686" si="436">3490532.694</f>
        <v>3490532.6940000001</v>
      </c>
      <c r="H1678" s="47">
        <f>3615000.33+0</f>
        <v>3615000.33</v>
      </c>
      <c r="I1678" s="171">
        <f t="shared" si="412"/>
        <v>124467.63599999994</v>
      </c>
      <c r="J1678" s="170">
        <f t="shared" si="413"/>
        <v>983973.89266669005</v>
      </c>
    </row>
    <row r="1679" spans="2:10" ht="12.65" customHeight="1">
      <c r="B1679" s="33">
        <f t="shared" si="428"/>
        <v>45433</v>
      </c>
      <c r="C1679" s="41">
        <f t="shared" si="435"/>
        <v>91708641.453333303</v>
      </c>
      <c r="D1679" s="47">
        <f>332932.07+92235215.64</f>
        <v>92568147.709999993</v>
      </c>
      <c r="E1679" s="170">
        <f t="shared" si="429"/>
        <v>859506.25666669011</v>
      </c>
      <c r="G1679" s="173">
        <f t="shared" si="436"/>
        <v>3490532.6940000001</v>
      </c>
      <c r="H1679" s="47">
        <f>3615000.33+0</f>
        <v>3615000.33</v>
      </c>
      <c r="I1679" s="171">
        <f t="shared" si="412"/>
        <v>124467.63599999994</v>
      </c>
      <c r="J1679" s="170">
        <f t="shared" si="413"/>
        <v>983973.89266669005</v>
      </c>
    </row>
    <row r="1680" spans="2:10" ht="12.65" customHeight="1">
      <c r="B1680" s="33">
        <f t="shared" si="428"/>
        <v>45434</v>
      </c>
      <c r="C1680" s="41">
        <f t="shared" si="435"/>
        <v>91708641.453333303</v>
      </c>
      <c r="D1680" s="47">
        <f>332932.07+92235215.64</f>
        <v>92568147.709999993</v>
      </c>
      <c r="E1680" s="170">
        <f t="shared" si="429"/>
        <v>859506.25666669011</v>
      </c>
      <c r="G1680" s="173">
        <f t="shared" si="436"/>
        <v>3490532.6940000001</v>
      </c>
      <c r="H1680" s="47">
        <f>3615000.33+0</f>
        <v>3615000.33</v>
      </c>
      <c r="I1680" s="171">
        <f t="shared" si="412"/>
        <v>124467.63599999994</v>
      </c>
      <c r="J1680" s="170">
        <f t="shared" si="413"/>
        <v>983973.89266669005</v>
      </c>
    </row>
    <row r="1681" spans="2:10" ht="12.65" customHeight="1">
      <c r="B1681" s="1377">
        <f>WORKDAY(B1680,2)</f>
        <v>45436</v>
      </c>
      <c r="C1681" s="1386">
        <v>91708641.453333303</v>
      </c>
      <c r="D1681" s="1387">
        <v>92568147.709999993</v>
      </c>
      <c r="E1681" s="1388">
        <v>859506.25666669011</v>
      </c>
      <c r="F1681" s="1389"/>
      <c r="G1681" s="1390">
        <v>3490532.6940000001</v>
      </c>
      <c r="H1681" s="1387">
        <v>3615000.33</v>
      </c>
      <c r="I1681" s="1391">
        <v>124467.63599999994</v>
      </c>
      <c r="J1681" s="1388">
        <v>983973.89266669005</v>
      </c>
    </row>
    <row r="1682" spans="2:10" ht="12.65" customHeight="1">
      <c r="B1682" s="33">
        <f t="shared" si="428"/>
        <v>45439</v>
      </c>
      <c r="C1682" s="41">
        <f t="shared" si="435"/>
        <v>91708641.453333303</v>
      </c>
      <c r="D1682" s="47">
        <f>332932.07+92235215.64</f>
        <v>92568147.709999993</v>
      </c>
      <c r="E1682" s="170">
        <f t="shared" si="429"/>
        <v>859506.25666669011</v>
      </c>
      <c r="G1682" s="173">
        <f t="shared" si="436"/>
        <v>3490532.6940000001</v>
      </c>
      <c r="H1682" s="47">
        <f>3615000.33+0</f>
        <v>3615000.33</v>
      </c>
      <c r="I1682" s="171">
        <f t="shared" si="412"/>
        <v>124467.63599999994</v>
      </c>
      <c r="J1682" s="170">
        <f t="shared" si="413"/>
        <v>983973.89266669005</v>
      </c>
    </row>
    <row r="1683" spans="2:10" ht="12.65" customHeight="1">
      <c r="B1683" s="33">
        <f t="shared" si="428"/>
        <v>45440</v>
      </c>
      <c r="C1683" s="41">
        <f t="shared" si="435"/>
        <v>91708641.453333303</v>
      </c>
      <c r="D1683" s="47">
        <f>332932.07+92235215.64</f>
        <v>92568147.709999993</v>
      </c>
      <c r="E1683" s="170">
        <f t="shared" si="429"/>
        <v>859506.25666669011</v>
      </c>
      <c r="G1683" s="173">
        <f t="shared" si="436"/>
        <v>3490532.6940000001</v>
      </c>
      <c r="H1683" s="47">
        <f>3615000.33+0</f>
        <v>3615000.33</v>
      </c>
      <c r="I1683" s="171">
        <f t="shared" si="412"/>
        <v>124467.63599999994</v>
      </c>
      <c r="J1683" s="170">
        <f t="shared" si="413"/>
        <v>983973.89266669005</v>
      </c>
    </row>
    <row r="1684" spans="2:10" ht="12.65" customHeight="1">
      <c r="B1684" s="33">
        <f t="shared" si="428"/>
        <v>45441</v>
      </c>
      <c r="C1684" s="41">
        <f t="shared" si="435"/>
        <v>91708641.453333303</v>
      </c>
      <c r="D1684" s="47">
        <f>332932.07+92235215.64</f>
        <v>92568147.709999993</v>
      </c>
      <c r="E1684" s="170">
        <f t="shared" si="429"/>
        <v>859506.25666669011</v>
      </c>
      <c r="G1684" s="173">
        <f t="shared" si="436"/>
        <v>3490532.6940000001</v>
      </c>
      <c r="H1684" s="47">
        <f>3615000.3+0</f>
        <v>3615000.3</v>
      </c>
      <c r="I1684" s="171">
        <f t="shared" si="412"/>
        <v>124467.60599999968</v>
      </c>
      <c r="J1684" s="170">
        <f t="shared" si="413"/>
        <v>983973.86266668979</v>
      </c>
    </row>
    <row r="1685" spans="2:10" ht="12.65" customHeight="1">
      <c r="B1685" s="33">
        <f t="shared" si="428"/>
        <v>45442</v>
      </c>
      <c r="C1685" s="41">
        <f t="shared" si="435"/>
        <v>91708641.453333303</v>
      </c>
      <c r="D1685" s="47">
        <f>332932.07+92235215.64</f>
        <v>92568147.709999993</v>
      </c>
      <c r="E1685" s="170">
        <f t="shared" si="429"/>
        <v>859506.25666669011</v>
      </c>
      <c r="G1685" s="173">
        <f t="shared" si="436"/>
        <v>3490532.6940000001</v>
      </c>
      <c r="H1685" s="47">
        <f>3615000.33+0</f>
        <v>3615000.33</v>
      </c>
      <c r="I1685" s="171">
        <f t="shared" si="412"/>
        <v>124467.63599999994</v>
      </c>
      <c r="J1685" s="170">
        <f t="shared" si="413"/>
        <v>983973.89266669005</v>
      </c>
    </row>
    <row r="1686" spans="2:10" ht="12.65" customHeight="1">
      <c r="B1686" s="33">
        <f t="shared" si="428"/>
        <v>45443</v>
      </c>
      <c r="C1686" s="41">
        <f t="shared" si="435"/>
        <v>91708641.453333303</v>
      </c>
      <c r="D1686" s="47">
        <f>332932.07+92235215.64</f>
        <v>92568147.709999993</v>
      </c>
      <c r="E1686" s="170">
        <f t="shared" si="429"/>
        <v>859506.25666669011</v>
      </c>
      <c r="G1686" s="173">
        <f t="shared" si="436"/>
        <v>3490532.6940000001</v>
      </c>
      <c r="H1686" s="47">
        <f>3615000.33+0</f>
        <v>3615000.33</v>
      </c>
      <c r="I1686" s="171">
        <f t="shared" si="412"/>
        <v>124467.63599999994</v>
      </c>
      <c r="J1686" s="170">
        <f t="shared" si="413"/>
        <v>983973.89266669005</v>
      </c>
    </row>
    <row r="1687" spans="2:10" ht="12.65" customHeight="1">
      <c r="B1687" s="33">
        <f t="shared" si="428"/>
        <v>45446</v>
      </c>
      <c r="C1687" s="41">
        <f>95165494.808</f>
        <v>95165494.807999998</v>
      </c>
      <c r="D1687" s="47">
        <f>332932.07+95735215.64</f>
        <v>96068147.709999993</v>
      </c>
      <c r="E1687" s="170">
        <f t="shared" si="429"/>
        <v>902652.90199999511</v>
      </c>
      <c r="G1687" s="173">
        <f>3221573.23866667</f>
        <v>3221573.2386666699</v>
      </c>
      <c r="H1687" s="47">
        <f>3615000.33+0</f>
        <v>3615000.33</v>
      </c>
      <c r="I1687" s="171">
        <f t="shared" si="412"/>
        <v>393427.09133333014</v>
      </c>
      <c r="J1687" s="170">
        <f t="shared" si="413"/>
        <v>1296079.9933333253</v>
      </c>
    </row>
    <row r="1688" spans="2:10" ht="12.65" customHeight="1">
      <c r="B1688" s="33">
        <f t="shared" si="428"/>
        <v>45447</v>
      </c>
      <c r="C1688" s="41">
        <f t="shared" ref="C1688:C1696" si="437">95165494.808</f>
        <v>95165494.807999998</v>
      </c>
      <c r="D1688" s="47">
        <f>332932.07+95735215.64</f>
        <v>96068147.709999993</v>
      </c>
      <c r="E1688" s="170">
        <f t="shared" si="429"/>
        <v>902652.90199999511</v>
      </c>
      <c r="G1688" s="173">
        <f t="shared" ref="G1688:G1696" si="438">3221573.23866667</f>
        <v>3221573.2386666699</v>
      </c>
      <c r="H1688" s="47">
        <f>3615000.33+0</f>
        <v>3615000.33</v>
      </c>
      <c r="I1688" s="171">
        <f t="shared" si="412"/>
        <v>393427.09133333014</v>
      </c>
      <c r="J1688" s="170">
        <f t="shared" si="413"/>
        <v>1296079.9933333253</v>
      </c>
    </row>
    <row r="1689" spans="2:10" ht="12.65" customHeight="1">
      <c r="B1689" s="33">
        <f t="shared" si="428"/>
        <v>45448</v>
      </c>
      <c r="C1689" s="41">
        <f t="shared" si="437"/>
        <v>95165494.807999998</v>
      </c>
      <c r="D1689" s="47">
        <f>332932.07+95735215.64</f>
        <v>96068147.709999993</v>
      </c>
      <c r="E1689" s="170">
        <f t="shared" si="429"/>
        <v>902652.90199999511</v>
      </c>
      <c r="G1689" s="173">
        <f t="shared" si="438"/>
        <v>3221573.2386666699</v>
      </c>
      <c r="H1689" s="47">
        <f t="shared" ref="H1689:H1696" si="439">3415000.33+0</f>
        <v>3415000.33</v>
      </c>
      <c r="I1689" s="171">
        <f t="shared" si="412"/>
        <v>193427.09133333014</v>
      </c>
      <c r="J1689" s="170">
        <f t="shared" si="413"/>
        <v>1096079.9933333253</v>
      </c>
    </row>
    <row r="1690" spans="2:10" ht="12.65" customHeight="1">
      <c r="B1690" s="33">
        <f t="shared" si="428"/>
        <v>45449</v>
      </c>
      <c r="C1690" s="41">
        <f t="shared" si="437"/>
        <v>95165494.807999998</v>
      </c>
      <c r="D1690" s="47">
        <f>332932.07+95735215.64</f>
        <v>96068147.709999993</v>
      </c>
      <c r="E1690" s="170">
        <f t="shared" si="429"/>
        <v>902652.90199999511</v>
      </c>
      <c r="G1690" s="173">
        <f t="shared" si="438"/>
        <v>3221573.2386666699</v>
      </c>
      <c r="H1690" s="47">
        <f t="shared" si="439"/>
        <v>3415000.33</v>
      </c>
      <c r="I1690" s="171">
        <f t="shared" si="412"/>
        <v>193427.09133333014</v>
      </c>
      <c r="J1690" s="170">
        <f t="shared" si="413"/>
        <v>1096079.9933333253</v>
      </c>
    </row>
    <row r="1691" spans="2:10" ht="12.65" customHeight="1">
      <c r="B1691" s="33">
        <f t="shared" si="428"/>
        <v>45450</v>
      </c>
      <c r="C1691" s="41">
        <f t="shared" si="437"/>
        <v>95165494.807999998</v>
      </c>
      <c r="D1691" s="47">
        <f>332932.07+95735215.64</f>
        <v>96068147.709999993</v>
      </c>
      <c r="E1691" s="170">
        <f t="shared" si="429"/>
        <v>902652.90199999511</v>
      </c>
      <c r="G1691" s="173">
        <f t="shared" si="438"/>
        <v>3221573.2386666699</v>
      </c>
      <c r="H1691" s="47">
        <f t="shared" si="439"/>
        <v>3415000.33</v>
      </c>
      <c r="I1691" s="171">
        <f t="shared" si="412"/>
        <v>193427.09133333014</v>
      </c>
      <c r="J1691" s="170">
        <f t="shared" si="413"/>
        <v>1096079.9933333253</v>
      </c>
    </row>
    <row r="1692" spans="2:10" ht="12.65" customHeight="1">
      <c r="B1692" s="33">
        <f t="shared" si="428"/>
        <v>45453</v>
      </c>
      <c r="C1692" s="41">
        <f t="shared" si="437"/>
        <v>95165494.807999998</v>
      </c>
      <c r="D1692" s="47">
        <f>332932.07+95735215.6</f>
        <v>96068147.669999987</v>
      </c>
      <c r="E1692" s="170">
        <f t="shared" si="429"/>
        <v>902652.86199998856</v>
      </c>
      <c r="G1692" s="173">
        <f t="shared" si="438"/>
        <v>3221573.2386666699</v>
      </c>
      <c r="H1692" s="47">
        <f t="shared" si="439"/>
        <v>3415000.33</v>
      </c>
      <c r="I1692" s="171">
        <f t="shared" si="412"/>
        <v>193427.09133333014</v>
      </c>
      <c r="J1692" s="170">
        <f t="shared" si="413"/>
        <v>1096079.9533333187</v>
      </c>
    </row>
    <row r="1693" spans="2:10" ht="12.65" customHeight="1">
      <c r="B1693" s="33">
        <f t="shared" si="428"/>
        <v>45454</v>
      </c>
      <c r="C1693" s="41">
        <f t="shared" si="437"/>
        <v>95165494.807999998</v>
      </c>
      <c r="D1693" s="47">
        <f>332932.07+95735215.64</f>
        <v>96068147.709999993</v>
      </c>
      <c r="E1693" s="170">
        <f t="shared" si="429"/>
        <v>902652.90199999511</v>
      </c>
      <c r="G1693" s="173">
        <f t="shared" si="438"/>
        <v>3221573.2386666699</v>
      </c>
      <c r="H1693" s="47">
        <f t="shared" si="439"/>
        <v>3415000.33</v>
      </c>
      <c r="I1693" s="171">
        <f t="shared" si="412"/>
        <v>193427.09133333014</v>
      </c>
      <c r="J1693" s="170">
        <f t="shared" si="413"/>
        <v>1096079.9933333253</v>
      </c>
    </row>
    <row r="1694" spans="2:10" ht="12.65" customHeight="1">
      <c r="B1694" s="33">
        <f t="shared" si="428"/>
        <v>45455</v>
      </c>
      <c r="C1694" s="41">
        <f t="shared" si="437"/>
        <v>95165494.807999998</v>
      </c>
      <c r="D1694" s="47">
        <f>332932.07+95735215.64</f>
        <v>96068147.709999993</v>
      </c>
      <c r="E1694" s="170">
        <f t="shared" si="429"/>
        <v>902652.90199999511</v>
      </c>
      <c r="G1694" s="173">
        <f t="shared" si="438"/>
        <v>3221573.2386666699</v>
      </c>
      <c r="H1694" s="47">
        <f t="shared" si="439"/>
        <v>3415000.33</v>
      </c>
      <c r="I1694" s="171">
        <f t="shared" ref="I1694:I1751" si="440">H1694-G1694</f>
        <v>193427.09133333014</v>
      </c>
      <c r="J1694" s="170">
        <f t="shared" ref="J1694:J1727" si="441">E1694+I1694</f>
        <v>1096079.9933333253</v>
      </c>
    </row>
    <row r="1695" spans="2:10" ht="12.65" customHeight="1">
      <c r="B1695" s="33">
        <f t="shared" si="428"/>
        <v>45456</v>
      </c>
      <c r="C1695" s="41">
        <f t="shared" si="437"/>
        <v>95165494.807999998</v>
      </c>
      <c r="D1695" s="47">
        <f>332932.07+95735215.64</f>
        <v>96068147.709999993</v>
      </c>
      <c r="E1695" s="170">
        <f t="shared" si="429"/>
        <v>902652.90199999511</v>
      </c>
      <c r="G1695" s="173">
        <f t="shared" si="438"/>
        <v>3221573.2386666699</v>
      </c>
      <c r="H1695" s="47">
        <f t="shared" si="439"/>
        <v>3415000.33</v>
      </c>
      <c r="I1695" s="171">
        <f t="shared" si="440"/>
        <v>193427.09133333014</v>
      </c>
      <c r="J1695" s="170">
        <f t="shared" si="441"/>
        <v>1096079.9933333253</v>
      </c>
    </row>
    <row r="1696" spans="2:10" ht="12.65" customHeight="1">
      <c r="B1696" s="33">
        <f t="shared" si="428"/>
        <v>45457</v>
      </c>
      <c r="C1696" s="41">
        <f t="shared" si="437"/>
        <v>95165494.807999998</v>
      </c>
      <c r="D1696" s="47">
        <f>332932.07+95735215.64</f>
        <v>96068147.709999993</v>
      </c>
      <c r="E1696" s="170">
        <f t="shared" si="429"/>
        <v>902652.90199999511</v>
      </c>
      <c r="G1696" s="173">
        <f t="shared" si="438"/>
        <v>3221573.2386666699</v>
      </c>
      <c r="H1696" s="47">
        <f t="shared" si="439"/>
        <v>3415000.33</v>
      </c>
      <c r="I1696" s="171">
        <f t="shared" si="440"/>
        <v>193427.09133333014</v>
      </c>
      <c r="J1696" s="170">
        <f t="shared" si="441"/>
        <v>1096079.9933333253</v>
      </c>
    </row>
    <row r="1697" spans="2:10" s="1385" customFormat="1" ht="12.65" customHeight="1">
      <c r="B1697" s="1377">
        <f>WORKDAY(B1696,2)</f>
        <v>45461</v>
      </c>
      <c r="C1697" s="1386">
        <f>95355006.18</f>
        <v>95355006.180000007</v>
      </c>
      <c r="D1697" s="1387">
        <v>96068147.709999993</v>
      </c>
      <c r="E1697" s="1388">
        <f t="shared" si="429"/>
        <v>713141.52999998629</v>
      </c>
      <c r="F1697" s="1389"/>
      <c r="G1697" s="1390">
        <f>3144371.06875</f>
        <v>3144371.0687500001</v>
      </c>
      <c r="H1697" s="1387">
        <v>3415000.33</v>
      </c>
      <c r="I1697" s="1391">
        <f t="shared" si="440"/>
        <v>270629.26124999998</v>
      </c>
      <c r="J1697" s="1388">
        <f t="shared" si="441"/>
        <v>983770.79124998627</v>
      </c>
    </row>
    <row r="1698" spans="2:10" ht="12.65" customHeight="1">
      <c r="B1698" s="33">
        <f t="shared" si="428"/>
        <v>45462</v>
      </c>
      <c r="C1698" s="41">
        <f t="shared" ref="C1698:C1706" si="442">95355006.18</f>
        <v>95355006.180000007</v>
      </c>
      <c r="D1698" s="47">
        <f t="shared" ref="D1698:D1706" si="443">332932.07+95735215.64</f>
        <v>96068147.709999993</v>
      </c>
      <c r="E1698" s="170">
        <f t="shared" si="429"/>
        <v>713141.52999998629</v>
      </c>
      <c r="G1698" s="173">
        <f t="shared" ref="G1698:G1706" si="444">3144371.06875</f>
        <v>3144371.0687500001</v>
      </c>
      <c r="H1698" s="47">
        <f t="shared" ref="H1698:H1710" si="445">3415000.33+0</f>
        <v>3415000.33</v>
      </c>
      <c r="I1698" s="171">
        <f t="shared" si="440"/>
        <v>270629.26124999998</v>
      </c>
      <c r="J1698" s="170">
        <f t="shared" si="441"/>
        <v>983770.79124998627</v>
      </c>
    </row>
    <row r="1699" spans="2:10" ht="12.65" customHeight="1">
      <c r="B1699" s="33">
        <f t="shared" si="428"/>
        <v>45463</v>
      </c>
      <c r="C1699" s="41">
        <f t="shared" si="442"/>
        <v>95355006.180000007</v>
      </c>
      <c r="D1699" s="47">
        <f t="shared" si="443"/>
        <v>96068147.709999993</v>
      </c>
      <c r="E1699" s="170">
        <f t="shared" si="429"/>
        <v>713141.52999998629</v>
      </c>
      <c r="G1699" s="173">
        <f t="shared" si="444"/>
        <v>3144371.0687500001</v>
      </c>
      <c r="H1699" s="47">
        <f t="shared" si="445"/>
        <v>3415000.33</v>
      </c>
      <c r="I1699" s="171">
        <f t="shared" si="440"/>
        <v>270629.26124999998</v>
      </c>
      <c r="J1699" s="170">
        <f t="shared" si="441"/>
        <v>983770.79124998627</v>
      </c>
    </row>
    <row r="1700" spans="2:10" ht="12.65" customHeight="1">
      <c r="B1700" s="33">
        <f t="shared" si="428"/>
        <v>45464</v>
      </c>
      <c r="C1700" s="41">
        <f t="shared" si="442"/>
        <v>95355006.180000007</v>
      </c>
      <c r="D1700" s="47">
        <f t="shared" si="443"/>
        <v>96068147.709999993</v>
      </c>
      <c r="E1700" s="170">
        <f t="shared" si="429"/>
        <v>713141.52999998629</v>
      </c>
      <c r="G1700" s="173">
        <f t="shared" si="444"/>
        <v>3144371.0687500001</v>
      </c>
      <c r="H1700" s="47">
        <f t="shared" si="445"/>
        <v>3415000.33</v>
      </c>
      <c r="I1700" s="171">
        <f t="shared" si="440"/>
        <v>270629.26124999998</v>
      </c>
      <c r="J1700" s="170">
        <f t="shared" si="441"/>
        <v>983770.79124998627</v>
      </c>
    </row>
    <row r="1701" spans="2:10" ht="12.65" customHeight="1">
      <c r="B1701" s="33">
        <f t="shared" si="428"/>
        <v>45467</v>
      </c>
      <c r="C1701" s="41">
        <f t="shared" si="442"/>
        <v>95355006.180000007</v>
      </c>
      <c r="D1701" s="47">
        <f t="shared" si="443"/>
        <v>96068147.709999993</v>
      </c>
      <c r="E1701" s="170">
        <f t="shared" si="429"/>
        <v>713141.52999998629</v>
      </c>
      <c r="G1701" s="173">
        <f t="shared" si="444"/>
        <v>3144371.0687500001</v>
      </c>
      <c r="H1701" s="47">
        <f t="shared" si="445"/>
        <v>3415000.33</v>
      </c>
      <c r="I1701" s="171">
        <f t="shared" si="440"/>
        <v>270629.26124999998</v>
      </c>
      <c r="J1701" s="170">
        <f t="shared" si="441"/>
        <v>983770.79124998627</v>
      </c>
    </row>
    <row r="1702" spans="2:10" ht="12.65" customHeight="1">
      <c r="B1702" s="33">
        <f t="shared" si="428"/>
        <v>45468</v>
      </c>
      <c r="C1702" s="41">
        <f t="shared" si="442"/>
        <v>95355006.180000007</v>
      </c>
      <c r="D1702" s="47">
        <f t="shared" si="443"/>
        <v>96068147.709999993</v>
      </c>
      <c r="E1702" s="170">
        <f t="shared" si="429"/>
        <v>713141.52999998629</v>
      </c>
      <c r="G1702" s="173">
        <f t="shared" si="444"/>
        <v>3144371.0687500001</v>
      </c>
      <c r="H1702" s="47">
        <f t="shared" si="445"/>
        <v>3415000.33</v>
      </c>
      <c r="I1702" s="171">
        <f t="shared" si="440"/>
        <v>270629.26124999998</v>
      </c>
      <c r="J1702" s="170">
        <f t="shared" si="441"/>
        <v>983770.79124998627</v>
      </c>
    </row>
    <row r="1703" spans="2:10" ht="12.65" customHeight="1">
      <c r="B1703" s="33">
        <f t="shared" si="428"/>
        <v>45469</v>
      </c>
      <c r="C1703" s="41">
        <f t="shared" si="442"/>
        <v>95355006.180000007</v>
      </c>
      <c r="D1703" s="47">
        <f t="shared" si="443"/>
        <v>96068147.709999993</v>
      </c>
      <c r="E1703" s="170">
        <f t="shared" si="429"/>
        <v>713141.52999998629</v>
      </c>
      <c r="G1703" s="173">
        <f t="shared" si="444"/>
        <v>3144371.0687500001</v>
      </c>
      <c r="H1703" s="47">
        <f t="shared" si="445"/>
        <v>3415000.33</v>
      </c>
      <c r="I1703" s="171">
        <f t="shared" si="440"/>
        <v>270629.26124999998</v>
      </c>
      <c r="J1703" s="170">
        <f t="shared" si="441"/>
        <v>983770.79124998627</v>
      </c>
    </row>
    <row r="1704" spans="2:10" ht="12.65" customHeight="1">
      <c r="B1704" s="33">
        <f t="shared" si="428"/>
        <v>45470</v>
      </c>
      <c r="C1704" s="41">
        <f t="shared" si="442"/>
        <v>95355006.180000007</v>
      </c>
      <c r="D1704" s="47">
        <f t="shared" si="443"/>
        <v>96068147.709999993</v>
      </c>
      <c r="E1704" s="170">
        <f t="shared" si="429"/>
        <v>713141.52999998629</v>
      </c>
      <c r="G1704" s="173">
        <f t="shared" si="444"/>
        <v>3144371.0687500001</v>
      </c>
      <c r="H1704" s="47">
        <f t="shared" si="445"/>
        <v>3415000.33</v>
      </c>
      <c r="I1704" s="171">
        <f t="shared" si="440"/>
        <v>270629.26124999998</v>
      </c>
      <c r="J1704" s="170">
        <f t="shared" si="441"/>
        <v>983770.79124998627</v>
      </c>
    </row>
    <row r="1705" spans="2:10" ht="12.65" customHeight="1">
      <c r="B1705" s="33">
        <f t="shared" si="428"/>
        <v>45471</v>
      </c>
      <c r="C1705" s="41">
        <f t="shared" si="442"/>
        <v>95355006.180000007</v>
      </c>
      <c r="D1705" s="47">
        <f t="shared" si="443"/>
        <v>96068147.709999993</v>
      </c>
      <c r="E1705" s="170">
        <f t="shared" si="429"/>
        <v>713141.52999998629</v>
      </c>
      <c r="G1705" s="173">
        <f t="shared" si="444"/>
        <v>3144371.0687500001</v>
      </c>
      <c r="H1705" s="47">
        <f t="shared" si="445"/>
        <v>3415000.33</v>
      </c>
      <c r="I1705" s="171">
        <f t="shared" si="440"/>
        <v>270629.26124999998</v>
      </c>
      <c r="J1705" s="170">
        <f t="shared" si="441"/>
        <v>983770.79124998627</v>
      </c>
    </row>
    <row r="1706" spans="2:10" s="1385" customFormat="1" ht="12.65" customHeight="1">
      <c r="B1706" s="1377">
        <f>WORKDAY(B1705,1)-1</f>
        <v>45473</v>
      </c>
      <c r="C1706" s="1386">
        <f t="shared" si="442"/>
        <v>95355006.180000007</v>
      </c>
      <c r="D1706" s="1387">
        <f t="shared" si="443"/>
        <v>96068147.709999993</v>
      </c>
      <c r="E1706" s="1388">
        <f t="shared" ref="E1706" si="446">D1706-C1706</f>
        <v>713141.52999998629</v>
      </c>
      <c r="F1706" s="1389"/>
      <c r="G1706" s="1390">
        <f t="shared" si="444"/>
        <v>3144371.0687500001</v>
      </c>
      <c r="H1706" s="1387">
        <f t="shared" si="445"/>
        <v>3415000.33</v>
      </c>
      <c r="I1706" s="1391">
        <f t="shared" ref="I1706" si="447">H1706-G1706</f>
        <v>270629.26124999998</v>
      </c>
      <c r="J1706" s="1388">
        <f t="shared" ref="J1706" si="448">E1706+I1706</f>
        <v>983770.79124998627</v>
      </c>
    </row>
    <row r="1707" spans="2:10" ht="12.65" customHeight="1">
      <c r="B1707" s="33">
        <f>WORKDAY(B1705,1)</f>
        <v>45474</v>
      </c>
      <c r="C1707" s="41">
        <f>99211150.7093333</f>
        <v>99211150.709333301</v>
      </c>
      <c r="D1707" s="47">
        <f>332932.07+99735215.64</f>
        <v>100068147.70999999</v>
      </c>
      <c r="E1707" s="170">
        <f t="shared" si="429"/>
        <v>856997.00066669285</v>
      </c>
      <c r="G1707" s="173">
        <f>2707553.21066666</f>
        <v>2707553.2106666602</v>
      </c>
      <c r="H1707" s="47">
        <f t="shared" si="445"/>
        <v>3415000.33</v>
      </c>
      <c r="I1707" s="171">
        <f t="shared" si="440"/>
        <v>707447.11933333986</v>
      </c>
      <c r="J1707" s="170">
        <f t="shared" si="441"/>
        <v>1564444.1200000327</v>
      </c>
    </row>
    <row r="1708" spans="2:10" ht="12.65" customHeight="1">
      <c r="B1708" s="33">
        <f t="shared" si="428"/>
        <v>45475</v>
      </c>
      <c r="C1708" s="41">
        <f t="shared" ref="C1708:C1717" si="449">99211150.7093333</f>
        <v>99211150.709333301</v>
      </c>
      <c r="D1708" s="47">
        <f>332932.07+99735215.64</f>
        <v>100068147.70999999</v>
      </c>
      <c r="E1708" s="170">
        <f t="shared" si="429"/>
        <v>856997.00066669285</v>
      </c>
      <c r="G1708" s="173">
        <f t="shared" ref="G1708:G1717" si="450">2707553.21066666</f>
        <v>2707553.2106666602</v>
      </c>
      <c r="H1708" s="47">
        <f t="shared" si="445"/>
        <v>3415000.33</v>
      </c>
      <c r="I1708" s="171">
        <f t="shared" si="440"/>
        <v>707447.11933333986</v>
      </c>
      <c r="J1708" s="170">
        <f t="shared" si="441"/>
        <v>1564444.1200000327</v>
      </c>
    </row>
    <row r="1709" spans="2:10" ht="12.65" customHeight="1">
      <c r="B1709" s="33">
        <f t="shared" si="428"/>
        <v>45476</v>
      </c>
      <c r="C1709" s="41">
        <f t="shared" si="449"/>
        <v>99211150.709333301</v>
      </c>
      <c r="D1709" s="47">
        <f>332932.07+99735215.64</f>
        <v>100068147.70999999</v>
      </c>
      <c r="E1709" s="170">
        <f t="shared" si="429"/>
        <v>856997.00066669285</v>
      </c>
      <c r="G1709" s="173">
        <f t="shared" si="450"/>
        <v>2707553.2106666602</v>
      </c>
      <c r="H1709" s="47">
        <f t="shared" si="445"/>
        <v>3415000.33</v>
      </c>
      <c r="I1709" s="171">
        <f t="shared" si="440"/>
        <v>707447.11933333986</v>
      </c>
      <c r="J1709" s="170">
        <f t="shared" si="441"/>
        <v>1564444.1200000327</v>
      </c>
    </row>
    <row r="1710" spans="2:10" ht="12.65" customHeight="1">
      <c r="B1710" s="33">
        <f t="shared" si="428"/>
        <v>45477</v>
      </c>
      <c r="C1710" s="41">
        <f t="shared" si="449"/>
        <v>99211150.709333301</v>
      </c>
      <c r="D1710" s="47">
        <f>332932.07+99735215.64</f>
        <v>100068147.70999999</v>
      </c>
      <c r="E1710" s="170">
        <f t="shared" si="429"/>
        <v>856997.00066669285</v>
      </c>
      <c r="G1710" s="173">
        <f t="shared" si="450"/>
        <v>2707553.2106666602</v>
      </c>
      <c r="H1710" s="47">
        <f t="shared" si="445"/>
        <v>3415000.33</v>
      </c>
      <c r="I1710" s="171">
        <f t="shared" si="440"/>
        <v>707447.11933333986</v>
      </c>
      <c r="J1710" s="170">
        <f t="shared" si="441"/>
        <v>1564444.1200000327</v>
      </c>
    </row>
    <row r="1711" spans="2:10" ht="12.65" customHeight="1">
      <c r="B1711" s="33">
        <f t="shared" si="428"/>
        <v>45478</v>
      </c>
      <c r="C1711" s="41">
        <f t="shared" si="449"/>
        <v>99211150.709333301</v>
      </c>
      <c r="D1711" s="47">
        <f>357311.23+99735215.64</f>
        <v>100092526.87</v>
      </c>
      <c r="E1711" s="170">
        <f t="shared" si="429"/>
        <v>881376.16066670418</v>
      </c>
      <c r="G1711" s="173">
        <f t="shared" si="450"/>
        <v>2707553.2106666602</v>
      </c>
      <c r="H1711" s="47">
        <f>2915000.33+500000</f>
        <v>3415000.33</v>
      </c>
      <c r="I1711" s="171">
        <f t="shared" si="440"/>
        <v>707447.11933333986</v>
      </c>
      <c r="J1711" s="170">
        <f t="shared" si="441"/>
        <v>1588823.280000044</v>
      </c>
    </row>
    <row r="1712" spans="2:10" ht="12.65" customHeight="1">
      <c r="B1712" s="33">
        <f t="shared" si="428"/>
        <v>45481</v>
      </c>
      <c r="C1712" s="41">
        <f t="shared" si="449"/>
        <v>99211150.709333301</v>
      </c>
      <c r="D1712" s="47">
        <f>357311.23+99735215.64</f>
        <v>100092526.87</v>
      </c>
      <c r="E1712" s="170">
        <f t="shared" si="429"/>
        <v>881376.16066670418</v>
      </c>
      <c r="G1712" s="173">
        <f t="shared" si="450"/>
        <v>2707553.2106666602</v>
      </c>
      <c r="H1712" s="47">
        <f>2915000.33+500000</f>
        <v>3415000.33</v>
      </c>
      <c r="I1712" s="171">
        <f t="shared" si="440"/>
        <v>707447.11933333986</v>
      </c>
      <c r="J1712" s="170">
        <f t="shared" si="441"/>
        <v>1588823.280000044</v>
      </c>
    </row>
    <row r="1713" spans="2:10" ht="12.65" customHeight="1">
      <c r="B1713" s="33">
        <f t="shared" si="428"/>
        <v>45482</v>
      </c>
      <c r="C1713" s="41">
        <f t="shared" si="449"/>
        <v>99211150.709333301</v>
      </c>
      <c r="D1713" s="47">
        <f>357311.23+99735215.64</f>
        <v>100092526.87</v>
      </c>
      <c r="E1713" s="170">
        <f t="shared" si="429"/>
        <v>881376.16066670418</v>
      </c>
      <c r="G1713" s="173">
        <f t="shared" si="450"/>
        <v>2707553.2106666602</v>
      </c>
      <c r="H1713" s="47">
        <f t="shared" ref="H1713:H1718" si="451">2915000.33</f>
        <v>2915000.33</v>
      </c>
      <c r="I1713" s="171">
        <f t="shared" si="440"/>
        <v>207447.11933333986</v>
      </c>
      <c r="J1713" s="170">
        <f t="shared" si="441"/>
        <v>1088823.280000044</v>
      </c>
    </row>
    <row r="1714" spans="2:10" ht="12.65" customHeight="1">
      <c r="B1714" s="33">
        <f t="shared" si="428"/>
        <v>45483</v>
      </c>
      <c r="C1714" s="41">
        <f t="shared" si="449"/>
        <v>99211150.709333301</v>
      </c>
      <c r="D1714" s="47">
        <f>5357311.23+99735215.64</f>
        <v>105092526.87</v>
      </c>
      <c r="E1714" s="170">
        <f t="shared" si="429"/>
        <v>5881376.1606667042</v>
      </c>
      <c r="G1714" s="173">
        <f t="shared" si="450"/>
        <v>2707553.2106666602</v>
      </c>
      <c r="H1714" s="47">
        <f t="shared" si="451"/>
        <v>2915000.33</v>
      </c>
      <c r="I1714" s="171">
        <f t="shared" si="440"/>
        <v>207447.11933333986</v>
      </c>
      <c r="J1714" s="170">
        <f t="shared" si="441"/>
        <v>6088823.280000044</v>
      </c>
    </row>
    <row r="1715" spans="2:10" ht="12.65" customHeight="1">
      <c r="B1715" s="33">
        <f t="shared" si="428"/>
        <v>45484</v>
      </c>
      <c r="C1715" s="41">
        <f t="shared" si="449"/>
        <v>99211150.709333301</v>
      </c>
      <c r="D1715" s="47">
        <f>382516.85+99735215.64</f>
        <v>100117732.48999999</v>
      </c>
      <c r="E1715" s="170">
        <f t="shared" si="429"/>
        <v>906581.78066669405</v>
      </c>
      <c r="G1715" s="173">
        <f t="shared" si="450"/>
        <v>2707553.2106666602</v>
      </c>
      <c r="H1715" s="47">
        <f t="shared" si="451"/>
        <v>2915000.33</v>
      </c>
      <c r="I1715" s="171">
        <f t="shared" si="440"/>
        <v>207447.11933333986</v>
      </c>
      <c r="J1715" s="170">
        <f t="shared" si="441"/>
        <v>1114028.9000000339</v>
      </c>
    </row>
    <row r="1716" spans="2:10" ht="12.65" customHeight="1">
      <c r="B1716" s="33">
        <f t="shared" si="428"/>
        <v>45485</v>
      </c>
      <c r="C1716" s="41">
        <f t="shared" si="449"/>
        <v>99211150.709333301</v>
      </c>
      <c r="D1716" s="47">
        <f>382516.85+99735215.64</f>
        <v>100117732.48999999</v>
      </c>
      <c r="E1716" s="170">
        <f t="shared" si="429"/>
        <v>906581.78066669405</v>
      </c>
      <c r="G1716" s="173">
        <f t="shared" si="450"/>
        <v>2707553.2106666602</v>
      </c>
      <c r="H1716" s="47">
        <f t="shared" si="451"/>
        <v>2915000.33</v>
      </c>
      <c r="I1716" s="171">
        <f t="shared" si="440"/>
        <v>207447.11933333986</v>
      </c>
      <c r="J1716" s="170">
        <f t="shared" si="441"/>
        <v>1114028.9000000339</v>
      </c>
    </row>
    <row r="1717" spans="2:10" ht="12.65" customHeight="1">
      <c r="B1717" s="33">
        <f t="shared" si="428"/>
        <v>45488</v>
      </c>
      <c r="C1717" s="41">
        <f t="shared" si="449"/>
        <v>99211150.709333301</v>
      </c>
      <c r="D1717" s="47">
        <f>382516.85+99745400.64</f>
        <v>100127917.48999999</v>
      </c>
      <c r="E1717" s="170">
        <f t="shared" si="429"/>
        <v>916766.78066669405</v>
      </c>
      <c r="G1717" s="173">
        <f t="shared" si="450"/>
        <v>2707553.2106666602</v>
      </c>
      <c r="H1717" s="47">
        <f t="shared" si="451"/>
        <v>2915000.33</v>
      </c>
      <c r="I1717" s="171">
        <f t="shared" si="440"/>
        <v>207447.11933333986</v>
      </c>
      <c r="J1717" s="170">
        <f t="shared" si="441"/>
        <v>1124213.9000000339</v>
      </c>
    </row>
    <row r="1718" spans="2:10" ht="12.65" customHeight="1">
      <c r="B1718" s="33">
        <f t="shared" si="428"/>
        <v>45489</v>
      </c>
      <c r="C1718" s="41">
        <f>100672683.242667</f>
        <v>100672683.242667</v>
      </c>
      <c r="D1718" s="47">
        <f>382516.85+101145400.64</f>
        <v>101527917.48999999</v>
      </c>
      <c r="E1718" s="170">
        <f t="shared" si="429"/>
        <v>855234.24733299017</v>
      </c>
      <c r="G1718" s="173">
        <f>2893026.90666667</f>
        <v>2893026.90666667</v>
      </c>
      <c r="H1718" s="47">
        <f t="shared" si="451"/>
        <v>2915000.33</v>
      </c>
      <c r="I1718" s="171">
        <f t="shared" si="440"/>
        <v>21973.42333333008</v>
      </c>
      <c r="J1718" s="170">
        <f t="shared" si="441"/>
        <v>877207.67066632025</v>
      </c>
    </row>
    <row r="1719" spans="2:10" ht="12.65" customHeight="1">
      <c r="B1719" s="33">
        <f t="shared" ref="B1719:B1760" si="452">WORKDAY(B1718,1)</f>
        <v>45490</v>
      </c>
      <c r="C1719" s="41">
        <f t="shared" ref="C1719:C1729" si="453">100672683.242667</f>
        <v>100672683.242667</v>
      </c>
      <c r="D1719" s="47">
        <f t="shared" ref="D1719:D1725" si="454">382516.85+101135215.64</f>
        <v>101517732.48999999</v>
      </c>
      <c r="E1719" s="170">
        <f t="shared" ref="E1719:E1773" si="455">D1719-C1719</f>
        <v>845049.24733299017</v>
      </c>
      <c r="G1719" s="173">
        <f t="shared" ref="G1719:G1729" si="456">2893026.90666667</f>
        <v>2893026.90666667</v>
      </c>
      <c r="H1719" s="47">
        <f t="shared" ref="H1719:H1726" si="457">3015000.33+0</f>
        <v>3015000.33</v>
      </c>
      <c r="I1719" s="171">
        <f t="shared" si="440"/>
        <v>121973.42333333008</v>
      </c>
      <c r="J1719" s="170">
        <f t="shared" si="441"/>
        <v>967022.67066632025</v>
      </c>
    </row>
    <row r="1720" spans="2:10" ht="12.65" customHeight="1">
      <c r="B1720" s="33">
        <f t="shared" si="452"/>
        <v>45491</v>
      </c>
      <c r="C1720" s="41">
        <f t="shared" si="453"/>
        <v>100672683.242667</v>
      </c>
      <c r="D1720" s="47">
        <f t="shared" si="454"/>
        <v>101517732.48999999</v>
      </c>
      <c r="E1720" s="170">
        <f t="shared" si="455"/>
        <v>845049.24733299017</v>
      </c>
      <c r="G1720" s="173">
        <f t="shared" si="456"/>
        <v>2893026.90666667</v>
      </c>
      <c r="H1720" s="47">
        <f t="shared" si="457"/>
        <v>3015000.33</v>
      </c>
      <c r="I1720" s="171">
        <f t="shared" si="440"/>
        <v>121973.42333333008</v>
      </c>
      <c r="J1720" s="170">
        <f t="shared" si="441"/>
        <v>967022.67066632025</v>
      </c>
    </row>
    <row r="1721" spans="2:10" ht="12.65" customHeight="1">
      <c r="B1721" s="33">
        <f t="shared" si="452"/>
        <v>45492</v>
      </c>
      <c r="C1721" s="41">
        <f t="shared" si="453"/>
        <v>100672683.242667</v>
      </c>
      <c r="D1721" s="47">
        <f t="shared" si="454"/>
        <v>101517732.48999999</v>
      </c>
      <c r="E1721" s="170">
        <f t="shared" si="455"/>
        <v>845049.24733299017</v>
      </c>
      <c r="G1721" s="173">
        <f t="shared" si="456"/>
        <v>2893026.90666667</v>
      </c>
      <c r="H1721" s="47">
        <f t="shared" si="457"/>
        <v>3015000.33</v>
      </c>
      <c r="I1721" s="171">
        <f t="shared" si="440"/>
        <v>121973.42333333008</v>
      </c>
      <c r="J1721" s="170">
        <f t="shared" si="441"/>
        <v>967022.67066632025</v>
      </c>
    </row>
    <row r="1722" spans="2:10" ht="12.65" customHeight="1">
      <c r="B1722" s="33">
        <f t="shared" si="452"/>
        <v>45495</v>
      </c>
      <c r="C1722" s="41">
        <f t="shared" si="453"/>
        <v>100672683.242667</v>
      </c>
      <c r="D1722" s="47">
        <f t="shared" si="454"/>
        <v>101517732.48999999</v>
      </c>
      <c r="E1722" s="170">
        <f t="shared" si="455"/>
        <v>845049.24733299017</v>
      </c>
      <c r="G1722" s="173">
        <f t="shared" si="456"/>
        <v>2893026.90666667</v>
      </c>
      <c r="H1722" s="47">
        <f t="shared" si="457"/>
        <v>3015000.33</v>
      </c>
      <c r="I1722" s="171">
        <f t="shared" si="440"/>
        <v>121973.42333333008</v>
      </c>
      <c r="J1722" s="170">
        <f t="shared" si="441"/>
        <v>967022.67066632025</v>
      </c>
    </row>
    <row r="1723" spans="2:10" ht="12.65" customHeight="1">
      <c r="B1723" s="33">
        <f t="shared" si="452"/>
        <v>45496</v>
      </c>
      <c r="C1723" s="41">
        <f t="shared" si="453"/>
        <v>100672683.242667</v>
      </c>
      <c r="D1723" s="47">
        <f t="shared" si="454"/>
        <v>101517732.48999999</v>
      </c>
      <c r="E1723" s="170">
        <f t="shared" si="455"/>
        <v>845049.24733299017</v>
      </c>
      <c r="G1723" s="173">
        <f t="shared" si="456"/>
        <v>2893026.90666667</v>
      </c>
      <c r="H1723" s="47">
        <f t="shared" si="457"/>
        <v>3015000.33</v>
      </c>
      <c r="I1723" s="171">
        <f t="shared" si="440"/>
        <v>121973.42333333008</v>
      </c>
      <c r="J1723" s="170">
        <f t="shared" si="441"/>
        <v>967022.67066632025</v>
      </c>
    </row>
    <row r="1724" spans="2:10" ht="12.65" customHeight="1">
      <c r="B1724" s="33">
        <f t="shared" si="452"/>
        <v>45497</v>
      </c>
      <c r="C1724" s="41">
        <f t="shared" si="453"/>
        <v>100672683.242667</v>
      </c>
      <c r="D1724" s="47">
        <f t="shared" si="454"/>
        <v>101517732.48999999</v>
      </c>
      <c r="E1724" s="170">
        <f t="shared" si="455"/>
        <v>845049.24733299017</v>
      </c>
      <c r="G1724" s="173">
        <f t="shared" si="456"/>
        <v>2893026.90666667</v>
      </c>
      <c r="H1724" s="47">
        <f t="shared" si="457"/>
        <v>3015000.33</v>
      </c>
      <c r="I1724" s="171">
        <f t="shared" si="440"/>
        <v>121973.42333333008</v>
      </c>
      <c r="J1724" s="170">
        <f t="shared" si="441"/>
        <v>967022.67066632025</v>
      </c>
    </row>
    <row r="1725" spans="2:10" ht="12.65" customHeight="1">
      <c r="B1725" s="33">
        <f t="shared" si="452"/>
        <v>45498</v>
      </c>
      <c r="C1725" s="41">
        <f t="shared" si="453"/>
        <v>100672683.242667</v>
      </c>
      <c r="D1725" s="47">
        <f t="shared" si="454"/>
        <v>101517732.48999999</v>
      </c>
      <c r="E1725" s="170">
        <f t="shared" si="455"/>
        <v>845049.24733299017</v>
      </c>
      <c r="G1725" s="173">
        <f t="shared" si="456"/>
        <v>2893026.90666667</v>
      </c>
      <c r="H1725" s="47">
        <f t="shared" si="457"/>
        <v>3015000.33</v>
      </c>
      <c r="I1725" s="171">
        <f t="shared" si="440"/>
        <v>121973.42333333008</v>
      </c>
      <c r="J1725" s="170">
        <f t="shared" si="441"/>
        <v>967022.67066632025</v>
      </c>
    </row>
    <row r="1726" spans="2:10" ht="12.65" customHeight="1">
      <c r="B1726" s="33">
        <f t="shared" si="452"/>
        <v>45499</v>
      </c>
      <c r="C1726" s="41">
        <f t="shared" si="453"/>
        <v>100672683.242667</v>
      </c>
      <c r="D1726" s="47">
        <f>382516.85+101135215.64</f>
        <v>101517732.48999999</v>
      </c>
      <c r="E1726" s="170">
        <f t="shared" si="455"/>
        <v>845049.24733299017</v>
      </c>
      <c r="G1726" s="173">
        <f t="shared" si="456"/>
        <v>2893026.90666667</v>
      </c>
      <c r="H1726" s="47">
        <f t="shared" si="457"/>
        <v>3015000.33</v>
      </c>
      <c r="I1726" s="171">
        <f t="shared" si="440"/>
        <v>121973.42333333008</v>
      </c>
      <c r="J1726" s="170">
        <f t="shared" si="441"/>
        <v>967022.67066632025</v>
      </c>
    </row>
    <row r="1727" spans="2:10" ht="12.65" customHeight="1">
      <c r="B1727" s="33">
        <f t="shared" si="452"/>
        <v>45502</v>
      </c>
      <c r="C1727" s="41">
        <f t="shared" si="453"/>
        <v>100672683.242667</v>
      </c>
      <c r="D1727" s="47">
        <f>382516.85+101135215.64</f>
        <v>101517732.48999999</v>
      </c>
      <c r="E1727" s="170">
        <f t="shared" si="455"/>
        <v>845049.24733299017</v>
      </c>
      <c r="G1727" s="173">
        <f t="shared" si="456"/>
        <v>2893026.90666667</v>
      </c>
      <c r="H1727" s="47">
        <f>3015000.33</f>
        <v>3015000.33</v>
      </c>
      <c r="I1727" s="171">
        <f t="shared" si="440"/>
        <v>121973.42333333008</v>
      </c>
      <c r="J1727" s="170">
        <f t="shared" si="441"/>
        <v>967022.67066632025</v>
      </c>
    </row>
    <row r="1728" spans="2:10" ht="12.65" customHeight="1">
      <c r="B1728" s="33">
        <f t="shared" si="452"/>
        <v>45503</v>
      </c>
      <c r="C1728" s="41">
        <f t="shared" si="453"/>
        <v>100672683.242667</v>
      </c>
      <c r="D1728" s="47">
        <f>382516.85+101135215.64</f>
        <v>101517732.48999999</v>
      </c>
      <c r="E1728" s="170">
        <f t="shared" si="455"/>
        <v>845049.24733299017</v>
      </c>
      <c r="G1728" s="173">
        <f t="shared" si="456"/>
        <v>2893026.90666667</v>
      </c>
      <c r="H1728" s="47">
        <f>3015000.33</f>
        <v>3015000.33</v>
      </c>
      <c r="I1728" s="171">
        <f t="shared" si="440"/>
        <v>121973.42333333008</v>
      </c>
      <c r="J1728" s="170">
        <f>E1728+I1728</f>
        <v>967022.67066632025</v>
      </c>
    </row>
    <row r="1729" spans="2:10" ht="12.65" customHeight="1">
      <c r="B1729" s="33">
        <f t="shared" si="452"/>
        <v>45504</v>
      </c>
      <c r="C1729" s="41">
        <f t="shared" si="453"/>
        <v>100672683.242667</v>
      </c>
      <c r="D1729" s="47">
        <f>382516.85+101135215.64</f>
        <v>101517732.48999999</v>
      </c>
      <c r="E1729" s="170">
        <f t="shared" si="455"/>
        <v>845049.24733299017</v>
      </c>
      <c r="G1729" s="173">
        <f t="shared" si="456"/>
        <v>2893026.90666667</v>
      </c>
      <c r="H1729" s="47">
        <f>3265000.33</f>
        <v>3265000.33</v>
      </c>
      <c r="I1729" s="171">
        <f t="shared" si="440"/>
        <v>371973.42333333008</v>
      </c>
      <c r="J1729" s="170">
        <f t="shared" ref="J1729:J1751" si="458">E1729+I1729</f>
        <v>1217022.6706663202</v>
      </c>
    </row>
    <row r="1730" spans="2:10" ht="12.65" customHeight="1">
      <c r="B1730" s="33">
        <f t="shared" si="452"/>
        <v>45505</v>
      </c>
      <c r="C1730" s="41">
        <f>107311742.194667</f>
        <v>107311742.194667</v>
      </c>
      <c r="D1730" s="47">
        <f>5421281.29+107735215.64</f>
        <v>113156496.93000001</v>
      </c>
      <c r="E1730" s="170">
        <f t="shared" si="455"/>
        <v>5844754.7353330106</v>
      </c>
      <c r="G1730" s="173">
        <f>3136669.648</f>
        <v>3136669.648</v>
      </c>
      <c r="H1730" s="47">
        <f t="shared" ref="H1730:H1738" si="459">3265000.33+0</f>
        <v>3265000.33</v>
      </c>
      <c r="I1730" s="171">
        <f t="shared" si="440"/>
        <v>128330.68200000003</v>
      </c>
      <c r="J1730" s="170">
        <f t="shared" si="458"/>
        <v>5973085.4173330106</v>
      </c>
    </row>
    <row r="1731" spans="2:10" ht="12.65" customHeight="1">
      <c r="B1731" s="33">
        <f t="shared" si="452"/>
        <v>45506</v>
      </c>
      <c r="C1731" s="41">
        <f t="shared" ref="C1731:C1740" si="460">107311742.194667</f>
        <v>107311742.194667</v>
      </c>
      <c r="D1731" s="47">
        <f>382516.85+107735215.64</f>
        <v>108117732.48999999</v>
      </c>
      <c r="E1731" s="170">
        <f t="shared" si="455"/>
        <v>805990.29533299804</v>
      </c>
      <c r="G1731" s="173">
        <f t="shared" ref="G1731:G1740" si="461">3136669.648</f>
        <v>3136669.648</v>
      </c>
      <c r="H1731" s="47">
        <f t="shared" si="459"/>
        <v>3265000.33</v>
      </c>
      <c r="I1731" s="171">
        <f t="shared" si="440"/>
        <v>128330.68200000003</v>
      </c>
      <c r="J1731" s="170">
        <f t="shared" si="458"/>
        <v>934320.97733299807</v>
      </c>
    </row>
    <row r="1732" spans="2:10" ht="12.65" customHeight="1">
      <c r="B1732" s="33">
        <f t="shared" si="452"/>
        <v>45509</v>
      </c>
      <c r="C1732" s="41">
        <f t="shared" si="460"/>
        <v>107311742.194667</v>
      </c>
      <c r="D1732" s="47">
        <f>382516.85+112735215.64</f>
        <v>113117732.48999999</v>
      </c>
      <c r="E1732" s="170">
        <f t="shared" si="455"/>
        <v>5805990.295332998</v>
      </c>
      <c r="G1732" s="173">
        <f t="shared" si="461"/>
        <v>3136669.648</v>
      </c>
      <c r="H1732" s="47">
        <f t="shared" si="459"/>
        <v>3265000.33</v>
      </c>
      <c r="I1732" s="171">
        <f t="shared" si="440"/>
        <v>128330.68200000003</v>
      </c>
      <c r="J1732" s="170">
        <f t="shared" si="458"/>
        <v>5934320.9773329981</v>
      </c>
    </row>
    <row r="1733" spans="2:10" ht="12.65" customHeight="1">
      <c r="B1733" s="33">
        <f t="shared" si="452"/>
        <v>45510</v>
      </c>
      <c r="C1733" s="41">
        <f t="shared" si="460"/>
        <v>107311742.194667</v>
      </c>
      <c r="D1733" s="47">
        <f>382516.85+112735215.64</f>
        <v>113117732.48999999</v>
      </c>
      <c r="E1733" s="170">
        <f t="shared" si="455"/>
        <v>5805990.295332998</v>
      </c>
      <c r="G1733" s="173">
        <f t="shared" si="461"/>
        <v>3136669.648</v>
      </c>
      <c r="H1733" s="47">
        <f t="shared" si="459"/>
        <v>3265000.33</v>
      </c>
      <c r="I1733" s="171">
        <f t="shared" si="440"/>
        <v>128330.68200000003</v>
      </c>
      <c r="J1733" s="170">
        <f t="shared" si="458"/>
        <v>5934320.9773329981</v>
      </c>
    </row>
    <row r="1734" spans="2:10" ht="12.65" customHeight="1">
      <c r="B1734" s="33">
        <f t="shared" si="452"/>
        <v>45511</v>
      </c>
      <c r="C1734" s="41">
        <f t="shared" si="460"/>
        <v>107311742.194667</v>
      </c>
      <c r="D1734" s="47">
        <f>382516.85+107735215.64</f>
        <v>108117732.48999999</v>
      </c>
      <c r="E1734" s="170">
        <f t="shared" si="455"/>
        <v>805990.29533299804</v>
      </c>
      <c r="G1734" s="173">
        <f t="shared" si="461"/>
        <v>3136669.648</v>
      </c>
      <c r="H1734" s="47">
        <f t="shared" si="459"/>
        <v>3265000.33</v>
      </c>
      <c r="I1734" s="171">
        <f t="shared" si="440"/>
        <v>128330.68200000003</v>
      </c>
      <c r="J1734" s="170">
        <f t="shared" si="458"/>
        <v>934320.97733299807</v>
      </c>
    </row>
    <row r="1735" spans="2:10" ht="12.65" customHeight="1">
      <c r="B1735" s="33">
        <f t="shared" si="452"/>
        <v>45512</v>
      </c>
      <c r="C1735" s="41">
        <f t="shared" si="460"/>
        <v>107311742.194667</v>
      </c>
      <c r="D1735" s="47">
        <f>382516.85+107735215.64</f>
        <v>108117732.48999999</v>
      </c>
      <c r="E1735" s="170">
        <f t="shared" si="455"/>
        <v>805990.29533299804</v>
      </c>
      <c r="G1735" s="173">
        <f t="shared" si="461"/>
        <v>3136669.648</v>
      </c>
      <c r="H1735" s="47">
        <f t="shared" si="459"/>
        <v>3265000.33</v>
      </c>
      <c r="I1735" s="171">
        <f t="shared" si="440"/>
        <v>128330.68200000003</v>
      </c>
      <c r="J1735" s="170">
        <f t="shared" si="458"/>
        <v>934320.97733299807</v>
      </c>
    </row>
    <row r="1736" spans="2:10" ht="12.65" customHeight="1">
      <c r="B1736" s="33">
        <f t="shared" si="452"/>
        <v>45513</v>
      </c>
      <c r="C1736" s="41">
        <f t="shared" si="460"/>
        <v>107311742.194667</v>
      </c>
      <c r="D1736" s="47">
        <f>382516.85+107735215.64</f>
        <v>108117732.48999999</v>
      </c>
      <c r="E1736" s="170">
        <f t="shared" si="455"/>
        <v>805990.29533299804</v>
      </c>
      <c r="G1736" s="173">
        <f t="shared" si="461"/>
        <v>3136669.648</v>
      </c>
      <c r="H1736" s="47">
        <f t="shared" si="459"/>
        <v>3265000.33</v>
      </c>
      <c r="I1736" s="171">
        <f t="shared" si="440"/>
        <v>128330.68200000003</v>
      </c>
      <c r="J1736" s="170">
        <f t="shared" si="458"/>
        <v>934320.97733299807</v>
      </c>
    </row>
    <row r="1737" spans="2:10" ht="12.65" customHeight="1">
      <c r="B1737" s="33">
        <f t="shared" si="452"/>
        <v>45516</v>
      </c>
      <c r="C1737" s="41">
        <f t="shared" si="460"/>
        <v>107311742.194667</v>
      </c>
      <c r="D1737" s="47">
        <f>382516.85+112735215.64</f>
        <v>113117732.48999999</v>
      </c>
      <c r="E1737" s="170">
        <f t="shared" si="455"/>
        <v>5805990.295332998</v>
      </c>
      <c r="G1737" s="173">
        <f t="shared" si="461"/>
        <v>3136669.648</v>
      </c>
      <c r="H1737" s="47">
        <f t="shared" si="459"/>
        <v>3265000.33</v>
      </c>
      <c r="I1737" s="171">
        <f t="shared" si="440"/>
        <v>128330.68200000003</v>
      </c>
      <c r="J1737" s="170">
        <f t="shared" si="458"/>
        <v>5934320.9773329981</v>
      </c>
    </row>
    <row r="1738" spans="2:10" ht="12.65" customHeight="1">
      <c r="B1738" s="33">
        <f t="shared" si="452"/>
        <v>45517</v>
      </c>
      <c r="C1738" s="41">
        <f t="shared" si="460"/>
        <v>107311742.194667</v>
      </c>
      <c r="D1738" s="47">
        <f>5419724.85+112735215.64</f>
        <v>118154940.48999999</v>
      </c>
      <c r="E1738" s="170">
        <f t="shared" si="455"/>
        <v>10843198.295332998</v>
      </c>
      <c r="G1738" s="173">
        <f t="shared" si="461"/>
        <v>3136669.648</v>
      </c>
      <c r="H1738" s="47">
        <f t="shared" si="459"/>
        <v>3265000.33</v>
      </c>
      <c r="I1738" s="171">
        <f t="shared" si="440"/>
        <v>128330.68200000003</v>
      </c>
      <c r="J1738" s="170">
        <f t="shared" si="458"/>
        <v>10971528.977332998</v>
      </c>
    </row>
    <row r="1739" spans="2:10" ht="12.65" customHeight="1">
      <c r="B1739" s="33">
        <f t="shared" si="452"/>
        <v>45518</v>
      </c>
      <c r="C1739" s="41">
        <f t="shared" si="460"/>
        <v>107311742.194667</v>
      </c>
      <c r="D1739" s="47">
        <f>382516.52+107735215.64</f>
        <v>108117732.16</v>
      </c>
      <c r="E1739" s="170">
        <f t="shared" si="455"/>
        <v>805989.96533299983</v>
      </c>
      <c r="G1739" s="173">
        <f t="shared" si="461"/>
        <v>3136669.648</v>
      </c>
      <c r="H1739" s="47">
        <f t="shared" ref="H1739:H1746" si="462">3565000.33+0</f>
        <v>3565000.33</v>
      </c>
      <c r="I1739" s="171">
        <f t="shared" si="440"/>
        <v>428330.68200000003</v>
      </c>
      <c r="J1739" s="170">
        <f t="shared" si="458"/>
        <v>1234320.6473329999</v>
      </c>
    </row>
    <row r="1740" spans="2:10" ht="12.65" customHeight="1">
      <c r="B1740" s="33">
        <f t="shared" si="452"/>
        <v>45519</v>
      </c>
      <c r="C1740" s="41">
        <f t="shared" si="460"/>
        <v>107311742.194667</v>
      </c>
      <c r="D1740" s="47">
        <f>382517.03+107735215.64</f>
        <v>108117732.67</v>
      </c>
      <c r="E1740" s="170">
        <f t="shared" si="455"/>
        <v>805990.47533300519</v>
      </c>
      <c r="G1740" s="173">
        <f t="shared" si="461"/>
        <v>3136669.648</v>
      </c>
      <c r="H1740" s="47">
        <f t="shared" si="462"/>
        <v>3565000.33</v>
      </c>
      <c r="I1740" s="171">
        <f t="shared" si="440"/>
        <v>428330.68200000003</v>
      </c>
      <c r="J1740" s="170">
        <f t="shared" si="458"/>
        <v>1234321.1573330052</v>
      </c>
    </row>
    <row r="1741" spans="2:10" ht="12.65" customHeight="1">
      <c r="B1741" s="33">
        <f t="shared" si="452"/>
        <v>45520</v>
      </c>
      <c r="C1741" s="41">
        <f>107489277.875</f>
        <v>107489277.875</v>
      </c>
      <c r="D1741" s="47">
        <f t="shared" ref="D1741:D1745" si="463">382517.03+107935215.64</f>
        <v>108317732.67</v>
      </c>
      <c r="E1741" s="170">
        <f t="shared" si="455"/>
        <v>828454.79500000179</v>
      </c>
      <c r="G1741" s="173">
        <f>3410132.79928427</f>
        <v>3410132.79928427</v>
      </c>
      <c r="H1741" s="47">
        <f t="shared" si="462"/>
        <v>3565000.33</v>
      </c>
      <c r="I1741" s="171">
        <f t="shared" si="440"/>
        <v>154867.53071573004</v>
      </c>
      <c r="J1741" s="170">
        <f t="shared" si="458"/>
        <v>983322.32571573183</v>
      </c>
    </row>
    <row r="1742" spans="2:10" ht="12.65" customHeight="1">
      <c r="B1742" s="33">
        <f t="shared" si="452"/>
        <v>45523</v>
      </c>
      <c r="C1742" s="41">
        <f t="shared" ref="C1742:C1752" si="464">107489277.875</f>
        <v>107489277.875</v>
      </c>
      <c r="D1742" s="47">
        <f t="shared" si="463"/>
        <v>108317732.67</v>
      </c>
      <c r="E1742" s="170">
        <f t="shared" si="455"/>
        <v>828454.79500000179</v>
      </c>
      <c r="G1742" s="173">
        <f t="shared" ref="G1742:G1752" si="465">3410132.79928427</f>
        <v>3410132.79928427</v>
      </c>
      <c r="H1742" s="47">
        <f t="shared" si="462"/>
        <v>3565000.33</v>
      </c>
      <c r="I1742" s="171">
        <f t="shared" si="440"/>
        <v>154867.53071573004</v>
      </c>
      <c r="J1742" s="170">
        <f t="shared" si="458"/>
        <v>983322.32571573183</v>
      </c>
    </row>
    <row r="1743" spans="2:10" ht="12.65" customHeight="1">
      <c r="B1743" s="33">
        <f t="shared" si="452"/>
        <v>45524</v>
      </c>
      <c r="C1743" s="41">
        <f t="shared" si="464"/>
        <v>107489277.875</v>
      </c>
      <c r="D1743" s="47">
        <f t="shared" si="463"/>
        <v>108317732.67</v>
      </c>
      <c r="E1743" s="170">
        <f t="shared" si="455"/>
        <v>828454.79500000179</v>
      </c>
      <c r="G1743" s="173">
        <f t="shared" si="465"/>
        <v>3410132.79928427</v>
      </c>
      <c r="H1743" s="47">
        <f t="shared" si="462"/>
        <v>3565000.33</v>
      </c>
      <c r="I1743" s="171">
        <f t="shared" si="440"/>
        <v>154867.53071573004</v>
      </c>
      <c r="J1743" s="170">
        <f t="shared" si="458"/>
        <v>983322.32571573183</v>
      </c>
    </row>
    <row r="1744" spans="2:10" ht="12.65" customHeight="1">
      <c r="B1744" s="33">
        <f t="shared" si="452"/>
        <v>45525</v>
      </c>
      <c r="C1744" s="41">
        <f t="shared" si="464"/>
        <v>107489277.875</v>
      </c>
      <c r="D1744" s="47">
        <f t="shared" si="463"/>
        <v>108317732.67</v>
      </c>
      <c r="E1744" s="170">
        <f t="shared" si="455"/>
        <v>828454.79500000179</v>
      </c>
      <c r="G1744" s="173">
        <f t="shared" si="465"/>
        <v>3410132.79928427</v>
      </c>
      <c r="H1744" s="47">
        <f t="shared" si="462"/>
        <v>3565000.33</v>
      </c>
      <c r="I1744" s="171">
        <f t="shared" si="440"/>
        <v>154867.53071573004</v>
      </c>
      <c r="J1744" s="170">
        <f t="shared" si="458"/>
        <v>983322.32571573183</v>
      </c>
    </row>
    <row r="1745" spans="2:10" ht="12.65" customHeight="1">
      <c r="B1745" s="33">
        <f t="shared" si="452"/>
        <v>45526</v>
      </c>
      <c r="C1745" s="41">
        <f t="shared" si="464"/>
        <v>107489277.875</v>
      </c>
      <c r="D1745" s="47">
        <f t="shared" si="463"/>
        <v>108317732.67</v>
      </c>
      <c r="E1745" s="170">
        <f t="shared" si="455"/>
        <v>828454.79500000179</v>
      </c>
      <c r="G1745" s="173">
        <f t="shared" si="465"/>
        <v>3410132.79928427</v>
      </c>
      <c r="H1745" s="47">
        <f t="shared" si="462"/>
        <v>3565000.33</v>
      </c>
      <c r="I1745" s="171">
        <f t="shared" si="440"/>
        <v>154867.53071573004</v>
      </c>
      <c r="J1745" s="170">
        <f t="shared" si="458"/>
        <v>983322.32571573183</v>
      </c>
    </row>
    <row r="1746" spans="2:10" ht="12.65" customHeight="1">
      <c r="B1746" s="33">
        <f t="shared" si="452"/>
        <v>45527</v>
      </c>
      <c r="C1746" s="41">
        <f t="shared" si="464"/>
        <v>107489277.875</v>
      </c>
      <c r="D1746" s="47">
        <f t="shared" ref="D1746:D1752" si="466">382517.03+107935215.64</f>
        <v>108317732.67</v>
      </c>
      <c r="E1746" s="170">
        <f t="shared" si="455"/>
        <v>828454.79500000179</v>
      </c>
      <c r="G1746" s="173">
        <f t="shared" si="465"/>
        <v>3410132.79928427</v>
      </c>
      <c r="H1746" s="47">
        <f t="shared" si="462"/>
        <v>3565000.33</v>
      </c>
      <c r="I1746" s="171">
        <f t="shared" si="440"/>
        <v>154867.53071573004</v>
      </c>
      <c r="J1746" s="170">
        <f t="shared" si="458"/>
        <v>983322.32571573183</v>
      </c>
    </row>
    <row r="1747" spans="2:10" ht="12.65" customHeight="1">
      <c r="B1747" s="33">
        <f t="shared" si="452"/>
        <v>45530</v>
      </c>
      <c r="C1747" s="41">
        <f t="shared" si="464"/>
        <v>107489277.875</v>
      </c>
      <c r="D1747" s="47">
        <f t="shared" si="466"/>
        <v>108317732.67</v>
      </c>
      <c r="E1747" s="170">
        <f t="shared" si="455"/>
        <v>828454.79500000179</v>
      </c>
      <c r="G1747" s="173">
        <f t="shared" si="465"/>
        <v>3410132.79928427</v>
      </c>
      <c r="H1747" s="47">
        <f t="shared" ref="H1747:H1752" si="467">3565000.33+0</f>
        <v>3565000.33</v>
      </c>
      <c r="I1747" s="171">
        <f t="shared" si="440"/>
        <v>154867.53071573004</v>
      </c>
      <c r="J1747" s="170">
        <f t="shared" si="458"/>
        <v>983322.32571573183</v>
      </c>
    </row>
    <row r="1748" spans="2:10" ht="12.65" customHeight="1">
      <c r="B1748" s="33">
        <f t="shared" si="452"/>
        <v>45531</v>
      </c>
      <c r="C1748" s="41">
        <f t="shared" si="464"/>
        <v>107489277.875</v>
      </c>
      <c r="D1748" s="47">
        <f t="shared" si="466"/>
        <v>108317732.67</v>
      </c>
      <c r="E1748" s="170">
        <f t="shared" si="455"/>
        <v>828454.79500000179</v>
      </c>
      <c r="G1748" s="173">
        <f t="shared" si="465"/>
        <v>3410132.79928427</v>
      </c>
      <c r="H1748" s="47">
        <f t="shared" si="467"/>
        <v>3565000.33</v>
      </c>
      <c r="I1748" s="171">
        <f t="shared" si="440"/>
        <v>154867.53071573004</v>
      </c>
      <c r="J1748" s="170">
        <f t="shared" si="458"/>
        <v>983322.32571573183</v>
      </c>
    </row>
    <row r="1749" spans="2:10" ht="12.65" customHeight="1">
      <c r="B1749" s="33">
        <f t="shared" si="452"/>
        <v>45532</v>
      </c>
      <c r="C1749" s="41">
        <f t="shared" si="464"/>
        <v>107489277.875</v>
      </c>
      <c r="D1749" s="47">
        <f t="shared" si="466"/>
        <v>108317732.67</v>
      </c>
      <c r="E1749" s="170">
        <f t="shared" si="455"/>
        <v>828454.79500000179</v>
      </c>
      <c r="G1749" s="173">
        <f t="shared" si="465"/>
        <v>3410132.79928427</v>
      </c>
      <c r="H1749" s="47">
        <f t="shared" si="467"/>
        <v>3565000.33</v>
      </c>
      <c r="I1749" s="171">
        <f t="shared" si="440"/>
        <v>154867.53071573004</v>
      </c>
      <c r="J1749" s="170">
        <f t="shared" si="458"/>
        <v>983322.32571573183</v>
      </c>
    </row>
    <row r="1750" spans="2:10" ht="12.65" customHeight="1">
      <c r="B1750" s="33">
        <f t="shared" si="452"/>
        <v>45533</v>
      </c>
      <c r="C1750" s="41">
        <f t="shared" si="464"/>
        <v>107489277.875</v>
      </c>
      <c r="D1750" s="47">
        <f t="shared" si="466"/>
        <v>108317732.67</v>
      </c>
      <c r="E1750" s="170">
        <f t="shared" si="455"/>
        <v>828454.79500000179</v>
      </c>
      <c r="G1750" s="173">
        <f t="shared" si="465"/>
        <v>3410132.79928427</v>
      </c>
      <c r="H1750" s="47">
        <f t="shared" si="467"/>
        <v>3565000.33</v>
      </c>
      <c r="I1750" s="171">
        <f t="shared" si="440"/>
        <v>154867.53071573004</v>
      </c>
      <c r="J1750" s="170">
        <f t="shared" si="458"/>
        <v>983322.32571573183</v>
      </c>
    </row>
    <row r="1751" spans="2:10" ht="12.65" customHeight="1">
      <c r="B1751" s="33">
        <f t="shared" si="452"/>
        <v>45534</v>
      </c>
      <c r="C1751" s="41">
        <f t="shared" si="464"/>
        <v>107489277.875</v>
      </c>
      <c r="D1751" s="47">
        <f t="shared" si="466"/>
        <v>108317732.67</v>
      </c>
      <c r="E1751" s="170">
        <f t="shared" si="455"/>
        <v>828454.79500000179</v>
      </c>
      <c r="G1751" s="173">
        <f t="shared" si="465"/>
        <v>3410132.79928427</v>
      </c>
      <c r="H1751" s="47">
        <f t="shared" si="467"/>
        <v>3565000.33</v>
      </c>
      <c r="I1751" s="171">
        <f t="shared" si="440"/>
        <v>154867.53071573004</v>
      </c>
      <c r="J1751" s="170">
        <f t="shared" si="458"/>
        <v>983322.32571573183</v>
      </c>
    </row>
    <row r="1752" spans="2:10" s="1385" customFormat="1" ht="12.65" customHeight="1">
      <c r="B1752" s="1377">
        <f>B1751+1</f>
        <v>45535</v>
      </c>
      <c r="C1752" s="1386">
        <f t="shared" si="464"/>
        <v>107489277.875</v>
      </c>
      <c r="D1752" s="1387">
        <f t="shared" si="466"/>
        <v>108317732.67</v>
      </c>
      <c r="E1752" s="1388">
        <f t="shared" ref="E1752" si="468">D1752-C1752</f>
        <v>828454.79500000179</v>
      </c>
      <c r="F1752" s="1389"/>
      <c r="G1752" s="1390">
        <f t="shared" si="465"/>
        <v>3410132.79928427</v>
      </c>
      <c r="H1752" s="1387">
        <f t="shared" si="467"/>
        <v>3565000.33</v>
      </c>
      <c r="I1752" s="1391">
        <f t="shared" ref="I1752" si="469">H1752-G1752</f>
        <v>154867.53071573004</v>
      </c>
      <c r="J1752" s="1388">
        <f t="shared" ref="J1752" si="470">E1752+I1752</f>
        <v>983322.32571573183</v>
      </c>
    </row>
    <row r="1753" spans="2:10" ht="12.65" customHeight="1">
      <c r="B1753" s="33">
        <f>WORKDAY(B1751,1)</f>
        <v>45537</v>
      </c>
      <c r="C1753" s="41">
        <f>103515810.725333</f>
        <v>103515810.72533301</v>
      </c>
      <c r="D1753" s="47">
        <f>3645017.03+107935215.64</f>
        <v>111580232.67</v>
      </c>
      <c r="E1753" s="170">
        <f t="shared" si="455"/>
        <v>8064421.9446669966</v>
      </c>
      <c r="G1753" s="173">
        <f>4485385.56866667</f>
        <v>4485385.5686666695</v>
      </c>
      <c r="H1753" s="47">
        <f t="shared" ref="H1753:H1759" si="471">4715000.33+0</f>
        <v>4715000.33</v>
      </c>
      <c r="I1753" s="171">
        <f t="shared" ref="I1753:I1773" si="472">H1753-G1753</f>
        <v>229614.76133333053</v>
      </c>
      <c r="J1753" s="170">
        <f t="shared" ref="J1753:J1773" si="473">E1753+I1753</f>
        <v>8294036.7060003271</v>
      </c>
    </row>
    <row r="1754" spans="2:10" ht="12.65" customHeight="1">
      <c r="B1754" s="33">
        <f t="shared" si="452"/>
        <v>45538</v>
      </c>
      <c r="C1754" s="41">
        <f t="shared" ref="C1754:C1762" si="474">103515810.725333</f>
        <v>103515810.72533301</v>
      </c>
      <c r="D1754" s="47">
        <f>3645017.03+103935215.64</f>
        <v>107580232.67</v>
      </c>
      <c r="E1754" s="170">
        <f t="shared" si="455"/>
        <v>4064421.9446669966</v>
      </c>
      <c r="G1754" s="173">
        <f t="shared" ref="G1754:G1762" si="475">4485385.56866667</f>
        <v>4485385.5686666695</v>
      </c>
      <c r="H1754" s="47">
        <f t="shared" si="471"/>
        <v>4715000.33</v>
      </c>
      <c r="I1754" s="171">
        <f t="shared" si="472"/>
        <v>229614.76133333053</v>
      </c>
      <c r="J1754" s="170">
        <f t="shared" si="473"/>
        <v>4294036.7060003271</v>
      </c>
    </row>
    <row r="1755" spans="2:10" ht="12.65" customHeight="1">
      <c r="B1755" s="33">
        <f t="shared" si="452"/>
        <v>45539</v>
      </c>
      <c r="C1755" s="41">
        <f t="shared" si="474"/>
        <v>103515810.72533301</v>
      </c>
      <c r="D1755" s="47">
        <f>382517.03+107197715.64</f>
        <v>107580232.67</v>
      </c>
      <c r="E1755" s="170">
        <f t="shared" si="455"/>
        <v>4064421.9446669966</v>
      </c>
      <c r="G1755" s="173">
        <f t="shared" si="475"/>
        <v>4485385.5686666695</v>
      </c>
      <c r="H1755" s="47">
        <f t="shared" si="471"/>
        <v>4715000.33</v>
      </c>
      <c r="I1755" s="171">
        <f t="shared" si="472"/>
        <v>229614.76133333053</v>
      </c>
      <c r="J1755" s="170">
        <f t="shared" si="473"/>
        <v>4294036.7060003271</v>
      </c>
    </row>
    <row r="1756" spans="2:10" ht="12.65" customHeight="1">
      <c r="B1756" s="33">
        <f t="shared" si="452"/>
        <v>45540</v>
      </c>
      <c r="C1756" s="41">
        <f t="shared" si="474"/>
        <v>103515810.72533301</v>
      </c>
      <c r="D1756" s="47">
        <f>382517.03+103935215.64</f>
        <v>104317732.67</v>
      </c>
      <c r="E1756" s="170">
        <f t="shared" si="455"/>
        <v>801921.9446669966</v>
      </c>
      <c r="G1756" s="173">
        <f t="shared" si="475"/>
        <v>4485385.5686666695</v>
      </c>
      <c r="H1756" s="47">
        <f t="shared" si="471"/>
        <v>4715000.33</v>
      </c>
      <c r="I1756" s="171">
        <f t="shared" si="472"/>
        <v>229614.76133333053</v>
      </c>
      <c r="J1756" s="170">
        <f t="shared" si="473"/>
        <v>1031536.7060003271</v>
      </c>
    </row>
    <row r="1757" spans="2:10" ht="12.65" customHeight="1">
      <c r="B1757" s="33">
        <f t="shared" si="452"/>
        <v>45541</v>
      </c>
      <c r="C1757" s="41">
        <f t="shared" si="474"/>
        <v>103515810.72533301</v>
      </c>
      <c r="D1757" s="47">
        <f>382517.03+103935215.64</f>
        <v>104317732.67</v>
      </c>
      <c r="E1757" s="170">
        <f t="shared" si="455"/>
        <v>801921.9446669966</v>
      </c>
      <c r="G1757" s="173">
        <f t="shared" si="475"/>
        <v>4485385.5686666695</v>
      </c>
      <c r="H1757" s="47">
        <f t="shared" si="471"/>
        <v>4715000.33</v>
      </c>
      <c r="I1757" s="171">
        <f t="shared" si="472"/>
        <v>229614.76133333053</v>
      </c>
      <c r="J1757" s="170">
        <f t="shared" si="473"/>
        <v>1031536.7060003271</v>
      </c>
    </row>
    <row r="1758" spans="2:10" ht="12.65" customHeight="1">
      <c r="B1758" s="33">
        <f t="shared" si="452"/>
        <v>45544</v>
      </c>
      <c r="C1758" s="41">
        <f t="shared" si="474"/>
        <v>103515810.72533301</v>
      </c>
      <c r="D1758" s="47">
        <f>382517.03+103935215.64</f>
        <v>104317732.67</v>
      </c>
      <c r="E1758" s="170">
        <f t="shared" si="455"/>
        <v>801921.9446669966</v>
      </c>
      <c r="G1758" s="173">
        <f t="shared" si="475"/>
        <v>4485385.5686666695</v>
      </c>
      <c r="H1758" s="47">
        <f t="shared" si="471"/>
        <v>4715000.33</v>
      </c>
      <c r="I1758" s="171">
        <f t="shared" si="472"/>
        <v>229614.76133333053</v>
      </c>
      <c r="J1758" s="170">
        <f t="shared" si="473"/>
        <v>1031536.7060003271</v>
      </c>
    </row>
    <row r="1759" spans="2:10" ht="12.65" customHeight="1">
      <c r="B1759" s="33">
        <f t="shared" si="452"/>
        <v>45545</v>
      </c>
      <c r="C1759" s="41">
        <f t="shared" si="474"/>
        <v>103515810.72533301</v>
      </c>
      <c r="D1759" s="47">
        <f>382517.03+103935215.64</f>
        <v>104317732.67</v>
      </c>
      <c r="E1759" s="170">
        <f t="shared" si="455"/>
        <v>801921.9446669966</v>
      </c>
      <c r="G1759" s="173">
        <f t="shared" si="475"/>
        <v>4485385.5686666695</v>
      </c>
      <c r="H1759" s="47">
        <f t="shared" si="471"/>
        <v>4715000.33</v>
      </c>
      <c r="I1759" s="171">
        <f t="shared" si="472"/>
        <v>229614.76133333053</v>
      </c>
      <c r="J1759" s="170">
        <f t="shared" si="473"/>
        <v>1031536.7060003271</v>
      </c>
    </row>
    <row r="1760" spans="2:10" ht="12.65" customHeight="1">
      <c r="B1760" s="33">
        <f t="shared" si="452"/>
        <v>45546</v>
      </c>
      <c r="C1760" s="41">
        <f t="shared" si="474"/>
        <v>103515810.72533301</v>
      </c>
      <c r="E1760" s="170">
        <f t="shared" si="455"/>
        <v>-103515810.72533301</v>
      </c>
      <c r="G1760" s="173">
        <f t="shared" si="475"/>
        <v>4485385.5686666695</v>
      </c>
      <c r="I1760" s="171">
        <f t="shared" si="472"/>
        <v>-4485385.5686666695</v>
      </c>
      <c r="J1760" s="170">
        <f t="shared" si="473"/>
        <v>-108001196.29399967</v>
      </c>
    </row>
    <row r="1761" spans="2:10" ht="12.65" customHeight="1">
      <c r="B1761" s="33">
        <f>WORKDAY(B1760,1)</f>
        <v>45547</v>
      </c>
      <c r="C1761" s="41">
        <f t="shared" si="474"/>
        <v>103515810.72533301</v>
      </c>
      <c r="E1761" s="170">
        <f t="shared" si="455"/>
        <v>-103515810.72533301</v>
      </c>
      <c r="G1761" s="173">
        <f t="shared" si="475"/>
        <v>4485385.5686666695</v>
      </c>
      <c r="I1761" s="171">
        <f t="shared" si="472"/>
        <v>-4485385.5686666695</v>
      </c>
      <c r="J1761" s="170">
        <f t="shared" si="473"/>
        <v>-108001196.29399967</v>
      </c>
    </row>
    <row r="1762" spans="2:10" ht="12.65" customHeight="1">
      <c r="B1762" s="33">
        <f t="shared" ref="B1762:B1772" si="476">WORKDAY(B1761,1)</f>
        <v>45548</v>
      </c>
      <c r="C1762" s="41">
        <f t="shared" si="474"/>
        <v>103515810.72533301</v>
      </c>
      <c r="E1762" s="170">
        <f t="shared" si="455"/>
        <v>-103515810.72533301</v>
      </c>
      <c r="G1762" s="173">
        <f t="shared" si="475"/>
        <v>4485385.5686666695</v>
      </c>
      <c r="I1762" s="171">
        <f t="shared" si="472"/>
        <v>-4485385.5686666695</v>
      </c>
      <c r="J1762" s="170">
        <f t="shared" si="473"/>
        <v>-108001196.29399967</v>
      </c>
    </row>
    <row r="1763" spans="2:10" ht="12.65" customHeight="1">
      <c r="B1763" s="33">
        <f t="shared" si="476"/>
        <v>45551</v>
      </c>
      <c r="C1763" s="41">
        <f>105280394.505</f>
        <v>105280394.505</v>
      </c>
      <c r="E1763" s="170">
        <f t="shared" si="455"/>
        <v>-105280394.505</v>
      </c>
      <c r="G1763" s="173">
        <f>4549240.985</f>
        <v>4549240.9850000003</v>
      </c>
      <c r="I1763" s="171">
        <f t="shared" si="472"/>
        <v>-4549240.9850000003</v>
      </c>
      <c r="J1763" s="170">
        <f t="shared" si="473"/>
        <v>-109829635.48999999</v>
      </c>
    </row>
    <row r="1764" spans="2:10" ht="12.65" customHeight="1">
      <c r="B1764" s="33">
        <f t="shared" si="476"/>
        <v>45552</v>
      </c>
      <c r="C1764" s="41">
        <f t="shared" ref="C1764:C1773" si="477">105280394.505</f>
        <v>105280394.505</v>
      </c>
      <c r="E1764" s="170">
        <f t="shared" si="455"/>
        <v>-105280394.505</v>
      </c>
      <c r="G1764" s="173">
        <f t="shared" ref="G1764:G1773" si="478">4549240.985</f>
        <v>4549240.9850000003</v>
      </c>
      <c r="I1764" s="171">
        <f t="shared" si="472"/>
        <v>-4549240.9850000003</v>
      </c>
      <c r="J1764" s="170">
        <f t="shared" si="473"/>
        <v>-109829635.48999999</v>
      </c>
    </row>
    <row r="1765" spans="2:10" ht="12.65" customHeight="1">
      <c r="B1765" s="33">
        <f t="shared" si="476"/>
        <v>45553</v>
      </c>
      <c r="C1765" s="41">
        <f t="shared" si="477"/>
        <v>105280394.505</v>
      </c>
      <c r="E1765" s="170">
        <f t="shared" si="455"/>
        <v>-105280394.505</v>
      </c>
      <c r="G1765" s="173">
        <f t="shared" si="478"/>
        <v>4549240.9850000003</v>
      </c>
      <c r="I1765" s="171">
        <f t="shared" si="472"/>
        <v>-4549240.9850000003</v>
      </c>
      <c r="J1765" s="170">
        <f t="shared" si="473"/>
        <v>-109829635.48999999</v>
      </c>
    </row>
    <row r="1766" spans="2:10" ht="12.65" customHeight="1">
      <c r="B1766" s="33">
        <f t="shared" si="476"/>
        <v>45554</v>
      </c>
      <c r="C1766" s="41">
        <f t="shared" si="477"/>
        <v>105280394.505</v>
      </c>
      <c r="E1766" s="170">
        <f t="shared" si="455"/>
        <v>-105280394.505</v>
      </c>
      <c r="G1766" s="173">
        <f t="shared" si="478"/>
        <v>4549240.9850000003</v>
      </c>
      <c r="I1766" s="171">
        <f t="shared" si="472"/>
        <v>-4549240.9850000003</v>
      </c>
      <c r="J1766" s="170">
        <f t="shared" si="473"/>
        <v>-109829635.48999999</v>
      </c>
    </row>
    <row r="1767" spans="2:10" ht="12.65" customHeight="1">
      <c r="B1767" s="33">
        <f t="shared" si="476"/>
        <v>45555</v>
      </c>
      <c r="C1767" s="41">
        <f t="shared" si="477"/>
        <v>105280394.505</v>
      </c>
      <c r="E1767" s="170">
        <f t="shared" si="455"/>
        <v>-105280394.505</v>
      </c>
      <c r="G1767" s="173">
        <f t="shared" si="478"/>
        <v>4549240.9850000003</v>
      </c>
      <c r="I1767" s="171">
        <f t="shared" si="472"/>
        <v>-4549240.9850000003</v>
      </c>
      <c r="J1767" s="170">
        <f t="shared" si="473"/>
        <v>-109829635.48999999</v>
      </c>
    </row>
    <row r="1768" spans="2:10" ht="12.65" customHeight="1">
      <c r="B1768" s="33">
        <f t="shared" si="476"/>
        <v>45558</v>
      </c>
      <c r="C1768" s="41">
        <f t="shared" si="477"/>
        <v>105280394.505</v>
      </c>
      <c r="E1768" s="170">
        <f t="shared" si="455"/>
        <v>-105280394.505</v>
      </c>
      <c r="G1768" s="173">
        <f t="shared" si="478"/>
        <v>4549240.9850000003</v>
      </c>
      <c r="I1768" s="171">
        <f t="shared" si="472"/>
        <v>-4549240.9850000003</v>
      </c>
      <c r="J1768" s="170">
        <f t="shared" si="473"/>
        <v>-109829635.48999999</v>
      </c>
    </row>
    <row r="1769" spans="2:10" ht="12.65" customHeight="1">
      <c r="B1769" s="33">
        <f t="shared" si="476"/>
        <v>45559</v>
      </c>
      <c r="C1769" s="41">
        <f t="shared" si="477"/>
        <v>105280394.505</v>
      </c>
      <c r="E1769" s="170">
        <f t="shared" si="455"/>
        <v>-105280394.505</v>
      </c>
      <c r="G1769" s="173">
        <f t="shared" si="478"/>
        <v>4549240.9850000003</v>
      </c>
      <c r="I1769" s="171">
        <f t="shared" si="472"/>
        <v>-4549240.9850000003</v>
      </c>
      <c r="J1769" s="170">
        <f t="shared" si="473"/>
        <v>-109829635.48999999</v>
      </c>
    </row>
    <row r="1770" spans="2:10" ht="12.65" customHeight="1">
      <c r="B1770" s="33">
        <f t="shared" si="476"/>
        <v>45560</v>
      </c>
      <c r="C1770" s="41">
        <f t="shared" si="477"/>
        <v>105280394.505</v>
      </c>
      <c r="E1770" s="170">
        <f t="shared" si="455"/>
        <v>-105280394.505</v>
      </c>
      <c r="G1770" s="173">
        <f t="shared" si="478"/>
        <v>4549240.9850000003</v>
      </c>
      <c r="I1770" s="171">
        <f t="shared" si="472"/>
        <v>-4549240.9850000003</v>
      </c>
      <c r="J1770" s="170">
        <f t="shared" si="473"/>
        <v>-109829635.48999999</v>
      </c>
    </row>
    <row r="1771" spans="2:10" ht="12.65" customHeight="1">
      <c r="B1771" s="33">
        <f t="shared" si="476"/>
        <v>45561</v>
      </c>
      <c r="C1771" s="41">
        <f t="shared" si="477"/>
        <v>105280394.505</v>
      </c>
      <c r="E1771" s="170">
        <f t="shared" si="455"/>
        <v>-105280394.505</v>
      </c>
      <c r="G1771" s="173">
        <f t="shared" si="478"/>
        <v>4549240.9850000003</v>
      </c>
      <c r="I1771" s="171">
        <f t="shared" si="472"/>
        <v>-4549240.9850000003</v>
      </c>
      <c r="J1771" s="170">
        <f t="shared" si="473"/>
        <v>-109829635.48999999</v>
      </c>
    </row>
    <row r="1772" spans="2:10" ht="12.65" customHeight="1">
      <c r="B1772" s="33">
        <f t="shared" si="476"/>
        <v>45562</v>
      </c>
      <c r="C1772" s="41">
        <f t="shared" si="477"/>
        <v>105280394.505</v>
      </c>
      <c r="E1772" s="170">
        <f t="shared" si="455"/>
        <v>-105280394.505</v>
      </c>
      <c r="G1772" s="173">
        <f t="shared" si="478"/>
        <v>4549240.9850000003</v>
      </c>
      <c r="I1772" s="171">
        <f t="shared" si="472"/>
        <v>-4549240.9850000003</v>
      </c>
      <c r="J1772" s="170">
        <f t="shared" si="473"/>
        <v>-109829635.48999999</v>
      </c>
    </row>
    <row r="1773" spans="2:10" ht="12.65" customHeight="1">
      <c r="B1773" s="33">
        <f>WORKDAY(B1772,1)</f>
        <v>45565</v>
      </c>
      <c r="C1773" s="41">
        <f t="shared" si="477"/>
        <v>105280394.505</v>
      </c>
      <c r="E1773" s="170">
        <f t="shared" si="455"/>
        <v>-105280394.505</v>
      </c>
      <c r="G1773" s="173">
        <f t="shared" si="478"/>
        <v>4549240.9850000003</v>
      </c>
      <c r="I1773" s="171">
        <f t="shared" si="472"/>
        <v>-4549240.9850000003</v>
      </c>
      <c r="J1773" s="170">
        <f t="shared" si="473"/>
        <v>-109829635.48999999</v>
      </c>
    </row>
    <row r="1774" spans="2:10" ht="12.65" customHeight="1">
      <c r="B1774" s="33"/>
    </row>
  </sheetData>
  <mergeCells count="2">
    <mergeCell ref="B1:E1"/>
    <mergeCell ref="G1:J1"/>
  </mergeCell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AE1899"/>
  <sheetViews>
    <sheetView tabSelected="1" zoomScale="60" zoomScaleNormal="60" workbookViewId="0">
      <pane xSplit="1" ySplit="2" topLeftCell="B1742" activePane="bottomRight" state="frozen"/>
      <selection pane="topRight" activeCell="B1" sqref="B1"/>
      <selection pane="bottomLeft" activeCell="A3" sqref="A3"/>
      <selection pane="bottomRight" activeCell="E1757" sqref="E1757"/>
    </sheetView>
  </sheetViews>
  <sheetFormatPr defaultColWidth="9.1796875" defaultRowHeight="18.5"/>
  <cols>
    <col min="1" max="1" width="32.1796875" style="114" bestFit="1" customWidth="1"/>
    <col min="2" max="2" width="25.453125" style="114" bestFit="1" customWidth="1"/>
    <col min="3" max="3" width="18.453125" style="114" customWidth="1"/>
    <col min="4" max="5" width="17.1796875" style="114" customWidth="1"/>
    <col min="6" max="6" width="17.1796875" style="127" customWidth="1"/>
    <col min="7" max="8" width="22.54296875" style="114" bestFit="1" customWidth="1"/>
    <col min="9" max="11" width="15.453125" style="114" customWidth="1"/>
    <col min="12" max="12" width="18" style="114" customWidth="1"/>
    <col min="13" max="13" width="24.26953125" style="114" bestFit="1" customWidth="1"/>
    <col min="14" max="14" width="20.1796875" style="139" customWidth="1"/>
    <col min="15" max="15" width="14.1796875" style="116" customWidth="1"/>
    <col min="16" max="16" width="25.54296875" style="114" bestFit="1" customWidth="1"/>
    <col min="17" max="17" width="18.81640625" style="114" bestFit="1" customWidth="1"/>
    <col min="18" max="18" width="10.453125" style="114" bestFit="1" customWidth="1"/>
    <col min="19" max="19" width="18.1796875" style="114" bestFit="1" customWidth="1"/>
    <col min="20" max="20" width="10.453125" style="114" customWidth="1"/>
    <col min="21" max="21" width="20.54296875" style="114" customWidth="1"/>
    <col min="22" max="22" width="16.453125" style="114" bestFit="1" customWidth="1"/>
    <col min="23" max="23" width="16.81640625" style="114" customWidth="1"/>
    <col min="24" max="24" width="15.81640625" style="114" customWidth="1"/>
    <col min="25" max="26" width="19.81640625" style="114" bestFit="1" customWidth="1"/>
    <col min="27" max="27" width="21.81640625" style="114" bestFit="1" customWidth="1"/>
    <col min="28" max="28" width="21.453125" style="114" bestFit="1" customWidth="1"/>
    <col min="29" max="29" width="24.81640625" style="114" bestFit="1" customWidth="1"/>
    <col min="30" max="30" width="15.7265625" style="114" bestFit="1" customWidth="1"/>
    <col min="31" max="31" width="10.81640625" style="114" bestFit="1" customWidth="1"/>
    <col min="32" max="16384" width="9.1796875" style="114"/>
  </cols>
  <sheetData>
    <row r="1" spans="1:26" ht="19" thickBot="1">
      <c r="A1" s="114">
        <v>-1</v>
      </c>
      <c r="B1" s="3308" t="s">
        <v>34</v>
      </c>
      <c r="C1" s="3309"/>
      <c r="D1" s="3309"/>
      <c r="E1" s="3309"/>
      <c r="F1" s="3309"/>
      <c r="G1" s="3310"/>
      <c r="H1" s="3311" t="s">
        <v>131</v>
      </c>
      <c r="I1" s="3312"/>
      <c r="J1" s="3312"/>
      <c r="K1" s="3312"/>
      <c r="L1" s="3312"/>
      <c r="M1" s="3313"/>
      <c r="N1" s="115"/>
    </row>
    <row r="2" spans="1:26" s="117" customFormat="1" ht="37">
      <c r="A2" s="147" t="s">
        <v>230</v>
      </c>
      <c r="B2" s="118" t="s">
        <v>30</v>
      </c>
      <c r="C2" s="118" t="s">
        <v>31</v>
      </c>
      <c r="D2" s="118" t="s">
        <v>32</v>
      </c>
      <c r="E2" s="118" t="s">
        <v>33</v>
      </c>
      <c r="F2" s="118" t="s">
        <v>37</v>
      </c>
      <c r="G2" s="118" t="s">
        <v>36</v>
      </c>
      <c r="H2" s="118" t="s">
        <v>30</v>
      </c>
      <c r="I2" s="118" t="s">
        <v>31</v>
      </c>
      <c r="J2" s="118" t="s">
        <v>32</v>
      </c>
      <c r="K2" s="118" t="s">
        <v>33</v>
      </c>
      <c r="L2" s="118" t="s">
        <v>38</v>
      </c>
      <c r="M2" s="118" t="s">
        <v>36</v>
      </c>
      <c r="N2" s="119" t="s">
        <v>35</v>
      </c>
      <c r="O2" s="120" t="s">
        <v>78</v>
      </c>
      <c r="P2" s="118" t="s">
        <v>48</v>
      </c>
      <c r="Q2" s="118" t="s">
        <v>49</v>
      </c>
      <c r="S2" s="118" t="s">
        <v>50</v>
      </c>
      <c r="T2" s="118" t="s">
        <v>51</v>
      </c>
      <c r="U2" s="118" t="s">
        <v>134</v>
      </c>
      <c r="V2" s="118" t="s">
        <v>135</v>
      </c>
      <c r="W2" s="118" t="s">
        <v>132</v>
      </c>
      <c r="X2" s="118" t="s">
        <v>133</v>
      </c>
      <c r="Y2" s="118" t="s">
        <v>136</v>
      </c>
      <c r="Z2" s="118" t="s">
        <v>137</v>
      </c>
    </row>
    <row r="3" spans="1:26">
      <c r="A3" s="121">
        <v>42976</v>
      </c>
      <c r="B3" s="122">
        <v>149995116.55476099</v>
      </c>
      <c r="C3" s="122">
        <v>37345171.358053975</v>
      </c>
      <c r="D3" s="122">
        <v>43465109.891288675</v>
      </c>
      <c r="E3" s="122">
        <v>71286566.942059442</v>
      </c>
      <c r="F3" s="123">
        <f t="shared" ref="F3:F45" si="0">SUM(C3:E3)</f>
        <v>152096848.19140208</v>
      </c>
      <c r="G3" s="124"/>
      <c r="H3" s="122">
        <v>1740.8102669325945</v>
      </c>
      <c r="I3" s="122">
        <v>1003.0674386726529</v>
      </c>
      <c r="J3" s="122">
        <v>494.5901953065046</v>
      </c>
      <c r="K3" s="122">
        <v>1051.0867145946368</v>
      </c>
      <c r="L3" s="122">
        <f>SUM(I3:K3)</f>
        <v>2548.744348573794</v>
      </c>
      <c r="M3" s="124"/>
      <c r="N3" s="115">
        <v>13341</v>
      </c>
    </row>
    <row r="4" spans="1:26">
      <c r="A4" s="121">
        <v>42977</v>
      </c>
      <c r="B4" s="122">
        <v>150226927.07469156</v>
      </c>
      <c r="C4" s="122">
        <v>36875510.703102313</v>
      </c>
      <c r="D4" s="122">
        <v>43444239.333576523</v>
      </c>
      <c r="E4" s="122">
        <v>71043160.696974203</v>
      </c>
      <c r="F4" s="123">
        <f t="shared" si="0"/>
        <v>151362910.73365304</v>
      </c>
      <c r="G4" s="124"/>
      <c r="H4" s="122">
        <v>1717.4031082585743</v>
      </c>
      <c r="I4" s="122">
        <v>996.92827452452264</v>
      </c>
      <c r="J4" s="122">
        <v>493.44366831242644</v>
      </c>
      <c r="K4" s="122">
        <v>1052.5294163040401</v>
      </c>
      <c r="L4" s="122">
        <f t="shared" ref="L4:L67" si="1">SUM(I4:K4)</f>
        <v>2542.9013591409894</v>
      </c>
      <c r="M4" s="124"/>
      <c r="N4" s="115">
        <v>13345.5</v>
      </c>
    </row>
    <row r="5" spans="1:26">
      <c r="A5" s="121">
        <v>42978</v>
      </c>
      <c r="B5" s="122">
        <v>150723072.0468162</v>
      </c>
      <c r="C5" s="122">
        <v>34533669.609215997</v>
      </c>
      <c r="D5" s="122">
        <v>43468011.985450298</v>
      </c>
      <c r="E5" s="122">
        <v>72572392.406675398</v>
      </c>
      <c r="F5" s="123">
        <f t="shared" si="0"/>
        <v>150574074.0013417</v>
      </c>
      <c r="G5" s="124"/>
      <c r="H5" s="122">
        <v>1777.0726660637699</v>
      </c>
      <c r="I5" s="122">
        <v>1015.4412439014865</v>
      </c>
      <c r="J5" s="122">
        <v>484.50169515117102</v>
      </c>
      <c r="K5" s="122">
        <v>1064.3042536559806</v>
      </c>
      <c r="L5" s="122">
        <f t="shared" si="1"/>
        <v>2564.2471927086381</v>
      </c>
      <c r="M5" s="124"/>
      <c r="N5" s="115">
        <v>13342</v>
      </c>
      <c r="P5" s="125"/>
    </row>
    <row r="6" spans="1:26">
      <c r="A6" s="121">
        <v>42982</v>
      </c>
      <c r="B6" s="122">
        <v>150221403.53522721</v>
      </c>
      <c r="C6" s="122">
        <v>36548761.71599827</v>
      </c>
      <c r="D6" s="122">
        <v>43007212.74564606</v>
      </c>
      <c r="E6" s="122">
        <v>72367363.898561001</v>
      </c>
      <c r="F6" s="123">
        <f t="shared" si="0"/>
        <v>151923338.36020532</v>
      </c>
      <c r="G6" s="124"/>
      <c r="H6" s="122">
        <v>1761.8773225073262</v>
      </c>
      <c r="I6" s="122">
        <v>995.51017490340234</v>
      </c>
      <c r="J6" s="122">
        <v>486.10821210236077</v>
      </c>
      <c r="K6" s="122">
        <v>1060.5706594717838</v>
      </c>
      <c r="L6" s="122">
        <f t="shared" si="1"/>
        <v>2542.189046477547</v>
      </c>
      <c r="M6" s="124"/>
      <c r="N6" s="115">
        <v>13342.5</v>
      </c>
    </row>
    <row r="7" spans="1:26">
      <c r="A7" s="121">
        <v>42983</v>
      </c>
      <c r="B7" s="122">
        <v>150501382.77512398</v>
      </c>
      <c r="C7" s="122">
        <v>36253414.396351241</v>
      </c>
      <c r="D7" s="122">
        <v>42901196.736027405</v>
      </c>
      <c r="E7" s="122">
        <v>72446663.464641958</v>
      </c>
      <c r="F7" s="123">
        <f t="shared" si="0"/>
        <v>151601274.5970206</v>
      </c>
      <c r="G7" s="124"/>
      <c r="H7" s="122">
        <v>1605.3106612859499</v>
      </c>
      <c r="I7" s="122">
        <v>1016.92273107911</v>
      </c>
      <c r="J7" s="122">
        <v>487.08551700048992</v>
      </c>
      <c r="K7" s="122">
        <v>1061.3199201409079</v>
      </c>
      <c r="L7" s="122">
        <f t="shared" si="1"/>
        <v>2565.3281682205079</v>
      </c>
      <c r="M7" s="124"/>
      <c r="N7" s="115">
        <v>13337.5</v>
      </c>
    </row>
    <row r="8" spans="1:26">
      <c r="A8" s="121">
        <v>42984</v>
      </c>
      <c r="B8" s="122">
        <v>150248889.78542721</v>
      </c>
      <c r="C8" s="122">
        <v>35060810.256706826</v>
      </c>
      <c r="D8" s="122">
        <v>42817166.163338803</v>
      </c>
      <c r="E8" s="122">
        <v>72677001.530480921</v>
      </c>
      <c r="F8" s="123">
        <f t="shared" si="0"/>
        <v>150554977.95052654</v>
      </c>
      <c r="G8" s="124"/>
      <c r="H8" s="122">
        <v>1776.7632203712201</v>
      </c>
      <c r="I8" s="122">
        <v>1024.9114713673841</v>
      </c>
      <c r="J8" s="122">
        <v>485.13726783249069</v>
      </c>
      <c r="K8" s="122">
        <v>1040.8768829627679</v>
      </c>
      <c r="L8" s="122">
        <f t="shared" si="1"/>
        <v>2550.9256221626429</v>
      </c>
      <c r="M8" s="124"/>
      <c r="N8" s="115">
        <v>13337.5</v>
      </c>
    </row>
    <row r="9" spans="1:26">
      <c r="A9" s="121">
        <v>42985</v>
      </c>
      <c r="B9" s="122">
        <v>150245835.54128832</v>
      </c>
      <c r="C9" s="122">
        <v>35256904.098746441</v>
      </c>
      <c r="D9" s="122">
        <v>42741610.093358643</v>
      </c>
      <c r="E9" s="122">
        <v>72527517.652858466</v>
      </c>
      <c r="F9" s="123">
        <f t="shared" si="0"/>
        <v>150526031.84496355</v>
      </c>
      <c r="G9" s="124"/>
      <c r="H9" s="122">
        <v>1604.0494111010901</v>
      </c>
      <c r="I9" s="122">
        <v>1035.515491199302</v>
      </c>
      <c r="J9" s="122">
        <v>484.24989512331007</v>
      </c>
      <c r="K9" s="122">
        <v>1041.38685616412</v>
      </c>
      <c r="L9" s="122">
        <f t="shared" si="1"/>
        <v>2561.1522424867321</v>
      </c>
      <c r="M9" s="124"/>
      <c r="N9" s="115">
        <v>13306.5</v>
      </c>
    </row>
    <row r="10" spans="1:26">
      <c r="A10" s="121">
        <v>42986</v>
      </c>
      <c r="B10" s="122">
        <v>150054005.57245862</v>
      </c>
      <c r="C10" s="122">
        <v>34716974.895855904</v>
      </c>
      <c r="D10" s="122">
        <v>42526102.105403945</v>
      </c>
      <c r="E10" s="122">
        <v>72564829.102557629</v>
      </c>
      <c r="F10" s="123">
        <f t="shared" si="0"/>
        <v>149807906.10381746</v>
      </c>
      <c r="G10" s="124"/>
      <c r="H10" s="122">
        <v>1796.4310484630475</v>
      </c>
      <c r="I10" s="122">
        <v>1039.1555107876368</v>
      </c>
      <c r="J10" s="122">
        <v>486.45526360717662</v>
      </c>
      <c r="K10" s="122">
        <v>1052.230839150661</v>
      </c>
      <c r="L10" s="122">
        <f t="shared" si="1"/>
        <v>2577.8416135454745</v>
      </c>
      <c r="M10" s="124"/>
      <c r="N10" s="115">
        <v>13204</v>
      </c>
    </row>
    <row r="11" spans="1:26">
      <c r="A11" s="121">
        <v>42989</v>
      </c>
      <c r="B11" s="122">
        <v>150356219.48506784</v>
      </c>
      <c r="C11" s="122">
        <v>35277035.687377542</v>
      </c>
      <c r="D11" s="122">
        <v>42302373.214270756</v>
      </c>
      <c r="E11" s="122">
        <v>72401274.068620384</v>
      </c>
      <c r="F11" s="123">
        <f t="shared" si="0"/>
        <v>149980682.97026867</v>
      </c>
      <c r="G11" s="124"/>
      <c r="H11" s="122">
        <v>1609.0445513807199</v>
      </c>
      <c r="I11" s="122">
        <v>1070.278595537515</v>
      </c>
      <c r="J11" s="122">
        <v>495.28738386368678</v>
      </c>
      <c r="K11" s="122">
        <v>1045.5676506642737</v>
      </c>
      <c r="L11" s="122">
        <f t="shared" si="1"/>
        <v>2611.1336300654757</v>
      </c>
      <c r="M11" s="124"/>
      <c r="N11" s="115">
        <v>13162.5</v>
      </c>
    </row>
    <row r="12" spans="1:26">
      <c r="A12" s="121">
        <v>42990</v>
      </c>
      <c r="B12" s="122">
        <v>149727131.9247241</v>
      </c>
      <c r="C12" s="122">
        <v>36742699.673555814</v>
      </c>
      <c r="D12" s="122">
        <v>42205421.438317887</v>
      </c>
      <c r="E12" s="122">
        <v>72320164.883259952</v>
      </c>
      <c r="F12" s="123">
        <f t="shared" si="0"/>
        <v>151268285.99513364</v>
      </c>
      <c r="G12" s="124"/>
      <c r="H12" s="122">
        <v>1678.7562744300999</v>
      </c>
      <c r="I12" s="122">
        <v>1066.049684151101</v>
      </c>
      <c r="J12" s="122">
        <v>499.82893973595634</v>
      </c>
      <c r="K12" s="122">
        <v>1045.0612661739578</v>
      </c>
      <c r="L12" s="122">
        <f t="shared" si="1"/>
        <v>2610.9398900610149</v>
      </c>
      <c r="M12" s="124"/>
      <c r="N12" s="115">
        <v>13199.5</v>
      </c>
    </row>
    <row r="13" spans="1:26">
      <c r="A13" s="121">
        <v>42991</v>
      </c>
      <c r="B13" s="122">
        <v>149022345.70698845</v>
      </c>
      <c r="C13" s="122">
        <v>34792352.240438506</v>
      </c>
      <c r="D13" s="122">
        <v>42336070.017149709</v>
      </c>
      <c r="E13" s="122">
        <v>72412927.78800565</v>
      </c>
      <c r="F13" s="123">
        <f t="shared" si="0"/>
        <v>149541350.04559386</v>
      </c>
      <c r="G13" s="124"/>
      <c r="H13" s="122">
        <v>1665.8494751134899</v>
      </c>
      <c r="I13" s="122">
        <v>1077.6714391006485</v>
      </c>
      <c r="J13" s="122">
        <v>508.35702289538585</v>
      </c>
      <c r="K13" s="122">
        <v>1040.2943170164101</v>
      </c>
      <c r="L13" s="122">
        <f t="shared" si="1"/>
        <v>2626.3227790124447</v>
      </c>
      <c r="M13" s="124"/>
      <c r="N13" s="115">
        <v>13201.5</v>
      </c>
    </row>
    <row r="14" spans="1:26">
      <c r="A14" s="121">
        <v>42992</v>
      </c>
      <c r="B14" s="122">
        <v>149420637.19293898</v>
      </c>
      <c r="C14" s="122">
        <v>35585745.775011599</v>
      </c>
      <c r="D14" s="122">
        <v>42362016.423254803</v>
      </c>
      <c r="E14" s="122">
        <v>72459761.397465125</v>
      </c>
      <c r="F14" s="123">
        <f t="shared" si="0"/>
        <v>150407523.59573153</v>
      </c>
      <c r="G14" s="124"/>
      <c r="H14" s="122">
        <v>1651.81472071652</v>
      </c>
      <c r="I14" s="122">
        <v>1078.2398667878288</v>
      </c>
      <c r="J14" s="122">
        <v>507.74350925116221</v>
      </c>
      <c r="K14" s="122">
        <v>1044.4232237502788</v>
      </c>
      <c r="L14" s="122">
        <f t="shared" si="1"/>
        <v>2630.4065997892699</v>
      </c>
      <c r="M14" s="124"/>
      <c r="N14" s="115">
        <v>13249.5</v>
      </c>
    </row>
    <row r="15" spans="1:26">
      <c r="A15" s="121">
        <v>42993</v>
      </c>
      <c r="B15" s="122">
        <v>149339964.37749875</v>
      </c>
      <c r="C15" s="122">
        <v>35785434.293212518</v>
      </c>
      <c r="D15" s="122">
        <v>42841785.164624058</v>
      </c>
      <c r="E15" s="122">
        <v>72164129.88650769</v>
      </c>
      <c r="F15" s="123">
        <f t="shared" si="0"/>
        <v>150791349.34434426</v>
      </c>
      <c r="G15" s="124"/>
      <c r="H15" s="122">
        <v>1644.9172550549699</v>
      </c>
      <c r="I15" s="122">
        <v>1049.4639229705874</v>
      </c>
      <c r="J15" s="122">
        <v>506.72349892511232</v>
      </c>
      <c r="K15" s="122">
        <v>1046.9991066412563</v>
      </c>
      <c r="L15" s="122">
        <f t="shared" si="1"/>
        <v>2603.1865285369558</v>
      </c>
      <c r="M15" s="124"/>
      <c r="N15" s="115">
        <v>13240</v>
      </c>
    </row>
    <row r="16" spans="1:26">
      <c r="A16" s="121">
        <v>42996</v>
      </c>
      <c r="B16" s="122">
        <v>149165316.23267499</v>
      </c>
      <c r="C16" s="122">
        <v>37778613.954552561</v>
      </c>
      <c r="D16" s="122">
        <v>42465697.430690244</v>
      </c>
      <c r="E16" s="122">
        <v>72133051.62095724</v>
      </c>
      <c r="F16" s="123">
        <f t="shared" si="0"/>
        <v>152377363.00620005</v>
      </c>
      <c r="G16" s="124"/>
      <c r="H16" s="122">
        <v>1646.4503377168101</v>
      </c>
      <c r="I16" s="122">
        <v>1087.1160121943601</v>
      </c>
      <c r="J16" s="122">
        <v>507.71149552291615</v>
      </c>
      <c r="K16" s="122">
        <v>1045.3248357692933</v>
      </c>
      <c r="L16" s="122">
        <f t="shared" si="1"/>
        <v>2640.1523434865694</v>
      </c>
      <c r="M16" s="124"/>
      <c r="N16" s="115">
        <v>13255</v>
      </c>
    </row>
    <row r="17" spans="1:17">
      <c r="A17" s="121">
        <v>42997</v>
      </c>
      <c r="B17" s="122">
        <v>149266348.39165899</v>
      </c>
      <c r="C17" s="122">
        <v>37770455.351651885</v>
      </c>
      <c r="D17" s="122">
        <v>42533376.49049823</v>
      </c>
      <c r="E17" s="122">
        <v>72073397.341164201</v>
      </c>
      <c r="F17" s="123">
        <f t="shared" si="0"/>
        <v>152377229.18331432</v>
      </c>
      <c r="G17" s="124"/>
      <c r="H17" s="122">
        <v>1646.90987007949</v>
      </c>
      <c r="I17" s="122">
        <v>1222.9830462778832</v>
      </c>
      <c r="J17" s="122">
        <v>504.42685543556604</v>
      </c>
      <c r="K17" s="122">
        <v>1046.9274044537597</v>
      </c>
      <c r="L17" s="122">
        <f t="shared" si="1"/>
        <v>2774.3373061672091</v>
      </c>
      <c r="M17" s="124"/>
      <c r="N17" s="115">
        <v>13278.5</v>
      </c>
    </row>
    <row r="18" spans="1:17">
      <c r="A18" s="121">
        <v>42998</v>
      </c>
      <c r="B18" s="125">
        <v>149854694.65380275</v>
      </c>
      <c r="C18" s="125">
        <v>37419562.721359193</v>
      </c>
      <c r="D18" s="125">
        <v>42682312.972395711</v>
      </c>
      <c r="E18" s="125">
        <v>72246711.668454573</v>
      </c>
      <c r="F18" s="123">
        <f t="shared" si="0"/>
        <v>152348587.3622095</v>
      </c>
      <c r="G18" s="125">
        <v>-500000</v>
      </c>
      <c r="H18" s="125">
        <v>1631.81964131168</v>
      </c>
      <c r="I18" s="125">
        <v>1157.71259988058</v>
      </c>
      <c r="J18" s="125">
        <v>504.10941702837323</v>
      </c>
      <c r="K18" s="125">
        <v>1046.546124125301</v>
      </c>
      <c r="L18" s="122">
        <f t="shared" si="1"/>
        <v>2708.3681410342542</v>
      </c>
      <c r="M18" s="125">
        <v>0</v>
      </c>
      <c r="N18" s="115">
        <v>13281.5</v>
      </c>
    </row>
    <row r="19" spans="1:17">
      <c r="A19" s="121">
        <v>43000</v>
      </c>
      <c r="B19" s="125">
        <v>149606198.84738773</v>
      </c>
      <c r="C19" s="125">
        <v>37896352.616146415</v>
      </c>
      <c r="D19" s="125">
        <v>42893610.348713942</v>
      </c>
      <c r="E19" s="125">
        <v>71656314.151306093</v>
      </c>
      <c r="F19" s="123">
        <f t="shared" si="0"/>
        <v>152446277.11616644</v>
      </c>
      <c r="G19" s="125">
        <v>-500000</v>
      </c>
      <c r="H19" s="125">
        <v>1634.07316037788</v>
      </c>
      <c r="I19" s="125">
        <v>1116.1345550955737</v>
      </c>
      <c r="J19" s="125">
        <v>504.26105113647003</v>
      </c>
      <c r="K19" s="125">
        <v>1114.8748509615425</v>
      </c>
      <c r="L19" s="122">
        <f t="shared" si="1"/>
        <v>2735.2704571935865</v>
      </c>
      <c r="M19" s="125">
        <v>0</v>
      </c>
      <c r="N19" s="115">
        <v>13312.5</v>
      </c>
    </row>
    <row r="20" spans="1:17">
      <c r="A20" s="121">
        <v>43003</v>
      </c>
      <c r="B20" s="125">
        <v>150361367.93813401</v>
      </c>
      <c r="C20" s="125">
        <v>37537337.927652441</v>
      </c>
      <c r="D20" s="125">
        <v>43590522.835223921</v>
      </c>
      <c r="E20" s="125">
        <v>72072738.274217427</v>
      </c>
      <c r="F20" s="123">
        <f t="shared" si="0"/>
        <v>153200599.03709379</v>
      </c>
      <c r="G20" s="125">
        <v>-1640000</v>
      </c>
      <c r="H20" s="125">
        <v>1773.3869632426283</v>
      </c>
      <c r="I20" s="125">
        <v>1047.9690267488186</v>
      </c>
      <c r="J20" s="125">
        <v>508.22807437163902</v>
      </c>
      <c r="K20" s="125">
        <v>1158.74829916203</v>
      </c>
      <c r="L20" s="122">
        <f t="shared" si="1"/>
        <v>2714.9454002824878</v>
      </c>
      <c r="M20" s="125">
        <v>0</v>
      </c>
      <c r="N20" s="115">
        <v>13326</v>
      </c>
    </row>
    <row r="21" spans="1:17">
      <c r="A21" s="121">
        <v>43004</v>
      </c>
      <c r="B21" s="125">
        <v>149474165.77309948</v>
      </c>
      <c r="C21" s="125">
        <v>37970492.106361292</v>
      </c>
      <c r="D21" s="125">
        <v>43332210.221445516</v>
      </c>
      <c r="E21" s="125">
        <v>71495437.492145956</v>
      </c>
      <c r="F21" s="123">
        <f t="shared" si="0"/>
        <v>152798139.81995276</v>
      </c>
      <c r="G21" s="125">
        <v>-500000</v>
      </c>
      <c r="H21" s="125">
        <v>1611.2921608428901</v>
      </c>
      <c r="I21" s="125">
        <v>1037.8491100309413</v>
      </c>
      <c r="J21" s="125">
        <v>504.7260717572812</v>
      </c>
      <c r="K21" s="125">
        <v>1152.5811016179484</v>
      </c>
      <c r="L21" s="122">
        <f t="shared" si="1"/>
        <v>2695.156283406171</v>
      </c>
      <c r="M21" s="125">
        <v>0</v>
      </c>
      <c r="N21" s="115">
        <v>13376.5</v>
      </c>
    </row>
    <row r="22" spans="1:17">
      <c r="A22" s="121">
        <v>43005</v>
      </c>
      <c r="B22" s="125">
        <v>150361367.93813401</v>
      </c>
      <c r="C22" s="125">
        <v>37537337.927652441</v>
      </c>
      <c r="D22" s="125">
        <v>43590522.835223921</v>
      </c>
      <c r="E22" s="125">
        <v>72072738.274217427</v>
      </c>
      <c r="F22" s="123">
        <f t="shared" si="0"/>
        <v>153200599.03709379</v>
      </c>
      <c r="G22" s="125">
        <v>-1640000</v>
      </c>
      <c r="H22" s="125">
        <v>1773.3869632426283</v>
      </c>
      <c r="I22" s="125">
        <v>1047.9690267488186</v>
      </c>
      <c r="J22" s="125">
        <v>508.22807437163902</v>
      </c>
      <c r="K22" s="125">
        <v>1158.74829916203</v>
      </c>
      <c r="L22" s="122">
        <f t="shared" si="1"/>
        <v>2714.9454002824878</v>
      </c>
      <c r="M22" s="125">
        <v>0</v>
      </c>
      <c r="N22" s="115">
        <v>13440</v>
      </c>
    </row>
    <row r="23" spans="1:17">
      <c r="A23" s="121">
        <v>43006</v>
      </c>
      <c r="B23" s="125">
        <v>150529053.76130211</v>
      </c>
      <c r="C23" s="125">
        <v>37255452.002431087</v>
      </c>
      <c r="D23" s="125">
        <v>43612661.041691497</v>
      </c>
      <c r="E23" s="125">
        <v>72215854.028777033</v>
      </c>
      <c r="F23" s="123">
        <f t="shared" si="0"/>
        <v>153083967.07289961</v>
      </c>
      <c r="G23" s="125">
        <v>-2310000</v>
      </c>
      <c r="H23" s="125">
        <v>1776.5686353450856</v>
      </c>
      <c r="I23" s="125">
        <v>1020.0735213272836</v>
      </c>
      <c r="J23" s="125">
        <v>503.36910500731528</v>
      </c>
      <c r="K23" s="125">
        <v>1162.7817772597045</v>
      </c>
      <c r="L23" s="122">
        <f t="shared" si="1"/>
        <v>2686.2244035943036</v>
      </c>
      <c r="M23" s="125">
        <v>0</v>
      </c>
      <c r="N23" s="115">
        <v>13515</v>
      </c>
      <c r="P23" s="125"/>
      <c r="Q23" s="125"/>
    </row>
    <row r="24" spans="1:17">
      <c r="A24" s="121">
        <v>43007</v>
      </c>
      <c r="B24" s="125">
        <v>151563964.82328698</v>
      </c>
      <c r="C24" s="125">
        <v>35905487.767260395</v>
      </c>
      <c r="D24" s="125">
        <v>44239668.815248847</v>
      </c>
      <c r="E24" s="125">
        <v>72506663.823710501</v>
      </c>
      <c r="F24" s="123">
        <f t="shared" si="0"/>
        <v>152651820.40621975</v>
      </c>
      <c r="G24" s="125">
        <v>-3660000</v>
      </c>
      <c r="H24" s="125">
        <v>1765.8897448677051</v>
      </c>
      <c r="I24" s="125">
        <v>997.74745934543409</v>
      </c>
      <c r="J24" s="125">
        <v>501.67690214396742</v>
      </c>
      <c r="K24" s="125">
        <v>1174.2801355852546</v>
      </c>
      <c r="L24" s="122">
        <f t="shared" si="1"/>
        <v>2673.704497074656</v>
      </c>
      <c r="M24" s="125">
        <v>-43</v>
      </c>
      <c r="N24" s="115">
        <v>13471.5</v>
      </c>
      <c r="P24" s="125"/>
      <c r="Q24" s="125"/>
    </row>
    <row r="25" spans="1:17">
      <c r="A25" s="121">
        <v>43010</v>
      </c>
      <c r="B25" s="125">
        <v>150745224.29825175</v>
      </c>
      <c r="C25" s="125">
        <v>38192153.258301444</v>
      </c>
      <c r="D25" s="125">
        <v>43671976.4402107</v>
      </c>
      <c r="E25" s="125">
        <v>72545279.931629196</v>
      </c>
      <c r="F25" s="123">
        <f t="shared" si="0"/>
        <v>154409409.63014132</v>
      </c>
      <c r="G25" s="125">
        <v>-1720000</v>
      </c>
      <c r="H25" s="125">
        <v>1750.4360496558018</v>
      </c>
      <c r="I25" s="125">
        <v>984.090539231153</v>
      </c>
      <c r="J25" s="125">
        <v>507.17870595826082</v>
      </c>
      <c r="K25" s="125">
        <v>1170.9748954003965</v>
      </c>
      <c r="L25" s="122">
        <f t="shared" si="1"/>
        <v>2662.2441405898103</v>
      </c>
      <c r="M25" s="125">
        <v>0</v>
      </c>
      <c r="N25" s="115">
        <v>13537.5</v>
      </c>
    </row>
    <row r="26" spans="1:17">
      <c r="A26" s="121">
        <v>43011</v>
      </c>
      <c r="B26" s="125">
        <v>150530106.28967017</v>
      </c>
      <c r="C26" s="125">
        <v>36838793.303325467</v>
      </c>
      <c r="D26" s="125">
        <v>43648826.106830791</v>
      </c>
      <c r="E26" s="125">
        <v>73417385.20058921</v>
      </c>
      <c r="F26" s="123">
        <f t="shared" si="0"/>
        <v>153905004.61074546</v>
      </c>
      <c r="G26" s="125">
        <v>-1375000</v>
      </c>
      <c r="H26" s="125">
        <v>1758.0283387608708</v>
      </c>
      <c r="I26" s="125">
        <v>998.401163482588</v>
      </c>
      <c r="J26" s="125">
        <v>506.96535492009849</v>
      </c>
      <c r="K26" s="125">
        <v>1178.4625589354455</v>
      </c>
      <c r="L26" s="122">
        <f t="shared" si="1"/>
        <v>2683.8290773381323</v>
      </c>
      <c r="M26" s="125">
        <v>0</v>
      </c>
      <c r="N26" s="115">
        <v>13542.5</v>
      </c>
    </row>
    <row r="27" spans="1:17">
      <c r="A27" s="121">
        <v>43012</v>
      </c>
      <c r="B27" s="125">
        <v>149867570.36685321</v>
      </c>
      <c r="C27" s="125">
        <v>38033023.459699318</v>
      </c>
      <c r="D27" s="125">
        <v>43830965.508078337</v>
      </c>
      <c r="E27" s="125">
        <v>73642963.225572824</v>
      </c>
      <c r="F27" s="123">
        <f t="shared" si="0"/>
        <v>155506952.19335049</v>
      </c>
      <c r="G27" s="125">
        <v>-600000</v>
      </c>
      <c r="H27" s="125">
        <v>1784.5239028861542</v>
      </c>
      <c r="I27" s="125">
        <v>996.2933031928834</v>
      </c>
      <c r="J27" s="125">
        <v>507.49845139366334</v>
      </c>
      <c r="K27" s="125">
        <v>1178.9571416031099</v>
      </c>
      <c r="L27" s="122">
        <f t="shared" si="1"/>
        <v>2682.7488961896565</v>
      </c>
      <c r="M27" s="125">
        <v>0</v>
      </c>
      <c r="N27" s="115">
        <v>13464</v>
      </c>
    </row>
    <row r="28" spans="1:17">
      <c r="A28" s="121">
        <v>43013</v>
      </c>
      <c r="B28" s="125">
        <v>149745157.17488518</v>
      </c>
      <c r="C28" s="125">
        <v>39242575.44645787</v>
      </c>
      <c r="D28" s="125">
        <v>43764161.848060668</v>
      </c>
      <c r="E28" s="125">
        <v>73739360.647331566</v>
      </c>
      <c r="F28" s="123">
        <f t="shared" si="0"/>
        <v>156746097.9418501</v>
      </c>
      <c r="G28" s="125">
        <v>-500000</v>
      </c>
      <c r="H28" s="125">
        <v>1610.8431164286901</v>
      </c>
      <c r="I28" s="125">
        <v>984.19101651197809</v>
      </c>
      <c r="J28" s="125">
        <v>507.43695826673257</v>
      </c>
      <c r="K28" s="125">
        <v>1179.7733123434173</v>
      </c>
      <c r="L28" s="122">
        <f t="shared" si="1"/>
        <v>2671.401287122128</v>
      </c>
      <c r="M28" s="125">
        <v>0</v>
      </c>
      <c r="N28" s="115">
        <v>13504</v>
      </c>
    </row>
    <row r="29" spans="1:17">
      <c r="A29" s="121">
        <v>43014</v>
      </c>
      <c r="B29" s="125">
        <v>149536486.63739842</v>
      </c>
      <c r="C29" s="125">
        <v>37545058.73726818</v>
      </c>
      <c r="D29" s="125">
        <v>43802112.381991036</v>
      </c>
      <c r="E29" s="125">
        <v>73895024.589507878</v>
      </c>
      <c r="F29" s="123">
        <f t="shared" si="0"/>
        <v>155242195.70876709</v>
      </c>
      <c r="G29" s="125">
        <v>-500000</v>
      </c>
      <c r="H29" s="125">
        <v>1792.8662802037791</v>
      </c>
      <c r="I29" s="125">
        <v>1016.6200705842132</v>
      </c>
      <c r="J29" s="125">
        <v>508.61680403849579</v>
      </c>
      <c r="K29" s="125">
        <v>1160.3988605689799</v>
      </c>
      <c r="L29" s="122">
        <f t="shared" si="1"/>
        <v>2685.6357351916886</v>
      </c>
      <c r="M29" s="125">
        <v>0</v>
      </c>
      <c r="N29" s="115">
        <v>13504</v>
      </c>
    </row>
    <row r="30" spans="1:17">
      <c r="A30" s="121">
        <f t="shared" ref="A30:A70" si="2">WORKDAY(A29,1,)</f>
        <v>43017</v>
      </c>
      <c r="B30" s="125">
        <v>149414872.47209466</v>
      </c>
      <c r="C30" s="125">
        <v>38545285.900689594</v>
      </c>
      <c r="D30" s="125">
        <v>43416270.207005702</v>
      </c>
      <c r="E30" s="125">
        <v>73702077.151508838</v>
      </c>
      <c r="F30" s="123">
        <f t="shared" si="0"/>
        <v>155663633.25920415</v>
      </c>
      <c r="G30" s="125">
        <v>-500000</v>
      </c>
      <c r="H30" s="125">
        <v>1792.0731947617512</v>
      </c>
      <c r="I30" s="125">
        <v>989.90265743769601</v>
      </c>
      <c r="J30" s="125">
        <v>509.05892755547876</v>
      </c>
      <c r="K30" s="125">
        <v>1177.4944589316799</v>
      </c>
      <c r="L30" s="122">
        <f t="shared" si="1"/>
        <v>2676.4560439248544</v>
      </c>
      <c r="M30" s="125">
        <v>0</v>
      </c>
      <c r="N30" s="115">
        <v>13517.5</v>
      </c>
    </row>
    <row r="31" spans="1:17">
      <c r="A31" s="121">
        <f t="shared" si="2"/>
        <v>43018</v>
      </c>
      <c r="B31" s="125">
        <v>149155209.33890787</v>
      </c>
      <c r="C31" s="125">
        <v>38301283.602244444</v>
      </c>
      <c r="D31" s="125">
        <v>43465835.47959353</v>
      </c>
      <c r="E31" s="125">
        <v>74019013.883741334</v>
      </c>
      <c r="F31" s="123">
        <f t="shared" si="0"/>
        <v>155786132.96557933</v>
      </c>
      <c r="G31" s="125">
        <v>-500000</v>
      </c>
      <c r="H31" s="125">
        <v>1611.30472000143</v>
      </c>
      <c r="I31" s="125">
        <v>995.64437552148775</v>
      </c>
      <c r="J31" s="125">
        <v>507.32816800411598</v>
      </c>
      <c r="K31" s="125">
        <v>1177.6148236863162</v>
      </c>
      <c r="L31" s="122">
        <f t="shared" si="1"/>
        <v>2680.5873672119196</v>
      </c>
      <c r="M31" s="125">
        <v>0</v>
      </c>
      <c r="N31" s="115">
        <v>13517</v>
      </c>
    </row>
    <row r="32" spans="1:17">
      <c r="A32" s="121">
        <f t="shared" si="2"/>
        <v>43019</v>
      </c>
      <c r="B32" s="125">
        <v>148919943.03495264</v>
      </c>
      <c r="C32" s="125">
        <v>38897077.274815105</v>
      </c>
      <c r="D32" s="125">
        <v>43167407.434251703</v>
      </c>
      <c r="E32" s="125">
        <v>74108531.311401933</v>
      </c>
      <c r="F32" s="123">
        <f t="shared" si="0"/>
        <v>156173016.02046874</v>
      </c>
      <c r="G32" s="125">
        <v>-500000</v>
      </c>
      <c r="H32" s="125">
        <v>1775.1781394384286</v>
      </c>
      <c r="I32" s="125">
        <v>1008.8463262052097</v>
      </c>
      <c r="J32" s="125">
        <v>506.49550566752123</v>
      </c>
      <c r="K32" s="125">
        <v>1196.097004771904</v>
      </c>
      <c r="L32" s="122">
        <f t="shared" si="1"/>
        <v>2711.4388366446346</v>
      </c>
      <c r="M32" s="125">
        <v>0</v>
      </c>
      <c r="N32" s="115">
        <v>13504.5</v>
      </c>
    </row>
    <row r="33" spans="1:14">
      <c r="A33" s="121">
        <f t="shared" si="2"/>
        <v>43020</v>
      </c>
      <c r="B33" s="125">
        <v>148577754.616319</v>
      </c>
      <c r="C33" s="125">
        <v>38438132.387040637</v>
      </c>
      <c r="D33" s="125">
        <v>43151707.378893919</v>
      </c>
      <c r="E33" s="125">
        <v>74055022.050440311</v>
      </c>
      <c r="F33" s="123">
        <f t="shared" si="0"/>
        <v>155644861.81637487</v>
      </c>
      <c r="G33" s="125">
        <v>-500000</v>
      </c>
      <c r="H33" s="125">
        <v>1788.0857234167099</v>
      </c>
      <c r="I33" s="125">
        <v>1016.66405822331</v>
      </c>
      <c r="J33" s="125">
        <v>513.57949675840462</v>
      </c>
      <c r="K33" s="125">
        <v>1190.3456684624048</v>
      </c>
      <c r="L33" s="122">
        <f t="shared" si="1"/>
        <v>2720.5892234441194</v>
      </c>
      <c r="M33" s="125">
        <v>0</v>
      </c>
      <c r="N33" s="115">
        <v>13504.5</v>
      </c>
    </row>
    <row r="34" spans="1:14">
      <c r="A34" s="121">
        <f t="shared" si="2"/>
        <v>43021</v>
      </c>
      <c r="B34" s="125">
        <v>148948504.04611382</v>
      </c>
      <c r="C34" s="125">
        <v>37846327.58901751</v>
      </c>
      <c r="D34" s="125">
        <v>43224563.910715818</v>
      </c>
      <c r="E34" s="125">
        <v>74097161.46499595</v>
      </c>
      <c r="F34" s="123">
        <f t="shared" si="0"/>
        <v>155168052.96472928</v>
      </c>
      <c r="G34" s="125">
        <v>0</v>
      </c>
      <c r="H34" s="125">
        <v>1613.0715274578799</v>
      </c>
      <c r="I34" s="125">
        <v>1009.1507204695247</v>
      </c>
      <c r="J34" s="125">
        <v>514.01903912383989</v>
      </c>
      <c r="K34" s="125">
        <v>1169.6502872712299</v>
      </c>
      <c r="L34" s="122">
        <f t="shared" si="1"/>
        <v>2692.8200468645946</v>
      </c>
      <c r="M34" s="125">
        <v>0</v>
      </c>
      <c r="N34" s="115">
        <v>13498</v>
      </c>
    </row>
    <row r="35" spans="1:14">
      <c r="A35" s="121">
        <f t="shared" si="2"/>
        <v>43024</v>
      </c>
      <c r="B35" s="125">
        <v>148486072.12832987</v>
      </c>
      <c r="C35" s="125">
        <v>38233586.925057299</v>
      </c>
      <c r="D35" s="125">
        <v>43266358.517021596</v>
      </c>
      <c r="E35" s="125">
        <v>73337098.437616304</v>
      </c>
      <c r="F35" s="123">
        <f t="shared" si="0"/>
        <v>154837043.87969518</v>
      </c>
      <c r="G35" s="125">
        <v>0</v>
      </c>
      <c r="H35" s="125">
        <v>1628.1502991693001</v>
      </c>
      <c r="I35" s="125">
        <v>1022.7253715001957</v>
      </c>
      <c r="J35" s="125">
        <v>513.62674715999879</v>
      </c>
      <c r="K35" s="125">
        <v>1168.83206378367</v>
      </c>
      <c r="L35" s="122">
        <f t="shared" si="1"/>
        <v>2705.1841824438643</v>
      </c>
      <c r="M35" s="125">
        <v>0</v>
      </c>
      <c r="N35" s="115">
        <v>13482.5</v>
      </c>
    </row>
    <row r="36" spans="1:14">
      <c r="A36" s="121">
        <f t="shared" si="2"/>
        <v>43025</v>
      </c>
      <c r="B36" s="125">
        <v>148132885.20274928</v>
      </c>
      <c r="C36" s="125">
        <v>39137230.174500711</v>
      </c>
      <c r="D36" s="125">
        <v>43393535.476873577</v>
      </c>
      <c r="E36" s="125">
        <v>74064262.137791052</v>
      </c>
      <c r="F36" s="123">
        <f t="shared" si="0"/>
        <v>156595027.78916532</v>
      </c>
      <c r="G36" s="125">
        <v>-500000</v>
      </c>
      <c r="H36" s="125">
        <v>1635.27522072597</v>
      </c>
      <c r="I36" s="125">
        <v>1030.2446150011328</v>
      </c>
      <c r="J36" s="125">
        <v>512.41991033435761</v>
      </c>
      <c r="K36" s="125">
        <v>1167.58513307365</v>
      </c>
      <c r="L36" s="122">
        <f t="shared" si="1"/>
        <v>2710.2496584091405</v>
      </c>
      <c r="M36" s="125">
        <v>0</v>
      </c>
      <c r="N36" s="115">
        <v>13506.5</v>
      </c>
    </row>
    <row r="37" spans="1:14">
      <c r="A37" s="121">
        <f t="shared" si="2"/>
        <v>43026</v>
      </c>
      <c r="B37" s="125">
        <v>147684296.37365538</v>
      </c>
      <c r="C37" s="125">
        <v>39485724.956555739</v>
      </c>
      <c r="D37" s="125">
        <v>43370878.268568091</v>
      </c>
      <c r="E37" s="125">
        <v>73995697.844434917</v>
      </c>
      <c r="F37" s="123">
        <f t="shared" si="0"/>
        <v>156852301.06955874</v>
      </c>
      <c r="G37" s="125">
        <v>-500000</v>
      </c>
      <c r="H37" s="125">
        <v>1642.4895843750801</v>
      </c>
      <c r="I37" s="125">
        <v>1043.4584848400723</v>
      </c>
      <c r="J37" s="125">
        <v>510.98398243797067</v>
      </c>
      <c r="K37" s="125">
        <v>1169.3635476761499</v>
      </c>
      <c r="L37" s="122">
        <f t="shared" si="1"/>
        <v>2723.8060149541925</v>
      </c>
      <c r="M37" s="125">
        <v>0</v>
      </c>
      <c r="N37" s="115">
        <v>13482.5</v>
      </c>
    </row>
    <row r="38" spans="1:14">
      <c r="A38" s="121">
        <f t="shared" si="2"/>
        <v>43027</v>
      </c>
      <c r="B38" s="125">
        <v>147819750.61497885</v>
      </c>
      <c r="C38" s="125">
        <v>41234365.210650228</v>
      </c>
      <c r="D38" s="125">
        <v>43366316.762687407</v>
      </c>
      <c r="E38" s="125">
        <v>74135102.079069704</v>
      </c>
      <c r="F38" s="123">
        <f t="shared" si="0"/>
        <v>158735784.05240732</v>
      </c>
      <c r="G38" s="125">
        <v>-500000</v>
      </c>
      <c r="H38" s="125">
        <v>1843.539282610388</v>
      </c>
      <c r="I38" s="125">
        <v>1035.6177081516521</v>
      </c>
      <c r="J38" s="125">
        <v>514.47258058359614</v>
      </c>
      <c r="K38" s="125">
        <v>1180.852602544001</v>
      </c>
      <c r="L38" s="122">
        <f t="shared" si="1"/>
        <v>2730.9428912792491</v>
      </c>
      <c r="M38" s="125">
        <v>-16</v>
      </c>
      <c r="N38" s="115">
        <v>13519</v>
      </c>
    </row>
    <row r="39" spans="1:14">
      <c r="A39" s="121">
        <f t="shared" si="2"/>
        <v>43028</v>
      </c>
      <c r="B39" s="125">
        <v>147590650.48698539</v>
      </c>
      <c r="C39" s="125">
        <v>40550290.26183106</v>
      </c>
      <c r="D39" s="125">
        <v>43362022.046288952</v>
      </c>
      <c r="E39" s="125">
        <v>74060460.447894678</v>
      </c>
      <c r="F39" s="123">
        <f t="shared" si="0"/>
        <v>157972772.7560147</v>
      </c>
      <c r="G39" s="125">
        <v>-500000</v>
      </c>
      <c r="H39" s="125">
        <v>1841.9366239654407</v>
      </c>
      <c r="I39" s="125">
        <v>1033.6541969193436</v>
      </c>
      <c r="J39" s="125">
        <v>513.33123020409948</v>
      </c>
      <c r="K39" s="125">
        <v>1182.4353936425161</v>
      </c>
      <c r="L39" s="122">
        <f t="shared" si="1"/>
        <v>2729.4208207659594</v>
      </c>
      <c r="M39" s="125">
        <v>-61</v>
      </c>
      <c r="N39" s="115">
        <v>13518.5</v>
      </c>
    </row>
    <row r="40" spans="1:14">
      <c r="A40" s="121">
        <f t="shared" si="2"/>
        <v>43031</v>
      </c>
      <c r="B40" s="125">
        <v>147930407.70362517</v>
      </c>
      <c r="C40" s="125">
        <v>41498164.519957304</v>
      </c>
      <c r="D40" s="125">
        <v>43263867.351538695</v>
      </c>
      <c r="E40" s="125">
        <v>73948675.454453304</v>
      </c>
      <c r="F40" s="123">
        <f t="shared" si="0"/>
        <v>158710707.32594931</v>
      </c>
      <c r="G40" s="125">
        <v>-500000</v>
      </c>
      <c r="H40" s="125">
        <v>1854.8165981292771</v>
      </c>
      <c r="I40" s="125">
        <v>1021.679934990095</v>
      </c>
      <c r="J40" s="125">
        <v>514.19204048654751</v>
      </c>
      <c r="K40" s="125">
        <v>1081.0951631497264</v>
      </c>
      <c r="L40" s="122">
        <f t="shared" si="1"/>
        <v>2616.967138626369</v>
      </c>
      <c r="M40" s="125">
        <v>-61</v>
      </c>
      <c r="N40" s="115">
        <v>13542.5</v>
      </c>
    </row>
    <row r="41" spans="1:14">
      <c r="A41" s="121">
        <f t="shared" si="2"/>
        <v>43032</v>
      </c>
      <c r="B41" s="125">
        <v>148076442.79622114</v>
      </c>
      <c r="C41" s="125">
        <v>40168376.022689857</v>
      </c>
      <c r="D41" s="125">
        <v>43238816.727732658</v>
      </c>
      <c r="E41" s="125">
        <v>74236185.30172646</v>
      </c>
      <c r="F41" s="123">
        <f t="shared" si="0"/>
        <v>157643378.05214897</v>
      </c>
      <c r="G41" s="125">
        <v>-830000</v>
      </c>
      <c r="H41" s="125">
        <v>1857.3219164317343</v>
      </c>
      <c r="I41" s="125">
        <v>1030.5334780694225</v>
      </c>
      <c r="J41" s="125">
        <v>515.66692819277614</v>
      </c>
      <c r="K41" s="125">
        <v>1078.33017293731</v>
      </c>
      <c r="L41" s="122">
        <f t="shared" si="1"/>
        <v>2624.5305791995088</v>
      </c>
      <c r="M41" s="125">
        <v>0</v>
      </c>
      <c r="N41" s="115">
        <v>13532.5</v>
      </c>
    </row>
    <row r="42" spans="1:14">
      <c r="A42" s="121">
        <f t="shared" si="2"/>
        <v>43033</v>
      </c>
      <c r="B42" s="125">
        <v>147650107.21722952</v>
      </c>
      <c r="C42" s="125">
        <v>38259792.365212724</v>
      </c>
      <c r="D42" s="125">
        <v>43592814.345815092</v>
      </c>
      <c r="E42" s="125">
        <v>74896119.236188605</v>
      </c>
      <c r="F42" s="123">
        <f t="shared" si="0"/>
        <v>156748725.94721642</v>
      </c>
      <c r="G42" s="125">
        <v>-500000</v>
      </c>
      <c r="H42" s="125">
        <v>1854.7008298758374</v>
      </c>
      <c r="I42" s="125">
        <v>1021.0997694428078</v>
      </c>
      <c r="J42" s="125">
        <v>512.86798429573389</v>
      </c>
      <c r="K42" s="125">
        <v>1110.6426352796145</v>
      </c>
      <c r="L42" s="122">
        <f t="shared" si="1"/>
        <v>2644.6103890181562</v>
      </c>
      <c r="M42" s="125">
        <v>0</v>
      </c>
      <c r="N42" s="115">
        <v>13577.5</v>
      </c>
    </row>
    <row r="43" spans="1:14">
      <c r="A43" s="121">
        <f t="shared" si="2"/>
        <v>43034</v>
      </c>
      <c r="B43" s="125">
        <v>148490707.47051719</v>
      </c>
      <c r="C43" s="125">
        <v>39255444.963057786</v>
      </c>
      <c r="D43" s="125">
        <v>43635016.241353169</v>
      </c>
      <c r="E43" s="125">
        <v>74432500.022559583</v>
      </c>
      <c r="F43" s="123">
        <f t="shared" si="0"/>
        <v>157322961.22697055</v>
      </c>
      <c r="G43" s="125">
        <v>-500000</v>
      </c>
      <c r="H43" s="125">
        <v>1853.8153123066234</v>
      </c>
      <c r="I43" s="125">
        <v>1019.0183149097853</v>
      </c>
      <c r="J43" s="125">
        <v>513.16939033917868</v>
      </c>
      <c r="K43" s="125">
        <v>1109.2994902215421</v>
      </c>
      <c r="L43" s="122">
        <f t="shared" si="1"/>
        <v>2641.4871954705059</v>
      </c>
      <c r="M43" s="125">
        <v>-10</v>
      </c>
      <c r="N43" s="115">
        <v>13581.5</v>
      </c>
    </row>
    <row r="44" spans="1:14">
      <c r="A44" s="121">
        <f t="shared" si="2"/>
        <v>43035</v>
      </c>
      <c r="B44" s="125">
        <v>148546438.9520295</v>
      </c>
      <c r="C44" s="125">
        <v>38632921.895016029</v>
      </c>
      <c r="D44" s="125">
        <v>43973636.613116637</v>
      </c>
      <c r="E44" s="125">
        <v>74647444.234744176</v>
      </c>
      <c r="F44" s="123">
        <f t="shared" si="0"/>
        <v>157254002.74287683</v>
      </c>
      <c r="G44" s="125">
        <v>-500000</v>
      </c>
      <c r="H44" s="125">
        <v>1831.4138056891297</v>
      </c>
      <c r="I44" s="125">
        <v>998.62143722952339</v>
      </c>
      <c r="J44" s="125">
        <v>516.86718290492217</v>
      </c>
      <c r="K44" s="125">
        <v>1108.2015547262326</v>
      </c>
      <c r="L44" s="122">
        <f t="shared" si="1"/>
        <v>2623.6901748606783</v>
      </c>
      <c r="M44" s="125">
        <v>0</v>
      </c>
      <c r="N44" s="115">
        <v>13617.5</v>
      </c>
    </row>
    <row r="45" spans="1:14">
      <c r="A45" s="121">
        <f t="shared" si="2"/>
        <v>43038</v>
      </c>
      <c r="B45" s="125">
        <v>148903234.00929987</v>
      </c>
      <c r="C45" s="125">
        <v>39860942.371224664</v>
      </c>
      <c r="D45" s="125">
        <v>43719735.526562974</v>
      </c>
      <c r="E45" s="125">
        <v>73707427.940710723</v>
      </c>
      <c r="F45" s="123">
        <f t="shared" si="0"/>
        <v>157288105.83849835</v>
      </c>
      <c r="G45" s="125">
        <v>-500000</v>
      </c>
      <c r="H45" s="125">
        <v>1830.7187116586342</v>
      </c>
      <c r="I45" s="125">
        <v>1020.8336015889594</v>
      </c>
      <c r="J45" s="125">
        <v>518.74026120722965</v>
      </c>
      <c r="K45" s="125">
        <v>1097.0566622925787</v>
      </c>
      <c r="L45" s="122">
        <f t="shared" si="1"/>
        <v>2636.6305250887681</v>
      </c>
      <c r="M45" s="125">
        <v>0</v>
      </c>
      <c r="N45" s="115">
        <v>13584</v>
      </c>
    </row>
    <row r="46" spans="1:14">
      <c r="A46" s="121">
        <f t="shared" si="2"/>
        <v>43039</v>
      </c>
      <c r="B46" s="125">
        <v>149680912.89242676</v>
      </c>
      <c r="C46" s="125">
        <v>37778163.20543395</v>
      </c>
      <c r="D46" s="125">
        <v>43906236.811028227</v>
      </c>
      <c r="E46" s="125">
        <v>74416945.919928402</v>
      </c>
      <c r="F46" s="123">
        <f>SUM(C46:E46)</f>
        <v>156101345.93639058</v>
      </c>
      <c r="G46" s="125">
        <v>-500000</v>
      </c>
      <c r="H46" s="125">
        <v>1820.621178424969</v>
      </c>
      <c r="I46" s="125">
        <v>1069.6479195611425</v>
      </c>
      <c r="J46" s="125">
        <v>517.98986733479023</v>
      </c>
      <c r="K46" s="125">
        <v>1086.4739759695858</v>
      </c>
      <c r="L46" s="122">
        <f t="shared" si="1"/>
        <v>2674.1117628655184</v>
      </c>
      <c r="M46" s="125">
        <v>0</v>
      </c>
      <c r="N46" s="115">
        <v>13562.5</v>
      </c>
    </row>
    <row r="47" spans="1:14">
      <c r="A47" s="121">
        <f t="shared" si="2"/>
        <v>43040</v>
      </c>
      <c r="B47" s="125">
        <v>149140729.8120845</v>
      </c>
      <c r="C47" s="125">
        <v>38250126.149725363</v>
      </c>
      <c r="D47" s="125">
        <v>43664344.403583221</v>
      </c>
      <c r="E47" s="125">
        <v>74398501.736472026</v>
      </c>
      <c r="F47" s="123">
        <f t="shared" ref="F47:F103" si="3">SUM(C47:E47)</f>
        <v>156312972.28978062</v>
      </c>
      <c r="G47" s="125">
        <v>-500000</v>
      </c>
      <c r="H47" s="125">
        <v>1884.9720310437624</v>
      </c>
      <c r="I47" s="125">
        <v>1053.5902235294327</v>
      </c>
      <c r="J47" s="125">
        <v>518.47522889392587</v>
      </c>
      <c r="K47" s="125">
        <v>1085.2031712594421</v>
      </c>
      <c r="L47" s="122">
        <f t="shared" si="1"/>
        <v>2657.2686236828008</v>
      </c>
      <c r="M47" s="125">
        <v>0</v>
      </c>
      <c r="N47" s="115">
        <v>13580</v>
      </c>
    </row>
    <row r="48" spans="1:14">
      <c r="A48" s="121">
        <f t="shared" si="2"/>
        <v>43041</v>
      </c>
      <c r="B48" s="125">
        <v>148920066.33723986</v>
      </c>
      <c r="C48" s="125">
        <v>39605461.994499512</v>
      </c>
      <c r="D48" s="125">
        <v>43530105.896948755</v>
      </c>
      <c r="E48" s="125">
        <v>73441406.509567171</v>
      </c>
      <c r="F48" s="123">
        <f t="shared" si="3"/>
        <v>156576974.40101543</v>
      </c>
      <c r="G48" s="125">
        <v>-500000</v>
      </c>
      <c r="H48" s="125">
        <v>1893.3668667139714</v>
      </c>
      <c r="I48" s="125">
        <v>1085.6597395569484</v>
      </c>
      <c r="J48" s="125">
        <v>514.74886490317613</v>
      </c>
      <c r="K48" s="125">
        <v>1080.6177288580463</v>
      </c>
      <c r="L48" s="122">
        <f t="shared" si="1"/>
        <v>2681.0263333181711</v>
      </c>
      <c r="M48" s="125">
        <v>0</v>
      </c>
      <c r="N48" s="115">
        <v>13551</v>
      </c>
    </row>
    <row r="49" spans="1:14">
      <c r="A49" s="121">
        <f t="shared" si="2"/>
        <v>43042</v>
      </c>
      <c r="B49" s="125">
        <v>147915929.77449083</v>
      </c>
      <c r="C49" s="125">
        <v>37945186.909851246</v>
      </c>
      <c r="D49" s="125">
        <v>43458555.415337242</v>
      </c>
      <c r="E49" s="125">
        <v>73979801.267492816</v>
      </c>
      <c r="F49" s="123">
        <f t="shared" si="3"/>
        <v>155383543.59268129</v>
      </c>
      <c r="G49" s="125">
        <v>-500000</v>
      </c>
      <c r="H49" s="125">
        <v>1889.8060405292797</v>
      </c>
      <c r="I49" s="125">
        <v>1118.2567237124545</v>
      </c>
      <c r="J49" s="125">
        <v>514.73520380592765</v>
      </c>
      <c r="K49" s="125">
        <v>1076.841508500577</v>
      </c>
      <c r="L49" s="122">
        <f t="shared" si="1"/>
        <v>2709.8334360189592</v>
      </c>
      <c r="M49" s="125">
        <v>0</v>
      </c>
      <c r="N49" s="115">
        <v>13497.5</v>
      </c>
    </row>
    <row r="50" spans="1:14">
      <c r="A50" s="121">
        <f t="shared" si="2"/>
        <v>43045</v>
      </c>
      <c r="B50" s="125">
        <v>147512316.30065888</v>
      </c>
      <c r="C50" s="125">
        <v>39539941.057294011</v>
      </c>
      <c r="D50" s="125">
        <v>43416205.9418872</v>
      </c>
      <c r="E50" s="125">
        <v>72835288.840774357</v>
      </c>
      <c r="F50" s="123">
        <f t="shared" si="3"/>
        <v>155791435.83995557</v>
      </c>
      <c r="G50" s="125">
        <v>-500000</v>
      </c>
      <c r="H50" s="125">
        <v>1864.6972902254215</v>
      </c>
      <c r="I50" s="125">
        <v>1163.497448066111</v>
      </c>
      <c r="J50" s="125">
        <v>510.42850400309032</v>
      </c>
      <c r="K50" s="125">
        <v>1072.3580003196648</v>
      </c>
      <c r="L50" s="122">
        <f t="shared" si="1"/>
        <v>2746.2839523888661</v>
      </c>
      <c r="M50" s="125">
        <v>0</v>
      </c>
      <c r="N50" s="115">
        <v>13522.5</v>
      </c>
    </row>
    <row r="51" spans="1:14">
      <c r="A51" s="121">
        <f t="shared" si="2"/>
        <v>43046</v>
      </c>
      <c r="B51" s="125">
        <v>147247916.86525714</v>
      </c>
      <c r="C51" s="125">
        <v>39724067.676685445</v>
      </c>
      <c r="D51" s="125">
        <v>43347100.604105756</v>
      </c>
      <c r="E51" s="125">
        <v>72736149.159864321</v>
      </c>
      <c r="F51" s="123">
        <f t="shared" si="3"/>
        <v>155807317.44065553</v>
      </c>
      <c r="G51" s="125">
        <v>-500000</v>
      </c>
      <c r="H51" s="125">
        <v>1851.4644610016667</v>
      </c>
      <c r="I51" s="125">
        <v>1150.5328308558478</v>
      </c>
      <c r="J51" s="125">
        <v>508.71267247195243</v>
      </c>
      <c r="K51" s="125">
        <v>1071.3632582714979</v>
      </c>
      <c r="L51" s="122">
        <f t="shared" si="1"/>
        <v>2730.6087615992983</v>
      </c>
      <c r="M51" s="125">
        <v>0</v>
      </c>
      <c r="N51" s="115">
        <v>13513.5</v>
      </c>
    </row>
    <row r="52" spans="1:14">
      <c r="A52" s="121">
        <f t="shared" si="2"/>
        <v>43047</v>
      </c>
      <c r="B52" s="125">
        <v>147504671.95098779</v>
      </c>
      <c r="C52" s="125">
        <v>38972363.130896017</v>
      </c>
      <c r="D52" s="125">
        <v>43304451.44007279</v>
      </c>
      <c r="E52" s="125">
        <v>72746411.7180935</v>
      </c>
      <c r="F52" s="123">
        <f t="shared" si="3"/>
        <v>155023226.28906232</v>
      </c>
      <c r="G52" s="125">
        <v>-500000</v>
      </c>
      <c r="H52" s="125">
        <v>1858.6799806125559</v>
      </c>
      <c r="I52" s="125">
        <v>1128.676203681739</v>
      </c>
      <c r="J52" s="125">
        <v>505.53142518049759</v>
      </c>
      <c r="K52" s="125">
        <v>1073.9905178818694</v>
      </c>
      <c r="L52" s="122">
        <f t="shared" si="1"/>
        <v>2708.198146744106</v>
      </c>
      <c r="M52" s="125">
        <v>0</v>
      </c>
      <c r="N52" s="115">
        <v>13517</v>
      </c>
    </row>
    <row r="53" spans="1:14">
      <c r="A53" s="121">
        <f t="shared" si="2"/>
        <v>43048</v>
      </c>
      <c r="B53" s="125">
        <v>147498671.98126152</v>
      </c>
      <c r="C53" s="125">
        <v>40576563.190125979</v>
      </c>
      <c r="D53" s="125">
        <v>43281476.400708102</v>
      </c>
      <c r="E53" s="125">
        <v>72393640.886063471</v>
      </c>
      <c r="F53" s="123">
        <f t="shared" si="3"/>
        <v>156251680.47689754</v>
      </c>
      <c r="G53" s="125">
        <v>-500000</v>
      </c>
      <c r="H53" s="125">
        <v>1842.3441432624973</v>
      </c>
      <c r="I53" s="125">
        <v>1129.901672784657</v>
      </c>
      <c r="J53" s="125">
        <v>506.54391099007512</v>
      </c>
      <c r="K53" s="125">
        <v>1074.734021070009</v>
      </c>
      <c r="L53" s="122">
        <f t="shared" si="1"/>
        <v>2711.1796048447413</v>
      </c>
      <c r="M53" s="125">
        <v>0</v>
      </c>
      <c r="N53" s="115">
        <v>13515</v>
      </c>
    </row>
    <row r="54" spans="1:14">
      <c r="A54" s="121">
        <f t="shared" si="2"/>
        <v>43049</v>
      </c>
      <c r="B54" s="125">
        <v>146853782.61929053</v>
      </c>
      <c r="C54" s="125">
        <v>37349083.139316231</v>
      </c>
      <c r="D54" s="125">
        <v>43339503.7770641</v>
      </c>
      <c r="E54" s="125">
        <v>72554132.670327127</v>
      </c>
      <c r="F54" s="123">
        <f t="shared" si="3"/>
        <v>153242719.58670747</v>
      </c>
      <c r="G54" s="125">
        <v>-1400000</v>
      </c>
      <c r="H54" s="125">
        <v>1842.0082020775926</v>
      </c>
      <c r="I54" s="125">
        <v>1149.9657543271007</v>
      </c>
      <c r="J54" s="125">
        <v>510.51627236560586</v>
      </c>
      <c r="K54" s="125">
        <v>1036.7844699645711</v>
      </c>
      <c r="L54" s="122">
        <f t="shared" si="1"/>
        <v>2697.2664966572775</v>
      </c>
      <c r="M54" s="125">
        <v>0</v>
      </c>
      <c r="N54" s="115">
        <v>13532.5</v>
      </c>
    </row>
    <row r="55" spans="1:14">
      <c r="A55" s="121">
        <f t="shared" si="2"/>
        <v>43052</v>
      </c>
      <c r="B55" s="125">
        <v>146928254.60940692</v>
      </c>
      <c r="C55" s="125">
        <v>39859996.911714718</v>
      </c>
      <c r="D55" s="125">
        <v>43216872.354954727</v>
      </c>
      <c r="E55" s="125">
        <v>72568869.801230833</v>
      </c>
      <c r="F55" s="123">
        <f t="shared" si="3"/>
        <v>155645739.0679003</v>
      </c>
      <c r="G55" s="125">
        <v>-500000</v>
      </c>
      <c r="H55" s="125">
        <v>1832.2503700628379</v>
      </c>
      <c r="I55" s="125">
        <v>1189.7237699249683</v>
      </c>
      <c r="J55" s="125">
        <v>509.95457531132473</v>
      </c>
      <c r="K55" s="125">
        <v>1035.0153375963869</v>
      </c>
      <c r="L55" s="122">
        <f t="shared" si="1"/>
        <v>2734.6936828326798</v>
      </c>
      <c r="M55" s="125">
        <v>0</v>
      </c>
      <c r="N55" s="115">
        <v>13550</v>
      </c>
    </row>
    <row r="56" spans="1:14">
      <c r="A56" s="121">
        <f t="shared" si="2"/>
        <v>43053</v>
      </c>
      <c r="B56" s="125">
        <v>147467397.0517875</v>
      </c>
      <c r="C56" s="125">
        <v>41103012.635369144</v>
      </c>
      <c r="D56" s="125">
        <v>43312014.330465734</v>
      </c>
      <c r="E56" s="125">
        <v>72401534.277006149</v>
      </c>
      <c r="F56" s="123">
        <f t="shared" si="3"/>
        <v>156816561.24284104</v>
      </c>
      <c r="G56" s="125">
        <v>-500000</v>
      </c>
      <c r="H56" s="125">
        <v>1839.3076105894163</v>
      </c>
      <c r="I56" s="125">
        <v>1200.4818615105794</v>
      </c>
      <c r="J56" s="125">
        <v>508.78262040632757</v>
      </c>
      <c r="K56" s="125">
        <v>1037.6651599129455</v>
      </c>
      <c r="L56" s="122">
        <f t="shared" si="1"/>
        <v>2746.9296418298527</v>
      </c>
      <c r="M56" s="125">
        <v>0</v>
      </c>
      <c r="N56" s="115">
        <v>13553.5</v>
      </c>
    </row>
    <row r="57" spans="1:14">
      <c r="A57" s="121">
        <f t="shared" si="2"/>
        <v>43054</v>
      </c>
      <c r="B57" s="125">
        <v>147588987.78747317</v>
      </c>
      <c r="C57" s="125">
        <v>38998747.797337599</v>
      </c>
      <c r="D57" s="125">
        <v>43242591.392111108</v>
      </c>
      <c r="E57" s="125">
        <v>72182036.476291969</v>
      </c>
      <c r="F57" s="123">
        <f t="shared" si="3"/>
        <v>154423375.66574067</v>
      </c>
      <c r="G57" s="125">
        <v>-500000</v>
      </c>
      <c r="H57" s="125">
        <v>1828.0060822861512</v>
      </c>
      <c r="I57" s="125">
        <v>1209.3546145798548</v>
      </c>
      <c r="J57" s="125">
        <v>508.15420867526205</v>
      </c>
      <c r="K57" s="125">
        <v>1038.1959065755884</v>
      </c>
      <c r="L57" s="122">
        <f t="shared" si="1"/>
        <v>2755.7047298307052</v>
      </c>
      <c r="M57" s="125">
        <v>-3</v>
      </c>
      <c r="N57" s="115">
        <v>13535</v>
      </c>
    </row>
    <row r="58" spans="1:14">
      <c r="A58" s="121">
        <f t="shared" si="2"/>
        <v>43055</v>
      </c>
      <c r="B58" s="125">
        <v>147594881.94053754</v>
      </c>
      <c r="C58" s="125">
        <v>40730651.27950298</v>
      </c>
      <c r="D58" s="125">
        <v>43410154.58255744</v>
      </c>
      <c r="E58" s="125">
        <v>71378081.159163132</v>
      </c>
      <c r="F58" s="123">
        <f t="shared" si="3"/>
        <v>155518887.02122355</v>
      </c>
      <c r="G58" s="125">
        <v>-500000</v>
      </c>
      <c r="H58" s="125">
        <v>1854.4759737172724</v>
      </c>
      <c r="I58" s="125">
        <v>1202.9111521727975</v>
      </c>
      <c r="J58" s="125">
        <v>508.48235617304732</v>
      </c>
      <c r="K58" s="125">
        <v>1036.8869103964737</v>
      </c>
      <c r="L58" s="122">
        <f t="shared" si="1"/>
        <v>2748.2804187423185</v>
      </c>
      <c r="M58" s="125">
        <v>-26</v>
      </c>
      <c r="N58" s="115">
        <v>13542</v>
      </c>
    </row>
    <row r="59" spans="1:14">
      <c r="A59" s="121">
        <f t="shared" si="2"/>
        <v>43056</v>
      </c>
      <c r="B59" s="125">
        <v>147769618.58520734</v>
      </c>
      <c r="C59" s="125">
        <v>37992624.260178596</v>
      </c>
      <c r="D59" s="125">
        <v>43284176.311877176</v>
      </c>
      <c r="E59" s="125">
        <v>71743178.864494666</v>
      </c>
      <c r="F59" s="123">
        <f t="shared" si="3"/>
        <v>153019979.43655044</v>
      </c>
      <c r="G59" s="125">
        <v>-920000</v>
      </c>
      <c r="H59" s="125">
        <v>1847.4726245375866</v>
      </c>
      <c r="I59" s="125">
        <v>1170.5795879519305</v>
      </c>
      <c r="J59" s="125">
        <v>508.85907128330075</v>
      </c>
      <c r="K59" s="125">
        <v>1034.797635163131</v>
      </c>
      <c r="L59" s="122">
        <f t="shared" si="1"/>
        <v>2714.2362943983621</v>
      </c>
      <c r="M59" s="125">
        <v>-13</v>
      </c>
      <c r="N59" s="115">
        <v>13527.5</v>
      </c>
    </row>
    <row r="60" spans="1:14">
      <c r="A60" s="121">
        <f t="shared" si="2"/>
        <v>43059</v>
      </c>
      <c r="B60" s="125">
        <v>147873232.8632026</v>
      </c>
      <c r="C60" s="125">
        <v>41118410.936059356</v>
      </c>
      <c r="D60" s="125">
        <v>43154148.606135137</v>
      </c>
      <c r="E60" s="125">
        <v>71200714.03288807</v>
      </c>
      <c r="F60" s="123">
        <f t="shared" si="3"/>
        <v>155473273.57508254</v>
      </c>
      <c r="G60" s="125">
        <v>0</v>
      </c>
      <c r="H60" s="125">
        <v>1804.7702752127141</v>
      </c>
      <c r="I60" s="125">
        <v>1151.1099066888855</v>
      </c>
      <c r="J60" s="125">
        <v>509.37076335492475</v>
      </c>
      <c r="K60" s="125">
        <v>1041.3898857365723</v>
      </c>
      <c r="L60" s="122">
        <f t="shared" si="1"/>
        <v>2701.8705557803823</v>
      </c>
      <c r="M60" s="125">
        <v>0</v>
      </c>
      <c r="N60" s="115">
        <v>13532.5</v>
      </c>
    </row>
    <row r="61" spans="1:14">
      <c r="A61" s="121">
        <f t="shared" si="2"/>
        <v>43060</v>
      </c>
      <c r="B61" s="125">
        <v>147569334.12411299</v>
      </c>
      <c r="C61" s="125">
        <v>41683895.119694337</v>
      </c>
      <c r="D61" s="125">
        <v>43033546.63322892</v>
      </c>
      <c r="E61" s="125">
        <v>71340012.717238367</v>
      </c>
      <c r="F61" s="123">
        <f t="shared" si="3"/>
        <v>156057454.47016162</v>
      </c>
      <c r="G61" s="125">
        <v>0</v>
      </c>
      <c r="H61" s="125">
        <v>1790.2240071471672</v>
      </c>
      <c r="I61" s="125">
        <v>1188.671906610067</v>
      </c>
      <c r="J61" s="125">
        <v>508.76592265437802</v>
      </c>
      <c r="K61" s="125">
        <v>1040.2561183645059</v>
      </c>
      <c r="L61" s="122">
        <f t="shared" si="1"/>
        <v>2737.6939476289508</v>
      </c>
      <c r="M61" s="125">
        <v>0</v>
      </c>
      <c r="N61" s="115">
        <v>13533.5</v>
      </c>
    </row>
    <row r="62" spans="1:14">
      <c r="A62" s="121">
        <f t="shared" si="2"/>
        <v>43061</v>
      </c>
      <c r="B62" s="125">
        <v>147491434.33602634</v>
      </c>
      <c r="C62" s="125">
        <v>40616004.268038824</v>
      </c>
      <c r="D62" s="125">
        <v>43136533.703839995</v>
      </c>
      <c r="E62" s="125">
        <v>71747489.85947074</v>
      </c>
      <c r="F62" s="123">
        <f t="shared" si="3"/>
        <v>155500027.83134955</v>
      </c>
      <c r="G62" s="125">
        <v>0</v>
      </c>
      <c r="H62" s="125">
        <v>1810.2260849204099</v>
      </c>
      <c r="I62" s="125">
        <v>1178.4034944790815</v>
      </c>
      <c r="J62" s="125">
        <v>510.27469528124362</v>
      </c>
      <c r="K62" s="125">
        <v>1039.311649367525</v>
      </c>
      <c r="L62" s="122">
        <f t="shared" si="1"/>
        <v>2727.9898391278502</v>
      </c>
      <c r="M62" s="125">
        <v>0</v>
      </c>
      <c r="N62" s="115">
        <v>13524.5</v>
      </c>
    </row>
    <row r="63" spans="1:14">
      <c r="A63" s="121">
        <f t="shared" si="2"/>
        <v>43062</v>
      </c>
      <c r="B63" s="125">
        <v>148154475.54069853</v>
      </c>
      <c r="C63" s="125">
        <v>40604855.352459498</v>
      </c>
      <c r="D63" s="125">
        <v>43335247.803549998</v>
      </c>
      <c r="E63" s="125">
        <v>70944648.635555789</v>
      </c>
      <c r="F63" s="123">
        <f t="shared" si="3"/>
        <v>154884751.7915653</v>
      </c>
      <c r="G63" s="125">
        <v>-240000</v>
      </c>
      <c r="H63" s="125">
        <v>1807.9716190049646</v>
      </c>
      <c r="I63" s="125">
        <v>1164.1365281432427</v>
      </c>
      <c r="J63" s="125">
        <v>510.34100751852844</v>
      </c>
      <c r="K63" s="125">
        <v>1039.1348293567219</v>
      </c>
      <c r="L63" s="122">
        <f t="shared" si="1"/>
        <v>2713.6123650184927</v>
      </c>
      <c r="M63" s="125">
        <v>0</v>
      </c>
      <c r="N63" s="115">
        <v>13513</v>
      </c>
    </row>
    <row r="64" spans="1:14">
      <c r="A64" s="121">
        <f t="shared" si="2"/>
        <v>43063</v>
      </c>
      <c r="B64" s="125">
        <v>148304874.37004033</v>
      </c>
      <c r="C64" s="125">
        <v>38978348.562920414</v>
      </c>
      <c r="D64" s="125">
        <v>43969675.936117075</v>
      </c>
      <c r="E64" s="125">
        <v>71048010.969515577</v>
      </c>
      <c r="F64" s="123">
        <f t="shared" si="3"/>
        <v>153996035.46855307</v>
      </c>
      <c r="G64" s="125">
        <v>-1200000</v>
      </c>
      <c r="H64" s="125">
        <v>1779.149824995071</v>
      </c>
      <c r="I64" s="125">
        <v>1172.2442764581508</v>
      </c>
      <c r="J64" s="125">
        <v>513.14068536684454</v>
      </c>
      <c r="K64" s="125">
        <v>1033.9873857681805</v>
      </c>
      <c r="L64" s="122">
        <f t="shared" si="1"/>
        <v>2719.3723475931756</v>
      </c>
      <c r="M64" s="125">
        <v>0</v>
      </c>
      <c r="N64" s="115">
        <v>13502.5</v>
      </c>
    </row>
    <row r="65" spans="1:23">
      <c r="A65" s="121">
        <f t="shared" si="2"/>
        <v>43066</v>
      </c>
      <c r="B65" s="125">
        <v>148347026.707975</v>
      </c>
      <c r="C65" s="125">
        <v>37952463.887866698</v>
      </c>
      <c r="D65" s="125">
        <v>43969882.647870578</v>
      </c>
      <c r="E65" s="125">
        <v>70809272.921388805</v>
      </c>
      <c r="F65" s="123">
        <f t="shared" si="3"/>
        <v>152731619.45712608</v>
      </c>
      <c r="G65" s="125">
        <v>-2080000</v>
      </c>
      <c r="H65" s="125">
        <v>1763.4753804724232</v>
      </c>
      <c r="I65" s="125">
        <v>1190.7995523750706</v>
      </c>
      <c r="J65" s="125">
        <v>510.70288900948321</v>
      </c>
      <c r="K65" s="125">
        <v>1021.8504662249304</v>
      </c>
      <c r="L65" s="122">
        <f t="shared" si="1"/>
        <v>2723.3529076094842</v>
      </c>
      <c r="M65" s="125">
        <v>0</v>
      </c>
      <c r="N65" s="115">
        <v>13518.5</v>
      </c>
    </row>
    <row r="66" spans="1:23">
      <c r="A66" s="121">
        <f t="shared" si="2"/>
        <v>43067</v>
      </c>
      <c r="B66" s="125">
        <v>148469256.44403487</v>
      </c>
      <c r="C66" s="125">
        <v>38661529.103984259</v>
      </c>
      <c r="D66" s="125">
        <v>43955024.428692631</v>
      </c>
      <c r="E66" s="125">
        <v>70676232.629397571</v>
      </c>
      <c r="F66" s="123">
        <f t="shared" si="3"/>
        <v>153292786.16207445</v>
      </c>
      <c r="G66" s="125">
        <v>-1975000</v>
      </c>
      <c r="H66" s="125">
        <v>1772.6362314031298</v>
      </c>
      <c r="I66" s="125">
        <v>1105.7311871873565</v>
      </c>
      <c r="J66" s="125">
        <v>511.2774974432383</v>
      </c>
      <c r="K66" s="125">
        <v>1021.3358491283835</v>
      </c>
      <c r="L66" s="122">
        <f t="shared" si="1"/>
        <v>2638.3445337589783</v>
      </c>
      <c r="M66" s="125">
        <v>-15</v>
      </c>
      <c r="N66" s="115">
        <v>13508.5</v>
      </c>
    </row>
    <row r="67" spans="1:23">
      <c r="A67" s="121">
        <f t="shared" si="2"/>
        <v>43068</v>
      </c>
      <c r="B67" s="125">
        <v>148759213.80415806</v>
      </c>
      <c r="C67" s="125">
        <v>37088747.96413672</v>
      </c>
      <c r="D67" s="125">
        <v>43850431.185348175</v>
      </c>
      <c r="E67" s="125">
        <v>70785851.741586834</v>
      </c>
      <c r="F67" s="123">
        <f t="shared" si="3"/>
        <v>151725030.89107174</v>
      </c>
      <c r="G67" s="125">
        <v>-3080000</v>
      </c>
      <c r="H67" s="125">
        <v>1784.7501053511796</v>
      </c>
      <c r="I67" s="125">
        <v>1154.5099667274958</v>
      </c>
      <c r="J67" s="125">
        <v>515.57166175743578</v>
      </c>
      <c r="K67" s="125">
        <v>1019.4953026018086</v>
      </c>
      <c r="L67" s="122">
        <f t="shared" si="1"/>
        <v>2689.5769310867399</v>
      </c>
      <c r="M67" s="125">
        <v>0</v>
      </c>
      <c r="N67" s="115">
        <v>13502.5</v>
      </c>
    </row>
    <row r="68" spans="1:23">
      <c r="A68" s="121">
        <f t="shared" si="2"/>
        <v>43069</v>
      </c>
      <c r="B68" s="125">
        <v>149753395.36773759</v>
      </c>
      <c r="C68" s="125">
        <v>37923387.242456995</v>
      </c>
      <c r="D68" s="125">
        <v>44344218.457815193</v>
      </c>
      <c r="E68" s="125">
        <v>70095709.952876881</v>
      </c>
      <c r="F68" s="123">
        <f t="shared" si="3"/>
        <v>152363315.65314907</v>
      </c>
      <c r="G68" s="125">
        <v>-3030000</v>
      </c>
      <c r="H68" s="125">
        <v>1810.3442040582206</v>
      </c>
      <c r="I68" s="125">
        <v>1165.4869098742461</v>
      </c>
      <c r="J68" s="125">
        <v>518.52596686711001</v>
      </c>
      <c r="K68" s="125">
        <v>1006.7454617165981</v>
      </c>
      <c r="L68" s="122">
        <f t="shared" ref="L68:L98" si="4">SUM(I68:K68)</f>
        <v>2690.7583384579543</v>
      </c>
      <c r="M68" s="125">
        <v>0</v>
      </c>
      <c r="N68" s="115">
        <v>13526</v>
      </c>
    </row>
    <row r="69" spans="1:23">
      <c r="A69" s="121">
        <v>43073</v>
      </c>
      <c r="B69" s="125">
        <v>149683235.90451601</v>
      </c>
      <c r="C69" s="125">
        <v>40019023.135158919</v>
      </c>
      <c r="D69" s="125">
        <v>43947829.559513517</v>
      </c>
      <c r="E69" s="125">
        <v>69440407.017086446</v>
      </c>
      <c r="F69" s="123">
        <f t="shared" si="3"/>
        <v>153407259.71175888</v>
      </c>
      <c r="G69" s="125">
        <v>-2390000</v>
      </c>
      <c r="H69" s="125">
        <v>1801.4812187726493</v>
      </c>
      <c r="I69" s="125">
        <v>1163.3944168973526</v>
      </c>
      <c r="J69" s="125">
        <v>519.78422165661709</v>
      </c>
      <c r="K69" s="125">
        <v>1005.1707579919774</v>
      </c>
      <c r="L69" s="122">
        <f t="shared" si="4"/>
        <v>2688.349396545947</v>
      </c>
      <c r="M69" s="125">
        <v>-15</v>
      </c>
      <c r="N69" s="115">
        <v>13526</v>
      </c>
    </row>
    <row r="70" spans="1:23">
      <c r="A70" s="121">
        <f t="shared" si="2"/>
        <v>43074</v>
      </c>
      <c r="B70" s="125">
        <v>149529748.08326203</v>
      </c>
      <c r="C70" s="125">
        <v>40176479.590194955</v>
      </c>
      <c r="D70" s="125">
        <v>43698546.852769732</v>
      </c>
      <c r="E70" s="125">
        <v>69435332.65238677</v>
      </c>
      <c r="F70" s="123">
        <f t="shared" si="3"/>
        <v>153310359.09535146</v>
      </c>
      <c r="G70" s="125">
        <v>-1865000</v>
      </c>
      <c r="H70" s="125">
        <v>1828.5188868189955</v>
      </c>
      <c r="I70" s="125">
        <v>1123.3433816224015</v>
      </c>
      <c r="J70" s="125">
        <v>518.20905876258178</v>
      </c>
      <c r="K70" s="125">
        <v>1002.8431177473207</v>
      </c>
      <c r="L70" s="122">
        <f t="shared" si="4"/>
        <v>2644.3955581323039</v>
      </c>
      <c r="M70" s="125">
        <v>-5</v>
      </c>
      <c r="N70" s="115">
        <v>13519</v>
      </c>
    </row>
    <row r="71" spans="1:23">
      <c r="A71" s="121">
        <f>'Update IDR GWM'!A56</f>
        <v>43075</v>
      </c>
      <c r="B71" s="125">
        <v>149497017.82840329</v>
      </c>
      <c r="C71" s="125">
        <v>37794262.030966081</v>
      </c>
      <c r="D71" s="125">
        <v>43580105.272186458</v>
      </c>
      <c r="E71" s="125">
        <v>69564297.238060623</v>
      </c>
      <c r="F71" s="123">
        <f t="shared" si="3"/>
        <v>150938664.54121315</v>
      </c>
      <c r="G71" s="125">
        <v>-2500000</v>
      </c>
      <c r="H71" s="125">
        <v>1852.7537093232766</v>
      </c>
      <c r="I71" s="125">
        <v>1137.3798407627496</v>
      </c>
      <c r="J71" s="125">
        <v>522.66729841145366</v>
      </c>
      <c r="K71" s="125">
        <v>1000.8227263494244</v>
      </c>
      <c r="L71" s="122">
        <f t="shared" si="4"/>
        <v>2660.8698655236276</v>
      </c>
      <c r="M71" s="125">
        <v>-15</v>
      </c>
      <c r="N71" s="115">
        <v>13539</v>
      </c>
    </row>
    <row r="72" spans="1:23">
      <c r="A72" s="121">
        <f>'Update IDR GWM'!A57</f>
        <v>43076</v>
      </c>
      <c r="B72" s="125">
        <v>149745941.27248123</v>
      </c>
      <c r="C72" s="125">
        <v>38502959.853155874</v>
      </c>
      <c r="D72" s="125">
        <v>43626247.315046012</v>
      </c>
      <c r="E72" s="125">
        <v>69435006.237281427</v>
      </c>
      <c r="F72" s="123">
        <f t="shared" si="3"/>
        <v>151564213.40548331</v>
      </c>
      <c r="G72" s="125">
        <v>-2050000</v>
      </c>
      <c r="H72" s="125">
        <v>1883.5621696862704</v>
      </c>
      <c r="I72" s="125">
        <v>1116.5397419968529</v>
      </c>
      <c r="J72" s="125">
        <v>518.03509911808487</v>
      </c>
      <c r="K72" s="125">
        <v>1003.8614520841359</v>
      </c>
      <c r="L72" s="122">
        <f t="shared" si="4"/>
        <v>2638.4362931990736</v>
      </c>
      <c r="M72" s="125">
        <v>-35</v>
      </c>
      <c r="N72" s="115">
        <v>13555</v>
      </c>
    </row>
    <row r="73" spans="1:23">
      <c r="A73" s="121">
        <f>'Update IDR GWM'!A58</f>
        <v>43077</v>
      </c>
      <c r="B73" s="125">
        <v>149742913.46022639</v>
      </c>
      <c r="C73" s="125">
        <v>38880017.334304012</v>
      </c>
      <c r="D73" s="125">
        <v>43723872.937224329</v>
      </c>
      <c r="E73" s="125">
        <v>69057860.984982446</v>
      </c>
      <c r="F73" s="123">
        <f t="shared" si="3"/>
        <v>151661751.25651079</v>
      </c>
      <c r="G73" s="125">
        <v>-1900000</v>
      </c>
      <c r="H73" s="125">
        <v>1851.2861866957085</v>
      </c>
      <c r="I73" s="125">
        <v>1136.3750138969995</v>
      </c>
      <c r="J73" s="125">
        <v>518.87026807968391</v>
      </c>
      <c r="K73" s="125">
        <v>1013.0273220549495</v>
      </c>
      <c r="L73" s="122">
        <f t="shared" si="4"/>
        <v>2668.2726040316329</v>
      </c>
      <c r="M73" s="125">
        <v>-84</v>
      </c>
      <c r="N73" s="115">
        <v>13547.5</v>
      </c>
    </row>
    <row r="74" spans="1:23">
      <c r="A74" s="121">
        <f>'Update IDR GWM'!A59</f>
        <v>43080</v>
      </c>
      <c r="B74" s="125">
        <v>149953386.28445742</v>
      </c>
      <c r="C74" s="125">
        <v>38990579.00589069</v>
      </c>
      <c r="D74" s="125">
        <v>43440969.752372213</v>
      </c>
      <c r="E74" s="125">
        <v>68427791.560723484</v>
      </c>
      <c r="F74" s="123">
        <f t="shared" si="3"/>
        <v>150859340.31898639</v>
      </c>
      <c r="G74" s="125">
        <v>-1900000</v>
      </c>
      <c r="H74" s="125">
        <v>1903.6799778122042</v>
      </c>
      <c r="I74" s="125">
        <v>1148.7807865004036</v>
      </c>
      <c r="J74" s="125">
        <v>511.08600946532738</v>
      </c>
      <c r="K74" s="125">
        <v>1009.9308498499109</v>
      </c>
      <c r="L74" s="122">
        <f t="shared" si="4"/>
        <v>2669.7976458156418</v>
      </c>
      <c r="M74" s="125">
        <v>-77</v>
      </c>
      <c r="N74" s="115">
        <v>13552.5</v>
      </c>
    </row>
    <row r="75" spans="1:23">
      <c r="A75" s="121">
        <f>'Update IDR GWM'!A60</f>
        <v>43081</v>
      </c>
      <c r="B75" s="125">
        <v>149840556.17182532</v>
      </c>
      <c r="C75" s="125">
        <v>39688128.392685443</v>
      </c>
      <c r="D75" s="125">
        <v>43481891.256299555</v>
      </c>
      <c r="E75" s="125">
        <v>68034682.732137129</v>
      </c>
      <c r="F75" s="123">
        <f t="shared" si="3"/>
        <v>151204702.38112211</v>
      </c>
      <c r="G75" s="125">
        <v>-1900000</v>
      </c>
      <c r="H75" s="125">
        <v>1866.8339134162984</v>
      </c>
      <c r="I75" s="125">
        <v>1069.0652333380403</v>
      </c>
      <c r="J75" s="125">
        <v>507.74595970141547</v>
      </c>
      <c r="K75" s="125">
        <v>1007.5198124453703</v>
      </c>
      <c r="L75" s="122">
        <f t="shared" si="4"/>
        <v>2584.3310054848262</v>
      </c>
      <c r="M75" s="125">
        <v>-97.5</v>
      </c>
      <c r="N75" s="115">
        <v>13568.5</v>
      </c>
    </row>
    <row r="76" spans="1:23">
      <c r="A76" s="121">
        <f>'Update IDR GWM'!A61</f>
        <v>43082</v>
      </c>
      <c r="B76" s="125">
        <v>149686397.666109</v>
      </c>
      <c r="C76" s="125">
        <v>40723022.724870957</v>
      </c>
      <c r="D76" s="125">
        <v>43357716.19518815</v>
      </c>
      <c r="E76" s="125">
        <v>67765172.32872656</v>
      </c>
      <c r="F76" s="123">
        <f t="shared" si="3"/>
        <v>151845911.24878567</v>
      </c>
      <c r="G76" s="125">
        <v>-1900000</v>
      </c>
      <c r="H76" s="125">
        <v>1905.8636938917912</v>
      </c>
      <c r="I76" s="125">
        <v>1098.392572393336</v>
      </c>
      <c r="J76" s="125">
        <v>498.21316147251832</v>
      </c>
      <c r="K76" s="125">
        <v>1008.3714616948904</v>
      </c>
      <c r="L76" s="122">
        <f t="shared" si="4"/>
        <v>2604.9771955607448</v>
      </c>
      <c r="M76" s="125">
        <v>-86</v>
      </c>
      <c r="N76" s="115">
        <v>13585</v>
      </c>
      <c r="P76" s="125">
        <v>0</v>
      </c>
      <c r="Q76" s="125">
        <v>0</v>
      </c>
      <c r="S76" s="125">
        <v>-1.4179999999999999</v>
      </c>
      <c r="T76" s="125">
        <v>0</v>
      </c>
      <c r="V76" s="125"/>
      <c r="W76" s="125"/>
    </row>
    <row r="77" spans="1:23">
      <c r="A77" s="121">
        <f>'Update IDR GWM'!A62</f>
        <v>43083</v>
      </c>
      <c r="B77" s="125">
        <v>149674123.70555162</v>
      </c>
      <c r="C77" s="125">
        <v>41693681.401873142</v>
      </c>
      <c r="D77" s="125">
        <v>43032829.653965406</v>
      </c>
      <c r="E77" s="125">
        <v>67631153.007049173</v>
      </c>
      <c r="F77" s="123">
        <f t="shared" si="3"/>
        <v>152357664.06288773</v>
      </c>
      <c r="G77" s="125">
        <v>-1970000</v>
      </c>
      <c r="H77" s="125">
        <v>1895.051973408817</v>
      </c>
      <c r="I77" s="125">
        <v>1055.8080558791896</v>
      </c>
      <c r="J77" s="125">
        <v>499.57529223195013</v>
      </c>
      <c r="K77" s="125">
        <v>1009.3317745132861</v>
      </c>
      <c r="L77" s="122">
        <f t="shared" si="4"/>
        <v>2564.7151226244259</v>
      </c>
      <c r="M77" s="125">
        <v>-78</v>
      </c>
      <c r="N77" s="115">
        <v>13577.5</v>
      </c>
      <c r="P77" s="125">
        <v>0</v>
      </c>
      <c r="Q77" s="125">
        <v>0</v>
      </c>
      <c r="S77" s="125">
        <v>-1.4179999999999999</v>
      </c>
      <c r="T77" s="125">
        <v>0</v>
      </c>
      <c r="V77" s="125"/>
      <c r="W77" s="125"/>
    </row>
    <row r="78" spans="1:23">
      <c r="A78" s="121">
        <f>'Update IDR GWM'!A63</f>
        <v>43084</v>
      </c>
      <c r="B78" s="125">
        <v>149787107.68130687</v>
      </c>
      <c r="C78" s="125">
        <v>39712704.01531177</v>
      </c>
      <c r="D78" s="125">
        <v>43476173.804462902</v>
      </c>
      <c r="E78" s="125">
        <v>67446861.817230254</v>
      </c>
      <c r="F78" s="123">
        <f t="shared" si="3"/>
        <v>150635739.63700491</v>
      </c>
      <c r="G78" s="125">
        <v>-2070000</v>
      </c>
      <c r="H78" s="125">
        <v>1909.8692084967508</v>
      </c>
      <c r="I78" s="125">
        <v>1042.0081171493407</v>
      </c>
      <c r="J78" s="125">
        <v>498.41285647096589</v>
      </c>
      <c r="K78" s="125">
        <v>1009.9863457551436</v>
      </c>
      <c r="L78" s="122">
        <f t="shared" si="4"/>
        <v>2550.4073193754502</v>
      </c>
      <c r="M78" s="125">
        <v>-136.5</v>
      </c>
      <c r="N78" s="115">
        <v>13578.5</v>
      </c>
      <c r="P78" s="125">
        <v>0</v>
      </c>
      <c r="Q78" s="125">
        <v>0</v>
      </c>
      <c r="S78" s="125">
        <v>-1.4179999999999999</v>
      </c>
      <c r="T78" s="125">
        <v>0</v>
      </c>
      <c r="V78" s="125"/>
      <c r="W78" s="125"/>
    </row>
    <row r="79" spans="1:23">
      <c r="A79" s="121">
        <f>'Update IDR GWM'!A64</f>
        <v>43087</v>
      </c>
      <c r="B79" s="125">
        <v>149995418.19326183</v>
      </c>
      <c r="C79" s="125">
        <v>41710178.061653785</v>
      </c>
      <c r="D79" s="125">
        <v>43771128.135770619</v>
      </c>
      <c r="E79" s="125">
        <v>66980762.153308488</v>
      </c>
      <c r="F79" s="123">
        <f t="shared" si="3"/>
        <v>152462068.35073289</v>
      </c>
      <c r="G79" s="125">
        <v>-2170000</v>
      </c>
      <c r="H79" s="125">
        <v>1945.7727775929659</v>
      </c>
      <c r="I79" s="125">
        <v>1025.4168799520771</v>
      </c>
      <c r="J79" s="125">
        <v>496.03915332539862</v>
      </c>
      <c r="K79" s="125">
        <v>1021.5770028222528</v>
      </c>
      <c r="L79" s="122">
        <f t="shared" si="4"/>
        <v>2543.0330360997286</v>
      </c>
      <c r="M79" s="125">
        <v>-88</v>
      </c>
      <c r="N79" s="115">
        <v>13581.5</v>
      </c>
      <c r="P79" s="125">
        <v>0</v>
      </c>
      <c r="Q79" s="125">
        <v>0</v>
      </c>
      <c r="S79" s="125">
        <v>-1.4179999999999999</v>
      </c>
      <c r="T79" s="125">
        <v>0</v>
      </c>
      <c r="V79" s="125"/>
      <c r="W79" s="125"/>
    </row>
    <row r="80" spans="1:23">
      <c r="A80" s="121">
        <f>'Update IDR GWM'!A65</f>
        <v>43088</v>
      </c>
      <c r="B80" s="126">
        <v>149818880.88471562</v>
      </c>
      <c r="C80" s="125">
        <v>41263064.033046372</v>
      </c>
      <c r="D80" s="125">
        <v>43717206.117215425</v>
      </c>
      <c r="E80" s="125">
        <v>67472063.459929183</v>
      </c>
      <c r="F80" s="123">
        <f t="shared" si="3"/>
        <v>152452333.61019099</v>
      </c>
      <c r="G80" s="125">
        <v>-2070000</v>
      </c>
      <c r="H80" s="125">
        <v>1991.4823101625204</v>
      </c>
      <c r="I80" s="125">
        <v>1001.6852142101114</v>
      </c>
      <c r="J80" s="125">
        <v>500.46312902169365</v>
      </c>
      <c r="K80" s="125">
        <v>1039.1711843037297</v>
      </c>
      <c r="L80" s="122">
        <f t="shared" si="4"/>
        <v>2541.3195275355347</v>
      </c>
      <c r="M80" s="125">
        <v>-88</v>
      </c>
      <c r="N80" s="115">
        <v>13576.5</v>
      </c>
      <c r="P80" s="125">
        <v>-2317287.321</v>
      </c>
      <c r="Q80" s="125">
        <v>0</v>
      </c>
      <c r="S80" s="125">
        <v>-1.4179999999999999</v>
      </c>
      <c r="T80" s="125">
        <v>0</v>
      </c>
      <c r="V80" s="125"/>
      <c r="W80" s="125"/>
    </row>
    <row r="81" spans="1:23">
      <c r="A81" s="121">
        <f>'Update IDR GWM'!A66</f>
        <v>43089</v>
      </c>
      <c r="B81" s="125">
        <v>151012716.84678841</v>
      </c>
      <c r="C81" s="125">
        <v>44343243.095869318</v>
      </c>
      <c r="D81" s="125">
        <v>44012823.025930442</v>
      </c>
      <c r="E81" s="125">
        <v>68005387.53208749</v>
      </c>
      <c r="F81" s="123">
        <f t="shared" si="3"/>
        <v>156361453.65388727</v>
      </c>
      <c r="G81" s="125">
        <v>-1120000</v>
      </c>
      <c r="H81" s="125">
        <v>1977.3737967180793</v>
      </c>
      <c r="I81" s="125">
        <v>1017.3569160808515</v>
      </c>
      <c r="J81" s="125">
        <v>497.74605611817316</v>
      </c>
      <c r="K81" s="125">
        <v>1074.4951070493714</v>
      </c>
      <c r="L81" s="122">
        <f t="shared" si="4"/>
        <v>2589.5980792483961</v>
      </c>
      <c r="M81" s="125">
        <v>-49.5</v>
      </c>
      <c r="N81" s="115">
        <v>13578.5</v>
      </c>
      <c r="P81" s="125">
        <v>-2685055.4010000001</v>
      </c>
      <c r="Q81" s="125">
        <v>0</v>
      </c>
      <c r="S81" s="125">
        <v>-1.4179999999999999</v>
      </c>
      <c r="T81" s="125">
        <v>0</v>
      </c>
      <c r="V81" s="125"/>
      <c r="W81" s="125"/>
    </row>
    <row r="82" spans="1:23">
      <c r="A82" s="121">
        <f>'Update IDR GWM'!A67</f>
        <v>43090</v>
      </c>
      <c r="B82" s="125">
        <v>151494510.43656513</v>
      </c>
      <c r="C82" s="125">
        <v>45516889.182814866</v>
      </c>
      <c r="D82" s="125">
        <v>44116232.757182203</v>
      </c>
      <c r="E82" s="125">
        <v>68248748.724864617</v>
      </c>
      <c r="F82" s="123">
        <f t="shared" si="3"/>
        <v>157881870.66486168</v>
      </c>
      <c r="G82" s="125">
        <v>-1120000</v>
      </c>
      <c r="H82" s="125">
        <v>1948.1169348755441</v>
      </c>
      <c r="I82" s="125">
        <v>1040.3136304607742</v>
      </c>
      <c r="J82" s="125">
        <v>496.33184271290611</v>
      </c>
      <c r="K82" s="125">
        <v>1214.7895862112534</v>
      </c>
      <c r="L82" s="122">
        <f t="shared" si="4"/>
        <v>2751.435059384934</v>
      </c>
      <c r="M82" s="125">
        <v>-5</v>
      </c>
      <c r="N82" s="115">
        <v>13557.5</v>
      </c>
      <c r="P82" s="125">
        <v>-2685055.4010000001</v>
      </c>
      <c r="Q82" s="125">
        <v>0</v>
      </c>
      <c r="S82" s="125">
        <v>-6683532.8772481093</v>
      </c>
      <c r="T82" s="125">
        <v>0</v>
      </c>
      <c r="V82" s="125"/>
      <c r="W82" s="125"/>
    </row>
    <row r="83" spans="1:23">
      <c r="A83" s="121">
        <f>'Update IDR GWM'!A68</f>
        <v>43091</v>
      </c>
      <c r="B83" s="125">
        <v>151500383.02117005</v>
      </c>
      <c r="C83" s="125">
        <v>40898855.023133419</v>
      </c>
      <c r="D83" s="125">
        <v>44540921.089324825</v>
      </c>
      <c r="E83" s="125">
        <v>69378869.797392905</v>
      </c>
      <c r="F83" s="123">
        <f t="shared" si="3"/>
        <v>154818645.90985113</v>
      </c>
      <c r="G83" s="125">
        <v>-1120000</v>
      </c>
      <c r="H83" s="125">
        <v>2002.5769167865349</v>
      </c>
      <c r="I83" s="125">
        <v>931.59648516687514</v>
      </c>
      <c r="J83" s="125">
        <v>496.85831270761088</v>
      </c>
      <c r="K83" s="125">
        <v>1316.1916735513819</v>
      </c>
      <c r="L83" s="122">
        <f t="shared" si="4"/>
        <v>2744.6464714258682</v>
      </c>
      <c r="M83" s="125">
        <v>-5.0012907984510422</v>
      </c>
      <c r="N83" s="115">
        <v>13557.5</v>
      </c>
      <c r="P83" s="125">
        <v>-2685055.4010000001</v>
      </c>
      <c r="Q83" s="125">
        <v>0</v>
      </c>
      <c r="S83" s="125">
        <v>-6684544.5364956195</v>
      </c>
      <c r="T83" s="125">
        <v>0</v>
      </c>
      <c r="V83" s="125"/>
      <c r="W83" s="125"/>
    </row>
    <row r="84" spans="1:23">
      <c r="A84" s="121">
        <v>43096</v>
      </c>
      <c r="B84" s="125">
        <v>153690520.1515491</v>
      </c>
      <c r="C84" s="125">
        <v>44270470.026080079</v>
      </c>
      <c r="D84" s="125">
        <v>43938108.775561042</v>
      </c>
      <c r="E84" s="125">
        <v>67427540.527528062</v>
      </c>
      <c r="F84" s="123">
        <f t="shared" si="3"/>
        <v>155636119.32916918</v>
      </c>
      <c r="G84" s="125">
        <v>-1120000</v>
      </c>
      <c r="H84" s="125">
        <v>1983.2774077508357</v>
      </c>
      <c r="I84" s="125">
        <v>954.34932126643264</v>
      </c>
      <c r="J84" s="125">
        <v>493.45023884625891</v>
      </c>
      <c r="K84" s="125">
        <v>1365.252128151219</v>
      </c>
      <c r="L84" s="122">
        <f t="shared" si="4"/>
        <v>2813.0516882639104</v>
      </c>
      <c r="M84" s="125">
        <v>0</v>
      </c>
      <c r="N84" s="115">
        <v>13560.5</v>
      </c>
      <c r="P84" s="125">
        <v>-2685055.4010000001</v>
      </c>
      <c r="Q84" s="125">
        <v>0</v>
      </c>
      <c r="S84" s="125">
        <v>-6689602.8327331301</v>
      </c>
      <c r="T84" s="125">
        <v>0</v>
      </c>
      <c r="V84" s="125"/>
      <c r="W84" s="125"/>
    </row>
    <row r="85" spans="1:23">
      <c r="A85" s="121">
        <v>43097</v>
      </c>
      <c r="B85" s="125">
        <v>154282430.60304746</v>
      </c>
      <c r="C85" s="125">
        <v>38952653.839582473</v>
      </c>
      <c r="D85" s="125">
        <v>44151165.84344393</v>
      </c>
      <c r="E85" s="125">
        <v>69656237.904745817</v>
      </c>
      <c r="F85" s="123">
        <f t="shared" si="3"/>
        <v>152760057.58777222</v>
      </c>
      <c r="G85" s="125">
        <v>-1160000</v>
      </c>
      <c r="H85" s="125">
        <v>1957.3598374616827</v>
      </c>
      <c r="I85" s="125">
        <v>915.59669483030916</v>
      </c>
      <c r="J85" s="125">
        <v>490.61148779312867</v>
      </c>
      <c r="K85" s="125">
        <v>1390.0030601366391</v>
      </c>
      <c r="L85" s="122">
        <f t="shared" si="4"/>
        <v>2796.2112427600769</v>
      </c>
      <c r="M85" s="125">
        <v>0</v>
      </c>
      <c r="N85" s="115">
        <v>13562</v>
      </c>
      <c r="P85" s="125">
        <v>-2685055.4010000001</v>
      </c>
      <c r="Q85" s="125">
        <v>0</v>
      </c>
      <c r="S85" s="125">
        <v>-6690614.4919806197</v>
      </c>
      <c r="T85" s="125">
        <v>0</v>
      </c>
      <c r="V85" s="125"/>
      <c r="W85" s="125"/>
    </row>
    <row r="86" spans="1:23">
      <c r="A86" s="121">
        <v>43098</v>
      </c>
      <c r="B86" s="125">
        <v>155135553.14846858</v>
      </c>
      <c r="C86" s="125">
        <v>35887722.635445409</v>
      </c>
      <c r="D86" s="125">
        <v>44020529.283115059</v>
      </c>
      <c r="E86" s="125">
        <v>71200118.810239509</v>
      </c>
      <c r="F86" s="123">
        <f t="shared" si="3"/>
        <v>151108370.7288</v>
      </c>
      <c r="G86" s="125">
        <v>-3605000</v>
      </c>
      <c r="H86" s="125">
        <v>1973.7134610534538</v>
      </c>
      <c r="I86" s="125">
        <v>993.17559235363456</v>
      </c>
      <c r="J86" s="125">
        <v>487.89177201503787</v>
      </c>
      <c r="K86" s="125">
        <v>1445.075951590745</v>
      </c>
      <c r="L86" s="122">
        <f t="shared" si="4"/>
        <v>2926.1433159594171</v>
      </c>
      <c r="M86" s="125">
        <v>0</v>
      </c>
      <c r="N86" s="115">
        <v>13567.5</v>
      </c>
      <c r="P86" s="125">
        <v>-2685055.4010000001</v>
      </c>
      <c r="Q86" s="125">
        <v>0</v>
      </c>
      <c r="S86" s="125">
        <v>-6693649.4697231101</v>
      </c>
      <c r="T86" s="125">
        <v>0</v>
      </c>
      <c r="V86" s="125"/>
      <c r="W86" s="125"/>
    </row>
    <row r="87" spans="1:23">
      <c r="A87" s="121">
        <f>'Update IDR GWM'!A72</f>
        <v>43102</v>
      </c>
      <c r="B87" s="125">
        <v>154170109.00662002</v>
      </c>
      <c r="C87" s="125">
        <v>37823258.519387119</v>
      </c>
      <c r="D87" s="125">
        <v>43722085.625239119</v>
      </c>
      <c r="E87" s="125">
        <v>70354354.779668063</v>
      </c>
      <c r="F87" s="123">
        <f t="shared" si="3"/>
        <v>151899698.92429429</v>
      </c>
      <c r="G87" s="125">
        <v>-2600000</v>
      </c>
      <c r="H87" s="125">
        <v>1946.8188100035964</v>
      </c>
      <c r="I87" s="125">
        <v>1001.4731790899718</v>
      </c>
      <c r="J87" s="125">
        <v>489.65889719872752</v>
      </c>
      <c r="K87" s="125">
        <v>1422.8237233749164</v>
      </c>
      <c r="L87" s="122">
        <f t="shared" si="4"/>
        <v>2913.9557996636158</v>
      </c>
      <c r="M87" s="125">
        <v>0</v>
      </c>
      <c r="N87" s="115">
        <v>13517.5</v>
      </c>
      <c r="P87" s="125">
        <v>-2685055.4010000001</v>
      </c>
      <c r="Q87" s="125">
        <v>0</v>
      </c>
      <c r="S87" s="125">
        <v>-6695672.7882181099</v>
      </c>
      <c r="T87" s="125">
        <v>0</v>
      </c>
      <c r="V87" s="125"/>
      <c r="W87" s="125"/>
    </row>
    <row r="88" spans="1:23">
      <c r="A88" s="121">
        <f>'Update IDR GWM'!A73</f>
        <v>43103</v>
      </c>
      <c r="B88" s="125">
        <v>153433881.18156207</v>
      </c>
      <c r="C88" s="125">
        <v>37486652.140243217</v>
      </c>
      <c r="D88" s="125">
        <v>44002723.797729127</v>
      </c>
      <c r="E88" s="125">
        <v>70355156.701971918</v>
      </c>
      <c r="F88" s="123">
        <f t="shared" si="3"/>
        <v>151844532.63994426</v>
      </c>
      <c r="G88" s="125">
        <v>-2500000</v>
      </c>
      <c r="H88" s="125">
        <v>1921.8548702589583</v>
      </c>
      <c r="I88" s="125">
        <v>997.68690458112712</v>
      </c>
      <c r="J88" s="125">
        <v>489.74637029180343</v>
      </c>
      <c r="K88" s="125">
        <v>1420.7767666742679</v>
      </c>
      <c r="L88" s="122">
        <f t="shared" si="4"/>
        <v>2908.2100415471987</v>
      </c>
      <c r="M88" s="125">
        <v>0</v>
      </c>
      <c r="N88" s="115">
        <v>13478</v>
      </c>
      <c r="P88" s="125">
        <v>-2685055.4010000001</v>
      </c>
      <c r="Q88" s="125">
        <v>0</v>
      </c>
      <c r="S88" s="125">
        <v>-6696684.44746562</v>
      </c>
      <c r="T88" s="125">
        <v>0</v>
      </c>
      <c r="V88" s="125"/>
      <c r="W88" s="125"/>
    </row>
    <row r="89" spans="1:23">
      <c r="A89" s="121">
        <f>'Update IDR GWM'!A74</f>
        <v>43104</v>
      </c>
      <c r="B89" s="125">
        <v>152264861.39228159</v>
      </c>
      <c r="C89" s="125">
        <v>37735314.313472539</v>
      </c>
      <c r="D89" s="125">
        <v>44150394.772570163</v>
      </c>
      <c r="E89" s="125">
        <v>70178851.755457252</v>
      </c>
      <c r="F89" s="123">
        <f t="shared" si="3"/>
        <v>152064560.84149995</v>
      </c>
      <c r="G89" s="125">
        <v>-2300000</v>
      </c>
      <c r="H89" s="125">
        <v>1965.7629916709316</v>
      </c>
      <c r="I89" s="125">
        <v>979.54171516618987</v>
      </c>
      <c r="J89" s="125">
        <v>490.44492717568107</v>
      </c>
      <c r="K89" s="125">
        <v>1418.5472497268529</v>
      </c>
      <c r="L89" s="122">
        <f t="shared" si="4"/>
        <v>2888.5338920687236</v>
      </c>
      <c r="M89" s="125">
        <v>0</v>
      </c>
      <c r="N89" s="115">
        <v>13423.5</v>
      </c>
      <c r="P89" s="125">
        <v>-2685055.4010000001</v>
      </c>
      <c r="Q89" s="125">
        <v>0</v>
      </c>
      <c r="S89" s="125">
        <v>-6697696.1067131199</v>
      </c>
      <c r="T89" s="125">
        <v>0</v>
      </c>
      <c r="V89" s="125"/>
      <c r="W89" s="125"/>
    </row>
    <row r="90" spans="1:23">
      <c r="A90" s="121">
        <f>'Update IDR GWM'!A75</f>
        <v>43105</v>
      </c>
      <c r="B90" s="125">
        <v>151359514.453188</v>
      </c>
      <c r="C90" s="125">
        <v>37379558.498666942</v>
      </c>
      <c r="D90" s="125">
        <v>43982889.147047214</v>
      </c>
      <c r="E90" s="125">
        <v>70640464.883138463</v>
      </c>
      <c r="F90" s="123">
        <f t="shared" si="3"/>
        <v>152002912.52885264</v>
      </c>
      <c r="G90" s="125">
        <v>-1460000</v>
      </c>
      <c r="H90" s="125">
        <v>1953.5171236850201</v>
      </c>
      <c r="I90" s="125">
        <v>1029.322199352697</v>
      </c>
      <c r="J90" s="125">
        <v>494.18784244138976</v>
      </c>
      <c r="K90" s="125">
        <v>1415.7999225860985</v>
      </c>
      <c r="L90" s="122">
        <f t="shared" si="4"/>
        <v>2939.3099643801852</v>
      </c>
      <c r="M90" s="125">
        <v>0</v>
      </c>
      <c r="N90" s="115">
        <v>13415.5</v>
      </c>
      <c r="P90" s="125">
        <v>-2512101.8969999999</v>
      </c>
      <c r="Q90" s="125">
        <v>0</v>
      </c>
      <c r="S90" s="125">
        <v>-1.4180006199999999</v>
      </c>
      <c r="T90" s="125">
        <v>0</v>
      </c>
      <c r="V90" s="125"/>
      <c r="W90" s="125"/>
    </row>
    <row r="91" spans="1:23">
      <c r="A91" s="121">
        <f>'Update IDR GWM'!A76</f>
        <v>43108</v>
      </c>
      <c r="B91" s="125">
        <v>151009573.69410446</v>
      </c>
      <c r="C91" s="125">
        <v>38540361.269315407</v>
      </c>
      <c r="D91" s="125">
        <v>43798722.663232967</v>
      </c>
      <c r="E91" s="125">
        <v>70303879.469923317</v>
      </c>
      <c r="F91" s="123">
        <f t="shared" si="3"/>
        <v>152642963.40247169</v>
      </c>
      <c r="G91" s="125">
        <v>-1440000</v>
      </c>
      <c r="H91" s="125">
        <v>1942.9637961499727</v>
      </c>
      <c r="I91" s="125">
        <v>1036.8790971387932</v>
      </c>
      <c r="J91" s="125">
        <v>494.386480226488</v>
      </c>
      <c r="K91" s="125">
        <v>1412.5656916398302</v>
      </c>
      <c r="L91" s="122">
        <f t="shared" si="4"/>
        <v>2943.8312690051116</v>
      </c>
      <c r="M91" s="125">
        <v>0</v>
      </c>
      <c r="N91" s="115">
        <v>13426.5</v>
      </c>
      <c r="P91" s="125">
        <v>-2325243.9330000002</v>
      </c>
      <c r="Q91" s="125">
        <v>0</v>
      </c>
      <c r="S91" s="125">
        <v>-1.4180006199999999</v>
      </c>
      <c r="T91" s="125">
        <v>0</v>
      </c>
      <c r="V91" s="125"/>
      <c r="W91" s="125"/>
    </row>
    <row r="92" spans="1:23">
      <c r="A92" s="121">
        <f>'Update IDR GWM'!A77</f>
        <v>43109</v>
      </c>
      <c r="B92" s="125">
        <v>151224772.13635927</v>
      </c>
      <c r="C92" s="125">
        <v>39018176.727785729</v>
      </c>
      <c r="D92" s="125">
        <v>43564798.738764524</v>
      </c>
      <c r="E92" s="125">
        <v>70441349.936644897</v>
      </c>
      <c r="F92" s="123">
        <f t="shared" si="3"/>
        <v>153024325.40319514</v>
      </c>
      <c r="G92" s="125">
        <v>-1460000</v>
      </c>
      <c r="H92" s="125">
        <v>1897.3077887316201</v>
      </c>
      <c r="I92" s="125">
        <v>1050.6760154606438</v>
      </c>
      <c r="J92" s="125">
        <v>490.55096330176656</v>
      </c>
      <c r="K92" s="125">
        <v>1418.4408016745824</v>
      </c>
      <c r="L92" s="122">
        <f t="shared" si="4"/>
        <v>2959.6677804369929</v>
      </c>
      <c r="M92" s="125">
        <v>0</v>
      </c>
      <c r="N92" s="115">
        <v>13437.5</v>
      </c>
      <c r="P92" s="125">
        <v>-2325243.9330000002</v>
      </c>
      <c r="Q92" s="125">
        <v>0</v>
      </c>
      <c r="S92" s="125">
        <v>-1.4180006199999999</v>
      </c>
      <c r="T92" s="125">
        <v>0</v>
      </c>
      <c r="V92" s="125"/>
      <c r="W92" s="125"/>
    </row>
    <row r="93" spans="1:23">
      <c r="A93" s="121">
        <f>'Update IDR GWM'!A78</f>
        <v>43110</v>
      </c>
      <c r="B93" s="125">
        <v>150902298.24544352</v>
      </c>
      <c r="C93" s="125">
        <v>38949722.593923703</v>
      </c>
      <c r="D93" s="125">
        <v>43690248.248306721</v>
      </c>
      <c r="E93" s="125">
        <v>70463138.954359889</v>
      </c>
      <c r="F93" s="123">
        <f t="shared" si="3"/>
        <v>153103109.79659033</v>
      </c>
      <c r="G93" s="125">
        <v>-1260000</v>
      </c>
      <c r="H93" s="125">
        <v>1920.1479681480594</v>
      </c>
      <c r="I93" s="125">
        <v>1064.9027874192814</v>
      </c>
      <c r="J93" s="125">
        <v>492.24462992265512</v>
      </c>
      <c r="K93" s="125">
        <v>1436.7902259275861</v>
      </c>
      <c r="L93" s="122">
        <f t="shared" si="4"/>
        <v>2993.9376432695226</v>
      </c>
      <c r="M93" s="125">
        <v>0</v>
      </c>
      <c r="N93" s="115">
        <v>13436.5</v>
      </c>
      <c r="P93" s="125">
        <v>-2325243.9330000002</v>
      </c>
      <c r="Q93" s="125">
        <v>0</v>
      </c>
      <c r="S93" s="125">
        <v>-1.4180006199999999</v>
      </c>
      <c r="T93" s="125">
        <v>0</v>
      </c>
      <c r="V93" s="125"/>
      <c r="W93" s="125"/>
    </row>
    <row r="94" spans="1:23">
      <c r="A94" s="121">
        <f>'Update IDR GWM'!A79</f>
        <v>43111</v>
      </c>
      <c r="B94" s="125">
        <v>151173029.00452635</v>
      </c>
      <c r="C94" s="125">
        <v>38765577.393830426</v>
      </c>
      <c r="D94" s="125">
        <v>43749255.172885165</v>
      </c>
      <c r="E94" s="125">
        <v>70429915.095250309</v>
      </c>
      <c r="F94" s="123">
        <f t="shared" si="3"/>
        <v>152944747.66196591</v>
      </c>
      <c r="G94" s="125">
        <v>-1220000</v>
      </c>
      <c r="H94" s="125">
        <v>1837.5550325849215</v>
      </c>
      <c r="I94" s="125">
        <v>1069.1209488667323</v>
      </c>
      <c r="J94" s="125">
        <v>493.45756455749506</v>
      </c>
      <c r="K94" s="125">
        <v>1437.1445854552671</v>
      </c>
      <c r="L94" s="122">
        <f t="shared" si="4"/>
        <v>2999.7230988794945</v>
      </c>
      <c r="M94" s="125">
        <v>0</v>
      </c>
      <c r="N94" s="115">
        <v>13399.5</v>
      </c>
      <c r="P94" s="125">
        <v>-2325243.9330000002</v>
      </c>
      <c r="Q94" s="125">
        <v>0</v>
      </c>
      <c r="S94" s="125">
        <v>-1.4180006199999999</v>
      </c>
      <c r="T94" s="125">
        <v>0</v>
      </c>
      <c r="V94" s="125"/>
      <c r="W94" s="125"/>
    </row>
    <row r="95" spans="1:23">
      <c r="A95" s="121">
        <f>'Update IDR GWM'!A80</f>
        <v>43112</v>
      </c>
      <c r="B95" s="125">
        <v>150804550.42909938</v>
      </c>
      <c r="C95" s="125">
        <v>41055459.798107296</v>
      </c>
      <c r="D95" s="125">
        <v>43857729.737974264</v>
      </c>
      <c r="E95" s="125">
        <v>69523347.731025651</v>
      </c>
      <c r="F95" s="123">
        <f t="shared" si="3"/>
        <v>154436537.26710719</v>
      </c>
      <c r="G95" s="125">
        <v>-1120000</v>
      </c>
      <c r="H95" s="125">
        <v>1818.0029161883526</v>
      </c>
      <c r="I95" s="125">
        <v>1027.2875369198753</v>
      </c>
      <c r="J95" s="125">
        <v>498.30878151856132</v>
      </c>
      <c r="K95" s="125">
        <v>1417.5065188110955</v>
      </c>
      <c r="L95" s="122">
        <f t="shared" si="4"/>
        <v>2943.1028372495321</v>
      </c>
      <c r="M95" s="125">
        <v>0</v>
      </c>
      <c r="N95" s="115">
        <v>13353.5</v>
      </c>
      <c r="P95" s="125">
        <v>-1548396.135</v>
      </c>
      <c r="Q95" s="125">
        <v>0</v>
      </c>
      <c r="S95" s="125">
        <v>-1.4180006199999999</v>
      </c>
      <c r="T95" s="125">
        <v>0</v>
      </c>
      <c r="V95" s="125"/>
      <c r="W95" s="125"/>
    </row>
    <row r="96" spans="1:23">
      <c r="A96" s="121">
        <v>43115</v>
      </c>
      <c r="B96" s="125">
        <v>150714662.86501557</v>
      </c>
      <c r="C96" s="125">
        <v>40559499.884787947</v>
      </c>
      <c r="D96" s="125">
        <v>44151081.311330244</v>
      </c>
      <c r="E96" s="125">
        <v>69862747.560549587</v>
      </c>
      <c r="F96" s="123">
        <f t="shared" si="3"/>
        <v>154573328.75666779</v>
      </c>
      <c r="G96" s="125">
        <v>-950000</v>
      </c>
      <c r="H96" s="125">
        <v>1817.4728748238438</v>
      </c>
      <c r="I96" s="125">
        <v>1007.2922408663184</v>
      </c>
      <c r="J96" s="125">
        <v>500.57312013879579</v>
      </c>
      <c r="K96" s="125">
        <v>1413.6761521080093</v>
      </c>
      <c r="L96" s="122">
        <f t="shared" si="4"/>
        <v>2921.5415131131235</v>
      </c>
      <c r="M96" s="125">
        <v>0</v>
      </c>
      <c r="N96" s="115">
        <v>13334.5</v>
      </c>
      <c r="P96" s="125">
        <v>-896606.505</v>
      </c>
      <c r="Q96" s="125">
        <v>0</v>
      </c>
      <c r="S96" s="125">
        <v>-1.4180006199999999</v>
      </c>
      <c r="T96" s="125">
        <v>0</v>
      </c>
      <c r="V96" s="125"/>
      <c r="W96" s="125"/>
    </row>
    <row r="97" spans="1:23">
      <c r="A97" s="121">
        <v>43116</v>
      </c>
      <c r="B97" s="125">
        <v>150683009.29991436</v>
      </c>
      <c r="C97" s="125">
        <v>39661093.522569805</v>
      </c>
      <c r="D97" s="125">
        <v>43959245.475433342</v>
      </c>
      <c r="E97" s="125">
        <v>70357419.861979708</v>
      </c>
      <c r="F97" s="123">
        <f>SUM(C97:E97)</f>
        <v>153977758.85998285</v>
      </c>
      <c r="G97" s="125">
        <v>-950000</v>
      </c>
      <c r="H97" s="125">
        <v>1817.9434777093629</v>
      </c>
      <c r="I97" s="125">
        <v>1153.1593753864104</v>
      </c>
      <c r="J97" s="125">
        <v>504.11631570204895</v>
      </c>
      <c r="K97" s="125">
        <v>1415.1851569460346</v>
      </c>
      <c r="L97" s="122">
        <f t="shared" si="4"/>
        <v>3072.4608480344941</v>
      </c>
      <c r="M97" s="125">
        <v>0</v>
      </c>
      <c r="N97" s="115">
        <v>13337.5</v>
      </c>
      <c r="P97" s="125">
        <v>-896606.505</v>
      </c>
      <c r="Q97" s="125">
        <v>0</v>
      </c>
      <c r="S97" s="125">
        <v>-1.4180006199999999</v>
      </c>
      <c r="T97" s="125">
        <v>0</v>
      </c>
      <c r="V97" s="125"/>
      <c r="W97" s="125"/>
    </row>
    <row r="98" spans="1:23">
      <c r="A98" s="121">
        <v>43117</v>
      </c>
      <c r="B98" s="125">
        <v>150659577.70454603</v>
      </c>
      <c r="C98" s="125">
        <v>40644724.891467258</v>
      </c>
      <c r="D98" s="125">
        <v>44073807.662450582</v>
      </c>
      <c r="E98" s="125">
        <v>70512671.296749666</v>
      </c>
      <c r="F98" s="123">
        <f t="shared" si="3"/>
        <v>155231203.85066751</v>
      </c>
      <c r="G98" s="125">
        <v>-950000</v>
      </c>
      <c r="H98" s="125">
        <v>1802.7976128390949</v>
      </c>
      <c r="I98" s="125">
        <v>1179.182806926405</v>
      </c>
      <c r="J98" s="125">
        <v>502.48440322164265</v>
      </c>
      <c r="K98" s="125">
        <v>1419.6696761602871</v>
      </c>
      <c r="L98" s="122">
        <f t="shared" si="4"/>
        <v>3101.3368863083347</v>
      </c>
      <c r="M98" s="125">
        <v>0</v>
      </c>
      <c r="N98" s="115">
        <v>13346.5</v>
      </c>
      <c r="P98" s="125">
        <v>-896606.505</v>
      </c>
      <c r="Q98" s="125">
        <v>0</v>
      </c>
      <c r="S98" s="125">
        <v>-1.4180006199999999</v>
      </c>
      <c r="T98" s="125">
        <v>0</v>
      </c>
      <c r="V98" s="125"/>
      <c r="W98" s="125"/>
    </row>
    <row r="99" spans="1:23">
      <c r="A99" s="121">
        <f>'Update IDR GWM'!A84</f>
        <v>43118</v>
      </c>
      <c r="B99" s="126">
        <v>150555950.04880169</v>
      </c>
      <c r="C99" s="125">
        <v>41565263.017718315</v>
      </c>
      <c r="D99" s="125">
        <v>44125509.985383667</v>
      </c>
      <c r="E99" s="125">
        <v>70411258.215962753</v>
      </c>
      <c r="F99" s="123">
        <f t="shared" si="3"/>
        <v>156102031.21906471</v>
      </c>
      <c r="G99" s="125">
        <v>-950000</v>
      </c>
      <c r="H99" s="125">
        <v>1826.8565532272587</v>
      </c>
      <c r="I99" s="125">
        <v>1132.9527115529399</v>
      </c>
      <c r="J99" s="125">
        <v>505.18967650415044</v>
      </c>
      <c r="K99" s="125">
        <v>1415.9875692452019</v>
      </c>
      <c r="L99" s="122">
        <f>SUM(I99:K99)</f>
        <v>3054.1299573022925</v>
      </c>
      <c r="M99" s="125">
        <v>0</v>
      </c>
      <c r="N99" s="115">
        <v>13312.5</v>
      </c>
      <c r="P99" s="125">
        <v>-896606.505</v>
      </c>
      <c r="Q99" s="125">
        <v>0</v>
      </c>
      <c r="S99" s="125">
        <v>-1.4180006199999999</v>
      </c>
      <c r="T99" s="125">
        <v>0</v>
      </c>
      <c r="V99" s="125"/>
      <c r="W99" s="125"/>
    </row>
    <row r="100" spans="1:23">
      <c r="A100" s="121">
        <f>'Update IDR GWM'!A85</f>
        <v>43119</v>
      </c>
      <c r="B100" s="125">
        <v>150318863.16182905</v>
      </c>
      <c r="C100" s="125">
        <v>41979146.141586185</v>
      </c>
      <c r="D100" s="125">
        <v>44295817.297661968</v>
      </c>
      <c r="E100" s="125">
        <v>70283059.103151262</v>
      </c>
      <c r="F100" s="123">
        <f t="shared" si="3"/>
        <v>156558022.54239941</v>
      </c>
      <c r="G100" s="125">
        <v>-950000</v>
      </c>
      <c r="H100" s="125">
        <v>1749.4423206911974</v>
      </c>
      <c r="I100" s="125">
        <v>1103.0895098680585</v>
      </c>
      <c r="J100" s="125">
        <v>507.76947646512895</v>
      </c>
      <c r="K100" s="125">
        <v>1421.6587559725629</v>
      </c>
      <c r="L100" s="122">
        <v>3032.5177423057503</v>
      </c>
      <c r="M100" s="125">
        <v>0</v>
      </c>
      <c r="N100" s="115">
        <v>13347.5</v>
      </c>
      <c r="P100" s="125">
        <v>-367768.08</v>
      </c>
      <c r="Q100" s="125">
        <v>0</v>
      </c>
      <c r="S100" s="125">
        <v>-1.4180006199999999</v>
      </c>
      <c r="T100" s="125">
        <v>0</v>
      </c>
      <c r="V100" s="125"/>
      <c r="W100" s="125"/>
    </row>
    <row r="101" spans="1:23">
      <c r="A101" s="121">
        <v>43122</v>
      </c>
      <c r="B101" s="125">
        <v>150462839.07474929</v>
      </c>
      <c r="C101" s="125">
        <v>41843748.616246849</v>
      </c>
      <c r="D101" s="125">
        <v>44285076.201018184</v>
      </c>
      <c r="E101" s="125">
        <v>70875953.987024158</v>
      </c>
      <c r="F101" s="123">
        <f t="shared" si="3"/>
        <v>157004778.80428919</v>
      </c>
      <c r="G101" s="125">
        <v>-950000</v>
      </c>
      <c r="H101" s="125">
        <v>1732.1116140855224</v>
      </c>
      <c r="I101" s="125">
        <v>1198.0780952192836</v>
      </c>
      <c r="J101" s="125">
        <v>514.93109080661543</v>
      </c>
      <c r="K101" s="125">
        <v>1251.0641220469645</v>
      </c>
      <c r="L101" s="122">
        <v>2964.0733080728633</v>
      </c>
      <c r="M101" s="125">
        <v>0</v>
      </c>
      <c r="N101" s="115">
        <v>13325</v>
      </c>
      <c r="P101" s="125">
        <v>0</v>
      </c>
      <c r="Q101" s="125">
        <v>0</v>
      </c>
      <c r="S101" s="125">
        <v>-1.4180006199999999</v>
      </c>
      <c r="T101" s="125">
        <v>0</v>
      </c>
      <c r="V101" s="125"/>
      <c r="W101" s="125"/>
    </row>
    <row r="102" spans="1:23">
      <c r="A102" s="121">
        <f>'Update IDR GWM'!A87</f>
        <v>43123</v>
      </c>
      <c r="B102" s="125">
        <v>150494274.54903954</v>
      </c>
      <c r="C102" s="125">
        <v>41231010.155466422</v>
      </c>
      <c r="D102" s="125">
        <v>44336979.938681759</v>
      </c>
      <c r="E102" s="125">
        <v>70741758.328826949</v>
      </c>
      <c r="F102" s="123">
        <f t="shared" si="3"/>
        <v>156309748.42297512</v>
      </c>
      <c r="G102" s="125">
        <v>-950000</v>
      </c>
      <c r="H102" s="125">
        <v>1720.4989365333713</v>
      </c>
      <c r="I102" s="125">
        <v>1217.4704354328735</v>
      </c>
      <c r="J102" s="125">
        <v>513.61709749077897</v>
      </c>
      <c r="K102" s="125">
        <v>1241.578536967221</v>
      </c>
      <c r="L102" s="122">
        <v>2972.6660698908736</v>
      </c>
      <c r="M102" s="125">
        <v>0</v>
      </c>
      <c r="N102" s="115">
        <v>13314</v>
      </c>
      <c r="P102" s="125">
        <v>0</v>
      </c>
      <c r="Q102" s="125">
        <v>0</v>
      </c>
      <c r="S102" s="125">
        <v>-1.4180006199999999</v>
      </c>
      <c r="T102" s="125">
        <v>0</v>
      </c>
      <c r="V102" s="125"/>
      <c r="W102" s="125"/>
    </row>
    <row r="103" spans="1:23">
      <c r="A103" s="121">
        <f>'Update IDR GWM'!A88</f>
        <v>43124</v>
      </c>
      <c r="B103" s="125">
        <v>150504826.28094777</v>
      </c>
      <c r="C103" s="125">
        <v>41723616.070393153</v>
      </c>
      <c r="D103" s="125">
        <v>44373425.571316518</v>
      </c>
      <c r="E103" s="125">
        <v>70705768.29149276</v>
      </c>
      <c r="F103" s="123">
        <f t="shared" si="3"/>
        <v>156802809.93320245</v>
      </c>
      <c r="G103" s="125">
        <v>-950000</v>
      </c>
      <c r="H103" s="125">
        <v>1729.1989407668166</v>
      </c>
      <c r="I103" s="125">
        <v>1199.9327374460095</v>
      </c>
      <c r="J103" s="125">
        <v>508.15046603401248</v>
      </c>
      <c r="K103" s="125">
        <v>1273.4830121699349</v>
      </c>
      <c r="L103" s="122">
        <v>2981.5662156499566</v>
      </c>
      <c r="M103" s="125">
        <v>0</v>
      </c>
      <c r="N103" s="115">
        <v>13288.5</v>
      </c>
      <c r="P103" s="125">
        <v>0</v>
      </c>
      <c r="Q103" s="125">
        <v>0</v>
      </c>
      <c r="S103" s="125">
        <v>-1.4180006199999999</v>
      </c>
      <c r="T103" s="125">
        <v>0</v>
      </c>
      <c r="V103" s="125"/>
      <c r="W103" s="125"/>
    </row>
    <row r="104" spans="1:23">
      <c r="A104" s="121">
        <f>'Update IDR GWM'!A89</f>
        <v>43125</v>
      </c>
      <c r="B104" s="125">
        <v>150612649.02154443</v>
      </c>
      <c r="C104" s="125">
        <v>40525908.663700394</v>
      </c>
      <c r="D104" s="125">
        <v>44958576.574862249</v>
      </c>
      <c r="E104" s="125">
        <v>70649768.090082079</v>
      </c>
      <c r="F104" s="123">
        <v>156134253.32864472</v>
      </c>
      <c r="G104" s="125">
        <v>-950000</v>
      </c>
      <c r="H104" s="125">
        <v>1728.0941836744303</v>
      </c>
      <c r="I104" s="125">
        <v>1254.5910890321925</v>
      </c>
      <c r="J104" s="125">
        <v>509.69055593035245</v>
      </c>
      <c r="K104" s="125">
        <v>1266.9718686040151</v>
      </c>
      <c r="L104" s="122">
        <v>3031.2535135665603</v>
      </c>
      <c r="M104" s="125">
        <v>0</v>
      </c>
      <c r="N104" s="115">
        <v>13288.5</v>
      </c>
      <c r="P104" s="125">
        <v>0</v>
      </c>
      <c r="Q104" s="125">
        <v>0</v>
      </c>
      <c r="S104" s="125">
        <v>-1.4180006199999999</v>
      </c>
      <c r="T104" s="125">
        <v>0</v>
      </c>
      <c r="V104" s="125"/>
      <c r="W104" s="125"/>
    </row>
    <row r="105" spans="1:23">
      <c r="A105" s="121">
        <v>43126</v>
      </c>
      <c r="B105" s="125">
        <v>150507212.51818994</v>
      </c>
      <c r="C105" s="125">
        <v>40120920.356633492</v>
      </c>
      <c r="D105" s="125">
        <v>45336973.087042138</v>
      </c>
      <c r="E105" s="125">
        <v>70857503.859963998</v>
      </c>
      <c r="F105" s="123">
        <v>156315397.30363965</v>
      </c>
      <c r="G105" s="125">
        <v>-950000</v>
      </c>
      <c r="H105" s="125">
        <v>1755.214716992388</v>
      </c>
      <c r="I105" s="125">
        <v>1184.7496670813191</v>
      </c>
      <c r="J105" s="125">
        <v>510.15072620136328</v>
      </c>
      <c r="K105" s="125">
        <v>1268.8805903403957</v>
      </c>
      <c r="L105" s="122">
        <v>2963.7809836230781</v>
      </c>
      <c r="M105" s="125">
        <v>0</v>
      </c>
      <c r="N105" s="115">
        <v>13307</v>
      </c>
      <c r="P105" s="125">
        <v>0</v>
      </c>
      <c r="Q105" s="125">
        <v>0</v>
      </c>
      <c r="S105" s="125">
        <v>-1.4180006199999999</v>
      </c>
      <c r="T105" s="125">
        <v>0</v>
      </c>
      <c r="V105" s="125"/>
      <c r="W105" s="125"/>
    </row>
    <row r="106" spans="1:23">
      <c r="A106" s="121">
        <v>43129</v>
      </c>
      <c r="B106" s="125">
        <v>150583167.73343951</v>
      </c>
      <c r="C106" s="125">
        <v>42695755.465913504</v>
      </c>
      <c r="D106" s="125">
        <v>45613502.837260775</v>
      </c>
      <c r="E106" s="125">
        <v>69089037.741484821</v>
      </c>
      <c r="F106" s="123">
        <v>157398296.04465911</v>
      </c>
      <c r="G106" s="125">
        <v>-950000</v>
      </c>
      <c r="H106" s="125">
        <v>1758.1442083698269</v>
      </c>
      <c r="I106" s="125">
        <v>1201.7181232355492</v>
      </c>
      <c r="J106" s="125">
        <v>517.09844068808877</v>
      </c>
      <c r="K106" s="125">
        <v>1198.8991367087228</v>
      </c>
      <c r="L106" s="122">
        <v>2917.7157006323609</v>
      </c>
      <c r="M106" s="125">
        <v>0</v>
      </c>
      <c r="N106" s="115">
        <v>13363.5</v>
      </c>
      <c r="P106" s="125">
        <v>0</v>
      </c>
      <c r="Q106" s="125">
        <v>0</v>
      </c>
      <c r="S106" s="125">
        <v>-1.4180006199999999</v>
      </c>
      <c r="T106" s="125">
        <v>0</v>
      </c>
      <c r="V106" s="125"/>
      <c r="W106" s="125"/>
    </row>
    <row r="107" spans="1:23">
      <c r="A107" s="121">
        <v>43130</v>
      </c>
      <c r="B107" s="125">
        <v>150838136.76242641</v>
      </c>
      <c r="C107" s="125">
        <v>43359616.833956748</v>
      </c>
      <c r="D107" s="125">
        <v>45724877.396249339</v>
      </c>
      <c r="E107" s="125">
        <v>70400114.415303007</v>
      </c>
      <c r="F107" s="123">
        <v>159484608.64550909</v>
      </c>
      <c r="G107" s="125">
        <v>-950000</v>
      </c>
      <c r="H107" s="125">
        <v>1763.1063535744258</v>
      </c>
      <c r="I107" s="125">
        <v>1206.5769139611332</v>
      </c>
      <c r="J107" s="125">
        <v>510.23266546757014</v>
      </c>
      <c r="K107" s="125">
        <v>1295.9726418164455</v>
      </c>
      <c r="L107" s="122">
        <v>3012.7822212451488</v>
      </c>
      <c r="M107" s="125">
        <v>0</v>
      </c>
      <c r="N107" s="115">
        <v>13435</v>
      </c>
      <c r="P107" s="125">
        <v>0</v>
      </c>
      <c r="Q107" s="125">
        <v>0</v>
      </c>
      <c r="S107" s="125">
        <v>-1.4180006199999999</v>
      </c>
      <c r="T107" s="125">
        <v>0</v>
      </c>
      <c r="V107" s="125"/>
      <c r="W107" s="125"/>
    </row>
    <row r="108" spans="1:23">
      <c r="A108" s="121">
        <v>43131</v>
      </c>
      <c r="B108" s="125">
        <v>152197629.15938151</v>
      </c>
      <c r="C108" s="125">
        <v>41139550.556669429</v>
      </c>
      <c r="D108" s="125">
        <v>45773702.675677985</v>
      </c>
      <c r="E108" s="125">
        <v>70680922.67620714</v>
      </c>
      <c r="F108" s="123">
        <v>157594175.90855455</v>
      </c>
      <c r="G108" s="125">
        <v>-1500000</v>
      </c>
      <c r="H108" s="125">
        <v>1723.372829992971</v>
      </c>
      <c r="I108" s="125">
        <v>1185.1805921369473</v>
      </c>
      <c r="J108" s="125">
        <v>501.50290209008432</v>
      </c>
      <c r="K108" s="125">
        <v>1296.2009069214198</v>
      </c>
      <c r="L108" s="122">
        <v>2982.8844011484516</v>
      </c>
      <c r="M108" s="125">
        <v>0</v>
      </c>
      <c r="N108" s="115">
        <v>13388.5</v>
      </c>
      <c r="P108" s="125">
        <v>0</v>
      </c>
      <c r="Q108" s="125">
        <v>0</v>
      </c>
      <c r="S108" s="125">
        <v>-1.4180006199999999</v>
      </c>
      <c r="T108" s="125">
        <v>0</v>
      </c>
      <c r="V108" s="125"/>
      <c r="W108" s="125"/>
    </row>
    <row r="109" spans="1:23">
      <c r="A109" s="121">
        <v>43132</v>
      </c>
      <c r="B109" s="125">
        <v>151707576.23682645</v>
      </c>
      <c r="C109" s="125">
        <v>40219751.220441557</v>
      </c>
      <c r="D109" s="125">
        <v>45596178.989700787</v>
      </c>
      <c r="E109" s="125">
        <v>71039295.730179533</v>
      </c>
      <c r="F109" s="123">
        <v>156855225.94032186</v>
      </c>
      <c r="G109" s="125">
        <v>-950000</v>
      </c>
      <c r="H109" s="125">
        <v>1726.3913543949286</v>
      </c>
      <c r="I109" s="125">
        <v>1164.8854711843578</v>
      </c>
      <c r="J109" s="125">
        <v>501.98673750489291</v>
      </c>
      <c r="K109" s="125">
        <v>1312.2915942053814</v>
      </c>
      <c r="L109" s="122">
        <v>2979.1638028946322</v>
      </c>
      <c r="M109" s="125">
        <v>0</v>
      </c>
      <c r="N109" s="115">
        <v>13427</v>
      </c>
      <c r="P109" s="125">
        <v>0</v>
      </c>
      <c r="Q109" s="125">
        <v>0</v>
      </c>
      <c r="S109" s="125">
        <v>-1.4180006199999999</v>
      </c>
      <c r="T109" s="125">
        <v>0</v>
      </c>
      <c r="V109" s="125"/>
      <c r="W109" s="125"/>
    </row>
    <row r="110" spans="1:23">
      <c r="A110" s="121">
        <v>43133</v>
      </c>
      <c r="B110" s="125">
        <v>151370015.39134121</v>
      </c>
      <c r="C110" s="125">
        <v>39116830.717189237</v>
      </c>
      <c r="D110" s="125">
        <v>45612257.573761523</v>
      </c>
      <c r="E110" s="125">
        <v>71375391.602165252</v>
      </c>
      <c r="F110" s="123">
        <v>156104479.893116</v>
      </c>
      <c r="G110" s="125">
        <v>-950000</v>
      </c>
      <c r="H110" s="125">
        <v>1720.4598403567293</v>
      </c>
      <c r="I110" s="125">
        <v>1159.837354482466</v>
      </c>
      <c r="J110" s="125">
        <v>505.17027617808577</v>
      </c>
      <c r="K110" s="125">
        <v>1304.7199618919888</v>
      </c>
      <c r="L110" s="122">
        <v>2969.7275925525405</v>
      </c>
      <c r="M110" s="125">
        <v>0</v>
      </c>
      <c r="N110" s="115">
        <v>13451.5</v>
      </c>
      <c r="P110" s="125">
        <v>0</v>
      </c>
      <c r="Q110" s="125">
        <v>0</v>
      </c>
      <c r="S110" s="125">
        <v>-1.4180006199999999</v>
      </c>
      <c r="T110" s="125">
        <v>0</v>
      </c>
      <c r="V110" s="125"/>
      <c r="W110" s="125"/>
    </row>
    <row r="111" spans="1:23">
      <c r="A111" s="121">
        <v>43136</v>
      </c>
      <c r="B111" s="125">
        <v>151386798.17304859</v>
      </c>
      <c r="C111" s="125">
        <v>40348499.791904122</v>
      </c>
      <c r="D111" s="125">
        <v>45328183.139571689</v>
      </c>
      <c r="E111" s="125">
        <v>70873358.815643564</v>
      </c>
      <c r="F111" s="123">
        <v>156550041.74711937</v>
      </c>
      <c r="G111" s="125">
        <v>-950000</v>
      </c>
      <c r="H111" s="125">
        <v>1711.5550021733111</v>
      </c>
      <c r="I111" s="125">
        <v>1257.0015391811814</v>
      </c>
      <c r="J111" s="125">
        <v>505.43304866331039</v>
      </c>
      <c r="K111" s="125">
        <v>1303.3812408319918</v>
      </c>
      <c r="L111" s="122">
        <v>3065.8158286764838</v>
      </c>
      <c r="M111" s="125">
        <v>0</v>
      </c>
      <c r="N111" s="115">
        <v>13525</v>
      </c>
      <c r="P111" s="125">
        <v>0</v>
      </c>
      <c r="Q111" s="125">
        <v>0</v>
      </c>
      <c r="S111" s="125">
        <v>-1.4180006199999999</v>
      </c>
      <c r="T111" s="125">
        <v>0</v>
      </c>
      <c r="V111" s="125"/>
      <c r="W111" s="125"/>
    </row>
    <row r="112" spans="1:23">
      <c r="A112" s="121">
        <v>43137</v>
      </c>
      <c r="B112" s="125">
        <v>151059212.27389726</v>
      </c>
      <c r="C112" s="125">
        <v>41748900.959146947</v>
      </c>
      <c r="D112" s="125">
        <v>45336568.458507158</v>
      </c>
      <c r="E112" s="125">
        <v>71107619.975594044</v>
      </c>
      <c r="F112" s="123">
        <v>158193089.39324814</v>
      </c>
      <c r="G112" s="125">
        <v>-950000</v>
      </c>
      <c r="H112" s="125">
        <v>1682.8984845500154</v>
      </c>
      <c r="I112" s="125">
        <v>1196.415265254745</v>
      </c>
      <c r="J112" s="125">
        <v>501.61362923796116</v>
      </c>
      <c r="K112" s="125">
        <v>1297.970561613924</v>
      </c>
      <c r="L112" s="122">
        <v>2995.9994561066301</v>
      </c>
      <c r="M112" s="125">
        <v>0</v>
      </c>
      <c r="N112" s="115">
        <v>13555</v>
      </c>
      <c r="P112" s="125">
        <v>0</v>
      </c>
      <c r="Q112" s="125">
        <v>0</v>
      </c>
      <c r="S112" s="125">
        <v>-1.4180006199999999</v>
      </c>
      <c r="T112" s="125">
        <v>0</v>
      </c>
      <c r="V112" s="125"/>
      <c r="W112" s="125"/>
    </row>
    <row r="113" spans="1:23">
      <c r="A113" s="121">
        <v>43138</v>
      </c>
      <c r="B113" s="125">
        <v>150865618.90605718</v>
      </c>
      <c r="C113" s="125">
        <v>41648269.5372089</v>
      </c>
      <c r="D113" s="125">
        <v>45234997.842604563</v>
      </c>
      <c r="E113" s="125">
        <v>71194029.787292987</v>
      </c>
      <c r="F113" s="123">
        <v>158077297.16710645</v>
      </c>
      <c r="G113" s="125">
        <v>-950000</v>
      </c>
      <c r="H113" s="125">
        <v>1676.7117753590367</v>
      </c>
      <c r="I113" s="125">
        <v>1206.2381528348269</v>
      </c>
      <c r="J113" s="125">
        <v>502.80268110613389</v>
      </c>
      <c r="K113" s="125">
        <v>1312.9247702035202</v>
      </c>
      <c r="L113" s="122">
        <v>3021.9656041444809</v>
      </c>
      <c r="M113" s="125">
        <v>0</v>
      </c>
      <c r="N113" s="115">
        <v>13554.5</v>
      </c>
      <c r="P113" s="125">
        <v>0</v>
      </c>
      <c r="Q113" s="125">
        <v>0</v>
      </c>
      <c r="S113" s="125">
        <v>-1.4180006199999999</v>
      </c>
      <c r="T113" s="125">
        <v>0</v>
      </c>
      <c r="V113" s="125"/>
      <c r="W113" s="125"/>
    </row>
    <row r="114" spans="1:23">
      <c r="A114" s="121">
        <v>43139</v>
      </c>
      <c r="B114" s="125">
        <v>150907387.90477896</v>
      </c>
      <c r="C114" s="125">
        <v>41605123.314365</v>
      </c>
      <c r="D114" s="125">
        <v>45212601.745267995</v>
      </c>
      <c r="E114" s="125">
        <v>71148816.056362003</v>
      </c>
      <c r="F114" s="123">
        <v>157966541.11599499</v>
      </c>
      <c r="G114" s="125">
        <v>-950000</v>
      </c>
      <c r="H114" s="125">
        <v>1693.5411374412924</v>
      </c>
      <c r="I114" s="125">
        <v>1239.3969235765981</v>
      </c>
      <c r="J114" s="125">
        <v>491.12281661957275</v>
      </c>
      <c r="K114" s="125">
        <v>1322.5053582826367</v>
      </c>
      <c r="L114" s="122">
        <v>3053.0250984788076</v>
      </c>
      <c r="M114" s="125">
        <v>0</v>
      </c>
      <c r="N114" s="115">
        <v>13605</v>
      </c>
      <c r="P114" s="125">
        <v>0</v>
      </c>
      <c r="Q114" s="125">
        <v>0</v>
      </c>
      <c r="S114" s="125">
        <v>-1.4180009999999998</v>
      </c>
      <c r="T114" s="125">
        <v>0</v>
      </c>
      <c r="V114" s="125"/>
      <c r="W114" s="125"/>
    </row>
    <row r="115" spans="1:23">
      <c r="A115" s="121">
        <v>43140</v>
      </c>
      <c r="B115" s="125">
        <v>150776320.46100715</v>
      </c>
      <c r="C115" s="125">
        <v>40592052.884458385</v>
      </c>
      <c r="D115" s="125">
        <v>45357643.826070994</v>
      </c>
      <c r="E115" s="125">
        <v>71210072.380486414</v>
      </c>
      <c r="F115" s="123">
        <v>157159769.09101582</v>
      </c>
      <c r="G115" s="125">
        <v>-950000</v>
      </c>
      <c r="H115" s="125">
        <v>1656.6123063201949</v>
      </c>
      <c r="I115" s="125">
        <v>1225.059208405657</v>
      </c>
      <c r="J115" s="125">
        <v>487.58192234226118</v>
      </c>
      <c r="K115" s="125">
        <v>1325.966000400211</v>
      </c>
      <c r="L115" s="122">
        <v>3038.6071311481292</v>
      </c>
      <c r="M115" s="125">
        <v>0</v>
      </c>
      <c r="N115" s="115">
        <v>13624.5</v>
      </c>
      <c r="P115" s="125">
        <v>0</v>
      </c>
      <c r="Q115" s="125">
        <v>0</v>
      </c>
      <c r="S115" s="125">
        <v>-1.4180006199999999</v>
      </c>
      <c r="T115" s="125">
        <v>0</v>
      </c>
      <c r="V115" s="125"/>
      <c r="W115" s="125"/>
    </row>
    <row r="116" spans="1:23">
      <c r="A116" s="121">
        <v>43143</v>
      </c>
      <c r="B116" s="125">
        <v>150564895.94992539</v>
      </c>
      <c r="C116" s="125">
        <v>41001130.598361947</v>
      </c>
      <c r="D116" s="125">
        <v>45210955.308306582</v>
      </c>
      <c r="E116" s="125">
        <v>71021053.041962907</v>
      </c>
      <c r="F116" s="123">
        <v>157233138.94863144</v>
      </c>
      <c r="G116" s="125">
        <v>-950000</v>
      </c>
      <c r="H116" s="125">
        <v>1655.2584967494201</v>
      </c>
      <c r="I116" s="125">
        <v>1223.6999460687421</v>
      </c>
      <c r="J116" s="125">
        <v>488.73128920253578</v>
      </c>
      <c r="K116" s="125">
        <v>1321.6559045529284</v>
      </c>
      <c r="L116" s="122">
        <v>3034.0871398242061</v>
      </c>
      <c r="M116" s="125">
        <v>0</v>
      </c>
      <c r="N116" s="115">
        <v>13657.5</v>
      </c>
      <c r="P116" s="125">
        <v>-265744.8</v>
      </c>
      <c r="Q116" s="125">
        <v>0</v>
      </c>
      <c r="S116" s="125">
        <v>-1.4180006199999999</v>
      </c>
      <c r="T116" s="125">
        <v>0</v>
      </c>
      <c r="V116" s="125"/>
      <c r="W116" s="125"/>
    </row>
    <row r="117" spans="1:23">
      <c r="A117" s="121">
        <v>43144</v>
      </c>
      <c r="B117" s="125">
        <v>150396227.36491546</v>
      </c>
      <c r="C117" s="125">
        <v>41891413.440913513</v>
      </c>
      <c r="D117" s="125">
        <v>45243924.512189344</v>
      </c>
      <c r="E117" s="125">
        <v>71181917.913683534</v>
      </c>
      <c r="F117" s="123">
        <v>158317255.86678639</v>
      </c>
      <c r="G117" s="125">
        <v>-950000</v>
      </c>
      <c r="H117" s="125">
        <v>1735.5203404007657</v>
      </c>
      <c r="I117" s="125">
        <v>1212.1478816928231</v>
      </c>
      <c r="J117" s="125">
        <v>485.19677679902611</v>
      </c>
      <c r="K117" s="125">
        <v>1318.6469351518992</v>
      </c>
      <c r="L117" s="122">
        <v>3015.9915936437483</v>
      </c>
      <c r="M117" s="125">
        <v>-43</v>
      </c>
      <c r="N117" s="115">
        <v>13657.5</v>
      </c>
      <c r="P117" s="125">
        <v>-265744.8</v>
      </c>
      <c r="Q117" s="125">
        <v>0</v>
      </c>
      <c r="S117" s="125">
        <v>-1.4180006199999999</v>
      </c>
      <c r="T117" s="125">
        <v>0</v>
      </c>
      <c r="V117" s="125"/>
      <c r="W117" s="125"/>
    </row>
    <row r="118" spans="1:23">
      <c r="A118" s="121">
        <v>43145</v>
      </c>
      <c r="B118" s="125">
        <v>150457714.16019493</v>
      </c>
      <c r="C118" s="125">
        <v>42029931.807005212</v>
      </c>
      <c r="D118" s="125">
        <v>45273509.197533108</v>
      </c>
      <c r="E118" s="125">
        <v>71076113.372083321</v>
      </c>
      <c r="F118" s="123">
        <v>158379554.37662166</v>
      </c>
      <c r="G118" s="125">
        <v>-950000</v>
      </c>
      <c r="H118" s="125">
        <v>1746.3266446849693</v>
      </c>
      <c r="I118" s="125">
        <v>1197.4586715143846</v>
      </c>
      <c r="J118" s="125">
        <v>483.61303410090653</v>
      </c>
      <c r="K118" s="125">
        <v>1315.8630116969771</v>
      </c>
      <c r="L118" s="122">
        <v>2996.9347173122683</v>
      </c>
      <c r="M118" s="125">
        <v>-105.77492220391726</v>
      </c>
      <c r="N118" s="115">
        <v>13628.5</v>
      </c>
      <c r="P118" s="125">
        <v>-265744.8</v>
      </c>
      <c r="Q118" s="125">
        <v>0</v>
      </c>
      <c r="S118" s="125">
        <v>-1.4180006199999999</v>
      </c>
      <c r="T118" s="125">
        <v>0</v>
      </c>
      <c r="V118" s="125"/>
      <c r="W118" s="125"/>
    </row>
    <row r="119" spans="1:23">
      <c r="A119" s="121">
        <v>43146</v>
      </c>
      <c r="B119" s="125">
        <v>149619996.33809537</v>
      </c>
      <c r="C119" s="125">
        <v>40926112.924361557</v>
      </c>
      <c r="D119" s="125">
        <v>45750398.228259206</v>
      </c>
      <c r="E119" s="125">
        <v>70468972.297831073</v>
      </c>
      <c r="F119" s="123">
        <v>157145483.45045185</v>
      </c>
      <c r="G119" s="125">
        <v>-1120000</v>
      </c>
      <c r="H119" s="125">
        <v>1741.1951972135569</v>
      </c>
      <c r="I119" s="125">
        <v>1136.3577500708143</v>
      </c>
      <c r="J119" s="125">
        <v>481.6039550926875</v>
      </c>
      <c r="K119" s="125">
        <v>1311.0843456207776</v>
      </c>
      <c r="L119" s="122">
        <v>2929.0460507842795</v>
      </c>
      <c r="M119" s="125">
        <v>-85.085227281065414</v>
      </c>
      <c r="N119" s="115">
        <v>13558.5</v>
      </c>
      <c r="P119" s="125">
        <v>-265744.8</v>
      </c>
      <c r="Q119" s="125">
        <v>0</v>
      </c>
      <c r="S119" s="125">
        <v>-1.4180006199999999</v>
      </c>
      <c r="T119" s="125">
        <v>0</v>
      </c>
      <c r="V119" s="125"/>
      <c r="W119" s="125"/>
    </row>
    <row r="120" spans="1:23">
      <c r="A120" s="121">
        <v>43150</v>
      </c>
      <c r="B120" s="125">
        <v>149669687.35151598</v>
      </c>
      <c r="C120" s="125">
        <v>42273392.323935531</v>
      </c>
      <c r="D120" s="125">
        <v>45501594.845645145</v>
      </c>
      <c r="E120" s="125">
        <v>69942560.997839451</v>
      </c>
      <c r="F120" s="123">
        <v>157717548.16742012</v>
      </c>
      <c r="G120" s="125">
        <v>-450000</v>
      </c>
      <c r="H120" s="125">
        <v>1750.6042733502059</v>
      </c>
      <c r="I120" s="125">
        <v>1139.0489720343676</v>
      </c>
      <c r="J120" s="125">
        <v>484.66341126979029</v>
      </c>
      <c r="K120" s="125">
        <v>1303.5922602330841</v>
      </c>
      <c r="L120" s="122">
        <v>2927.3046435372416</v>
      </c>
      <c r="M120" s="125">
        <v>-85.537063834494973</v>
      </c>
      <c r="N120" s="115">
        <v>13560.5</v>
      </c>
      <c r="P120" s="125">
        <v>-265744.8</v>
      </c>
      <c r="Q120" s="125">
        <v>0</v>
      </c>
      <c r="S120" s="125">
        <v>-1.4180006199999999</v>
      </c>
      <c r="T120" s="125">
        <v>0</v>
      </c>
      <c r="V120" s="125"/>
      <c r="W120" s="125"/>
    </row>
    <row r="121" spans="1:23">
      <c r="A121" s="121">
        <v>43151</v>
      </c>
      <c r="B121" s="125">
        <v>149512557.60654944</v>
      </c>
      <c r="C121" s="125">
        <v>42277872.650604255</v>
      </c>
      <c r="D121" s="125">
        <v>45564798.422340691</v>
      </c>
      <c r="E121" s="125">
        <v>70049299.816126168</v>
      </c>
      <c r="F121" s="123">
        <v>157891970.88907111</v>
      </c>
      <c r="G121" s="125">
        <v>-450000</v>
      </c>
      <c r="H121" s="125">
        <v>1759.2586607194648</v>
      </c>
      <c r="I121" s="125">
        <v>1103.7064397048644</v>
      </c>
      <c r="J121" s="125">
        <v>483.32322798370024</v>
      </c>
      <c r="K121" s="125">
        <v>1306.9516297765256</v>
      </c>
      <c r="L121" s="122">
        <v>2893.9812974650904</v>
      </c>
      <c r="M121" s="125">
        <v>-47.185428265919398</v>
      </c>
      <c r="N121" s="115">
        <v>13614</v>
      </c>
      <c r="P121" s="125">
        <v>-265744.8</v>
      </c>
      <c r="Q121" s="125">
        <v>0</v>
      </c>
      <c r="S121" s="125">
        <v>-1.4180006199999999</v>
      </c>
      <c r="T121" s="125">
        <v>0</v>
      </c>
      <c r="V121" s="125"/>
      <c r="W121" s="125"/>
    </row>
    <row r="122" spans="1:23">
      <c r="A122" s="121">
        <v>43152</v>
      </c>
      <c r="B122" s="125">
        <v>149451351.15027595</v>
      </c>
      <c r="C122" s="125">
        <v>43044128.698912911</v>
      </c>
      <c r="D122" s="125">
        <v>45473329.128800265</v>
      </c>
      <c r="E122" s="125">
        <v>70080188.425075233</v>
      </c>
      <c r="F122" s="123">
        <v>158597646.25278842</v>
      </c>
      <c r="G122" s="125">
        <v>-450000</v>
      </c>
      <c r="H122" s="125">
        <v>1780.878898030764</v>
      </c>
      <c r="I122" s="125">
        <v>1124.7426406205545</v>
      </c>
      <c r="J122" s="125">
        <v>481.21690664139135</v>
      </c>
      <c r="K122" s="125">
        <v>1311.0228719514425</v>
      </c>
      <c r="L122" s="122">
        <v>2916.9824192133883</v>
      </c>
      <c r="M122" s="125">
        <v>0</v>
      </c>
      <c r="N122" s="115">
        <v>13618.5</v>
      </c>
      <c r="P122" s="125">
        <v>-265744.8</v>
      </c>
      <c r="Q122" s="125">
        <v>0</v>
      </c>
      <c r="S122" s="125">
        <v>-1.4180006199999999</v>
      </c>
      <c r="T122" s="125">
        <v>0</v>
      </c>
      <c r="V122" s="125"/>
      <c r="W122" s="125"/>
    </row>
    <row r="123" spans="1:23">
      <c r="A123" s="121">
        <f>'Update IDR GWM'!A108</f>
        <v>43153</v>
      </c>
      <c r="B123" s="125">
        <v>148167293.25966057</v>
      </c>
      <c r="C123" s="125">
        <v>42886713.634686351</v>
      </c>
      <c r="D123" s="125">
        <v>45642173.012686245</v>
      </c>
      <c r="E123" s="125">
        <v>69618435.096960872</v>
      </c>
      <c r="F123" s="123">
        <v>158147321.74433348</v>
      </c>
      <c r="G123" s="125">
        <v>-450000</v>
      </c>
      <c r="H123" s="125">
        <v>1786.0443837767275</v>
      </c>
      <c r="I123" s="125">
        <v>1109.7056158099736</v>
      </c>
      <c r="J123" s="125">
        <v>490.40443329047963</v>
      </c>
      <c r="K123" s="125">
        <v>1329.7362917378741</v>
      </c>
      <c r="L123" s="122">
        <v>2929.8463408383273</v>
      </c>
      <c r="M123" s="125">
        <v>0</v>
      </c>
      <c r="N123" s="115">
        <v>13682.5</v>
      </c>
      <c r="P123" s="125">
        <v>-265744.8</v>
      </c>
      <c r="Q123" s="125">
        <v>0</v>
      </c>
      <c r="S123" s="125">
        <v>-1.4180006199999999</v>
      </c>
      <c r="T123" s="125">
        <v>0</v>
      </c>
      <c r="V123" s="125"/>
      <c r="W123" s="125"/>
    </row>
    <row r="124" spans="1:23">
      <c r="A124" s="121">
        <v>43154</v>
      </c>
      <c r="B124" s="125">
        <v>148640404.87099165</v>
      </c>
      <c r="C124" s="125">
        <v>42947045.652136974</v>
      </c>
      <c r="D124" s="125">
        <v>46335639.926592447</v>
      </c>
      <c r="E124" s="125">
        <v>69715120.304364324</v>
      </c>
      <c r="F124" s="123">
        <v>158997805.88309374</v>
      </c>
      <c r="G124" s="125">
        <v>-450000</v>
      </c>
      <c r="H124" s="125">
        <v>1777.5954118277709</v>
      </c>
      <c r="I124" s="125">
        <v>1094.9391124502019</v>
      </c>
      <c r="J124" s="125">
        <v>489.45967535038085</v>
      </c>
      <c r="K124" s="125">
        <v>1312.3342448735309</v>
      </c>
      <c r="L124" s="122">
        <v>2896.7330326741139</v>
      </c>
      <c r="M124" s="125">
        <v>0</v>
      </c>
      <c r="N124" s="115">
        <v>13667.5</v>
      </c>
      <c r="P124" s="125">
        <v>-399666.15</v>
      </c>
      <c r="Q124" s="125">
        <v>0</v>
      </c>
      <c r="S124" s="125">
        <v>-1.4180006199999999</v>
      </c>
      <c r="T124" s="125">
        <v>0</v>
      </c>
      <c r="V124" s="125"/>
      <c r="W124" s="125"/>
    </row>
    <row r="125" spans="1:23">
      <c r="A125" s="121">
        <v>43157</v>
      </c>
      <c r="B125" s="125">
        <v>148633029.37198198</v>
      </c>
      <c r="C125" s="125">
        <v>43004618.219793707</v>
      </c>
      <c r="D125" s="125">
        <v>46386412.052345566</v>
      </c>
      <c r="E125" s="125">
        <v>69151490.402651981</v>
      </c>
      <c r="F125" s="123">
        <v>158542520.67479128</v>
      </c>
      <c r="G125" s="125">
        <v>-450000</v>
      </c>
      <c r="H125" s="125">
        <v>1781.9604884367577</v>
      </c>
      <c r="I125" s="125">
        <v>1109.1107451936361</v>
      </c>
      <c r="J125" s="125">
        <v>490.2704662283511</v>
      </c>
      <c r="K125" s="125">
        <v>1310.2687133365632</v>
      </c>
      <c r="L125" s="122">
        <v>2909.6499247585507</v>
      </c>
      <c r="M125" s="125">
        <v>0</v>
      </c>
      <c r="N125" s="115">
        <v>13660</v>
      </c>
      <c r="P125" s="125">
        <v>-399666.15</v>
      </c>
      <c r="Q125" s="125">
        <v>0</v>
      </c>
      <c r="S125" s="125">
        <v>-1.4180006199999999</v>
      </c>
      <c r="T125" s="125">
        <v>0</v>
      </c>
      <c r="V125" s="125"/>
      <c r="W125" s="125"/>
    </row>
    <row r="126" spans="1:23">
      <c r="A126" s="121">
        <v>43158</v>
      </c>
      <c r="B126" s="125">
        <v>148801474.37908283</v>
      </c>
      <c r="C126" s="125">
        <v>42222380.869531773</v>
      </c>
      <c r="D126" s="125">
        <v>46623868.933918469</v>
      </c>
      <c r="E126" s="125">
        <v>68423991.143512383</v>
      </c>
      <c r="F126" s="123">
        <v>157270240.94696262</v>
      </c>
      <c r="G126" s="125">
        <v>-1375000</v>
      </c>
      <c r="H126" s="125">
        <v>1770.2156778120172</v>
      </c>
      <c r="I126" s="125">
        <v>1094.6584741826446</v>
      </c>
      <c r="J126" s="125">
        <v>494.26959952048435</v>
      </c>
      <c r="K126" s="125">
        <v>1294.6946138791379</v>
      </c>
      <c r="L126" s="122">
        <v>2883.6226875822667</v>
      </c>
      <c r="M126" s="125">
        <v>0</v>
      </c>
      <c r="N126" s="115">
        <v>13677.5</v>
      </c>
      <c r="P126" s="125">
        <v>-399666.15</v>
      </c>
      <c r="Q126" s="125">
        <v>0</v>
      </c>
      <c r="S126" s="125">
        <v>-1.4180006199999999</v>
      </c>
      <c r="T126" s="125">
        <v>0</v>
      </c>
      <c r="V126" s="125"/>
      <c r="W126" s="125"/>
    </row>
    <row r="127" spans="1:23">
      <c r="A127" s="121">
        <v>43159</v>
      </c>
      <c r="B127" s="125">
        <v>149780316.36112329</v>
      </c>
      <c r="C127" s="125">
        <v>41758043.588824771</v>
      </c>
      <c r="D127" s="125">
        <v>47991026.893897764</v>
      </c>
      <c r="E127" s="125">
        <v>68007918.757663101</v>
      </c>
      <c r="F127" s="123">
        <v>157756989.24038565</v>
      </c>
      <c r="G127" s="125">
        <v>-1420000</v>
      </c>
      <c r="H127" s="125">
        <v>1808.5990560051475</v>
      </c>
      <c r="I127" s="125">
        <v>1072.1703932484174</v>
      </c>
      <c r="J127" s="125">
        <v>496.98877871895172</v>
      </c>
      <c r="K127" s="125">
        <v>1304.0759797045171</v>
      </c>
      <c r="L127" s="122">
        <v>2873.2351516718863</v>
      </c>
      <c r="M127" s="125">
        <v>-58.286236519831839</v>
      </c>
      <c r="N127" s="115">
        <v>13745</v>
      </c>
      <c r="P127" s="125">
        <v>-399666.15</v>
      </c>
      <c r="Q127" s="125">
        <v>0</v>
      </c>
      <c r="S127" s="125">
        <v>-1.4180006199999999</v>
      </c>
      <c r="T127" s="125">
        <v>0</v>
      </c>
      <c r="V127" s="125"/>
      <c r="W127" s="125"/>
    </row>
    <row r="128" spans="1:23">
      <c r="A128" s="121">
        <v>43160</v>
      </c>
      <c r="B128" s="125">
        <v>149195956.22415587</v>
      </c>
      <c r="C128" s="125">
        <v>39620919.211400352</v>
      </c>
      <c r="D128" s="125">
        <v>47366875.368129291</v>
      </c>
      <c r="E128" s="125">
        <v>68743942.774489477</v>
      </c>
      <c r="F128" s="123">
        <v>155731737.35401911</v>
      </c>
      <c r="G128" s="125">
        <v>-2200000</v>
      </c>
      <c r="H128" s="125">
        <v>1791.419110191644</v>
      </c>
      <c r="I128" s="125">
        <v>1067.9700125420823</v>
      </c>
      <c r="J128" s="125">
        <v>493.22710801599385</v>
      </c>
      <c r="K128" s="125">
        <v>1290.9724294823648</v>
      </c>
      <c r="L128" s="122">
        <v>2852.1695500404412</v>
      </c>
      <c r="M128" s="125">
        <v>-55.51009457984722</v>
      </c>
      <c r="N128" s="115">
        <v>13747.5</v>
      </c>
      <c r="P128" s="125">
        <v>-399666.15</v>
      </c>
      <c r="Q128" s="125">
        <v>0</v>
      </c>
      <c r="S128" s="125">
        <v>-1.4180006199999999</v>
      </c>
      <c r="T128" s="125">
        <v>0</v>
      </c>
      <c r="V128" s="125"/>
      <c r="W128" s="125"/>
    </row>
    <row r="129" spans="1:23">
      <c r="A129" s="121">
        <v>43161</v>
      </c>
      <c r="B129" s="125">
        <v>148685817.28361303</v>
      </c>
      <c r="C129" s="125">
        <v>40455337.434119605</v>
      </c>
      <c r="D129" s="125">
        <v>47241524.484058864</v>
      </c>
      <c r="E129" s="125">
        <v>69277686.206176847</v>
      </c>
      <c r="F129" s="123">
        <v>156974548.12435532</v>
      </c>
      <c r="G129" s="125">
        <v>-1300000</v>
      </c>
      <c r="H129" s="125">
        <v>1789.276761755104</v>
      </c>
      <c r="I129" s="125">
        <v>1128.4587262375305</v>
      </c>
      <c r="J129" s="125">
        <v>490.93431145278333</v>
      </c>
      <c r="K129" s="125">
        <v>1245.162856367851</v>
      </c>
      <c r="L129" s="122">
        <v>2864.555894058165</v>
      </c>
      <c r="M129" s="125">
        <v>-89.064739043462453</v>
      </c>
      <c r="N129" s="115">
        <v>13757.5</v>
      </c>
      <c r="P129" s="125">
        <v>-399666.15</v>
      </c>
      <c r="Q129" s="125">
        <v>0</v>
      </c>
      <c r="S129" s="125">
        <v>-1.4180006199999999</v>
      </c>
      <c r="T129" s="125">
        <v>0</v>
      </c>
      <c r="V129" s="125"/>
      <c r="W129" s="125"/>
    </row>
    <row r="130" spans="1:23">
      <c r="A130" s="121">
        <v>43164</v>
      </c>
      <c r="B130" s="125">
        <v>149021146.1905899</v>
      </c>
      <c r="C130" s="125">
        <v>40475648.289009176</v>
      </c>
      <c r="D130" s="125">
        <v>46884987.868413053</v>
      </c>
      <c r="E130" s="125">
        <v>69155289.847541124</v>
      </c>
      <c r="F130" s="123">
        <v>156515926.00496334</v>
      </c>
      <c r="G130" s="125">
        <v>-2650000</v>
      </c>
      <c r="H130" s="125">
        <v>1803.4885502698846</v>
      </c>
      <c r="I130" s="125">
        <v>1054.3793275511257</v>
      </c>
      <c r="J130" s="125">
        <v>498.29586380069838</v>
      </c>
      <c r="K130" s="125">
        <v>1243.5386990975039</v>
      </c>
      <c r="L130" s="122">
        <v>2796.2138904493281</v>
      </c>
      <c r="M130" s="125">
        <v>-32.011630019989099</v>
      </c>
      <c r="N130" s="115">
        <v>13762.5</v>
      </c>
      <c r="P130" s="125">
        <v>-399666.15</v>
      </c>
      <c r="Q130" s="125">
        <v>0</v>
      </c>
      <c r="S130" s="125">
        <v>-1.4180006199999999</v>
      </c>
      <c r="T130" s="125">
        <v>0</v>
      </c>
      <c r="V130" s="125"/>
      <c r="W130" s="125"/>
    </row>
    <row r="131" spans="1:23">
      <c r="A131" s="121">
        <v>43165</v>
      </c>
      <c r="B131" s="125">
        <v>149336046.86241433</v>
      </c>
      <c r="C131" s="125">
        <v>40704325.32032568</v>
      </c>
      <c r="D131" s="125">
        <v>46848054.866343208</v>
      </c>
      <c r="E131" s="125">
        <v>69121050.46549952</v>
      </c>
      <c r="F131" s="123">
        <v>156673430.65216839</v>
      </c>
      <c r="G131" s="125">
        <v>-1855000</v>
      </c>
      <c r="H131" s="125">
        <v>1820.4861851168607</v>
      </c>
      <c r="I131" s="125">
        <v>1029.1580289881185</v>
      </c>
      <c r="J131" s="125">
        <v>497.27663982741655</v>
      </c>
      <c r="K131" s="125">
        <v>1250.2463714507285</v>
      </c>
      <c r="L131" s="122">
        <v>2776.6810402662636</v>
      </c>
      <c r="M131" s="125">
        <v>-15.013623978201634</v>
      </c>
      <c r="N131" s="115">
        <v>13775</v>
      </c>
      <c r="P131" s="125">
        <v>-399666.15</v>
      </c>
      <c r="Q131" s="125">
        <v>0</v>
      </c>
      <c r="S131" s="125">
        <v>-1.4180006199999999</v>
      </c>
      <c r="T131" s="125">
        <v>0</v>
      </c>
      <c r="V131" s="125"/>
      <c r="W131" s="125"/>
    </row>
    <row r="132" spans="1:23">
      <c r="A132" s="121">
        <v>43166</v>
      </c>
      <c r="B132" s="125">
        <v>150067785.14855799</v>
      </c>
      <c r="C132" s="125">
        <v>40646297.512790814</v>
      </c>
      <c r="D132" s="125">
        <v>46679369.406617977</v>
      </c>
      <c r="E132" s="125">
        <v>69317335.317404151</v>
      </c>
      <c r="F132" s="123">
        <v>156643002.23681295</v>
      </c>
      <c r="G132" s="125">
        <v>-2015000</v>
      </c>
      <c r="H132" s="125">
        <v>1770.0618305652702</v>
      </c>
      <c r="I132" s="125">
        <v>1019.0385337688382</v>
      </c>
      <c r="J132" s="125">
        <v>497.26370601578355</v>
      </c>
      <c r="K132" s="125">
        <v>1248.224641880061</v>
      </c>
      <c r="L132" s="122">
        <v>2764.5268816646826</v>
      </c>
      <c r="M132" s="125">
        <v>-9.9934664246823957</v>
      </c>
      <c r="N132" s="115">
        <v>13766</v>
      </c>
      <c r="P132" s="125">
        <v>-399666.15</v>
      </c>
      <c r="Q132" s="125">
        <v>0</v>
      </c>
      <c r="S132" s="125">
        <v>-1.4180006199999999</v>
      </c>
      <c r="T132" s="125">
        <v>0</v>
      </c>
      <c r="V132" s="125"/>
      <c r="W132" s="125"/>
    </row>
    <row r="133" spans="1:23">
      <c r="A133" s="121">
        <f>+'Update USD GWM'!B118</f>
        <v>43167</v>
      </c>
      <c r="B133" s="125">
        <v>149667171.7462405</v>
      </c>
      <c r="C133" s="125">
        <v>41480814.19798816</v>
      </c>
      <c r="D133" s="125">
        <v>46560302.061239854</v>
      </c>
      <c r="E133" s="125">
        <v>69169252.82279186</v>
      </c>
      <c r="F133" s="123">
        <v>157210369.08201987</v>
      </c>
      <c r="G133" s="125">
        <v>-1310000</v>
      </c>
      <c r="H133" s="125">
        <v>1847.6594731753028</v>
      </c>
      <c r="I133" s="125">
        <v>1013.3618593713459</v>
      </c>
      <c r="J133" s="125">
        <v>490.93447669113669</v>
      </c>
      <c r="K133" s="125">
        <v>1254.0594285321815</v>
      </c>
      <c r="L133" s="122">
        <v>2758.3557645946639</v>
      </c>
      <c r="M133" s="125">
        <v>-88.121458666279239</v>
      </c>
      <c r="N133" s="115">
        <v>13785</v>
      </c>
      <c r="P133" s="125">
        <v>-399666.15</v>
      </c>
      <c r="Q133" s="125">
        <v>0</v>
      </c>
      <c r="S133" s="125">
        <v>-1.4180006199999999</v>
      </c>
      <c r="T133" s="125">
        <v>0</v>
      </c>
      <c r="V133" s="125"/>
      <c r="W133" s="125"/>
    </row>
    <row r="134" spans="1:23">
      <c r="A134" s="121">
        <v>43168</v>
      </c>
      <c r="B134" s="125">
        <v>150797718.29755402</v>
      </c>
      <c r="C134" s="125">
        <v>40766718.77477245</v>
      </c>
      <c r="D134" s="125">
        <v>46584242.39348916</v>
      </c>
      <c r="E134" s="125">
        <v>70321480.420890749</v>
      </c>
      <c r="F134" s="123">
        <v>157672441.58915237</v>
      </c>
      <c r="G134" s="125">
        <v>-1190000</v>
      </c>
      <c r="H134" s="125">
        <v>1804.7313550248848</v>
      </c>
      <c r="I134" s="125">
        <v>985.61991793172444</v>
      </c>
      <c r="J134" s="125">
        <v>489.39093585033055</v>
      </c>
      <c r="K134" s="125">
        <v>1278.9815545131323</v>
      </c>
      <c r="L134" s="122">
        <v>2753.9924082951875</v>
      </c>
      <c r="M134" s="125">
        <v>-4.998549147624229</v>
      </c>
      <c r="N134" s="115">
        <v>13781</v>
      </c>
      <c r="P134" s="125">
        <v>-265744.8</v>
      </c>
      <c r="Q134" s="125">
        <v>0</v>
      </c>
      <c r="S134" s="125">
        <v>-1.4180006199999999</v>
      </c>
      <c r="T134" s="125">
        <v>0</v>
      </c>
      <c r="V134" s="125"/>
      <c r="W134" s="125"/>
    </row>
    <row r="135" spans="1:23">
      <c r="A135" s="121">
        <v>43171</v>
      </c>
      <c r="B135" s="125">
        <v>151114558.88279253</v>
      </c>
      <c r="C135" s="125">
        <v>41131106.347683363</v>
      </c>
      <c r="D135" s="125">
        <v>46156866.770816065</v>
      </c>
      <c r="E135" s="125">
        <v>69296072.714715868</v>
      </c>
      <c r="F135" s="123">
        <v>156584045.8332153</v>
      </c>
      <c r="G135" s="125">
        <v>-1140000</v>
      </c>
      <c r="H135" s="125">
        <v>1869.2234016764814</v>
      </c>
      <c r="I135" s="125">
        <v>982.08046472735248</v>
      </c>
      <c r="J135" s="125">
        <v>496.08171130417691</v>
      </c>
      <c r="K135" s="125">
        <v>1253.9577364882357</v>
      </c>
      <c r="L135" s="122">
        <v>2732.119912519765</v>
      </c>
      <c r="M135" s="125">
        <v>-13.989841085552573</v>
      </c>
      <c r="N135" s="115">
        <v>13771</v>
      </c>
      <c r="P135" s="125">
        <v>-265744.8</v>
      </c>
      <c r="Q135" s="125">
        <v>0</v>
      </c>
      <c r="S135" s="125">
        <v>-1.4180006199999999</v>
      </c>
      <c r="T135" s="125">
        <v>0</v>
      </c>
      <c r="V135" s="125"/>
      <c r="W135" s="125"/>
    </row>
    <row r="136" spans="1:23">
      <c r="A136" s="121">
        <v>43172</v>
      </c>
      <c r="B136" s="125">
        <v>150840383.13868806</v>
      </c>
      <c r="C136" s="125">
        <v>41956976.123605981</v>
      </c>
      <c r="D136" s="125">
        <v>46164277.948325001</v>
      </c>
      <c r="E136" s="125">
        <v>69161047.458529919</v>
      </c>
      <c r="F136" s="123">
        <v>157282301.53046089</v>
      </c>
      <c r="G136" s="125">
        <v>-1100000</v>
      </c>
      <c r="H136" s="125">
        <v>1882.7720893380742</v>
      </c>
      <c r="I136" s="125">
        <v>1044.9638175596654</v>
      </c>
      <c r="J136" s="125">
        <v>495.09320169334427</v>
      </c>
      <c r="K136" s="125">
        <v>1246.9208805301791</v>
      </c>
      <c r="L136" s="122">
        <v>2786.9778997831891</v>
      </c>
      <c r="M136" s="125">
        <v>-4.9932829859850409</v>
      </c>
      <c r="N136" s="115">
        <v>13752.5</v>
      </c>
      <c r="P136" s="125">
        <v>-265744.8</v>
      </c>
      <c r="Q136" s="125">
        <v>0</v>
      </c>
      <c r="S136" s="125">
        <v>-1.4180006199999999</v>
      </c>
      <c r="T136" s="125">
        <v>0</v>
      </c>
      <c r="V136" s="125"/>
      <c r="W136" s="125"/>
    </row>
    <row r="137" spans="1:23">
      <c r="A137" s="121">
        <v>43173</v>
      </c>
      <c r="B137" s="125">
        <v>150969786.07668847</v>
      </c>
      <c r="C137" s="125">
        <v>42618249.073778838</v>
      </c>
      <c r="D137" s="125">
        <v>46113393.650383465</v>
      </c>
      <c r="E137" s="125">
        <v>69411607.197738737</v>
      </c>
      <c r="F137" s="123">
        <v>158143249.92190105</v>
      </c>
      <c r="G137" s="125">
        <v>-1100000</v>
      </c>
      <c r="H137" s="125">
        <v>1864.7055582434066</v>
      </c>
      <c r="I137" s="125">
        <v>1081.8515656678128</v>
      </c>
      <c r="J137" s="125">
        <v>498.25159565431449</v>
      </c>
      <c r="K137" s="125">
        <v>1251.6905235911324</v>
      </c>
      <c r="L137" s="122">
        <v>2831.7936849132598</v>
      </c>
      <c r="M137" s="125">
        <v>-4.9941828758407558</v>
      </c>
      <c r="N137" s="115">
        <v>13736.5</v>
      </c>
      <c r="P137" s="125">
        <v>-265744.8</v>
      </c>
      <c r="Q137" s="125">
        <v>0</v>
      </c>
      <c r="S137" s="125">
        <v>-1.4180006199999999</v>
      </c>
      <c r="T137" s="125">
        <v>0</v>
      </c>
      <c r="V137" s="125"/>
      <c r="W137" s="125"/>
    </row>
    <row r="138" spans="1:23">
      <c r="A138" s="121">
        <v>43174</v>
      </c>
      <c r="B138" s="125">
        <v>150302060.52175108</v>
      </c>
      <c r="C138" s="125">
        <v>41696702.907338686</v>
      </c>
      <c r="D138" s="125">
        <v>46064736.361510612</v>
      </c>
      <c r="E138" s="125">
        <v>69413665.652054593</v>
      </c>
      <c r="F138" s="123">
        <v>157175104.92090389</v>
      </c>
      <c r="G138" s="125">
        <v>-1100000</v>
      </c>
      <c r="H138" s="125">
        <v>1881.1724497607584</v>
      </c>
      <c r="I138" s="125">
        <v>1068.813106505728</v>
      </c>
      <c r="J138" s="125">
        <v>500.72783192045193</v>
      </c>
      <c r="K138" s="125">
        <v>1251.9147748489067</v>
      </c>
      <c r="L138" s="122">
        <v>2821.455713275087</v>
      </c>
      <c r="M138" s="125">
        <v>-5.0043679248716924</v>
      </c>
      <c r="N138" s="115">
        <v>13748.5</v>
      </c>
      <c r="P138" s="125">
        <v>-1358031.1274999999</v>
      </c>
      <c r="Q138" s="125">
        <v>0</v>
      </c>
      <c r="S138" s="125">
        <v>-1.4180006199999999</v>
      </c>
      <c r="T138" s="125">
        <v>0</v>
      </c>
      <c r="V138" s="125"/>
      <c r="W138" s="125"/>
    </row>
    <row r="139" spans="1:23">
      <c r="A139" s="121">
        <v>43175</v>
      </c>
      <c r="B139" s="125">
        <v>148669573.46258268</v>
      </c>
      <c r="C139" s="125">
        <v>40910780.08665365</v>
      </c>
      <c r="D139" s="125">
        <v>46047917.126671694</v>
      </c>
      <c r="E139" s="125">
        <v>69656885.825855866</v>
      </c>
      <c r="F139" s="123">
        <v>156615583.03918123</v>
      </c>
      <c r="G139" s="125">
        <v>-1100000</v>
      </c>
      <c r="H139" s="125">
        <v>1842.0443109495175</v>
      </c>
      <c r="I139" s="125">
        <v>1053.4711818357241</v>
      </c>
      <c r="J139" s="125">
        <v>500.38841672791671</v>
      </c>
      <c r="K139" s="125">
        <v>1251.8665483350521</v>
      </c>
      <c r="L139" s="122">
        <v>2805.7261468986926</v>
      </c>
      <c r="M139" s="125">
        <v>-5.0007273520747715</v>
      </c>
      <c r="N139" s="115">
        <v>13750.5</v>
      </c>
      <c r="P139" s="125">
        <v>-1358031.1274999999</v>
      </c>
      <c r="Q139" s="125">
        <v>0</v>
      </c>
      <c r="S139" s="125">
        <v>-1.4180006199999999</v>
      </c>
      <c r="T139" s="125">
        <v>0</v>
      </c>
      <c r="V139" s="125"/>
      <c r="W139" s="125"/>
    </row>
    <row r="140" spans="1:23">
      <c r="A140" s="121">
        <v>43178</v>
      </c>
      <c r="B140" s="125">
        <v>148670385.67464858</v>
      </c>
      <c r="C140" s="125">
        <v>42607272.900102213</v>
      </c>
      <c r="D140" s="125">
        <v>45894812.281798944</v>
      </c>
      <c r="E140" s="125">
        <v>69688127.250710785</v>
      </c>
      <c r="F140" s="123">
        <v>158190212.43261194</v>
      </c>
      <c r="G140" s="125">
        <v>-1000000</v>
      </c>
      <c r="H140" s="125">
        <v>1830.3162343291401</v>
      </c>
      <c r="I140" s="125">
        <v>1045.1918138205056</v>
      </c>
      <c r="J140" s="125">
        <v>500.5077981094388</v>
      </c>
      <c r="K140" s="125">
        <v>1249.5148785650606</v>
      </c>
      <c r="L140" s="122">
        <v>2795.2144904950046</v>
      </c>
      <c r="M140" s="125">
        <v>-5.0043634776917205</v>
      </c>
      <c r="N140" s="115">
        <v>13762.5</v>
      </c>
      <c r="P140" s="125">
        <v>-1358031.1274999999</v>
      </c>
      <c r="Q140" s="125">
        <v>0</v>
      </c>
      <c r="S140" s="125">
        <v>-1.4180006199999999</v>
      </c>
      <c r="T140" s="125">
        <v>0</v>
      </c>
      <c r="V140" s="125"/>
      <c r="W140" s="125"/>
    </row>
    <row r="141" spans="1:23">
      <c r="A141" s="121">
        <v>43179</v>
      </c>
      <c r="B141" s="125">
        <v>148378137.17167637</v>
      </c>
      <c r="C141" s="125">
        <v>43207359.142791398</v>
      </c>
      <c r="D141" s="125">
        <v>45700263.432708077</v>
      </c>
      <c r="E141" s="125">
        <v>69950923.930455506</v>
      </c>
      <c r="F141" s="123">
        <v>158858546.50595498</v>
      </c>
      <c r="G141" s="125">
        <v>-1000000</v>
      </c>
      <c r="H141" s="125">
        <v>1862.0815314836889</v>
      </c>
      <c r="I141" s="125">
        <v>1033.5103593541326</v>
      </c>
      <c r="J141" s="125">
        <v>500.20075025035698</v>
      </c>
      <c r="K141" s="125">
        <v>1251.3570793291997</v>
      </c>
      <c r="L141" s="122">
        <v>2785.0681889336893</v>
      </c>
      <c r="M141" s="125">
        <v>-4.995458673932788</v>
      </c>
      <c r="N141" s="115">
        <v>13750</v>
      </c>
      <c r="P141" s="125">
        <v>-1358031.1274999999</v>
      </c>
      <c r="Q141" s="125">
        <v>0</v>
      </c>
      <c r="S141" s="125">
        <v>-1.4180006199999999</v>
      </c>
      <c r="T141" s="125">
        <v>0</v>
      </c>
      <c r="V141" s="125"/>
      <c r="W141" s="125"/>
    </row>
    <row r="142" spans="1:23">
      <c r="A142" s="121">
        <v>43180</v>
      </c>
      <c r="B142" s="125">
        <v>148650130.23937207</v>
      </c>
      <c r="C142" s="125">
        <v>44129290.420374736</v>
      </c>
      <c r="D142" s="125">
        <v>45193112.976554289</v>
      </c>
      <c r="E142" s="125">
        <v>70078993.219300196</v>
      </c>
      <c r="F142" s="123">
        <v>159401396.61622924</v>
      </c>
      <c r="G142" s="125">
        <v>-1230000</v>
      </c>
      <c r="H142" s="125">
        <v>1887.6475031188675</v>
      </c>
      <c r="I142" s="125">
        <v>1055.0557969284496</v>
      </c>
      <c r="J142" s="125">
        <v>498.95426436362942</v>
      </c>
      <c r="K142" s="125">
        <v>1249.6418232219037</v>
      </c>
      <c r="L142" s="122">
        <v>2803.6518845139826</v>
      </c>
      <c r="M142" s="125">
        <v>-5.0045454545454549</v>
      </c>
      <c r="N142" s="115">
        <v>13762.5</v>
      </c>
      <c r="P142" s="125">
        <v>-1358031.1274999999</v>
      </c>
      <c r="Q142" s="125">
        <v>0</v>
      </c>
      <c r="S142" s="125">
        <v>-1.4180006199999999</v>
      </c>
      <c r="T142" s="125">
        <v>0</v>
      </c>
      <c r="V142" s="125"/>
      <c r="W142" s="125"/>
    </row>
    <row r="143" spans="1:23">
      <c r="A143" s="121">
        <v>43181</v>
      </c>
      <c r="B143" s="125">
        <v>148682054.9020029</v>
      </c>
      <c r="C143" s="125">
        <v>43556399.97719197</v>
      </c>
      <c r="D143" s="125">
        <v>45321500.226432063</v>
      </c>
      <c r="E143" s="125">
        <v>69592653.190514386</v>
      </c>
      <c r="F143" s="123">
        <v>158470553.39413843</v>
      </c>
      <c r="G143" s="125">
        <v>-1230000</v>
      </c>
      <c r="H143" s="125">
        <v>1874.3210547640947</v>
      </c>
      <c r="I143" s="125">
        <v>1058.6449480798747</v>
      </c>
      <c r="J143" s="125">
        <v>501.79223223631413</v>
      </c>
      <c r="K143" s="125">
        <v>1244.3075692501372</v>
      </c>
      <c r="L143" s="122">
        <v>2804.7447495663264</v>
      </c>
      <c r="M143" s="125">
        <v>0</v>
      </c>
      <c r="N143" s="115">
        <v>13752.5</v>
      </c>
      <c r="P143" s="125">
        <v>-1358031.1274999999</v>
      </c>
      <c r="Q143" s="125">
        <v>0</v>
      </c>
      <c r="S143" s="125">
        <v>-1.4180006199999999</v>
      </c>
      <c r="T143" s="125">
        <v>0</v>
      </c>
      <c r="V143" s="125"/>
      <c r="W143" s="125"/>
    </row>
    <row r="144" spans="1:23">
      <c r="A144" s="121">
        <v>43182</v>
      </c>
      <c r="B144" s="125">
        <v>149173405.71480724</v>
      </c>
      <c r="C144" s="125">
        <v>41613419.413927771</v>
      </c>
      <c r="D144" s="125">
        <v>45973132.420704566</v>
      </c>
      <c r="E144" s="125">
        <v>69719555.592218578</v>
      </c>
      <c r="F144" s="123">
        <v>157306107.42685091</v>
      </c>
      <c r="G144" s="125">
        <v>-1330000</v>
      </c>
      <c r="H144" s="125">
        <v>1867.039040243171</v>
      </c>
      <c r="I144" s="125">
        <v>1022.8223854826166</v>
      </c>
      <c r="J144" s="125">
        <v>502.49884224161491</v>
      </c>
      <c r="K144" s="125">
        <v>1247.0777341877381</v>
      </c>
      <c r="L144" s="122">
        <v>2772.3989619119693</v>
      </c>
      <c r="M144" s="125">
        <v>0</v>
      </c>
      <c r="N144" s="115">
        <v>13781.5</v>
      </c>
      <c r="P144" s="125">
        <v>-1358031.1274999999</v>
      </c>
      <c r="Q144" s="125">
        <v>0</v>
      </c>
      <c r="S144" s="125">
        <v>-1.4180006199999999</v>
      </c>
      <c r="T144" s="125">
        <v>0</v>
      </c>
      <c r="V144" s="125"/>
      <c r="W144" s="125"/>
    </row>
    <row r="145" spans="1:23">
      <c r="A145" s="121">
        <v>43185</v>
      </c>
      <c r="B145" s="125">
        <v>150484944.74535018</v>
      </c>
      <c r="C145" s="125">
        <v>42764932.180732459</v>
      </c>
      <c r="D145" s="125">
        <v>45805608.007773273</v>
      </c>
      <c r="E145" s="125">
        <v>69444497.708462596</v>
      </c>
      <c r="F145" s="123">
        <v>158015037.89696833</v>
      </c>
      <c r="G145" s="125">
        <v>-1350000</v>
      </c>
      <c r="H145" s="125">
        <v>1868.1331260421907</v>
      </c>
      <c r="I145" s="125">
        <v>1069.9670709883235</v>
      </c>
      <c r="J145" s="125">
        <v>499.75586217134395</v>
      </c>
      <c r="K145" s="125">
        <v>1237.7183693424984</v>
      </c>
      <c r="L145" s="122">
        <v>2807.4413025021659</v>
      </c>
      <c r="M145" s="125">
        <v>0</v>
      </c>
      <c r="N145" s="115">
        <v>13737.5</v>
      </c>
      <c r="P145" s="125">
        <v>-1358031.1274999999</v>
      </c>
      <c r="Q145" s="125">
        <v>0</v>
      </c>
      <c r="S145" s="125">
        <v>-1.4180006199999999</v>
      </c>
      <c r="T145" s="125">
        <v>0</v>
      </c>
      <c r="V145" s="125"/>
      <c r="W145" s="125"/>
    </row>
    <row r="146" spans="1:23">
      <c r="A146" s="121">
        <v>43186</v>
      </c>
      <c r="B146" s="125">
        <v>150442421.93302876</v>
      </c>
      <c r="C146" s="125">
        <v>42837793.565371387</v>
      </c>
      <c r="D146" s="125">
        <v>46127129.193447143</v>
      </c>
      <c r="E146" s="125">
        <v>69995747.599325001</v>
      </c>
      <c r="F146" s="123">
        <v>158960670.35814354</v>
      </c>
      <c r="G146" s="125">
        <v>-1650000</v>
      </c>
      <c r="H146" s="125">
        <v>1854.8405595106012</v>
      </c>
      <c r="I146" s="125">
        <v>1092.4037534847703</v>
      </c>
      <c r="J146" s="125">
        <v>503.3697152469918</v>
      </c>
      <c r="K146" s="125">
        <v>1240.8853805047163</v>
      </c>
      <c r="L146" s="122">
        <v>2836.6588492364781</v>
      </c>
      <c r="M146" s="125">
        <v>0</v>
      </c>
      <c r="N146" s="115">
        <v>13742</v>
      </c>
      <c r="P146" s="125">
        <v>-1358031.1274999999</v>
      </c>
      <c r="Q146" s="125">
        <v>0</v>
      </c>
      <c r="S146" s="125">
        <v>-1.4180006199999999</v>
      </c>
      <c r="T146" s="125">
        <v>0</v>
      </c>
      <c r="V146" s="125"/>
      <c r="W146" s="125"/>
    </row>
    <row r="147" spans="1:23">
      <c r="A147" s="121">
        <v>43187</v>
      </c>
      <c r="B147" s="125">
        <v>151344769.15017152</v>
      </c>
      <c r="C147" s="125">
        <v>39736635.705735691</v>
      </c>
      <c r="D147" s="125">
        <v>46220172.354886666</v>
      </c>
      <c r="E147" s="125">
        <v>69770956.470283896</v>
      </c>
      <c r="F147" s="123">
        <v>155727764.53090626</v>
      </c>
      <c r="G147" s="125">
        <v>-1770000</v>
      </c>
      <c r="H147" s="125">
        <v>1836.7029925142795</v>
      </c>
      <c r="I147" s="125">
        <v>989.09351006985105</v>
      </c>
      <c r="J147" s="125">
        <v>502.05100825468526</v>
      </c>
      <c r="K147" s="125">
        <v>1229.7525071553266</v>
      </c>
      <c r="L147" s="122">
        <v>2720.8970254798633</v>
      </c>
      <c r="M147" s="125">
        <v>0</v>
      </c>
      <c r="N147" s="115">
        <v>13764.5</v>
      </c>
      <c r="P147" s="125">
        <v>-1358031.1274999999</v>
      </c>
      <c r="Q147" s="125">
        <v>0</v>
      </c>
      <c r="S147" s="125">
        <v>-1.4180006199999999</v>
      </c>
      <c r="T147" s="125">
        <v>0</v>
      </c>
      <c r="V147" s="125"/>
      <c r="W147" s="125"/>
    </row>
    <row r="148" spans="1:23">
      <c r="A148" s="121">
        <v>43188</v>
      </c>
      <c r="B148" s="125">
        <v>152299310.40983161</v>
      </c>
      <c r="C148" s="125">
        <v>37924226.192191042</v>
      </c>
      <c r="D148" s="125">
        <v>46423706.202734277</v>
      </c>
      <c r="E148" s="125">
        <v>69886116.982951432</v>
      </c>
      <c r="F148" s="123">
        <v>154234049.37787676</v>
      </c>
      <c r="G148" s="125">
        <v>-2250000</v>
      </c>
      <c r="H148" s="125">
        <v>1799.2751586186312</v>
      </c>
      <c r="I148" s="125">
        <v>1085.1926820859835</v>
      </c>
      <c r="J148" s="125">
        <v>503.41185210964829</v>
      </c>
      <c r="K148" s="125">
        <v>1231.7016775654452</v>
      </c>
      <c r="L148" s="122">
        <v>2820.3062117610771</v>
      </c>
      <c r="M148" s="125">
        <v>0</v>
      </c>
      <c r="N148" s="115">
        <v>13767.5</v>
      </c>
      <c r="P148" s="125">
        <v>-1358031.1274999999</v>
      </c>
      <c r="Q148" s="125">
        <v>0</v>
      </c>
      <c r="S148" s="125">
        <v>-1.4180006199999999</v>
      </c>
      <c r="T148" s="125">
        <v>0</v>
      </c>
      <c r="V148" s="125"/>
      <c r="W148" s="125"/>
    </row>
    <row r="149" spans="1:23">
      <c r="A149" s="121">
        <v>43192</v>
      </c>
      <c r="B149" s="125">
        <v>151636961.33456519</v>
      </c>
      <c r="C149" s="125">
        <v>40153009.703522511</v>
      </c>
      <c r="D149" s="125">
        <v>45813362.89275942</v>
      </c>
      <c r="E149" s="125">
        <v>69427573.819091827</v>
      </c>
      <c r="F149" s="123">
        <v>155393946.41537374</v>
      </c>
      <c r="G149" s="125">
        <v>-1200000</v>
      </c>
      <c r="H149" s="125">
        <v>1798.5325071390212</v>
      </c>
      <c r="I149" s="125">
        <v>1070.9288765117592</v>
      </c>
      <c r="J149" s="125">
        <v>500.70394678708237</v>
      </c>
      <c r="K149" s="125">
        <v>1218.9416108780406</v>
      </c>
      <c r="L149" s="122">
        <v>2790.5744341768823</v>
      </c>
      <c r="M149" s="125">
        <v>0</v>
      </c>
      <c r="N149" s="115">
        <v>13752.5</v>
      </c>
      <c r="P149" s="125">
        <v>-1358031.1274999999</v>
      </c>
      <c r="Q149" s="125">
        <v>0</v>
      </c>
      <c r="S149" s="125">
        <v>-1.4180006199999999</v>
      </c>
      <c r="T149" s="125">
        <v>0</v>
      </c>
      <c r="V149" s="125"/>
      <c r="W149" s="125"/>
    </row>
    <row r="150" spans="1:23">
      <c r="A150" s="121">
        <v>43193</v>
      </c>
      <c r="B150" s="125">
        <v>151375684.32296208</v>
      </c>
      <c r="C150" s="125">
        <v>40783015.387338005</v>
      </c>
      <c r="D150" s="125">
        <v>45631537.499767728</v>
      </c>
      <c r="E150" s="125">
        <v>69368264.161245361</v>
      </c>
      <c r="F150" s="123">
        <v>155782817.04835111</v>
      </c>
      <c r="G150" s="125">
        <v>-920000</v>
      </c>
      <c r="H150" s="125">
        <v>1811.7762305411238</v>
      </c>
      <c r="I150" s="125">
        <v>1047.9106164441025</v>
      </c>
      <c r="J150" s="125">
        <v>500.38301181408798</v>
      </c>
      <c r="K150" s="125">
        <v>1222.4003819229822</v>
      </c>
      <c r="L150" s="122">
        <v>2770.6940101811724</v>
      </c>
      <c r="M150" s="125">
        <v>0</v>
      </c>
      <c r="N150" s="115">
        <v>13762.5</v>
      </c>
      <c r="P150" s="125">
        <v>-1358031.1274999999</v>
      </c>
      <c r="Q150" s="125">
        <v>0</v>
      </c>
      <c r="S150" s="125">
        <v>-1.4180006199999999</v>
      </c>
      <c r="T150" s="125">
        <v>0</v>
      </c>
      <c r="V150" s="125"/>
      <c r="W150" s="125"/>
    </row>
    <row r="151" spans="1:23">
      <c r="A151" s="121">
        <v>43194</v>
      </c>
      <c r="B151" s="125">
        <v>149685340.98254758</v>
      </c>
      <c r="C151" s="125">
        <v>39855431.546140268</v>
      </c>
      <c r="D151" s="125">
        <v>45443841.026635826</v>
      </c>
      <c r="E151" s="125">
        <v>69474803.094994918</v>
      </c>
      <c r="F151" s="123">
        <v>154774075.66777101</v>
      </c>
      <c r="G151" s="125">
        <v>-690000</v>
      </c>
      <c r="H151" s="125">
        <v>1815.7429662047641</v>
      </c>
      <c r="I151" s="125">
        <v>1036.1795454024777</v>
      </c>
      <c r="J151" s="125">
        <v>500.88865018671487</v>
      </c>
      <c r="K151" s="125">
        <v>1220.7029326807708</v>
      </c>
      <c r="L151" s="122">
        <v>2757.7711282699634</v>
      </c>
      <c r="M151" s="125">
        <v>0</v>
      </c>
      <c r="N151" s="115">
        <v>13766.5</v>
      </c>
      <c r="P151" s="125">
        <v>-1358031.1274999999</v>
      </c>
      <c r="Q151" s="125">
        <v>0</v>
      </c>
      <c r="S151" s="125">
        <v>-1.4180006199999999</v>
      </c>
      <c r="T151" s="125">
        <v>0</v>
      </c>
      <c r="V151" s="125"/>
      <c r="W151" s="125"/>
    </row>
    <row r="152" spans="1:23">
      <c r="A152" s="121">
        <v>43195</v>
      </c>
      <c r="B152" s="125">
        <v>149797592.5554224</v>
      </c>
      <c r="C152" s="125">
        <v>40795443.821391471</v>
      </c>
      <c r="D152" s="125">
        <v>45547550.961440504</v>
      </c>
      <c r="E152" s="125">
        <v>69403971.629473954</v>
      </c>
      <c r="F152" s="123">
        <v>155746966.41230592</v>
      </c>
      <c r="G152" s="125">
        <v>-710000</v>
      </c>
      <c r="H152" s="125">
        <v>1824.2653248270321</v>
      </c>
      <c r="I152" s="125">
        <v>1031.7036134412647</v>
      </c>
      <c r="J152" s="125">
        <v>501.13832528063205</v>
      </c>
      <c r="K152" s="125">
        <v>1223.0443822488146</v>
      </c>
      <c r="L152" s="122">
        <v>2755.8863209707115</v>
      </c>
      <c r="M152" s="125">
        <v>0</v>
      </c>
      <c r="N152" s="115">
        <v>13766.5</v>
      </c>
      <c r="P152" s="125">
        <v>-1067917.9815</v>
      </c>
      <c r="Q152" s="125">
        <v>0</v>
      </c>
      <c r="S152" s="125">
        <v>-1.4180006199999999</v>
      </c>
      <c r="T152" s="125">
        <v>0</v>
      </c>
      <c r="V152" s="125"/>
      <c r="W152" s="125"/>
    </row>
    <row r="153" spans="1:23">
      <c r="A153" s="121">
        <v>43196</v>
      </c>
      <c r="B153" s="125">
        <v>149574386.00000712</v>
      </c>
      <c r="C153" s="125">
        <v>41669534.006735317</v>
      </c>
      <c r="D153" s="125">
        <v>45578812.313757405</v>
      </c>
      <c r="E153" s="125">
        <v>69535501.549692214</v>
      </c>
      <c r="F153" s="123">
        <v>156783847.87018493</v>
      </c>
      <c r="G153" s="125">
        <v>-590000</v>
      </c>
      <c r="H153" s="125">
        <v>1823.9857742517761</v>
      </c>
      <c r="I153" s="125">
        <v>1012.4874524108409</v>
      </c>
      <c r="J153" s="125">
        <v>507.21520206578151</v>
      </c>
      <c r="K153" s="125">
        <v>1226.2886538711268</v>
      </c>
      <c r="L153" s="122">
        <v>2745.9913083477495</v>
      </c>
      <c r="M153" s="125">
        <v>0</v>
      </c>
      <c r="N153" s="115">
        <v>13775</v>
      </c>
      <c r="P153" s="125">
        <v>-1067917.9815</v>
      </c>
      <c r="Q153" s="125">
        <v>0</v>
      </c>
      <c r="S153" s="125">
        <v>-1.4180006199999999</v>
      </c>
      <c r="T153" s="125">
        <v>0</v>
      </c>
      <c r="V153" s="125"/>
      <c r="W153" s="125"/>
    </row>
    <row r="154" spans="1:23">
      <c r="A154" s="121">
        <v>43199</v>
      </c>
      <c r="B154" s="125">
        <v>149538405.65653884</v>
      </c>
      <c r="C154" s="125">
        <v>43376256.604869001</v>
      </c>
      <c r="D154" s="125">
        <v>45581266.624625832</v>
      </c>
      <c r="E154" s="125">
        <v>69572648.142264992</v>
      </c>
      <c r="F154" s="123">
        <v>158530171.37175983</v>
      </c>
      <c r="G154" s="125">
        <v>-590000</v>
      </c>
      <c r="H154" s="125">
        <v>1810.3766592079296</v>
      </c>
      <c r="I154" s="125">
        <v>1021.8050172911351</v>
      </c>
      <c r="J154" s="125">
        <v>506.95468263076208</v>
      </c>
      <c r="K154" s="125">
        <v>1209.8359402331771</v>
      </c>
      <c r="L154" s="122">
        <v>2738.5956401550743</v>
      </c>
      <c r="M154" s="125">
        <v>0</v>
      </c>
      <c r="N154" s="115">
        <v>13761.5</v>
      </c>
      <c r="P154" s="125">
        <v>-1067917.9815</v>
      </c>
      <c r="Q154" s="125">
        <v>0</v>
      </c>
      <c r="S154" s="125">
        <v>-1.4180006199999999</v>
      </c>
      <c r="T154" s="125">
        <v>0</v>
      </c>
      <c r="V154" s="125"/>
      <c r="W154" s="125"/>
    </row>
    <row r="155" spans="1:23">
      <c r="A155" s="121">
        <v>43200</v>
      </c>
      <c r="B155" s="125">
        <v>149418178.72441271</v>
      </c>
      <c r="C155" s="125">
        <v>39956996.327827312</v>
      </c>
      <c r="D155" s="125">
        <v>45542452.340453543</v>
      </c>
      <c r="E155" s="125">
        <v>70012079.295277759</v>
      </c>
      <c r="F155" s="123">
        <v>155511527.96355861</v>
      </c>
      <c r="G155" s="125">
        <v>-450000</v>
      </c>
      <c r="H155" s="125">
        <v>1793.3138123188623</v>
      </c>
      <c r="I155" s="125">
        <v>1040.7212225201063</v>
      </c>
      <c r="J155" s="125">
        <v>505.27533045368239</v>
      </c>
      <c r="K155" s="125">
        <v>1201.2445289920213</v>
      </c>
      <c r="L155" s="122">
        <v>2747.2410819658098</v>
      </c>
      <c r="M155" s="125">
        <v>0</v>
      </c>
      <c r="N155" s="115">
        <v>13751</v>
      </c>
      <c r="P155" s="125">
        <v>-1067917.9815</v>
      </c>
      <c r="Q155" s="125">
        <v>0</v>
      </c>
      <c r="S155" s="125">
        <v>-1.4180006199999999</v>
      </c>
      <c r="T155" s="125">
        <v>0</v>
      </c>
      <c r="V155" s="125"/>
      <c r="W155" s="125"/>
    </row>
    <row r="156" spans="1:23">
      <c r="A156" s="121">
        <v>43201</v>
      </c>
      <c r="B156" s="125">
        <v>149762057.10101947</v>
      </c>
      <c r="C156" s="125">
        <v>40566085.943205051</v>
      </c>
      <c r="D156" s="125">
        <v>45912622.259932652</v>
      </c>
      <c r="E156" s="125">
        <v>69992393.434714377</v>
      </c>
      <c r="F156" s="123">
        <v>156471101.63785207</v>
      </c>
      <c r="G156" s="125">
        <v>-1875000</v>
      </c>
      <c r="H156" s="125">
        <v>1821.5265792471105</v>
      </c>
      <c r="I156" s="125">
        <v>1053.9795443326914</v>
      </c>
      <c r="J156" s="125">
        <v>504.62837994436472</v>
      </c>
      <c r="K156" s="125">
        <v>1203.4358528002113</v>
      </c>
      <c r="L156" s="122">
        <v>2762.0437770772674</v>
      </c>
      <c r="M156" s="125">
        <v>0</v>
      </c>
      <c r="N156" s="115">
        <v>13758.5</v>
      </c>
      <c r="P156" s="125">
        <v>-1067917.9815</v>
      </c>
      <c r="Q156" s="125">
        <v>0</v>
      </c>
      <c r="S156" s="125">
        <v>-1.4180006199999999</v>
      </c>
      <c r="T156" s="125">
        <v>0</v>
      </c>
      <c r="V156" s="125"/>
      <c r="W156" s="125"/>
    </row>
    <row r="157" spans="1:23">
      <c r="A157" s="121">
        <v>43202</v>
      </c>
      <c r="B157" s="125">
        <v>148434520.75539917</v>
      </c>
      <c r="C157" s="125">
        <v>41840476.704004109</v>
      </c>
      <c r="D157" s="125">
        <v>45785717.385154746</v>
      </c>
      <c r="E157" s="125">
        <v>69845092.681243852</v>
      </c>
      <c r="F157" s="123">
        <v>157471286.77040273</v>
      </c>
      <c r="G157" s="125">
        <v>-450000</v>
      </c>
      <c r="H157" s="125">
        <v>1846.2176842061936</v>
      </c>
      <c r="I157" s="125">
        <v>1033.9218901031461</v>
      </c>
      <c r="J157" s="125">
        <v>508.39877388753564</v>
      </c>
      <c r="K157" s="125">
        <v>1214.9074895035262</v>
      </c>
      <c r="L157" s="122">
        <v>2757.2281534942076</v>
      </c>
      <c r="M157" s="125">
        <v>0</v>
      </c>
      <c r="N157" s="115">
        <v>13769.5</v>
      </c>
      <c r="P157" s="125">
        <v>-1067917.9815</v>
      </c>
      <c r="Q157" s="125">
        <v>0</v>
      </c>
      <c r="S157" s="125">
        <v>-1.4180006199999999</v>
      </c>
      <c r="T157" s="125">
        <v>0</v>
      </c>
      <c r="V157" s="125"/>
      <c r="W157" s="125"/>
    </row>
    <row r="158" spans="1:23">
      <c r="A158" s="121">
        <v>43203</v>
      </c>
      <c r="B158" s="125">
        <v>148714764.55624944</v>
      </c>
      <c r="C158" s="125">
        <v>40223894.23674576</v>
      </c>
      <c r="D158" s="125">
        <v>45870724.0557101</v>
      </c>
      <c r="E158" s="125">
        <v>70402598.635663316</v>
      </c>
      <c r="F158" s="123">
        <v>156497216.92811918</v>
      </c>
      <c r="G158" s="125">
        <v>-1460000</v>
      </c>
      <c r="H158" s="125">
        <v>1820.9186231572355</v>
      </c>
      <c r="I158" s="125">
        <v>1055.0575660308652</v>
      </c>
      <c r="J158" s="125">
        <v>501.89684717288344</v>
      </c>
      <c r="K158" s="125">
        <v>1261.3314517120257</v>
      </c>
      <c r="L158" s="122">
        <v>2818.2858649157743</v>
      </c>
      <c r="M158" s="125">
        <v>0</v>
      </c>
      <c r="N158" s="115">
        <v>13753</v>
      </c>
      <c r="P158" s="125">
        <v>-784236.18149999995</v>
      </c>
      <c r="Q158" s="125">
        <v>0</v>
      </c>
      <c r="S158" s="125">
        <v>-1.4180006199999999</v>
      </c>
      <c r="T158" s="125">
        <v>0</v>
      </c>
      <c r="V158" s="125"/>
      <c r="W158" s="125"/>
    </row>
    <row r="159" spans="1:23">
      <c r="A159" s="121">
        <v>43206</v>
      </c>
      <c r="B159" s="125">
        <v>149020214.03792179</v>
      </c>
      <c r="C159" s="125">
        <v>41374289.321885161</v>
      </c>
      <c r="D159" s="125">
        <v>46018513.993165143</v>
      </c>
      <c r="E159" s="125">
        <v>70226198.336681157</v>
      </c>
      <c r="F159" s="123">
        <v>157619001.65173146</v>
      </c>
      <c r="G159" s="125">
        <v>-450000</v>
      </c>
      <c r="H159" s="125">
        <v>1796.7101069183984</v>
      </c>
      <c r="I159" s="125">
        <v>1049.4178458244564</v>
      </c>
      <c r="J159" s="125">
        <v>502.04857826926053</v>
      </c>
      <c r="K159" s="125">
        <v>1365.4239063907748</v>
      </c>
      <c r="L159" s="122">
        <v>2916.8903304844916</v>
      </c>
      <c r="M159" s="125">
        <v>0</v>
      </c>
      <c r="N159" s="115">
        <v>13774.5</v>
      </c>
      <c r="P159" s="125">
        <v>0</v>
      </c>
      <c r="Q159" s="125">
        <v>0</v>
      </c>
      <c r="S159" s="125">
        <v>-1.4180006199999999</v>
      </c>
      <c r="T159" s="125">
        <v>0</v>
      </c>
      <c r="V159" s="125"/>
      <c r="W159" s="125"/>
    </row>
    <row r="160" spans="1:23">
      <c r="A160" s="121">
        <v>43207</v>
      </c>
      <c r="B160" s="125">
        <v>148615948.25333035</v>
      </c>
      <c r="C160" s="125">
        <v>41841887.063884787</v>
      </c>
      <c r="D160" s="125">
        <v>45929307.951128677</v>
      </c>
      <c r="E160" s="125">
        <v>70487661.306321219</v>
      </c>
      <c r="F160" s="123">
        <v>158258856.32133466</v>
      </c>
      <c r="G160" s="125">
        <v>-450000</v>
      </c>
      <c r="H160" s="125">
        <v>1797.3856203974988</v>
      </c>
      <c r="I160" s="125">
        <v>1029.3129197449205</v>
      </c>
      <c r="J160" s="125">
        <v>502.95945538700914</v>
      </c>
      <c r="K160" s="125">
        <v>1362.5041960038159</v>
      </c>
      <c r="L160" s="122">
        <v>2894.7765711357451</v>
      </c>
      <c r="M160" s="125">
        <v>0</v>
      </c>
      <c r="N160" s="115">
        <v>13766</v>
      </c>
      <c r="P160" s="125">
        <v>0</v>
      </c>
      <c r="Q160" s="125">
        <v>0</v>
      </c>
      <c r="S160" s="125">
        <v>-1.4180006199999999</v>
      </c>
      <c r="T160" s="125">
        <v>0</v>
      </c>
      <c r="V160" s="125"/>
      <c r="W160" s="125"/>
    </row>
    <row r="161" spans="1:23">
      <c r="A161" s="121">
        <v>43208</v>
      </c>
      <c r="B161" s="125">
        <v>148541172.40566504</v>
      </c>
      <c r="C161" s="125">
        <v>42746201.820527449</v>
      </c>
      <c r="D161" s="125">
        <v>46004500.905426688</v>
      </c>
      <c r="E161" s="125">
        <v>70545286.2058018</v>
      </c>
      <c r="F161" s="123">
        <v>159295988.93175596</v>
      </c>
      <c r="G161" s="125">
        <v>-450000</v>
      </c>
      <c r="H161" s="125">
        <v>1789.4953178787105</v>
      </c>
      <c r="I161" s="125">
        <v>1001.6560749475153</v>
      </c>
      <c r="J161" s="125">
        <v>503.0285014485882</v>
      </c>
      <c r="K161" s="125">
        <v>1358.9502754120454</v>
      </c>
      <c r="L161" s="122">
        <v>2863.6348518081486</v>
      </c>
      <c r="M161" s="125">
        <v>0</v>
      </c>
      <c r="N161" s="115">
        <v>13774.5</v>
      </c>
      <c r="P161" s="125">
        <v>0</v>
      </c>
      <c r="Q161" s="125">
        <v>0</v>
      </c>
      <c r="S161" s="125">
        <v>-1.4180006199999999</v>
      </c>
      <c r="T161" s="125">
        <v>0</v>
      </c>
      <c r="V161" s="125"/>
      <c r="W161" s="125"/>
    </row>
    <row r="162" spans="1:23">
      <c r="A162" s="121">
        <v>43209</v>
      </c>
      <c r="B162" s="125">
        <v>148281436.34379616</v>
      </c>
      <c r="C162" s="125">
        <v>41958065.135381214</v>
      </c>
      <c r="D162" s="125">
        <v>45992430.769081689</v>
      </c>
      <c r="E162" s="125">
        <v>70343731.827033862</v>
      </c>
      <c r="F162" s="123">
        <v>158294227.73149675</v>
      </c>
      <c r="G162" s="125">
        <v>-450000</v>
      </c>
      <c r="H162" s="125">
        <v>1788.8425232634263</v>
      </c>
      <c r="I162" s="125">
        <v>991.31108961719474</v>
      </c>
      <c r="J162" s="125">
        <v>500.49176232619948</v>
      </c>
      <c r="K162" s="125">
        <v>1356.379777958535</v>
      </c>
      <c r="L162" s="122">
        <v>2848.1826299019294</v>
      </c>
      <c r="M162" s="125">
        <v>0</v>
      </c>
      <c r="N162" s="115">
        <v>13782.5</v>
      </c>
      <c r="P162" s="125">
        <v>0</v>
      </c>
      <c r="Q162" s="125">
        <v>0</v>
      </c>
      <c r="S162" s="125">
        <v>-1.4180006199999999</v>
      </c>
      <c r="T162" s="125">
        <v>0</v>
      </c>
      <c r="V162" s="125"/>
      <c r="W162" s="125"/>
    </row>
    <row r="163" spans="1:23">
      <c r="A163" s="121">
        <v>43210</v>
      </c>
      <c r="B163" s="125">
        <v>148469347.56330329</v>
      </c>
      <c r="C163" s="125">
        <v>42085973.374956243</v>
      </c>
      <c r="D163" s="125">
        <v>45955285.703902446</v>
      </c>
      <c r="E163" s="125">
        <v>70354312.868103579</v>
      </c>
      <c r="F163" s="123">
        <v>158395571.94696227</v>
      </c>
      <c r="G163" s="125">
        <v>-450000</v>
      </c>
      <c r="H163" s="125">
        <v>1776.2474484829868</v>
      </c>
      <c r="I163" s="125">
        <v>975.63610374000484</v>
      </c>
      <c r="J163" s="125">
        <v>505.44729179056401</v>
      </c>
      <c r="K163" s="125">
        <v>1313.4459953464959</v>
      </c>
      <c r="L163" s="122">
        <v>2794.5293908770645</v>
      </c>
      <c r="M163" s="125">
        <v>0</v>
      </c>
      <c r="N163" s="115">
        <v>13877.5</v>
      </c>
      <c r="P163" s="125">
        <v>0</v>
      </c>
      <c r="Q163" s="125">
        <v>0</v>
      </c>
      <c r="S163" s="125">
        <v>-1.4180006199999999</v>
      </c>
      <c r="T163" s="125">
        <v>0</v>
      </c>
      <c r="V163" s="125"/>
      <c r="W163" s="125"/>
    </row>
    <row r="164" spans="1:23">
      <c r="A164" s="121">
        <v>43213</v>
      </c>
      <c r="B164" s="125">
        <v>148436551.11174512</v>
      </c>
      <c r="C164" s="125">
        <v>44262818.813971385</v>
      </c>
      <c r="D164" s="125">
        <v>45816695.663909063</v>
      </c>
      <c r="E164" s="125">
        <v>69930441.214930981</v>
      </c>
      <c r="F164" s="123">
        <v>160009955.69281143</v>
      </c>
      <c r="G164" s="125">
        <v>-450000</v>
      </c>
      <c r="H164" s="125">
        <v>1818.2173565338476</v>
      </c>
      <c r="I164" s="125">
        <v>955.35849800346682</v>
      </c>
      <c r="J164" s="125">
        <v>500.39994195082278</v>
      </c>
      <c r="K164" s="125">
        <v>1284.3774935097863</v>
      </c>
      <c r="L164" s="122">
        <v>2740.1359334640756</v>
      </c>
      <c r="M164" s="125">
        <v>-13.016393442622951</v>
      </c>
      <c r="N164" s="115">
        <v>13895</v>
      </c>
      <c r="P164" s="125">
        <v>0</v>
      </c>
      <c r="Q164" s="125">
        <v>0</v>
      </c>
      <c r="S164" s="125">
        <v>-1.4180006199999999</v>
      </c>
      <c r="T164" s="125">
        <v>0</v>
      </c>
      <c r="V164" s="125"/>
      <c r="W164" s="125"/>
    </row>
    <row r="165" spans="1:23">
      <c r="A165" s="121">
        <v>43214</v>
      </c>
      <c r="B165" s="125">
        <v>148501898.2913695</v>
      </c>
      <c r="C165" s="125">
        <v>44701183.064698771</v>
      </c>
      <c r="D165" s="125">
        <v>45889225.836338609</v>
      </c>
      <c r="E165" s="125">
        <v>69765318.77846913</v>
      </c>
      <c r="F165" s="123">
        <v>160355727.67950651</v>
      </c>
      <c r="G165" s="125">
        <v>-450000</v>
      </c>
      <c r="H165" s="125">
        <v>1798.380475447671</v>
      </c>
      <c r="I165" s="125">
        <v>929.12640633416322</v>
      </c>
      <c r="J165" s="125">
        <v>499.26060519524918</v>
      </c>
      <c r="K165" s="125">
        <v>1284.8502458657047</v>
      </c>
      <c r="L165" s="122">
        <v>2713.237257395117</v>
      </c>
      <c r="M165" s="125">
        <v>-15.988485066570709</v>
      </c>
      <c r="N165" s="115">
        <v>13885</v>
      </c>
      <c r="P165" s="125">
        <v>-214807.5</v>
      </c>
      <c r="Q165" s="125">
        <v>0</v>
      </c>
      <c r="S165" s="125">
        <v>-1.4180006199999999</v>
      </c>
      <c r="T165" s="125">
        <v>0</v>
      </c>
      <c r="V165" s="125"/>
      <c r="W165" s="125"/>
    </row>
    <row r="166" spans="1:23">
      <c r="A166" s="121">
        <v>43215</v>
      </c>
      <c r="B166" s="125">
        <v>147863927.12456647</v>
      </c>
      <c r="C166" s="125">
        <v>42457040.463856064</v>
      </c>
      <c r="D166" s="125">
        <v>46404793.295817368</v>
      </c>
      <c r="E166" s="125">
        <v>68985616.331608891</v>
      </c>
      <c r="F166" s="123">
        <v>157847450.09128231</v>
      </c>
      <c r="G166" s="125">
        <v>-450000</v>
      </c>
      <c r="H166" s="125">
        <v>1788.8492198229499</v>
      </c>
      <c r="I166" s="125">
        <v>908.86011781373793</v>
      </c>
      <c r="J166" s="125">
        <v>503.22106839877944</v>
      </c>
      <c r="K166" s="125">
        <v>1304.3116498052318</v>
      </c>
      <c r="L166" s="122">
        <v>2716.3928360177492</v>
      </c>
      <c r="M166" s="125">
        <v>0</v>
      </c>
      <c r="N166" s="115">
        <v>13920</v>
      </c>
      <c r="P166" s="125">
        <v>-214807.5</v>
      </c>
      <c r="Q166" s="125">
        <v>0</v>
      </c>
      <c r="S166" s="125">
        <v>-1.4180006199999999</v>
      </c>
      <c r="T166" s="125">
        <v>0</v>
      </c>
      <c r="V166" s="125"/>
      <c r="W166" s="125"/>
    </row>
    <row r="167" spans="1:23">
      <c r="A167" s="121">
        <v>43216</v>
      </c>
      <c r="B167" s="125">
        <v>148374548.56167898</v>
      </c>
      <c r="C167" s="125">
        <v>44553118.536842741</v>
      </c>
      <c r="D167" s="125">
        <v>46706083.563850798</v>
      </c>
      <c r="E167" s="125">
        <v>68765759.875246465</v>
      </c>
      <c r="F167" s="123">
        <v>160024961.97593999</v>
      </c>
      <c r="G167" s="125">
        <v>-450000</v>
      </c>
      <c r="H167" s="125">
        <v>1782.8148517480861</v>
      </c>
      <c r="I167" s="125">
        <v>910.77291761637332</v>
      </c>
      <c r="J167" s="125">
        <v>505.56232150970948</v>
      </c>
      <c r="K167" s="125">
        <v>1260.267640780263</v>
      </c>
      <c r="L167" s="122">
        <v>2676.6028799063461</v>
      </c>
      <c r="M167" s="125">
        <v>0</v>
      </c>
      <c r="N167" s="115">
        <v>13887.5</v>
      </c>
      <c r="P167" s="125">
        <v>-214807.5</v>
      </c>
      <c r="Q167" s="125">
        <v>0</v>
      </c>
      <c r="S167" s="125">
        <v>-1.4180006199999999</v>
      </c>
      <c r="T167" s="125">
        <v>0</v>
      </c>
      <c r="V167" s="125"/>
      <c r="W167" s="125"/>
    </row>
    <row r="168" spans="1:23">
      <c r="A168" s="121">
        <v>43217</v>
      </c>
      <c r="B168" s="125">
        <v>149308212.04774931</v>
      </c>
      <c r="C168" s="125">
        <v>43326529.330586404</v>
      </c>
      <c r="D168" s="125">
        <v>46942486.612915188</v>
      </c>
      <c r="E168" s="125">
        <v>68990477.978325948</v>
      </c>
      <c r="F168" s="123">
        <v>159259493.92182755</v>
      </c>
      <c r="G168" s="125">
        <v>-1040000</v>
      </c>
      <c r="H168" s="125">
        <v>1752.9070568897212</v>
      </c>
      <c r="I168" s="125">
        <v>900.89285980091677</v>
      </c>
      <c r="J168" s="125">
        <v>506.1916597411103</v>
      </c>
      <c r="K168" s="125">
        <v>1297.5242740617364</v>
      </c>
      <c r="L168" s="122">
        <v>2704.6087936037634</v>
      </c>
      <c r="M168" s="125">
        <v>0</v>
      </c>
      <c r="N168" s="115">
        <v>13890</v>
      </c>
      <c r="P168" s="125">
        <v>-214807.5</v>
      </c>
      <c r="Q168" s="125">
        <v>0</v>
      </c>
      <c r="S168" s="125">
        <v>-1.4180006199999999</v>
      </c>
      <c r="T168" s="125">
        <v>0</v>
      </c>
      <c r="V168" s="125"/>
      <c r="W168" s="125"/>
    </row>
    <row r="169" spans="1:23">
      <c r="A169" s="121">
        <v>43220</v>
      </c>
      <c r="B169" s="125">
        <v>150126409.76530674</v>
      </c>
      <c r="C169" s="125">
        <v>41996103.731145464</v>
      </c>
      <c r="D169" s="125">
        <v>46901112.489452265</v>
      </c>
      <c r="E169" s="125">
        <v>68219582.408509985</v>
      </c>
      <c r="F169" s="123">
        <v>157116798.62910771</v>
      </c>
      <c r="G169" s="125">
        <v>-2520000</v>
      </c>
      <c r="H169" s="125">
        <v>1772.7562889500296</v>
      </c>
      <c r="I169" s="125">
        <v>941.5150879583307</v>
      </c>
      <c r="J169" s="125">
        <v>504.80511635740862</v>
      </c>
      <c r="K169" s="125">
        <v>1296.4758779000324</v>
      </c>
      <c r="L169" s="122">
        <v>2742.796082215772</v>
      </c>
      <c r="M169" s="125">
        <v>0</v>
      </c>
      <c r="N169" s="115">
        <v>13912.5</v>
      </c>
      <c r="P169" s="125">
        <v>-214807.5</v>
      </c>
      <c r="Q169" s="125">
        <v>0</v>
      </c>
      <c r="S169" s="125">
        <v>-1.4180006199999999</v>
      </c>
      <c r="T169" s="125">
        <v>0</v>
      </c>
      <c r="V169" s="125"/>
      <c r="W169" s="125"/>
    </row>
    <row r="170" spans="1:23">
      <c r="A170" s="121">
        <v>43222</v>
      </c>
      <c r="B170" s="125">
        <v>150475029.21121448</v>
      </c>
      <c r="C170" s="125">
        <v>42978772.013276368</v>
      </c>
      <c r="D170" s="125">
        <v>46190993.264941379</v>
      </c>
      <c r="E170" s="125">
        <v>67910753.201465398</v>
      </c>
      <c r="F170" s="123">
        <v>157080518.47968316</v>
      </c>
      <c r="G170" s="125">
        <v>-675000</v>
      </c>
      <c r="H170" s="125">
        <v>1786.1109775218606</v>
      </c>
      <c r="I170" s="125">
        <v>931.88481120445488</v>
      </c>
      <c r="J170" s="125">
        <v>505.61102955949133</v>
      </c>
      <c r="K170" s="125">
        <v>1292.4238253757189</v>
      </c>
      <c r="L170" s="122">
        <v>2729.9196661396654</v>
      </c>
      <c r="M170" s="125">
        <v>0</v>
      </c>
      <c r="N170" s="115">
        <v>13947.5</v>
      </c>
      <c r="P170" s="125">
        <v>-214807.5</v>
      </c>
      <c r="Q170" s="125">
        <v>0</v>
      </c>
      <c r="S170" s="125">
        <v>-1.4180006199999999</v>
      </c>
      <c r="T170" s="125">
        <v>0</v>
      </c>
      <c r="V170" s="125"/>
      <c r="W170" s="125"/>
    </row>
    <row r="171" spans="1:23">
      <c r="A171" s="121">
        <v>43223</v>
      </c>
      <c r="B171" s="125">
        <v>150315302.05019963</v>
      </c>
      <c r="C171" s="125">
        <v>45466236.653829291</v>
      </c>
      <c r="D171" s="125">
        <v>45865691.647796184</v>
      </c>
      <c r="E171" s="125">
        <v>68720230.152006939</v>
      </c>
      <c r="F171" s="123">
        <v>160052158.45363241</v>
      </c>
      <c r="G171" s="125">
        <v>-1695000</v>
      </c>
      <c r="H171" s="125">
        <v>1737.8685199323133</v>
      </c>
      <c r="I171" s="125">
        <v>1163.1780198673935</v>
      </c>
      <c r="J171" s="125">
        <v>501.55024465082334</v>
      </c>
      <c r="K171" s="125">
        <v>1288.8607461094714</v>
      </c>
      <c r="L171" s="122">
        <v>2953.5890106276884</v>
      </c>
      <c r="M171" s="125">
        <v>0</v>
      </c>
      <c r="N171" s="115">
        <v>13937.5</v>
      </c>
      <c r="P171" s="125">
        <v>-214807.5</v>
      </c>
      <c r="Q171" s="125">
        <v>0</v>
      </c>
      <c r="S171" s="125">
        <v>-1.4180006199999999</v>
      </c>
      <c r="T171" s="125">
        <v>0</v>
      </c>
      <c r="V171" s="125"/>
      <c r="W171" s="125"/>
    </row>
    <row r="172" spans="1:23">
      <c r="A172" s="121">
        <v>43224</v>
      </c>
      <c r="B172" s="125">
        <v>150820569.43587962</v>
      </c>
      <c r="C172" s="125">
        <v>45679306.645712964</v>
      </c>
      <c r="D172" s="125">
        <v>45754369.312664986</v>
      </c>
      <c r="E172" s="125">
        <v>68847875.472684219</v>
      </c>
      <c r="F172" s="123">
        <v>160281551.43106216</v>
      </c>
      <c r="G172" s="125">
        <v>-750000</v>
      </c>
      <c r="H172" s="125">
        <v>1761.9295145099106</v>
      </c>
      <c r="I172" s="125">
        <v>1222.6631161327416</v>
      </c>
      <c r="J172" s="125">
        <v>504.67352306080721</v>
      </c>
      <c r="K172" s="125">
        <v>1289.0671492606566</v>
      </c>
      <c r="L172" s="122">
        <v>3016.4037884542054</v>
      </c>
      <c r="M172" s="125">
        <v>0</v>
      </c>
      <c r="N172" s="115">
        <v>13940</v>
      </c>
      <c r="P172" s="125">
        <v>-214807.5</v>
      </c>
      <c r="Q172" s="125">
        <v>0</v>
      </c>
      <c r="S172" s="125">
        <v>-1.4180006199999999</v>
      </c>
      <c r="T172" s="125">
        <v>0</v>
      </c>
      <c r="V172" s="125"/>
      <c r="W172" s="125"/>
    </row>
    <row r="173" spans="1:23">
      <c r="A173" s="121">
        <v>43227</v>
      </c>
      <c r="B173" s="125">
        <v>150278950.37830538</v>
      </c>
      <c r="C173" s="125">
        <v>43118639.494906604</v>
      </c>
      <c r="D173" s="125">
        <v>45566055.65530619</v>
      </c>
      <c r="E173" s="125">
        <v>68220522.410016373</v>
      </c>
      <c r="F173" s="123">
        <v>156905217.56022918</v>
      </c>
      <c r="G173" s="125">
        <v>-1005000</v>
      </c>
      <c r="H173" s="125">
        <v>1764.4381505428785</v>
      </c>
      <c r="I173" s="125">
        <v>1211.192685534952</v>
      </c>
      <c r="J173" s="125">
        <v>505.83761573935061</v>
      </c>
      <c r="K173" s="125">
        <v>1293.2689830271634</v>
      </c>
      <c r="L173" s="122">
        <v>3010.2992843014663</v>
      </c>
      <c r="M173" s="125">
        <v>0</v>
      </c>
      <c r="N173" s="115">
        <v>13999</v>
      </c>
      <c r="P173" s="125">
        <v>-214807.5</v>
      </c>
      <c r="Q173" s="125">
        <v>0</v>
      </c>
      <c r="S173" s="125">
        <v>-1.4180006199999999</v>
      </c>
      <c r="T173" s="125">
        <v>0</v>
      </c>
      <c r="V173" s="125"/>
      <c r="W173" s="125"/>
    </row>
    <row r="174" spans="1:23">
      <c r="A174" s="121">
        <v>43228</v>
      </c>
      <c r="B174" s="125">
        <v>150453864.47857589</v>
      </c>
      <c r="C174" s="125">
        <v>43147744.745709687</v>
      </c>
      <c r="D174" s="125">
        <v>45356056.009434372</v>
      </c>
      <c r="E174" s="125">
        <v>68175693.599447459</v>
      </c>
      <c r="F174" s="123">
        <v>156679494.35459152</v>
      </c>
      <c r="G174" s="125">
        <v>-2910000</v>
      </c>
      <c r="H174" s="125">
        <v>1763.9687425505952</v>
      </c>
      <c r="I174" s="125">
        <v>1212.52238233251</v>
      </c>
      <c r="J174" s="125">
        <v>503.32001829271593</v>
      </c>
      <c r="K174" s="125">
        <v>1292.5036242219142</v>
      </c>
      <c r="L174" s="122">
        <v>3008.3460248471401</v>
      </c>
      <c r="M174" s="125">
        <v>0</v>
      </c>
      <c r="N174" s="115">
        <v>14050</v>
      </c>
      <c r="P174" s="125">
        <v>-214807.5</v>
      </c>
      <c r="Q174" s="125">
        <v>0</v>
      </c>
      <c r="S174" s="125">
        <v>-1.4180006199999999</v>
      </c>
      <c r="T174" s="125">
        <v>0</v>
      </c>
      <c r="V174" s="125"/>
      <c r="W174" s="125"/>
    </row>
    <row r="175" spans="1:23">
      <c r="A175" s="121">
        <v>43229</v>
      </c>
      <c r="B175" s="125">
        <v>150868931.64124981</v>
      </c>
      <c r="C175" s="125">
        <v>42439808.929446869</v>
      </c>
      <c r="D175" s="125">
        <v>45492148.903695382</v>
      </c>
      <c r="E175" s="125">
        <v>68187564.615957662</v>
      </c>
      <c r="F175" s="123">
        <v>156119522.4490999</v>
      </c>
      <c r="G175" s="125">
        <v>-3450000</v>
      </c>
      <c r="H175" s="125">
        <v>1761.8537617118977</v>
      </c>
      <c r="I175" s="125">
        <v>1234.1551773064457</v>
      </c>
      <c r="J175" s="125">
        <v>503.14101698139183</v>
      </c>
      <c r="K175" s="125">
        <v>1302.2793167485743</v>
      </c>
      <c r="L175" s="122">
        <v>3039.5755110364116</v>
      </c>
      <c r="M175" s="125">
        <v>0</v>
      </c>
      <c r="N175" s="115">
        <v>14080</v>
      </c>
      <c r="P175" s="125">
        <v>-214807.5</v>
      </c>
      <c r="Q175" s="125">
        <v>0</v>
      </c>
      <c r="S175" s="125">
        <v>-1.4180006199999999</v>
      </c>
      <c r="T175" s="125">
        <v>0</v>
      </c>
      <c r="V175" s="125"/>
      <c r="W175" s="125"/>
    </row>
    <row r="176" spans="1:23">
      <c r="A176" s="121">
        <v>43231</v>
      </c>
      <c r="B176" s="125">
        <v>151521015.76206824</v>
      </c>
      <c r="C176" s="125">
        <v>39840546.758134611</v>
      </c>
      <c r="D176" s="125">
        <v>45427870.324370354</v>
      </c>
      <c r="E176" s="125">
        <v>68174235.654647231</v>
      </c>
      <c r="F176" s="123">
        <v>153442652.73715219</v>
      </c>
      <c r="G176" s="125">
        <v>-5555000</v>
      </c>
      <c r="H176" s="125">
        <v>1723.0373464736019</v>
      </c>
      <c r="I176" s="125">
        <v>1193.7259546744476</v>
      </c>
      <c r="J176" s="125">
        <v>499.29736255057071</v>
      </c>
      <c r="K176" s="125">
        <v>1286.0258202678319</v>
      </c>
      <c r="L176" s="122">
        <v>2979.0491374928502</v>
      </c>
      <c r="M176" s="125">
        <v>0</v>
      </c>
      <c r="N176" s="115">
        <v>13952.5</v>
      </c>
      <c r="P176" s="125">
        <v>-1210884.102</v>
      </c>
      <c r="Q176" s="125">
        <v>0</v>
      </c>
      <c r="S176" s="125">
        <v>-1.4180006199999999</v>
      </c>
      <c r="T176" s="125">
        <v>0</v>
      </c>
      <c r="V176" s="125"/>
      <c r="W176" s="125"/>
    </row>
    <row r="177" spans="1:23">
      <c r="A177" s="121">
        <v>43234</v>
      </c>
      <c r="B177" s="125">
        <v>151798900.84400687</v>
      </c>
      <c r="C177" s="125">
        <v>42445763.775119029</v>
      </c>
      <c r="D177" s="125">
        <v>45382103.363678627</v>
      </c>
      <c r="E177" s="125">
        <v>67182991.208343819</v>
      </c>
      <c r="F177" s="123">
        <v>155010858.34714147</v>
      </c>
      <c r="G177" s="125">
        <v>-3765000</v>
      </c>
      <c r="H177" s="125">
        <v>1741.9073313048627</v>
      </c>
      <c r="I177" s="125">
        <v>1247.7732543848274</v>
      </c>
      <c r="J177" s="125">
        <v>507.88997021885342</v>
      </c>
      <c r="K177" s="125">
        <v>1265.1063043133406</v>
      </c>
      <c r="L177" s="122">
        <v>3020.7695289170215</v>
      </c>
      <c r="M177" s="125">
        <v>0</v>
      </c>
      <c r="N177" s="115">
        <v>13970</v>
      </c>
      <c r="P177" s="125">
        <v>-1210884.102</v>
      </c>
      <c r="Q177" s="125">
        <v>0</v>
      </c>
      <c r="S177" s="125">
        <v>-1.4180006199999999</v>
      </c>
      <c r="T177" s="125">
        <v>0</v>
      </c>
      <c r="V177" s="125"/>
      <c r="W177" s="125"/>
    </row>
    <row r="178" spans="1:23">
      <c r="A178" s="121">
        <v>43235</v>
      </c>
      <c r="B178" s="125">
        <v>151659000.38389882</v>
      </c>
      <c r="C178" s="125">
        <v>40471568.098922797</v>
      </c>
      <c r="D178" s="125">
        <v>45670478.908703938</v>
      </c>
      <c r="E178" s="125">
        <v>66405590.877260566</v>
      </c>
      <c r="F178" s="123">
        <v>152547637.88488731</v>
      </c>
      <c r="G178" s="125">
        <v>-5370000</v>
      </c>
      <c r="H178" s="125">
        <v>1757.1878307829479</v>
      </c>
      <c r="I178" s="125">
        <v>1229.0917224505472</v>
      </c>
      <c r="J178" s="125">
        <v>510.07591624309896</v>
      </c>
      <c r="K178" s="125">
        <v>1273.3559902053537</v>
      </c>
      <c r="L178" s="122">
        <v>3012.523628899</v>
      </c>
      <c r="M178" s="125">
        <v>0</v>
      </c>
      <c r="N178" s="115">
        <v>14037</v>
      </c>
      <c r="P178" s="125">
        <v>-214807.5</v>
      </c>
      <c r="Q178" s="125">
        <v>0</v>
      </c>
      <c r="S178" s="125">
        <v>-1.4180006199999999</v>
      </c>
      <c r="T178" s="125">
        <v>0</v>
      </c>
      <c r="V178" s="125"/>
      <c r="W178" s="125"/>
    </row>
    <row r="179" spans="1:23">
      <c r="A179" s="121">
        <v>43236</v>
      </c>
      <c r="B179" s="125">
        <v>151032511.29865658</v>
      </c>
      <c r="C179" s="125">
        <v>41390733.88064865</v>
      </c>
      <c r="D179" s="125">
        <v>45616263.496512324</v>
      </c>
      <c r="E179" s="125">
        <v>66669416.162911944</v>
      </c>
      <c r="F179" s="123">
        <v>153676413.54007292</v>
      </c>
      <c r="G179" s="125">
        <v>-4819881.9444439998</v>
      </c>
      <c r="H179" s="125">
        <v>1753.2912266367396</v>
      </c>
      <c r="I179" s="125">
        <v>1216.8559238003834</v>
      </c>
      <c r="J179" s="125">
        <v>512.01483637153376</v>
      </c>
      <c r="K179" s="125">
        <v>1271.7040143364568</v>
      </c>
      <c r="L179" s="122">
        <v>3000.5747745083736</v>
      </c>
      <c r="M179" s="125">
        <v>0</v>
      </c>
      <c r="N179" s="115">
        <v>14093</v>
      </c>
      <c r="P179" s="125">
        <v>-427804.74</v>
      </c>
      <c r="Q179" s="125">
        <v>0</v>
      </c>
      <c r="S179" s="125">
        <v>-1.4180006199999999</v>
      </c>
      <c r="T179" s="125">
        <v>0</v>
      </c>
      <c r="V179" s="125"/>
      <c r="W179" s="125"/>
    </row>
    <row r="180" spans="1:23">
      <c r="A180" s="121">
        <v>43237</v>
      </c>
      <c r="B180" s="125">
        <v>150949804.08386469</v>
      </c>
      <c r="C180" s="125">
        <v>44035166.121967256</v>
      </c>
      <c r="D180" s="125">
        <v>45704971.190339372</v>
      </c>
      <c r="E180" s="125">
        <v>66764529.056417108</v>
      </c>
      <c r="F180" s="123">
        <v>156504666.36872375</v>
      </c>
      <c r="G180" s="125">
        <v>-3965000</v>
      </c>
      <c r="H180" s="125">
        <v>1748.1216232066818</v>
      </c>
      <c r="I180" s="125">
        <v>981.21786036240997</v>
      </c>
      <c r="J180" s="125">
        <v>511.9696363814291</v>
      </c>
      <c r="K180" s="125">
        <v>1266.0923909593953</v>
      </c>
      <c r="L180" s="122">
        <v>2759.2798877032346</v>
      </c>
      <c r="M180" s="125">
        <v>-82</v>
      </c>
      <c r="N180" s="115">
        <v>14052</v>
      </c>
      <c r="P180" s="125">
        <v>-427804.74</v>
      </c>
      <c r="Q180" s="125">
        <v>0</v>
      </c>
      <c r="S180" s="125">
        <v>-1.4180006199999999</v>
      </c>
      <c r="T180" s="125">
        <v>0</v>
      </c>
      <c r="V180" s="125"/>
      <c r="W180" s="125"/>
    </row>
    <row r="181" spans="1:23">
      <c r="A181" s="121">
        <v>43238</v>
      </c>
      <c r="B181" s="125">
        <v>151686904.33729252</v>
      </c>
      <c r="C181" s="125">
        <v>42640724.61280027</v>
      </c>
      <c r="D181" s="125">
        <v>45580889.128491089</v>
      </c>
      <c r="E181" s="125">
        <v>66620356.925745718</v>
      </c>
      <c r="F181" s="123">
        <v>154841970.66703707</v>
      </c>
      <c r="G181" s="125">
        <v>-3745000</v>
      </c>
      <c r="H181" s="125">
        <v>1762.1221163818361</v>
      </c>
      <c r="I181" s="125">
        <v>992.28134656153804</v>
      </c>
      <c r="J181" s="125">
        <v>507.41219219768487</v>
      </c>
      <c r="K181" s="125">
        <v>1259.9058327336979</v>
      </c>
      <c r="L181" s="122">
        <v>2759.5993714929209</v>
      </c>
      <c r="M181" s="125">
        <v>-108.5</v>
      </c>
      <c r="N181" s="115">
        <v>14152.5</v>
      </c>
      <c r="P181" s="125">
        <v>-427804.74</v>
      </c>
      <c r="Q181" s="125">
        <v>0</v>
      </c>
      <c r="S181" s="125">
        <v>-1.4180006199999999</v>
      </c>
      <c r="T181" s="125">
        <v>0</v>
      </c>
      <c r="V181" s="125"/>
      <c r="W181" s="125"/>
    </row>
    <row r="182" spans="1:23">
      <c r="A182" s="121">
        <v>43241</v>
      </c>
      <c r="B182" s="125">
        <v>151452389.68294623</v>
      </c>
      <c r="C182" s="125">
        <v>44722531.56766127</v>
      </c>
      <c r="D182" s="125">
        <v>45486812.06653145</v>
      </c>
      <c r="E182" s="125">
        <v>66488710.27562461</v>
      </c>
      <c r="F182" s="123">
        <v>156698053.90981734</v>
      </c>
      <c r="G182" s="125">
        <v>-3195000</v>
      </c>
      <c r="H182" s="125">
        <v>1791.8160153846879</v>
      </c>
      <c r="I182" s="125">
        <v>986.92165687871034</v>
      </c>
      <c r="J182" s="125">
        <v>505.41081981950435</v>
      </c>
      <c r="K182" s="125">
        <v>1263.4161139266866</v>
      </c>
      <c r="L182" s="122">
        <v>2755.7485906249012</v>
      </c>
      <c r="M182" s="125">
        <v>-61</v>
      </c>
      <c r="N182" s="115">
        <v>14185</v>
      </c>
      <c r="P182" s="125">
        <v>-479964.54960000003</v>
      </c>
      <c r="Q182" s="125">
        <v>0</v>
      </c>
      <c r="S182" s="125">
        <v>-1.4180006199999999</v>
      </c>
      <c r="T182" s="125">
        <v>0</v>
      </c>
      <c r="V182" s="125"/>
      <c r="W182" s="125"/>
    </row>
    <row r="183" spans="1:23">
      <c r="A183" s="121">
        <v>43242</v>
      </c>
      <c r="B183" s="125">
        <v>151266731.70942786</v>
      </c>
      <c r="C183" s="125">
        <v>43842748.679038808</v>
      </c>
      <c r="D183" s="125">
        <v>45574511.997363523</v>
      </c>
      <c r="E183" s="125">
        <v>66781235.070372552</v>
      </c>
      <c r="F183" s="123">
        <v>156198495.74677488</v>
      </c>
      <c r="G183" s="125">
        <v>-2195000</v>
      </c>
      <c r="H183" s="125">
        <v>1799.7547503317467</v>
      </c>
      <c r="I183" s="125">
        <v>943.98122676238677</v>
      </c>
      <c r="J183" s="125">
        <v>503.88851432776698</v>
      </c>
      <c r="K183" s="125">
        <v>1275.464872465403</v>
      </c>
      <c r="L183" s="122">
        <v>2723.3346135555566</v>
      </c>
      <c r="M183" s="125">
        <v>-56</v>
      </c>
      <c r="N183" s="115">
        <v>14138</v>
      </c>
      <c r="P183" s="125">
        <v>-479964.54960000003</v>
      </c>
      <c r="Q183" s="125">
        <v>0</v>
      </c>
      <c r="S183" s="125">
        <v>-1.4180006199999999</v>
      </c>
      <c r="T183" s="125">
        <v>0</v>
      </c>
      <c r="V183" s="125"/>
      <c r="W183" s="125"/>
    </row>
    <row r="184" spans="1:23">
      <c r="A184" s="121">
        <v>43243</v>
      </c>
      <c r="B184" s="125">
        <v>151243578.08984917</v>
      </c>
      <c r="C184" s="125">
        <v>44666387.127989449</v>
      </c>
      <c r="D184" s="125">
        <v>45606740.822061896</v>
      </c>
      <c r="E184" s="125">
        <v>66753519.056952745</v>
      </c>
      <c r="F184" s="123">
        <v>157026647.00700408</v>
      </c>
      <c r="G184" s="125">
        <v>-2175000</v>
      </c>
      <c r="H184" s="125">
        <v>1771.9877266714593</v>
      </c>
      <c r="I184" s="125">
        <v>923.01937080834716</v>
      </c>
      <c r="J184" s="125">
        <v>504.06496845685012</v>
      </c>
      <c r="K184" s="125">
        <v>1305.0444010370902</v>
      </c>
      <c r="L184" s="122">
        <v>2732.1287403022875</v>
      </c>
      <c r="M184" s="125">
        <v>-56</v>
      </c>
      <c r="N184" s="115">
        <v>14207</v>
      </c>
      <c r="P184" s="125">
        <v>-479964.54960000003</v>
      </c>
      <c r="Q184" s="125">
        <v>0</v>
      </c>
      <c r="S184" s="125">
        <v>-1.4180006199999999</v>
      </c>
      <c r="T184" s="125">
        <v>0</v>
      </c>
      <c r="V184" s="125"/>
      <c r="W184" s="125"/>
    </row>
    <row r="185" spans="1:23">
      <c r="A185" s="121">
        <v>43244</v>
      </c>
      <c r="B185" s="125">
        <v>152293821.64146289</v>
      </c>
      <c r="C185" s="125">
        <v>46261225.942604825</v>
      </c>
      <c r="D185" s="125">
        <v>45608878.73523058</v>
      </c>
      <c r="E185" s="125">
        <v>66803631.488592111</v>
      </c>
      <c r="F185" s="123">
        <v>158673736.16642752</v>
      </c>
      <c r="G185" s="125">
        <v>-2150000</v>
      </c>
      <c r="H185" s="125">
        <v>1774.6778433893332</v>
      </c>
      <c r="I185" s="125">
        <v>958.82413972559175</v>
      </c>
      <c r="J185" s="125">
        <v>504.40074381627966</v>
      </c>
      <c r="K185" s="125">
        <v>1251.6465546078018</v>
      </c>
      <c r="L185" s="122">
        <v>2714.8714381496729</v>
      </c>
      <c r="M185" s="125">
        <v>0</v>
      </c>
      <c r="N185" s="115">
        <v>14135</v>
      </c>
      <c r="P185" s="125">
        <v>-265157.04960000003</v>
      </c>
      <c r="Q185" s="125">
        <v>0</v>
      </c>
      <c r="S185" s="125">
        <v>1999790.27036518</v>
      </c>
      <c r="T185" s="125">
        <v>0</v>
      </c>
      <c r="V185" s="125"/>
      <c r="W185" s="125"/>
    </row>
    <row r="186" spans="1:23">
      <c r="A186" s="121">
        <v>43245</v>
      </c>
      <c r="B186" s="125">
        <v>151840429.51640284</v>
      </c>
      <c r="C186" s="125">
        <v>43271170.425811186</v>
      </c>
      <c r="D186" s="125">
        <v>46584422.899399437</v>
      </c>
      <c r="E186" s="125">
        <v>66865105.469107151</v>
      </c>
      <c r="F186" s="123">
        <v>156720698.79431778</v>
      </c>
      <c r="G186" s="125">
        <v>-1865000</v>
      </c>
      <c r="H186" s="125">
        <v>1781.208289185879</v>
      </c>
      <c r="I186" s="125">
        <v>959.65237065690496</v>
      </c>
      <c r="J186" s="125">
        <v>505.7063723993989</v>
      </c>
      <c r="K186" s="125">
        <v>1241.2728671208101</v>
      </c>
      <c r="L186" s="122">
        <v>2706.631610177114</v>
      </c>
      <c r="M186" s="125">
        <v>0</v>
      </c>
      <c r="N186" s="115">
        <v>14120</v>
      </c>
      <c r="P186" s="125">
        <v>-467805.54960000003</v>
      </c>
      <c r="Q186" s="125">
        <v>0</v>
      </c>
      <c r="S186" s="125">
        <v>-1.4180006199999999</v>
      </c>
      <c r="T186" s="125">
        <v>0</v>
      </c>
      <c r="V186" s="125"/>
      <c r="W186" s="125"/>
    </row>
    <row r="187" spans="1:23">
      <c r="A187" s="121">
        <v>43248</v>
      </c>
      <c r="B187" s="125">
        <v>151880560.14637411</v>
      </c>
      <c r="C187" s="125">
        <v>42065772.345495127</v>
      </c>
      <c r="D187" s="125">
        <v>46608546.060575858</v>
      </c>
      <c r="E187" s="125">
        <v>65938411.121579714</v>
      </c>
      <c r="F187" s="123">
        <v>154612729.52765068</v>
      </c>
      <c r="G187" s="125">
        <v>-1540000</v>
      </c>
      <c r="H187" s="125">
        <v>1780.1286734164466</v>
      </c>
      <c r="I187" s="125">
        <v>964.88217410975517</v>
      </c>
      <c r="J187" s="125">
        <v>505.84962922355635</v>
      </c>
      <c r="K187" s="125">
        <v>1240.2948570427543</v>
      </c>
      <c r="L187" s="122">
        <v>2711.0266603760656</v>
      </c>
      <c r="M187" s="125">
        <v>0</v>
      </c>
      <c r="N187" s="115">
        <v>13990</v>
      </c>
      <c r="P187" s="125">
        <v>-467805.54960000003</v>
      </c>
      <c r="Q187" s="125">
        <v>0</v>
      </c>
      <c r="S187" s="125">
        <v>-1.4180006199999999</v>
      </c>
      <c r="T187" s="125">
        <v>0</v>
      </c>
      <c r="V187" s="125"/>
      <c r="W187" s="125"/>
    </row>
    <row r="188" spans="1:23">
      <c r="A188" s="121">
        <v>43250</v>
      </c>
      <c r="B188" s="125">
        <v>152308681.57296818</v>
      </c>
      <c r="C188" s="125">
        <v>42924769.964972958</v>
      </c>
      <c r="D188" s="125">
        <v>46985755.121800385</v>
      </c>
      <c r="E188" s="125">
        <v>66148744.233965203</v>
      </c>
      <c r="F188" s="123">
        <v>156059269.32073855</v>
      </c>
      <c r="G188" s="125">
        <v>-1540000</v>
      </c>
      <c r="H188" s="125">
        <v>1839.0895919839827</v>
      </c>
      <c r="I188" s="125">
        <v>1021.2659712770178</v>
      </c>
      <c r="J188" s="125">
        <v>508.50625897895043</v>
      </c>
      <c r="K188" s="125">
        <v>1218.951306227523</v>
      </c>
      <c r="L188" s="122">
        <v>2748.7235364834914</v>
      </c>
      <c r="M188" s="125">
        <v>0</v>
      </c>
      <c r="N188" s="115">
        <v>13990</v>
      </c>
      <c r="P188" s="125">
        <v>-464919.5196</v>
      </c>
      <c r="Q188" s="125">
        <v>0</v>
      </c>
      <c r="S188" s="125">
        <v>-3038506.9852426206</v>
      </c>
      <c r="T188" s="125">
        <v>0</v>
      </c>
      <c r="V188" s="125"/>
      <c r="W188" s="125"/>
    </row>
    <row r="189" spans="1:23">
      <c r="A189" s="121">
        <v>43251</v>
      </c>
      <c r="B189" s="125">
        <v>152780269.5097287</v>
      </c>
      <c r="C189" s="125">
        <v>39486005.310711585</v>
      </c>
      <c r="D189" s="125">
        <v>47328262.094916545</v>
      </c>
      <c r="E189" s="125">
        <v>66629174.45380237</v>
      </c>
      <c r="F189" s="123">
        <v>153443441.85943049</v>
      </c>
      <c r="G189" s="125">
        <v>-1540000</v>
      </c>
      <c r="H189" s="125">
        <v>1828.5241590147239</v>
      </c>
      <c r="I189" s="125">
        <v>1021.0455893341809</v>
      </c>
      <c r="J189" s="125">
        <v>508.11189605122405</v>
      </c>
      <c r="K189" s="125">
        <v>1176.21413903182</v>
      </c>
      <c r="L189" s="122">
        <v>2705.3716244172247</v>
      </c>
      <c r="M189" s="125">
        <v>0</v>
      </c>
      <c r="N189" s="115">
        <v>13894</v>
      </c>
      <c r="P189" s="125">
        <v>-464919.5196</v>
      </c>
      <c r="Q189" s="125">
        <v>0</v>
      </c>
      <c r="S189" s="125">
        <v>-6987521.00390149</v>
      </c>
      <c r="T189" s="125">
        <v>0</v>
      </c>
      <c r="V189" s="125"/>
      <c r="W189" s="125"/>
    </row>
    <row r="190" spans="1:23">
      <c r="A190" s="121">
        <v>43255</v>
      </c>
      <c r="B190" s="125">
        <v>152083114.78397596</v>
      </c>
      <c r="C190" s="125">
        <v>41740920.648026951</v>
      </c>
      <c r="D190" s="125">
        <v>46758718.200053409</v>
      </c>
      <c r="E190" s="125">
        <v>66476773.308957927</v>
      </c>
      <c r="F190" s="123">
        <v>154976412.1570383</v>
      </c>
      <c r="G190" s="125">
        <v>-1090000</v>
      </c>
      <c r="H190" s="125">
        <v>1806.870870360973</v>
      </c>
      <c r="I190" s="125">
        <v>1007.5573791245474</v>
      </c>
      <c r="J190" s="125">
        <v>507.64395649710701</v>
      </c>
      <c r="K190" s="125">
        <v>1182.2824106866187</v>
      </c>
      <c r="L190" s="122">
        <v>2697.4837463082731</v>
      </c>
      <c r="M190" s="125">
        <v>0</v>
      </c>
      <c r="N190" s="115">
        <v>13872</v>
      </c>
      <c r="P190" s="125">
        <v>-412759.71</v>
      </c>
      <c r="Q190" s="125">
        <v>0</v>
      </c>
      <c r="S190" s="125">
        <v>-9107950.1415067594</v>
      </c>
      <c r="T190" s="125">
        <v>0</v>
      </c>
      <c r="V190" s="125"/>
      <c r="W190" s="125"/>
    </row>
    <row r="191" spans="1:23">
      <c r="A191" s="121">
        <v>43256</v>
      </c>
      <c r="B191" s="125">
        <v>151785734.25484556</v>
      </c>
      <c r="C191" s="125">
        <v>43830331.956354439</v>
      </c>
      <c r="D191" s="125">
        <v>46678214.433224037</v>
      </c>
      <c r="E191" s="125">
        <v>66634643.854424931</v>
      </c>
      <c r="F191" s="123">
        <v>157143190.24400342</v>
      </c>
      <c r="G191" s="125">
        <v>-1090000</v>
      </c>
      <c r="H191" s="125">
        <v>1823.5987527736206</v>
      </c>
      <c r="I191" s="125">
        <v>999.90188440471059</v>
      </c>
      <c r="J191" s="125">
        <v>509.49959114407915</v>
      </c>
      <c r="K191" s="125">
        <v>1179.9058842790248</v>
      </c>
      <c r="L191" s="122">
        <v>2689.3073598278143</v>
      </c>
      <c r="M191" s="125">
        <v>-75</v>
      </c>
      <c r="N191" s="115">
        <v>13879</v>
      </c>
      <c r="P191" s="125">
        <v>-412759.71</v>
      </c>
      <c r="Q191" s="125">
        <v>0</v>
      </c>
      <c r="S191" s="125">
        <v>-9109483.8373177294</v>
      </c>
      <c r="T191" s="125">
        <v>0</v>
      </c>
      <c r="V191" s="125"/>
      <c r="W191" s="125"/>
    </row>
    <row r="192" spans="1:23">
      <c r="A192" s="121">
        <v>43257</v>
      </c>
      <c r="B192" s="125">
        <v>152947500.85652435</v>
      </c>
      <c r="C192" s="125">
        <v>43576687.049136251</v>
      </c>
      <c r="D192" s="125">
        <v>46618600.010647617</v>
      </c>
      <c r="E192" s="125">
        <v>66251087.50165382</v>
      </c>
      <c r="F192" s="123">
        <v>156446374.5614377</v>
      </c>
      <c r="G192" s="125">
        <v>-1090000</v>
      </c>
      <c r="H192" s="125">
        <v>1824.0575158903359</v>
      </c>
      <c r="I192" s="125">
        <v>1001.9066743887555</v>
      </c>
      <c r="J192" s="125">
        <v>510.11500770577464</v>
      </c>
      <c r="K192" s="125">
        <v>1179.6561972289048</v>
      </c>
      <c r="L192" s="122">
        <v>2691.6778793234353</v>
      </c>
      <c r="M192" s="125">
        <v>0</v>
      </c>
      <c r="N192" s="115">
        <v>13852.5</v>
      </c>
      <c r="P192" s="125">
        <v>-412759.71</v>
      </c>
      <c r="Q192" s="125">
        <v>0</v>
      </c>
      <c r="S192" s="125">
        <v>-9111017.5331287198</v>
      </c>
      <c r="T192" s="125">
        <v>0</v>
      </c>
      <c r="V192" s="125"/>
      <c r="W192" s="125"/>
    </row>
    <row r="193" spans="1:23">
      <c r="A193" s="121">
        <v>43258</v>
      </c>
      <c r="B193" s="125">
        <v>158638502.53694147</v>
      </c>
      <c r="C193" s="125">
        <v>41674072.514966466</v>
      </c>
      <c r="D193" s="125">
        <v>46961619.016928032</v>
      </c>
      <c r="E193" s="125">
        <v>66186769.796590753</v>
      </c>
      <c r="F193" s="123">
        <v>154822461.32848525</v>
      </c>
      <c r="G193" s="125">
        <v>-1090000</v>
      </c>
      <c r="H193" s="125">
        <v>1863.3818125545818</v>
      </c>
      <c r="I193" s="125">
        <v>999.98975191662021</v>
      </c>
      <c r="J193" s="125">
        <v>508.2962502442129</v>
      </c>
      <c r="K193" s="125">
        <v>1149.6830341105456</v>
      </c>
      <c r="L193" s="122">
        <v>2657.9690362713786</v>
      </c>
      <c r="M193" s="125">
        <v>-20</v>
      </c>
      <c r="N193" s="115">
        <v>13870</v>
      </c>
      <c r="P193" s="125">
        <v>-412759.71</v>
      </c>
      <c r="Q193" s="125">
        <v>0</v>
      </c>
      <c r="S193" s="125">
        <v>-9112551.2289397102</v>
      </c>
      <c r="T193" s="125">
        <v>0</v>
      </c>
      <c r="V193" s="125"/>
      <c r="W193" s="125"/>
    </row>
    <row r="194" spans="1:23">
      <c r="A194" s="121">
        <v>43259</v>
      </c>
      <c r="B194" s="125">
        <v>157706404.85217738</v>
      </c>
      <c r="C194" s="125">
        <v>35913946.837112665</v>
      </c>
      <c r="D194" s="125">
        <v>47209795.673735239</v>
      </c>
      <c r="E194" s="125">
        <v>67134753.74377422</v>
      </c>
      <c r="F194" s="123">
        <v>150258496.2546221</v>
      </c>
      <c r="G194" s="125">
        <v>-1160000</v>
      </c>
      <c r="H194" s="125">
        <v>1892.568736809724</v>
      </c>
      <c r="I194" s="125">
        <v>957.89982173379485</v>
      </c>
      <c r="J194" s="125">
        <v>508.79826211225429</v>
      </c>
      <c r="K194" s="125">
        <v>1188.9016646853509</v>
      </c>
      <c r="L194" s="122">
        <v>2655.5997485314001</v>
      </c>
      <c r="M194" s="125">
        <v>-10</v>
      </c>
      <c r="N194" s="115">
        <v>13930</v>
      </c>
      <c r="P194" s="125">
        <v>-412759.71</v>
      </c>
      <c r="Q194" s="125">
        <v>0</v>
      </c>
      <c r="S194" s="125">
        <v>-9114084.9247506801</v>
      </c>
      <c r="T194" s="125">
        <v>0</v>
      </c>
      <c r="V194" s="125"/>
      <c r="W194" s="125"/>
    </row>
    <row r="195" spans="1:23">
      <c r="A195" s="121">
        <v>43260</v>
      </c>
      <c r="N195" s="115">
        <v>13930</v>
      </c>
    </row>
    <row r="196" spans="1:23">
      <c r="A196" s="121">
        <v>43261</v>
      </c>
      <c r="N196" s="115">
        <v>13930</v>
      </c>
    </row>
    <row r="197" spans="1:23">
      <c r="A197" s="121">
        <v>43262</v>
      </c>
      <c r="N197" s="115">
        <v>13930</v>
      </c>
    </row>
    <row r="198" spans="1:23">
      <c r="A198" s="121">
        <v>43263</v>
      </c>
      <c r="N198" s="115">
        <v>13930</v>
      </c>
    </row>
    <row r="199" spans="1:23">
      <c r="A199" s="121">
        <v>43264</v>
      </c>
      <c r="N199" s="115">
        <v>13930</v>
      </c>
    </row>
    <row r="200" spans="1:23">
      <c r="A200" s="121">
        <v>43265</v>
      </c>
      <c r="N200" s="115">
        <v>13930</v>
      </c>
    </row>
    <row r="201" spans="1:23">
      <c r="A201" s="121">
        <v>43266</v>
      </c>
      <c r="N201" s="115">
        <v>13930</v>
      </c>
    </row>
    <row r="202" spans="1:23">
      <c r="A202" s="121">
        <v>43267</v>
      </c>
      <c r="N202" s="115">
        <v>13930</v>
      </c>
    </row>
    <row r="203" spans="1:23">
      <c r="A203" s="121">
        <v>43268</v>
      </c>
      <c r="N203" s="115">
        <v>13930</v>
      </c>
    </row>
    <row r="204" spans="1:23">
      <c r="A204" s="121">
        <v>43269</v>
      </c>
      <c r="N204" s="115">
        <v>13930</v>
      </c>
    </row>
    <row r="205" spans="1:23">
      <c r="A205" s="121">
        <v>43270</v>
      </c>
      <c r="N205" s="115">
        <v>13930</v>
      </c>
    </row>
    <row r="206" spans="1:23">
      <c r="A206" s="121">
        <v>43271</v>
      </c>
      <c r="N206" s="115">
        <v>13930</v>
      </c>
    </row>
    <row r="207" spans="1:23">
      <c r="A207" s="121">
        <v>43272</v>
      </c>
      <c r="B207" s="125">
        <v>156192801.29671744</v>
      </c>
      <c r="C207" s="125">
        <v>42622536.490791127</v>
      </c>
      <c r="D207" s="125">
        <v>46584782.681872383</v>
      </c>
      <c r="E207" s="125">
        <v>65660459.053746559</v>
      </c>
      <c r="F207" s="123">
        <v>154867778.22641006</v>
      </c>
      <c r="G207" s="125">
        <v>-1140000</v>
      </c>
      <c r="H207" s="125">
        <v>1878.7292821714918</v>
      </c>
      <c r="I207" s="125">
        <v>1129.1368137882012</v>
      </c>
      <c r="J207" s="125">
        <v>515.09895146395399</v>
      </c>
      <c r="K207" s="125">
        <v>1142.0600581666472</v>
      </c>
      <c r="L207" s="122">
        <v>2786.2958234188022</v>
      </c>
      <c r="M207" s="125">
        <v>-10</v>
      </c>
      <c r="N207" s="115">
        <v>14103</v>
      </c>
      <c r="P207" s="125">
        <v>-412759.71</v>
      </c>
      <c r="Q207" s="125">
        <v>0</v>
      </c>
      <c r="S207" s="125">
        <v>-9134022.9702934287</v>
      </c>
      <c r="T207" s="125">
        <v>0</v>
      </c>
      <c r="V207" s="125"/>
      <c r="W207" s="125"/>
    </row>
    <row r="208" spans="1:23">
      <c r="A208" s="121">
        <v>43273</v>
      </c>
      <c r="B208" s="125">
        <v>156568545.35177085</v>
      </c>
      <c r="C208" s="125">
        <v>41370826.074553713</v>
      </c>
      <c r="D208" s="125">
        <v>46561620.280000962</v>
      </c>
      <c r="E208" s="125">
        <v>65687615.894452974</v>
      </c>
      <c r="F208" s="123">
        <v>153620062.24900764</v>
      </c>
      <c r="G208" s="125">
        <v>0</v>
      </c>
      <c r="H208" s="125">
        <v>1833.1053029520269</v>
      </c>
      <c r="I208" s="125">
        <v>1029.03749861132</v>
      </c>
      <c r="J208" s="125">
        <v>515.16148814096562</v>
      </c>
      <c r="K208" s="125">
        <v>1180.5204108687171</v>
      </c>
      <c r="L208" s="122">
        <v>2724.7193976210028</v>
      </c>
      <c r="M208" s="125">
        <v>-10</v>
      </c>
      <c r="N208" s="115">
        <v>14080</v>
      </c>
      <c r="P208" s="125">
        <v>-412759.71</v>
      </c>
      <c r="Q208" s="125">
        <v>0</v>
      </c>
      <c r="S208" s="125">
        <v>-9135556.6661043987</v>
      </c>
      <c r="T208" s="125">
        <v>0</v>
      </c>
      <c r="V208" s="125"/>
      <c r="W208" s="125"/>
    </row>
    <row r="209" spans="1:23">
      <c r="A209" s="121">
        <v>43276</v>
      </c>
      <c r="B209" s="125">
        <v>155486863.95990396</v>
      </c>
      <c r="C209" s="125">
        <v>43560433.671485424</v>
      </c>
      <c r="D209" s="125">
        <v>46676541.592621826</v>
      </c>
      <c r="E209" s="125">
        <v>65880816.408872694</v>
      </c>
      <c r="F209" s="123">
        <v>156117791.67297995</v>
      </c>
      <c r="G209" s="125">
        <v>0</v>
      </c>
      <c r="H209" s="125">
        <v>1805.0582688821223</v>
      </c>
      <c r="I209" s="125">
        <v>949.69083349166056</v>
      </c>
      <c r="J209" s="125">
        <v>514.68412299673457</v>
      </c>
      <c r="K209" s="125">
        <v>1142.6124201597161</v>
      </c>
      <c r="L209" s="122">
        <v>2606.9873766481114</v>
      </c>
      <c r="M209" s="125">
        <v>0</v>
      </c>
      <c r="N209" s="115">
        <v>14155</v>
      </c>
      <c r="P209" s="125">
        <v>-414546.21</v>
      </c>
      <c r="Q209" s="125">
        <v>0</v>
      </c>
      <c r="S209" s="125">
        <v>-10095286.658339851</v>
      </c>
      <c r="T209" s="125">
        <v>0</v>
      </c>
      <c r="V209" s="125"/>
      <c r="W209" s="125"/>
    </row>
    <row r="210" spans="1:23">
      <c r="A210" s="121">
        <v>43277</v>
      </c>
      <c r="B210" s="125">
        <v>155793546.15319878</v>
      </c>
      <c r="C210" s="125">
        <v>41919103.860443994</v>
      </c>
      <c r="D210" s="125">
        <v>46717717.205353223</v>
      </c>
      <c r="E210" s="125">
        <v>66030826.86081174</v>
      </c>
      <c r="F210" s="123">
        <v>154667647.92660895</v>
      </c>
      <c r="G210" s="125">
        <v>0</v>
      </c>
      <c r="H210" s="125">
        <v>1870.2203780364382</v>
      </c>
      <c r="I210" s="125">
        <v>913.46267060045091</v>
      </c>
      <c r="J210" s="125">
        <v>515.90571921377796</v>
      </c>
      <c r="K210" s="125">
        <v>1146.6534545349048</v>
      </c>
      <c r="L210" s="122">
        <v>2576.021844349134</v>
      </c>
      <c r="M210" s="125">
        <v>0</v>
      </c>
      <c r="N210" s="115">
        <v>14178</v>
      </c>
      <c r="P210" s="125">
        <v>-414546.21</v>
      </c>
      <c r="Q210" s="125">
        <v>0</v>
      </c>
      <c r="S210" s="125">
        <v>-10096971.558953339</v>
      </c>
      <c r="T210" s="125">
        <v>0</v>
      </c>
      <c r="V210" s="125"/>
      <c r="W210" s="125"/>
    </row>
    <row r="211" spans="1:23">
      <c r="A211" s="121">
        <f>WORKDAY(A210,1,)</f>
        <v>43278</v>
      </c>
      <c r="H211" s="128"/>
      <c r="N211" s="115">
        <v>14178</v>
      </c>
    </row>
    <row r="212" spans="1:23">
      <c r="A212" s="121">
        <v>43279</v>
      </c>
      <c r="B212" s="125">
        <v>156050547.71329904</v>
      </c>
      <c r="C212" s="125">
        <v>45186699.666582301</v>
      </c>
      <c r="D212" s="125">
        <v>47203989.566975988</v>
      </c>
      <c r="E212" s="125">
        <v>66711466.875776365</v>
      </c>
      <c r="F212" s="123">
        <v>159102156.10933465</v>
      </c>
      <c r="G212" s="125">
        <v>-1015000</v>
      </c>
      <c r="H212" s="125">
        <v>1877.5091985526783</v>
      </c>
      <c r="I212" s="125">
        <v>902.60091289417983</v>
      </c>
      <c r="J212" s="125">
        <v>513.94076585955668</v>
      </c>
      <c r="K212" s="125">
        <v>1077.072449012898</v>
      </c>
      <c r="L212" s="122">
        <v>2493.6141277666347</v>
      </c>
      <c r="M212" s="125">
        <v>-76</v>
      </c>
      <c r="N212" s="115">
        <v>14390</v>
      </c>
      <c r="P212" s="125">
        <v>-414546.21</v>
      </c>
      <c r="Q212" s="125">
        <v>0</v>
      </c>
      <c r="S212" s="125">
        <v>-7047396.817588049</v>
      </c>
      <c r="T212" s="125">
        <v>0</v>
      </c>
      <c r="V212" s="125"/>
      <c r="W212" s="125"/>
    </row>
    <row r="213" spans="1:23">
      <c r="A213" s="121">
        <v>43280</v>
      </c>
      <c r="B213" s="125">
        <v>157013950.53825477</v>
      </c>
      <c r="C213" s="125">
        <v>39169223.252113014</v>
      </c>
      <c r="D213" s="125">
        <v>47408851.369546607</v>
      </c>
      <c r="E213" s="125">
        <v>68002778.682157442</v>
      </c>
      <c r="F213" s="123">
        <v>154580853.30381706</v>
      </c>
      <c r="G213" s="125">
        <v>-2215000</v>
      </c>
      <c r="H213" s="125">
        <v>1859.7932054536218</v>
      </c>
      <c r="I213" s="125">
        <v>909.07157548423845</v>
      </c>
      <c r="J213" s="125">
        <v>513.16284069233859</v>
      </c>
      <c r="K213" s="125">
        <v>1092.250946974196</v>
      </c>
      <c r="L213" s="122">
        <v>2514.4853631507731</v>
      </c>
      <c r="M213" s="125">
        <v>0</v>
      </c>
      <c r="N213" s="115">
        <v>14330</v>
      </c>
      <c r="P213" s="125">
        <v>-204435</v>
      </c>
      <c r="Q213" s="125">
        <v>0</v>
      </c>
      <c r="S213" s="125">
        <v>-3080971.7509497697</v>
      </c>
      <c r="T213" s="125">
        <v>0</v>
      </c>
      <c r="V213" s="125"/>
      <c r="W213" s="125"/>
    </row>
    <row r="214" spans="1:23">
      <c r="A214" s="129">
        <v>43281</v>
      </c>
      <c r="B214" s="130">
        <v>157013950.53825477</v>
      </c>
      <c r="C214" s="130">
        <v>39169223.252113014</v>
      </c>
      <c r="D214" s="130">
        <v>47408851.369546607</v>
      </c>
      <c r="E214" s="130">
        <v>68002778.682157442</v>
      </c>
      <c r="F214" s="131">
        <v>154580853.30381706</v>
      </c>
      <c r="G214" s="130">
        <v>-2215000</v>
      </c>
      <c r="H214" s="130">
        <v>1859.7932054536218</v>
      </c>
      <c r="I214" s="130">
        <v>909.07157548423845</v>
      </c>
      <c r="J214" s="130">
        <v>513.16284069233859</v>
      </c>
      <c r="K214" s="130">
        <v>1092.250946974196</v>
      </c>
      <c r="L214" s="132">
        <v>2514.4853631507731</v>
      </c>
      <c r="M214" s="130">
        <v>0</v>
      </c>
      <c r="N214" s="115">
        <v>14330</v>
      </c>
      <c r="O214" s="133"/>
      <c r="P214" s="130">
        <v>-204435</v>
      </c>
      <c r="Q214" s="130">
        <v>0</v>
      </c>
      <c r="R214" s="134"/>
      <c r="S214" s="130">
        <v>-3080971.7509497697</v>
      </c>
      <c r="T214" s="130">
        <v>0</v>
      </c>
      <c r="U214" s="134"/>
      <c r="V214" s="130"/>
      <c r="W214" s="130"/>
    </row>
    <row r="215" spans="1:23">
      <c r="A215" s="121">
        <v>43283</v>
      </c>
      <c r="B215" s="125">
        <v>156686716.74594951</v>
      </c>
      <c r="C215" s="125">
        <v>44232248.612529993</v>
      </c>
      <c r="D215" s="125">
        <v>46935937.184586249</v>
      </c>
      <c r="E215" s="125">
        <v>68031846.811799616</v>
      </c>
      <c r="F215" s="123">
        <v>159200032.60891587</v>
      </c>
      <c r="G215" s="125">
        <v>-2455000</v>
      </c>
      <c r="H215" s="125">
        <v>1841.3852195443021</v>
      </c>
      <c r="I215" s="125">
        <v>919.74673165969295</v>
      </c>
      <c r="J215" s="125">
        <v>513.64044897118492</v>
      </c>
      <c r="K215" s="125">
        <v>1085.4337671282374</v>
      </c>
      <c r="L215" s="122">
        <v>2518.8209477591154</v>
      </c>
      <c r="M215" s="125">
        <v>0</v>
      </c>
      <c r="N215" s="115">
        <v>14380</v>
      </c>
      <c r="P215" s="125">
        <v>-204435</v>
      </c>
      <c r="Q215" s="125">
        <v>0</v>
      </c>
      <c r="S215" s="125">
        <v>-956188.7564208</v>
      </c>
      <c r="T215" s="125">
        <v>0</v>
      </c>
      <c r="V215" s="125"/>
      <c r="W215" s="125"/>
    </row>
    <row r="216" spans="1:23">
      <c r="A216" s="121">
        <v>43284</v>
      </c>
      <c r="B216" s="125">
        <v>156607360.89229268</v>
      </c>
      <c r="C216" s="125">
        <v>43036965.611024201</v>
      </c>
      <c r="D216" s="125">
        <v>46891267.241038896</v>
      </c>
      <c r="E216" s="125">
        <v>68194519.743220374</v>
      </c>
      <c r="F216" s="123">
        <v>158122752.59528345</v>
      </c>
      <c r="G216" s="125">
        <v>-2455000</v>
      </c>
      <c r="H216" s="125">
        <v>1801.0367855794645</v>
      </c>
      <c r="I216" s="125">
        <v>919.40863742603801</v>
      </c>
      <c r="J216" s="125">
        <v>510.63372768473846</v>
      </c>
      <c r="K216" s="125">
        <v>1081.9158022626973</v>
      </c>
      <c r="L216" s="122">
        <v>2511.9581673734738</v>
      </c>
      <c r="M216" s="125">
        <v>0</v>
      </c>
      <c r="N216" s="115">
        <v>14380</v>
      </c>
      <c r="P216" s="125">
        <v>-204435</v>
      </c>
      <c r="Q216" s="125">
        <v>0</v>
      </c>
      <c r="S216" s="125">
        <v>-956339.96122330008</v>
      </c>
      <c r="T216" s="125">
        <v>0</v>
      </c>
      <c r="V216" s="125"/>
      <c r="W216" s="125"/>
    </row>
    <row r="217" spans="1:23">
      <c r="A217" s="121">
        <v>43285</v>
      </c>
      <c r="B217" s="125">
        <v>156427552.40148926</v>
      </c>
      <c r="C217" s="125">
        <v>40512677.998027615</v>
      </c>
      <c r="D217" s="125">
        <v>46684805.716767766</v>
      </c>
      <c r="E217" s="125">
        <v>68057051.289327905</v>
      </c>
      <c r="F217" s="123">
        <v>155254535.00412327</v>
      </c>
      <c r="G217" s="125">
        <v>-3195000</v>
      </c>
      <c r="H217" s="125">
        <v>1804.3124314683703</v>
      </c>
      <c r="I217" s="125">
        <v>934.32482576145799</v>
      </c>
      <c r="J217" s="125">
        <v>505.97809249605876</v>
      </c>
      <c r="K217" s="125">
        <v>1079.6926406041146</v>
      </c>
      <c r="L217" s="122">
        <v>2519.9955588616313</v>
      </c>
      <c r="M217" s="125">
        <v>0</v>
      </c>
      <c r="N217" s="115">
        <v>14352</v>
      </c>
      <c r="P217" s="125">
        <v>-204435</v>
      </c>
      <c r="Q217" s="125">
        <v>0</v>
      </c>
      <c r="S217" s="125">
        <v>-956491.16602580005</v>
      </c>
      <c r="T217" s="125">
        <v>0</v>
      </c>
      <c r="V217" s="125"/>
      <c r="W217" s="125"/>
    </row>
    <row r="218" spans="1:23">
      <c r="A218" s="121">
        <v>43286</v>
      </c>
      <c r="B218" s="125">
        <v>155935491.73243183</v>
      </c>
      <c r="C218" s="125">
        <v>41744702.534833476</v>
      </c>
      <c r="D218" s="125">
        <v>46689310.230944701</v>
      </c>
      <c r="E218" s="125">
        <v>68331594.764098063</v>
      </c>
      <c r="F218" s="123">
        <v>156765607.52987623</v>
      </c>
      <c r="G218" s="125">
        <v>-2835000</v>
      </c>
      <c r="H218" s="125">
        <v>1838.2021948145305</v>
      </c>
      <c r="I218" s="125">
        <v>950.60012217603889</v>
      </c>
      <c r="J218" s="125">
        <v>513.95692014140479</v>
      </c>
      <c r="K218" s="125">
        <v>1031.909292373869</v>
      </c>
      <c r="L218" s="122">
        <v>2496.4663346913126</v>
      </c>
      <c r="M218" s="125">
        <v>0</v>
      </c>
      <c r="N218" s="115">
        <v>14385</v>
      </c>
      <c r="P218" s="125">
        <v>-204435</v>
      </c>
      <c r="Q218" s="125">
        <v>0</v>
      </c>
      <c r="S218" s="125">
        <v>-956642.37082830002</v>
      </c>
      <c r="T218" s="125">
        <v>0</v>
      </c>
      <c r="V218" s="125"/>
      <c r="W218" s="125"/>
    </row>
    <row r="219" spans="1:23">
      <c r="A219" s="121">
        <v>43287</v>
      </c>
      <c r="B219" s="125">
        <v>155449076.35901529</v>
      </c>
      <c r="C219" s="125">
        <v>41449725.921688512</v>
      </c>
      <c r="D219" s="125">
        <v>46638626.522202857</v>
      </c>
      <c r="E219" s="125">
        <v>68539399.219261304</v>
      </c>
      <c r="F219" s="123">
        <v>156627751.66315269</v>
      </c>
      <c r="G219" s="125">
        <v>-3845000</v>
      </c>
      <c r="H219" s="125">
        <v>1812.3682711423451</v>
      </c>
      <c r="I219" s="125">
        <v>941.85416188349507</v>
      </c>
      <c r="J219" s="125">
        <v>505.6341723205461</v>
      </c>
      <c r="K219" s="125">
        <v>1036.6885280872496</v>
      </c>
      <c r="L219" s="122">
        <v>2484.1768622912905</v>
      </c>
      <c r="M219" s="125">
        <v>0</v>
      </c>
      <c r="N219" s="115">
        <v>14370</v>
      </c>
      <c r="P219" s="125">
        <v>-204435</v>
      </c>
      <c r="Q219" s="125">
        <v>0</v>
      </c>
      <c r="S219" s="125">
        <v>-956793.57563079998</v>
      </c>
      <c r="T219" s="125">
        <v>0</v>
      </c>
      <c r="V219" s="125"/>
      <c r="W219" s="125"/>
    </row>
    <row r="220" spans="1:23">
      <c r="A220" s="121">
        <v>43290</v>
      </c>
      <c r="B220" s="125">
        <v>155237834.41588873</v>
      </c>
      <c r="C220" s="125">
        <v>42352693.719508305</v>
      </c>
      <c r="D220" s="125">
        <v>46395273.447166719</v>
      </c>
      <c r="E220" s="125">
        <v>68015678.701885074</v>
      </c>
      <c r="F220" s="123">
        <v>156763645.86856011</v>
      </c>
      <c r="G220" s="125">
        <v>-4365000</v>
      </c>
      <c r="H220" s="125">
        <v>1793.429122056742</v>
      </c>
      <c r="I220" s="125">
        <v>967.3557542640466</v>
      </c>
      <c r="J220" s="125">
        <v>504.42305130480298</v>
      </c>
      <c r="K220" s="125">
        <v>1025.150495770851</v>
      </c>
      <c r="L220" s="122">
        <v>2496.9293013397005</v>
      </c>
      <c r="M220" s="125">
        <v>0</v>
      </c>
      <c r="N220" s="115">
        <v>14325</v>
      </c>
      <c r="P220" s="125">
        <v>-87529.572</v>
      </c>
      <c r="Q220" s="125">
        <v>0</v>
      </c>
      <c r="S220" s="125">
        <v>-1.4180008</v>
      </c>
      <c r="T220" s="125">
        <v>0</v>
      </c>
      <c r="V220" s="125"/>
      <c r="W220" s="125"/>
    </row>
    <row r="221" spans="1:23">
      <c r="A221" s="121">
        <v>43291</v>
      </c>
      <c r="B221" s="125">
        <v>155239187.12670213</v>
      </c>
      <c r="C221" s="125">
        <v>39656036.267006092</v>
      </c>
      <c r="D221" s="125">
        <v>46359145.162459105</v>
      </c>
      <c r="E221" s="125">
        <v>68124439.231047794</v>
      </c>
      <c r="F221" s="123">
        <v>154139620.66051298</v>
      </c>
      <c r="G221" s="125">
        <v>-4825000</v>
      </c>
      <c r="H221" s="125">
        <v>1791.7624898386905</v>
      </c>
      <c r="I221" s="125">
        <v>1009.2087071861608</v>
      </c>
      <c r="J221" s="125">
        <v>506.30491205997896</v>
      </c>
      <c r="K221" s="125">
        <v>1039.7370510218375</v>
      </c>
      <c r="L221" s="122">
        <v>2555.2506702679775</v>
      </c>
      <c r="M221" s="125">
        <v>0</v>
      </c>
      <c r="N221" s="115">
        <v>14360</v>
      </c>
      <c r="P221" s="125">
        <v>-1117323.1673999999</v>
      </c>
      <c r="Q221" s="125">
        <v>0</v>
      </c>
      <c r="S221" s="125">
        <v>-1.4180008</v>
      </c>
      <c r="T221" s="125">
        <v>0</v>
      </c>
      <c r="V221" s="125"/>
      <c r="W221" s="125"/>
    </row>
    <row r="222" spans="1:23">
      <c r="A222" s="121">
        <v>43292</v>
      </c>
      <c r="B222" s="125">
        <v>155101101.52762091</v>
      </c>
      <c r="C222" s="125">
        <v>41037045.058664724</v>
      </c>
      <c r="D222" s="125">
        <v>46340754.324026607</v>
      </c>
      <c r="E222" s="125">
        <v>68999369.910980895</v>
      </c>
      <c r="F222" s="123">
        <v>156377169.2936722</v>
      </c>
      <c r="G222" s="125">
        <v>-6165000</v>
      </c>
      <c r="H222" s="125">
        <v>1790.5432787438542</v>
      </c>
      <c r="I222" s="125">
        <v>1029.6287598072222</v>
      </c>
      <c r="J222" s="125">
        <v>504.86888592907695</v>
      </c>
      <c r="K222" s="125">
        <v>1054.355367062172</v>
      </c>
      <c r="L222" s="122">
        <v>2588.8530127984714</v>
      </c>
      <c r="M222" s="125">
        <v>0</v>
      </c>
      <c r="N222" s="115">
        <v>14360</v>
      </c>
      <c r="P222" s="125">
        <v>-1651180.5999</v>
      </c>
      <c r="Q222" s="125">
        <v>0</v>
      </c>
      <c r="S222" s="125">
        <v>-1.4180008</v>
      </c>
      <c r="T222" s="125">
        <v>0</v>
      </c>
      <c r="V222" s="125"/>
      <c r="W222" s="125"/>
    </row>
    <row r="223" spans="1:23">
      <c r="A223" s="121">
        <v>43293</v>
      </c>
      <c r="B223" s="125">
        <v>154805897.40066755</v>
      </c>
      <c r="C223" s="125">
        <v>40402819.869787656</v>
      </c>
      <c r="D223" s="125">
        <v>46358383.777870551</v>
      </c>
      <c r="E223" s="125">
        <v>70600145.409701407</v>
      </c>
      <c r="F223" s="123">
        <v>157361349.05735961</v>
      </c>
      <c r="G223" s="125">
        <v>-5890000</v>
      </c>
      <c r="H223" s="125">
        <v>1763.4453276414788</v>
      </c>
      <c r="I223" s="125">
        <v>1018.6285932080419</v>
      </c>
      <c r="J223" s="125">
        <v>505.22749166910506</v>
      </c>
      <c r="K223" s="125">
        <v>1052.0536949490411</v>
      </c>
      <c r="L223" s="122">
        <v>2575.9097798261882</v>
      </c>
      <c r="M223" s="125">
        <v>0</v>
      </c>
      <c r="N223" s="115">
        <v>14390</v>
      </c>
      <c r="P223" s="125">
        <v>-1651180.5999</v>
      </c>
      <c r="Q223" s="125">
        <v>0</v>
      </c>
      <c r="S223" s="125">
        <v>-1.4180008</v>
      </c>
      <c r="T223" s="125">
        <v>0</v>
      </c>
      <c r="V223" s="125"/>
      <c r="W223" s="125"/>
    </row>
    <row r="224" spans="1:23">
      <c r="A224" s="121">
        <v>43294</v>
      </c>
      <c r="B224" s="125">
        <v>154573818.30334765</v>
      </c>
      <c r="C224" s="125">
        <v>39911233.148210242</v>
      </c>
      <c r="D224" s="125">
        <v>46291606.613512345</v>
      </c>
      <c r="E224" s="125">
        <v>69913273.117927998</v>
      </c>
      <c r="F224" s="123">
        <v>156116112.87965059</v>
      </c>
      <c r="G224" s="125">
        <v>-4350000</v>
      </c>
      <c r="H224" s="125">
        <v>1754.1349174783043</v>
      </c>
      <c r="I224" s="125">
        <v>1091.4754677748153</v>
      </c>
      <c r="J224" s="125">
        <v>507.53395432474002</v>
      </c>
      <c r="K224" s="125">
        <v>1056.1228011986393</v>
      </c>
      <c r="L224" s="122">
        <v>2655.1322232981947</v>
      </c>
      <c r="M224" s="125">
        <v>0</v>
      </c>
      <c r="N224" s="115">
        <v>14385</v>
      </c>
      <c r="P224" s="125">
        <v>-1651180.5999</v>
      </c>
      <c r="Q224" s="125">
        <v>-1174592.430375</v>
      </c>
      <c r="S224" s="125">
        <v>-1.4180008</v>
      </c>
      <c r="T224" s="125">
        <v>0</v>
      </c>
      <c r="V224" s="125"/>
      <c r="W224" s="125"/>
    </row>
    <row r="225" spans="1:23">
      <c r="A225" s="121">
        <v>43297</v>
      </c>
      <c r="B225" s="125">
        <v>154353971.81514844</v>
      </c>
      <c r="C225" s="125">
        <v>39974862.979599401</v>
      </c>
      <c r="D225" s="125">
        <v>46112834.152758516</v>
      </c>
      <c r="E225" s="125">
        <v>69824433.932038829</v>
      </c>
      <c r="F225" s="123">
        <v>155912131.06439674</v>
      </c>
      <c r="G225" s="125">
        <v>-4350000</v>
      </c>
      <c r="H225" s="125">
        <v>1759.0068548439504</v>
      </c>
      <c r="I225" s="125">
        <v>979.06485089349792</v>
      </c>
      <c r="J225" s="125">
        <v>508.26441097437674</v>
      </c>
      <c r="K225" s="125">
        <v>1062.1546627257617</v>
      </c>
      <c r="L225" s="122">
        <v>2549.4839245936364</v>
      </c>
      <c r="M225" s="125">
        <v>0</v>
      </c>
      <c r="N225" s="115">
        <v>14375</v>
      </c>
      <c r="P225" s="125">
        <v>-1651180.5999</v>
      </c>
      <c r="Q225" s="125">
        <v>-1173775.890625</v>
      </c>
      <c r="S225" s="125">
        <v>-1.4180008</v>
      </c>
      <c r="T225" s="125">
        <v>0</v>
      </c>
      <c r="V225" s="125"/>
      <c r="W225" s="125"/>
    </row>
    <row r="226" spans="1:23">
      <c r="A226" s="121">
        <v>43298</v>
      </c>
      <c r="B226" s="125">
        <v>154405713.7560817</v>
      </c>
      <c r="C226" s="125">
        <v>39783041.568440303</v>
      </c>
      <c r="D226" s="125">
        <v>45942308.095526911</v>
      </c>
      <c r="E226" s="125">
        <v>70552555.229232892</v>
      </c>
      <c r="F226" s="123">
        <v>156277904.8932001</v>
      </c>
      <c r="G226" s="125">
        <v>-4350000</v>
      </c>
      <c r="H226" s="125">
        <v>1768.3634997902304</v>
      </c>
      <c r="I226" s="125">
        <v>1009.0661634848377</v>
      </c>
      <c r="J226" s="125">
        <v>509.70642778591753</v>
      </c>
      <c r="K226" s="125">
        <v>1060.0579821159827</v>
      </c>
      <c r="L226" s="122">
        <v>2578.8305733867378</v>
      </c>
      <c r="M226" s="125">
        <v>0</v>
      </c>
      <c r="N226" s="115">
        <v>14370</v>
      </c>
      <c r="P226" s="125">
        <v>-1651180.5999</v>
      </c>
      <c r="Q226" s="125">
        <v>-1173367.62075</v>
      </c>
      <c r="S226" s="125">
        <v>-1.4180008</v>
      </c>
      <c r="T226" s="125">
        <v>0</v>
      </c>
      <c r="V226" s="125"/>
      <c r="W226" s="125"/>
    </row>
    <row r="227" spans="1:23">
      <c r="A227" s="121">
        <v>43299</v>
      </c>
      <c r="B227" s="125">
        <v>154000290.02917701</v>
      </c>
      <c r="C227" s="125">
        <v>40581647.35680373</v>
      </c>
      <c r="D227" s="125">
        <v>45901501.125144541</v>
      </c>
      <c r="E227" s="125">
        <v>70543075.45533599</v>
      </c>
      <c r="F227" s="123">
        <v>157026223.93728426</v>
      </c>
      <c r="G227" s="125">
        <v>-4350000</v>
      </c>
      <c r="H227" s="125">
        <v>1786.2459255282968</v>
      </c>
      <c r="I227" s="125">
        <v>1046.7515890895745</v>
      </c>
      <c r="J227" s="125">
        <v>511.59144427828869</v>
      </c>
      <c r="K227" s="125">
        <v>1061.6259604486249</v>
      </c>
      <c r="L227" s="122">
        <v>2619.9689938164884</v>
      </c>
      <c r="M227" s="125">
        <v>0</v>
      </c>
      <c r="N227" s="115">
        <v>14405</v>
      </c>
      <c r="P227" s="125">
        <v>-1651180.5999</v>
      </c>
      <c r="Q227" s="125">
        <v>-1176225.509875</v>
      </c>
      <c r="S227" s="125">
        <v>-1.4180008</v>
      </c>
      <c r="T227" s="125">
        <v>0</v>
      </c>
      <c r="V227" s="125"/>
      <c r="W227" s="125"/>
    </row>
    <row r="228" spans="1:23">
      <c r="A228" s="121">
        <v>43300</v>
      </c>
      <c r="B228" s="125">
        <v>153204751.21859398</v>
      </c>
      <c r="C228" s="125">
        <v>40587490.357632041</v>
      </c>
      <c r="D228" s="125">
        <v>45846079.969223365</v>
      </c>
      <c r="E228" s="125">
        <v>70719793.444993719</v>
      </c>
      <c r="F228" s="123">
        <v>157153363.77184913</v>
      </c>
      <c r="G228" s="125">
        <v>-3900000</v>
      </c>
      <c r="H228" s="125">
        <v>1782.4805419678869</v>
      </c>
      <c r="I228" s="125">
        <v>1007.7147631702401</v>
      </c>
      <c r="J228" s="125">
        <v>516.18108919484644</v>
      </c>
      <c r="K228" s="125">
        <v>1057.1773152926748</v>
      </c>
      <c r="L228" s="122">
        <v>2581.0731676577616</v>
      </c>
      <c r="M228" s="125">
        <v>0</v>
      </c>
      <c r="N228" s="115">
        <v>14475</v>
      </c>
      <c r="P228" s="125">
        <v>-1651180.5999</v>
      </c>
      <c r="Q228" s="125">
        <v>-1181941.288125</v>
      </c>
      <c r="S228" s="125">
        <v>-1.4180008</v>
      </c>
      <c r="T228" s="125">
        <v>0</v>
      </c>
      <c r="V228" s="125"/>
      <c r="W228" s="125"/>
    </row>
    <row r="229" spans="1:23">
      <c r="A229" s="121">
        <v>43301</v>
      </c>
      <c r="B229" s="125">
        <v>152649505.56921193</v>
      </c>
      <c r="C229" s="125">
        <v>39951644.516428925</v>
      </c>
      <c r="D229" s="125">
        <v>45977691.871903144</v>
      </c>
      <c r="E229" s="125">
        <v>69730838.902285114</v>
      </c>
      <c r="F229" s="123">
        <v>155660175.29061717</v>
      </c>
      <c r="G229" s="125">
        <v>-2820000</v>
      </c>
      <c r="H229" s="125">
        <v>1762.4273563987235</v>
      </c>
      <c r="I229" s="125">
        <v>977.31868599279869</v>
      </c>
      <c r="J229" s="125">
        <v>509.41058847582826</v>
      </c>
      <c r="K229" s="125">
        <v>1044.2362662469559</v>
      </c>
      <c r="L229" s="122">
        <v>2530.9655407155828</v>
      </c>
      <c r="M229" s="125">
        <v>0</v>
      </c>
      <c r="N229" s="115">
        <v>14480</v>
      </c>
      <c r="P229" s="125">
        <v>-1651180.5999</v>
      </c>
      <c r="Q229" s="125">
        <v>-1182349.558</v>
      </c>
      <c r="S229" s="125">
        <v>-1.4180008</v>
      </c>
      <c r="T229" s="125">
        <v>0</v>
      </c>
      <c r="V229" s="125"/>
      <c r="W229" s="125"/>
    </row>
    <row r="230" spans="1:23">
      <c r="A230" s="121">
        <v>43304</v>
      </c>
      <c r="B230" s="125">
        <v>152896052.9573034</v>
      </c>
      <c r="C230" s="125">
        <v>41178710.720638834</v>
      </c>
      <c r="D230" s="125">
        <v>45914820.48933091</v>
      </c>
      <c r="E230" s="125">
        <v>69339814.361206964</v>
      </c>
      <c r="F230" s="123">
        <v>156433345.57117671</v>
      </c>
      <c r="G230" s="125">
        <v>-1900000</v>
      </c>
      <c r="H230" s="125">
        <v>1768.8230467316582</v>
      </c>
      <c r="I230" s="125">
        <v>950.99675429645072</v>
      </c>
      <c r="J230" s="125">
        <v>510.61811419128531</v>
      </c>
      <c r="K230" s="125">
        <v>1040.4460395162189</v>
      </c>
      <c r="L230" s="122">
        <v>2502.0609080039549</v>
      </c>
      <c r="M230" s="125">
        <v>0</v>
      </c>
      <c r="N230" s="115">
        <v>14490</v>
      </c>
      <c r="P230" s="125">
        <v>-1161110.7009000001</v>
      </c>
      <c r="Q230" s="125">
        <v>-1183166.09775</v>
      </c>
      <c r="S230" s="125">
        <v>-1.4180008</v>
      </c>
      <c r="T230" s="125">
        <v>0</v>
      </c>
      <c r="V230" s="125"/>
      <c r="W230" s="125"/>
    </row>
    <row r="231" spans="1:23">
      <c r="A231" s="121">
        <v>43305</v>
      </c>
      <c r="B231" s="125">
        <v>152850063.19976825</v>
      </c>
      <c r="C231" s="125">
        <v>43853075.739769757</v>
      </c>
      <c r="D231" s="125">
        <v>45902650.827383973</v>
      </c>
      <c r="E231" s="125">
        <v>70180651.837107807</v>
      </c>
      <c r="F231" s="123">
        <v>159936378.40426153</v>
      </c>
      <c r="G231" s="125">
        <v>-1290000</v>
      </c>
      <c r="H231" s="125">
        <v>1774.1329537967363</v>
      </c>
      <c r="I231" s="125">
        <v>936.27830597508409</v>
      </c>
      <c r="J231" s="125">
        <v>511.85102808436926</v>
      </c>
      <c r="K231" s="125">
        <v>1045.9189353130005</v>
      </c>
      <c r="L231" s="122">
        <v>2494.0482693724539</v>
      </c>
      <c r="M231" s="125">
        <v>0</v>
      </c>
      <c r="N231" s="115">
        <v>14530</v>
      </c>
      <c r="P231" s="125">
        <v>-398130.02549999999</v>
      </c>
      <c r="Q231" s="125">
        <v>-1186432.2567499999</v>
      </c>
      <c r="S231" s="125">
        <v>-1.4180008</v>
      </c>
      <c r="T231" s="125">
        <v>0</v>
      </c>
      <c r="V231" s="125"/>
      <c r="W231" s="125"/>
    </row>
    <row r="232" spans="1:23">
      <c r="A232" s="121">
        <v>43306</v>
      </c>
      <c r="B232" s="125">
        <v>152878849.50707945</v>
      </c>
      <c r="C232" s="125">
        <v>42617506.718986616</v>
      </c>
      <c r="D232" s="125">
        <v>46471995.613926604</v>
      </c>
      <c r="E232" s="125">
        <v>70377524.25276643</v>
      </c>
      <c r="F232" s="123">
        <v>159467026.58567965</v>
      </c>
      <c r="G232" s="125">
        <v>-450000</v>
      </c>
      <c r="H232" s="125">
        <v>1756.5476158109893</v>
      </c>
      <c r="I232" s="125">
        <v>990.38411444392875</v>
      </c>
      <c r="J232" s="125">
        <v>508.68007406006183</v>
      </c>
      <c r="K232" s="125">
        <v>1079.9904098324791</v>
      </c>
      <c r="L232" s="122">
        <v>2579.05459833647</v>
      </c>
      <c r="M232" s="125">
        <v>0</v>
      </c>
      <c r="N232" s="115">
        <v>14460</v>
      </c>
      <c r="P232" s="125">
        <v>-266812.92</v>
      </c>
      <c r="Q232" s="125">
        <v>-1180716.4785</v>
      </c>
      <c r="S232" s="125">
        <v>-1.4180008</v>
      </c>
      <c r="T232" s="125">
        <v>0</v>
      </c>
      <c r="V232" s="125"/>
      <c r="W232" s="125"/>
    </row>
    <row r="233" spans="1:23">
      <c r="A233" s="121">
        <v>43307</v>
      </c>
      <c r="B233" s="125">
        <v>152971323.17970493</v>
      </c>
      <c r="C233" s="125">
        <v>44512829.680026382</v>
      </c>
      <c r="D233" s="125">
        <v>46685321.115661226</v>
      </c>
      <c r="E233" s="125">
        <v>69932267.606259018</v>
      </c>
      <c r="F233" s="123">
        <v>161130418.40194663</v>
      </c>
      <c r="G233" s="125">
        <v>-120000</v>
      </c>
      <c r="H233" s="125">
        <v>1739.3015833820973</v>
      </c>
      <c r="I233" s="125">
        <v>993.71883275593223</v>
      </c>
      <c r="J233" s="125">
        <v>514.02073371674749</v>
      </c>
      <c r="K233" s="125">
        <v>1111.2404237293611</v>
      </c>
      <c r="L233" s="122">
        <v>2618.9799902020404</v>
      </c>
      <c r="M233" s="125">
        <v>0</v>
      </c>
      <c r="N233" s="115">
        <v>14460</v>
      </c>
      <c r="P233" s="125">
        <v>-390842.82</v>
      </c>
      <c r="Q233" s="125">
        <v>-1180716.4785</v>
      </c>
      <c r="S233" s="125">
        <v>-1.4180008</v>
      </c>
      <c r="T233" s="125">
        <v>0</v>
      </c>
      <c r="V233" s="125"/>
      <c r="W233" s="125"/>
    </row>
    <row r="234" spans="1:23">
      <c r="A234" s="121">
        <v>43308</v>
      </c>
      <c r="B234" s="125">
        <v>153055264.16054508</v>
      </c>
      <c r="C234" s="125">
        <v>43181211.962762184</v>
      </c>
      <c r="D234" s="125">
        <v>46957057.76978375</v>
      </c>
      <c r="E234" s="125">
        <v>71223757.175314099</v>
      </c>
      <c r="F234" s="123">
        <v>161362026.90786004</v>
      </c>
      <c r="G234" s="125">
        <v>-120000</v>
      </c>
      <c r="H234" s="125">
        <v>1747.2578448278364</v>
      </c>
      <c r="I234" s="125">
        <v>989.12745601738857</v>
      </c>
      <c r="J234" s="125">
        <v>512.10442242005763</v>
      </c>
      <c r="K234" s="125">
        <v>1109.5269890111808</v>
      </c>
      <c r="L234" s="122">
        <v>2610.7588674486269</v>
      </c>
      <c r="M234" s="125">
        <v>0</v>
      </c>
      <c r="N234" s="115">
        <v>14417.5</v>
      </c>
      <c r="P234" s="125">
        <v>-390842.82</v>
      </c>
      <c r="Q234" s="125">
        <v>-1177246.1845625001</v>
      </c>
      <c r="S234" s="125">
        <v>-1.4180008</v>
      </c>
      <c r="T234" s="125">
        <v>0</v>
      </c>
      <c r="V234" s="125"/>
      <c r="W234" s="125"/>
    </row>
    <row r="235" spans="1:23">
      <c r="A235" s="121">
        <v>43311</v>
      </c>
      <c r="B235" s="125">
        <v>153175925.88403127</v>
      </c>
      <c r="C235" s="125">
        <v>42592649.494284622</v>
      </c>
      <c r="D235" s="125">
        <v>46674447.246428303</v>
      </c>
      <c r="E235" s="125">
        <v>70993302.775650531</v>
      </c>
      <c r="F235" s="123">
        <v>160260399.51636344</v>
      </c>
      <c r="G235" s="125">
        <v>-120000</v>
      </c>
      <c r="H235" s="125">
        <v>1754.2566592032715</v>
      </c>
      <c r="I235" s="125">
        <v>920.32894190808236</v>
      </c>
      <c r="J235" s="125">
        <v>509.56680205691532</v>
      </c>
      <c r="K235" s="125">
        <v>1086.9889736529167</v>
      </c>
      <c r="L235" s="122">
        <v>2516.8847176179142</v>
      </c>
      <c r="M235" s="125">
        <v>0</v>
      </c>
      <c r="N235" s="115">
        <v>14410</v>
      </c>
      <c r="P235" s="125">
        <v>-390842.82</v>
      </c>
      <c r="Q235" s="125">
        <v>-1176633.77975</v>
      </c>
      <c r="S235" s="125">
        <v>-1.4180008</v>
      </c>
      <c r="T235" s="125">
        <v>0</v>
      </c>
      <c r="V235" s="125"/>
      <c r="W235" s="125"/>
    </row>
    <row r="236" spans="1:23">
      <c r="A236" s="121">
        <v>43312</v>
      </c>
      <c r="B236" s="125">
        <v>154324269.27383164</v>
      </c>
      <c r="C236" s="125">
        <v>40465921.464639865</v>
      </c>
      <c r="D236" s="125">
        <v>46691457.434488036</v>
      </c>
      <c r="E236" s="125">
        <v>72003671.025416881</v>
      </c>
      <c r="F236" s="123">
        <v>159161049.92454478</v>
      </c>
      <c r="G236" s="125">
        <v>-120000</v>
      </c>
      <c r="H236" s="125">
        <v>1755.4761165764539</v>
      </c>
      <c r="I236" s="125">
        <v>971.94377548895216</v>
      </c>
      <c r="J236" s="125">
        <v>508.22368427117271</v>
      </c>
      <c r="K236" s="125">
        <v>1061.8840724391471</v>
      </c>
      <c r="L236" s="122">
        <v>2542.0515321992721</v>
      </c>
      <c r="M236" s="125">
        <v>0</v>
      </c>
      <c r="N236" s="115">
        <v>14420</v>
      </c>
      <c r="P236" s="125">
        <v>-390842.82</v>
      </c>
      <c r="Q236" s="125">
        <v>-1177450.3195</v>
      </c>
      <c r="S236" s="125">
        <v>-1.4180008</v>
      </c>
      <c r="T236" s="125">
        <v>0</v>
      </c>
      <c r="V236" s="125"/>
      <c r="W236" s="125"/>
    </row>
    <row r="237" spans="1:23">
      <c r="A237" s="121">
        <v>43313</v>
      </c>
      <c r="B237" s="125">
        <v>153851928.60339788</v>
      </c>
      <c r="C237" s="125">
        <v>41234773.630511418</v>
      </c>
      <c r="D237" s="125">
        <v>46288250.789664268</v>
      </c>
      <c r="E237" s="125">
        <v>73139920.19784236</v>
      </c>
      <c r="F237" s="123">
        <v>160662944.61801803</v>
      </c>
      <c r="G237" s="125">
        <v>-120000</v>
      </c>
      <c r="H237" s="125">
        <v>1755.0946692200398</v>
      </c>
      <c r="I237" s="125">
        <v>944.95168846067463</v>
      </c>
      <c r="J237" s="125">
        <v>508.22503213671047</v>
      </c>
      <c r="K237" s="125">
        <v>1054.92841444853</v>
      </c>
      <c r="L237" s="122">
        <v>2508.1051350459152</v>
      </c>
      <c r="M237" s="125">
        <v>0</v>
      </c>
      <c r="N237" s="115">
        <v>14440</v>
      </c>
      <c r="P237" s="125">
        <v>-390842.82</v>
      </c>
      <c r="Q237" s="125">
        <v>-1179083.399</v>
      </c>
      <c r="S237" s="125">
        <v>-1.4180008</v>
      </c>
      <c r="T237" s="125">
        <v>0</v>
      </c>
      <c r="V237" s="125"/>
      <c r="W237" s="125"/>
    </row>
    <row r="238" spans="1:23">
      <c r="A238" s="121">
        <v>43314</v>
      </c>
      <c r="B238" s="125">
        <v>154135054.39409253</v>
      </c>
      <c r="C238" s="125">
        <v>41295995.937499873</v>
      </c>
      <c r="D238" s="125">
        <v>46187111.887043335</v>
      </c>
      <c r="E238" s="125">
        <v>73086185.73749122</v>
      </c>
      <c r="F238" s="123">
        <v>160569293.56203443</v>
      </c>
      <c r="G238" s="125">
        <v>-120000</v>
      </c>
      <c r="H238" s="125">
        <v>1736.6380903283441</v>
      </c>
      <c r="I238" s="125">
        <v>936.68799896322844</v>
      </c>
      <c r="J238" s="125">
        <v>507.93020726884208</v>
      </c>
      <c r="K238" s="125">
        <v>1061.1073375357362</v>
      </c>
      <c r="L238" s="122">
        <v>2505.7255437678068</v>
      </c>
      <c r="M238" s="125">
        <v>0</v>
      </c>
      <c r="N238" s="115">
        <v>14475</v>
      </c>
      <c r="P238" s="125">
        <v>-390842.82</v>
      </c>
      <c r="Q238" s="125">
        <v>-1181941.288125</v>
      </c>
      <c r="S238" s="125">
        <v>-1.4180008</v>
      </c>
      <c r="T238" s="125">
        <v>0</v>
      </c>
      <c r="V238" s="125"/>
      <c r="W238" s="125"/>
    </row>
    <row r="239" spans="1:23">
      <c r="A239" s="121">
        <v>43315</v>
      </c>
      <c r="B239" s="125">
        <v>152934624.0274995</v>
      </c>
      <c r="C239" s="125">
        <v>40985587.106459774</v>
      </c>
      <c r="D239" s="125">
        <v>46319201.895298176</v>
      </c>
      <c r="E239" s="125">
        <v>73360370.337728947</v>
      </c>
      <c r="F239" s="123">
        <v>160665159.3394869</v>
      </c>
      <c r="G239" s="125">
        <v>-140000</v>
      </c>
      <c r="H239" s="125">
        <v>1710.4500450649089</v>
      </c>
      <c r="I239" s="125">
        <v>928.14302668273046</v>
      </c>
      <c r="J239" s="125">
        <v>508.72426360610035</v>
      </c>
      <c r="K239" s="125">
        <v>1076.3110111198844</v>
      </c>
      <c r="L239" s="122">
        <v>2513.178301408715</v>
      </c>
      <c r="M239" s="125">
        <v>0</v>
      </c>
      <c r="N239" s="115">
        <v>14497.5</v>
      </c>
      <c r="P239" s="125">
        <v>-390842.82</v>
      </c>
      <c r="Q239" s="125">
        <v>-1183778.5025625001</v>
      </c>
      <c r="S239" s="125">
        <v>-1.4180008</v>
      </c>
      <c r="T239" s="125">
        <v>0</v>
      </c>
      <c r="V239" s="125"/>
      <c r="W239" s="125"/>
    </row>
    <row r="240" spans="1:23">
      <c r="A240" s="121">
        <v>43318</v>
      </c>
      <c r="B240" s="125">
        <v>152838116.0771952</v>
      </c>
      <c r="C240" s="125">
        <v>42319014.31091205</v>
      </c>
      <c r="D240" s="125">
        <v>46169234.764999449</v>
      </c>
      <c r="E240" s="125">
        <v>72950202.551424667</v>
      </c>
      <c r="F240" s="123">
        <v>161438451.62733614</v>
      </c>
      <c r="G240" s="125">
        <v>-120000</v>
      </c>
      <c r="H240" s="125">
        <v>1712.2225122566758</v>
      </c>
      <c r="I240" s="125">
        <v>930.75077694104368</v>
      </c>
      <c r="J240" s="125">
        <v>503.75935793248857</v>
      </c>
      <c r="K240" s="125">
        <v>1072.6303911598266</v>
      </c>
      <c r="L240" s="122">
        <v>2507.1405260333586</v>
      </c>
      <c r="M240" s="125">
        <v>0</v>
      </c>
      <c r="N240" s="115">
        <v>14470</v>
      </c>
      <c r="P240" s="125">
        <v>-390842.82</v>
      </c>
      <c r="Q240" s="125">
        <v>-1181533.01825</v>
      </c>
      <c r="S240" s="125">
        <v>-1.4180008</v>
      </c>
      <c r="T240" s="125">
        <v>0</v>
      </c>
      <c r="V240" s="125"/>
      <c r="W240" s="125"/>
    </row>
    <row r="241" spans="1:23">
      <c r="A241" s="121">
        <v>43319</v>
      </c>
      <c r="B241" s="125">
        <v>152630524.94244733</v>
      </c>
      <c r="C241" s="125">
        <v>41348241.481602736</v>
      </c>
      <c r="D241" s="125">
        <v>45967110.245496526</v>
      </c>
      <c r="E241" s="125">
        <v>72446191.267080888</v>
      </c>
      <c r="F241" s="123">
        <v>159761542.99418014</v>
      </c>
      <c r="G241" s="125">
        <v>-120000</v>
      </c>
      <c r="H241" s="125">
        <v>1708.2186663204252</v>
      </c>
      <c r="I241" s="125">
        <v>936.95146187317971</v>
      </c>
      <c r="J241" s="125">
        <v>504.54070838975406</v>
      </c>
      <c r="K241" s="125">
        <v>1072.6981719092817</v>
      </c>
      <c r="L241" s="122">
        <v>2514.1903421722154</v>
      </c>
      <c r="M241" s="125">
        <v>0</v>
      </c>
      <c r="N241" s="115">
        <v>14440</v>
      </c>
      <c r="P241" s="125">
        <v>-390842.82</v>
      </c>
      <c r="Q241" s="125">
        <v>-1179083.399</v>
      </c>
      <c r="S241" s="125">
        <v>-1.4180008</v>
      </c>
      <c r="T241" s="125">
        <v>0</v>
      </c>
      <c r="V241" s="125"/>
      <c r="W241" s="125"/>
    </row>
    <row r="242" spans="1:23">
      <c r="A242" s="121">
        <v>43320</v>
      </c>
      <c r="B242" s="125">
        <v>152361008.14357701</v>
      </c>
      <c r="C242" s="125">
        <v>38265852.884516068</v>
      </c>
      <c r="D242" s="125">
        <v>45805499.871266998</v>
      </c>
      <c r="E242" s="125">
        <v>73106933.957618847</v>
      </c>
      <c r="F242" s="123">
        <v>157178286.71340191</v>
      </c>
      <c r="G242" s="125">
        <v>-120000</v>
      </c>
      <c r="H242" s="125">
        <v>1714.5477047885288</v>
      </c>
      <c r="I242" s="125">
        <v>943.45699520215976</v>
      </c>
      <c r="J242" s="125">
        <v>516.48541472239674</v>
      </c>
      <c r="K242" s="125">
        <v>1063.9613065118215</v>
      </c>
      <c r="L242" s="122">
        <v>2523.9037164363781</v>
      </c>
      <c r="M242" s="125">
        <v>-9.4967105263157894</v>
      </c>
      <c r="N242" s="115">
        <v>14435</v>
      </c>
      <c r="P242" s="125">
        <v>-390842.82</v>
      </c>
      <c r="Q242" s="125">
        <v>-1178675.129125</v>
      </c>
      <c r="S242" s="125">
        <v>-1.4180008</v>
      </c>
      <c r="T242" s="125">
        <v>0</v>
      </c>
      <c r="V242" s="125"/>
      <c r="W242" s="125"/>
    </row>
    <row r="243" spans="1:23">
      <c r="A243" s="121">
        <v>43321</v>
      </c>
      <c r="B243" s="125">
        <v>152146702.81637633</v>
      </c>
      <c r="C243" s="125">
        <v>38129473.477186941</v>
      </c>
      <c r="D243" s="125">
        <v>45633062.044954449</v>
      </c>
      <c r="E243" s="125">
        <v>73150450.821071774</v>
      </c>
      <c r="F243" s="123">
        <v>156912986.34321317</v>
      </c>
      <c r="G243" s="125">
        <v>-120000</v>
      </c>
      <c r="H243" s="125">
        <v>1708.3800015098345</v>
      </c>
      <c r="I243" s="125">
        <v>956.45673500945281</v>
      </c>
      <c r="J243" s="125">
        <v>508.2536204922161</v>
      </c>
      <c r="K243" s="125">
        <v>1045.5222725044468</v>
      </c>
      <c r="L243" s="122">
        <v>2510.2326280061156</v>
      </c>
      <c r="M243" s="125">
        <v>-9.4835469345341181</v>
      </c>
      <c r="N243" s="115">
        <v>14410</v>
      </c>
      <c r="P243" s="125">
        <v>-390842.82</v>
      </c>
      <c r="Q243" s="125">
        <v>-1176633.77975</v>
      </c>
      <c r="S243" s="125">
        <v>-1.4180008</v>
      </c>
      <c r="T243" s="125">
        <v>0</v>
      </c>
      <c r="V243" s="125"/>
      <c r="W243" s="125"/>
    </row>
    <row r="244" spans="1:23">
      <c r="A244" s="121">
        <v>43322</v>
      </c>
      <c r="B244" s="125">
        <v>152251970.28964198</v>
      </c>
      <c r="C244" s="125">
        <v>36563495.604893021</v>
      </c>
      <c r="D244" s="125">
        <v>45740538.997047067</v>
      </c>
      <c r="E244" s="125">
        <v>74448683.084525526</v>
      </c>
      <c r="F244" s="123">
        <v>156752717.68646562</v>
      </c>
      <c r="G244" s="125">
        <v>-120000</v>
      </c>
      <c r="H244" s="125">
        <v>1718.4548418290433</v>
      </c>
      <c r="I244" s="125">
        <v>947.0924328296752</v>
      </c>
      <c r="J244" s="125">
        <v>509.67066293611521</v>
      </c>
      <c r="K244" s="125">
        <v>1052.3602629660988</v>
      </c>
      <c r="L244" s="122">
        <v>2509.1233587318893</v>
      </c>
      <c r="M244" s="125">
        <v>-63.786433032616237</v>
      </c>
      <c r="N244" s="115">
        <v>14475</v>
      </c>
      <c r="P244" s="125">
        <v>0</v>
      </c>
      <c r="Q244" s="125">
        <v>-1181941.288125</v>
      </c>
      <c r="S244" s="125">
        <v>-1.4180008</v>
      </c>
      <c r="T244" s="125">
        <v>0</v>
      </c>
      <c r="V244" s="125"/>
      <c r="W244" s="125"/>
    </row>
    <row r="245" spans="1:23">
      <c r="A245" s="121">
        <v>43325</v>
      </c>
      <c r="B245" s="125">
        <v>152530536.65118039</v>
      </c>
      <c r="C245" s="125">
        <v>38903172.012870856</v>
      </c>
      <c r="D245" s="125">
        <v>45572426.695950709</v>
      </c>
      <c r="E245" s="125">
        <v>73249732.432325587</v>
      </c>
      <c r="F245" s="123">
        <v>157725331.14114714</v>
      </c>
      <c r="G245" s="125">
        <v>0</v>
      </c>
      <c r="H245" s="125">
        <v>1730.2535858091035</v>
      </c>
      <c r="I245" s="125">
        <v>955.9963323778137</v>
      </c>
      <c r="J245" s="125">
        <v>511.10936703414649</v>
      </c>
      <c r="K245" s="125">
        <v>1036.9438301736659</v>
      </c>
      <c r="L245" s="122">
        <v>2504.0495295856263</v>
      </c>
      <c r="M245" s="125">
        <v>-52.935233160621763</v>
      </c>
      <c r="N245" s="115">
        <v>14595</v>
      </c>
      <c r="P245" s="125">
        <v>0</v>
      </c>
      <c r="Q245" s="125">
        <v>0</v>
      </c>
      <c r="S245" s="125">
        <v>-1.4180008</v>
      </c>
      <c r="T245" s="125">
        <v>0</v>
      </c>
      <c r="V245" s="125"/>
      <c r="W245" s="125"/>
    </row>
    <row r="246" spans="1:23">
      <c r="A246" s="121">
        <v>43326</v>
      </c>
      <c r="B246" s="125">
        <v>153153570.62275746</v>
      </c>
      <c r="C246" s="125">
        <v>39346818.123557441</v>
      </c>
      <c r="D246" s="125">
        <v>45457841.603783622</v>
      </c>
      <c r="E246" s="125">
        <v>74262747.064224377</v>
      </c>
      <c r="F246" s="123">
        <v>159067406.79156542</v>
      </c>
      <c r="G246" s="125">
        <v>0</v>
      </c>
      <c r="H246" s="125">
        <v>1712.8429985142589</v>
      </c>
      <c r="I246" s="125">
        <v>966.03802302973133</v>
      </c>
      <c r="J246" s="125">
        <v>505.46703531784129</v>
      </c>
      <c r="K246" s="125">
        <v>1029.0499129771079</v>
      </c>
      <c r="L246" s="122">
        <v>2500.5549713246805</v>
      </c>
      <c r="M246" s="125">
        <v>-52.446043165467628</v>
      </c>
      <c r="N246" s="115">
        <v>14580</v>
      </c>
      <c r="P246" s="125">
        <v>0</v>
      </c>
      <c r="Q246" s="125">
        <v>0</v>
      </c>
      <c r="S246" s="125">
        <v>-8.0000000000000007E-7</v>
      </c>
      <c r="T246" s="125">
        <v>0</v>
      </c>
      <c r="V246" s="125"/>
      <c r="W246" s="125"/>
    </row>
    <row r="247" spans="1:23">
      <c r="A247" s="121">
        <v>43327</v>
      </c>
      <c r="B247" s="125">
        <v>153194078.08712775</v>
      </c>
      <c r="C247" s="125">
        <v>39078563.57829576</v>
      </c>
      <c r="D247" s="125">
        <v>45391343.160628788</v>
      </c>
      <c r="E247" s="125">
        <v>74541429.623283789</v>
      </c>
      <c r="F247" s="123">
        <v>159011336.36220834</v>
      </c>
      <c r="G247" s="125">
        <v>0</v>
      </c>
      <c r="H247" s="125">
        <v>1721.3996293845191</v>
      </c>
      <c r="I247" s="125">
        <v>995.15630266396988</v>
      </c>
      <c r="J247" s="125">
        <v>506.86215842623591</v>
      </c>
      <c r="K247" s="125">
        <v>1026.2571065678619</v>
      </c>
      <c r="L247" s="122">
        <v>2528.2755676580678</v>
      </c>
      <c r="M247" s="125">
        <v>-52.572016460905353</v>
      </c>
      <c r="N247" s="115">
        <v>14600</v>
      </c>
      <c r="P247" s="125">
        <v>0</v>
      </c>
      <c r="Q247" s="125">
        <v>0</v>
      </c>
      <c r="S247" s="125">
        <v>-8.0000000000000007E-7</v>
      </c>
      <c r="T247" s="125">
        <v>0</v>
      </c>
      <c r="V247" s="125"/>
      <c r="W247" s="125"/>
    </row>
    <row r="248" spans="1:23">
      <c r="A248" s="121">
        <v>43328</v>
      </c>
      <c r="B248" s="125">
        <v>152485090.30746284</v>
      </c>
      <c r="C248" s="125">
        <v>38535449.56977009</v>
      </c>
      <c r="D248" s="125">
        <v>45376231.96497114</v>
      </c>
      <c r="E248" s="125">
        <v>74521082.082040891</v>
      </c>
      <c r="F248" s="123">
        <v>158432763.61678213</v>
      </c>
      <c r="G248" s="125">
        <v>0</v>
      </c>
      <c r="H248" s="125">
        <v>1724.8417980643549</v>
      </c>
      <c r="I248" s="125">
        <v>1005.4957119503648</v>
      </c>
      <c r="J248" s="125">
        <v>506.27380635211506</v>
      </c>
      <c r="K248" s="125">
        <v>1015.3402283548222</v>
      </c>
      <c r="L248" s="122">
        <v>2527.1097466573019</v>
      </c>
      <c r="M248" s="125">
        <v>-52.535958904109592</v>
      </c>
      <c r="N248" s="115">
        <v>14610</v>
      </c>
      <c r="P248" s="125">
        <v>0</v>
      </c>
      <c r="Q248" s="125">
        <v>0</v>
      </c>
      <c r="S248" s="125">
        <v>-8.0000000000000007E-7</v>
      </c>
      <c r="T248" s="125">
        <v>0</v>
      </c>
      <c r="V248" s="125"/>
      <c r="W248" s="125"/>
    </row>
    <row r="249" spans="1:23">
      <c r="A249" s="121">
        <v>43329</v>
      </c>
      <c r="B249" s="125"/>
      <c r="C249" s="125"/>
      <c r="D249" s="125"/>
      <c r="E249" s="125"/>
      <c r="F249" s="125"/>
      <c r="G249" s="125"/>
      <c r="H249" s="125"/>
      <c r="I249" s="125"/>
      <c r="J249" s="125"/>
      <c r="K249" s="125"/>
      <c r="L249" s="125"/>
      <c r="M249" s="125"/>
      <c r="N249" s="115"/>
    </row>
    <row r="250" spans="1:23">
      <c r="A250" s="121">
        <v>43332</v>
      </c>
      <c r="B250" s="125">
        <v>152864472.43381736</v>
      </c>
      <c r="C250" s="125">
        <v>40056745.233834662</v>
      </c>
      <c r="D250" s="125">
        <v>45152951.481604256</v>
      </c>
      <c r="E250" s="125">
        <v>73951846.069548473</v>
      </c>
      <c r="F250" s="123">
        <v>159161542.78498739</v>
      </c>
      <c r="G250" s="125">
        <v>0</v>
      </c>
      <c r="H250" s="125">
        <v>1719.1151226092729</v>
      </c>
      <c r="I250" s="125">
        <v>1010.7553615337285</v>
      </c>
      <c r="J250" s="125">
        <v>507.42724376160106</v>
      </c>
      <c r="K250" s="125">
        <v>1006.8031133641078</v>
      </c>
      <c r="L250" s="122">
        <v>2524.9857186594377</v>
      </c>
      <c r="M250" s="125">
        <v>-52.5</v>
      </c>
      <c r="N250" s="115">
        <v>14590</v>
      </c>
      <c r="P250" s="125">
        <v>0</v>
      </c>
      <c r="Q250" s="125">
        <v>0</v>
      </c>
      <c r="S250" s="125">
        <v>-8.0000000000000007E-7</v>
      </c>
      <c r="T250" s="125">
        <v>0</v>
      </c>
      <c r="V250" s="125"/>
      <c r="W250" s="125"/>
    </row>
    <row r="251" spans="1:23">
      <c r="A251" s="121">
        <v>43333</v>
      </c>
      <c r="B251" s="125">
        <v>152958936.44967422</v>
      </c>
      <c r="C251" s="125">
        <v>40202876.813886411</v>
      </c>
      <c r="D251" s="125">
        <v>45217512.129102543</v>
      </c>
      <c r="E251" s="125">
        <v>74162288.627190605</v>
      </c>
      <c r="F251" s="123">
        <v>159582677.57017958</v>
      </c>
      <c r="G251" s="125">
        <v>0</v>
      </c>
      <c r="H251" s="125">
        <v>1718.4510983125015</v>
      </c>
      <c r="I251" s="125">
        <v>1009.3506094729797</v>
      </c>
      <c r="J251" s="125">
        <v>509.30959836001392</v>
      </c>
      <c r="K251" s="125">
        <v>1008.4844914924338</v>
      </c>
      <c r="L251" s="122">
        <v>2527.1446993254276</v>
      </c>
      <c r="M251" s="125">
        <v>-52.5</v>
      </c>
      <c r="N251" s="115">
        <v>14580</v>
      </c>
      <c r="P251" s="125">
        <v>0</v>
      </c>
      <c r="Q251" s="125">
        <v>0</v>
      </c>
      <c r="S251" s="125">
        <v>-8.0000000000000007E-7</v>
      </c>
      <c r="T251" s="125">
        <v>0</v>
      </c>
      <c r="V251" s="125"/>
      <c r="W251" s="125"/>
    </row>
    <row r="252" spans="1:23">
      <c r="A252" s="121">
        <v>43335</v>
      </c>
      <c r="B252" s="125">
        <v>152802289.80084023</v>
      </c>
      <c r="C252" s="125">
        <v>40810530.619827524</v>
      </c>
      <c r="D252" s="125">
        <v>45223155.937330037</v>
      </c>
      <c r="E252" s="125">
        <v>74146681.689078942</v>
      </c>
      <c r="F252" s="123">
        <v>160180368.2462365</v>
      </c>
      <c r="G252" s="125">
        <v>0</v>
      </c>
      <c r="H252" s="125">
        <v>1707.0167970172606</v>
      </c>
      <c r="I252" s="125">
        <v>1010.2725564336937</v>
      </c>
      <c r="J252" s="125">
        <v>509.34925133933501</v>
      </c>
      <c r="K252" s="125">
        <v>1028.327281424542</v>
      </c>
      <c r="L252" s="122">
        <v>2547.9490891975706</v>
      </c>
      <c r="M252" s="125">
        <v>-43</v>
      </c>
      <c r="N252" s="115">
        <v>14630</v>
      </c>
      <c r="P252" s="125">
        <v>0</v>
      </c>
      <c r="Q252" s="125">
        <v>0</v>
      </c>
      <c r="S252" s="125">
        <v>-8.0000000000000007E-7</v>
      </c>
      <c r="T252" s="125">
        <v>0</v>
      </c>
      <c r="V252" s="125"/>
      <c r="W252" s="125"/>
    </row>
    <row r="253" spans="1:23">
      <c r="A253" s="121">
        <v>43336</v>
      </c>
      <c r="B253" s="125">
        <v>153463290.97596687</v>
      </c>
      <c r="C253" s="125">
        <v>39871672.768093102</v>
      </c>
      <c r="D253" s="125">
        <v>46033190.025323071</v>
      </c>
      <c r="E253" s="125">
        <v>74119058.023623973</v>
      </c>
      <c r="F253" s="123">
        <v>160023920.81704015</v>
      </c>
      <c r="G253" s="125">
        <v>0</v>
      </c>
      <c r="H253" s="125">
        <v>1700.4554860191322</v>
      </c>
      <c r="I253" s="125">
        <v>1012.5826311223698</v>
      </c>
      <c r="J253" s="125">
        <v>509.3305759423767</v>
      </c>
      <c r="K253" s="125">
        <v>1029.4776028746535</v>
      </c>
      <c r="L253" s="122">
        <v>2551.3908099394002</v>
      </c>
      <c r="M253" s="125">
        <v>0</v>
      </c>
      <c r="N253" s="115">
        <v>14642</v>
      </c>
      <c r="P253" s="125">
        <v>0</v>
      </c>
      <c r="Q253" s="125">
        <v>0</v>
      </c>
      <c r="S253" s="125">
        <v>-8.0000000000000007E-7</v>
      </c>
      <c r="T253" s="125">
        <v>0</v>
      </c>
      <c r="V253" s="125"/>
      <c r="W253" s="125"/>
    </row>
    <row r="254" spans="1:23">
      <c r="A254" s="121">
        <v>43339</v>
      </c>
      <c r="B254" s="125">
        <v>155114300.6034472</v>
      </c>
      <c r="C254" s="125">
        <v>41767337.743439861</v>
      </c>
      <c r="D254" s="125">
        <v>45853526.775099345</v>
      </c>
      <c r="E254" s="125">
        <v>73211461.802173302</v>
      </c>
      <c r="F254" s="123">
        <v>160832326.32071251</v>
      </c>
      <c r="G254" s="125">
        <v>0</v>
      </c>
      <c r="H254" s="125">
        <v>1700.4808892909368</v>
      </c>
      <c r="I254" s="125">
        <v>994.42017676319017</v>
      </c>
      <c r="J254" s="125">
        <v>506.39158003763208</v>
      </c>
      <c r="K254" s="125">
        <v>1049.8325329708234</v>
      </c>
      <c r="L254" s="122">
        <v>2550.6442897716456</v>
      </c>
      <c r="M254" s="125">
        <v>0</v>
      </c>
      <c r="N254" s="115">
        <v>14620</v>
      </c>
      <c r="P254" s="125">
        <v>0</v>
      </c>
      <c r="Q254" s="125">
        <v>0</v>
      </c>
      <c r="S254" s="125">
        <v>-8.0000000000000007E-7</v>
      </c>
      <c r="T254" s="125">
        <v>0</v>
      </c>
      <c r="V254" s="125"/>
      <c r="W254" s="125"/>
    </row>
    <row r="255" spans="1:23">
      <c r="A255" s="121">
        <v>43340</v>
      </c>
      <c r="B255" s="125">
        <v>154745197.25802913</v>
      </c>
      <c r="C255" s="125">
        <v>40327490.027407743</v>
      </c>
      <c r="D255" s="125">
        <v>46061501.289890952</v>
      </c>
      <c r="E255" s="125">
        <v>73804581.368557334</v>
      </c>
      <c r="F255" s="123">
        <v>160193572.68585604</v>
      </c>
      <c r="G255" s="125">
        <v>0</v>
      </c>
      <c r="H255" s="125">
        <v>1668.7192579585751</v>
      </c>
      <c r="I255" s="125">
        <v>976.76543377807229</v>
      </c>
      <c r="J255" s="125">
        <v>508.82316423568261</v>
      </c>
      <c r="K255" s="125">
        <v>1167.4173410042904</v>
      </c>
      <c r="L255" s="122">
        <v>2653.0059390180454</v>
      </c>
      <c r="M255" s="125">
        <v>0</v>
      </c>
      <c r="N255" s="115">
        <v>14622</v>
      </c>
      <c r="P255" s="125">
        <v>0</v>
      </c>
      <c r="Q255" s="125">
        <v>0</v>
      </c>
      <c r="S255" s="125">
        <v>-8.0000000000000007E-7</v>
      </c>
      <c r="T255" s="125">
        <v>0</v>
      </c>
      <c r="V255" s="125"/>
      <c r="W255" s="125"/>
    </row>
    <row r="256" spans="1:23">
      <c r="A256" s="121">
        <v>43341</v>
      </c>
      <c r="B256" s="125">
        <v>154730862.44950235</v>
      </c>
      <c r="C256" s="125">
        <v>40188621.383101277</v>
      </c>
      <c r="D256" s="125">
        <v>46025252.794729993</v>
      </c>
      <c r="E256" s="125">
        <v>73479484.280895799</v>
      </c>
      <c r="F256" s="123">
        <v>159693358.45872706</v>
      </c>
      <c r="G256" s="125">
        <v>0</v>
      </c>
      <c r="H256" s="125">
        <v>1773.0144362873068</v>
      </c>
      <c r="I256" s="125">
        <v>949.76251322647795</v>
      </c>
      <c r="J256" s="125">
        <v>504.56251917758578</v>
      </c>
      <c r="K256" s="125">
        <v>1167.6360493015763</v>
      </c>
      <c r="L256" s="122">
        <v>2621.96108170564</v>
      </c>
      <c r="M256" s="125">
        <v>0</v>
      </c>
      <c r="N256" s="115">
        <v>14655</v>
      </c>
      <c r="P256" s="125">
        <v>0</v>
      </c>
      <c r="Q256" s="125">
        <v>0</v>
      </c>
      <c r="S256" s="125">
        <v>-8.0000000000000007E-7</v>
      </c>
      <c r="T256" s="125">
        <v>0</v>
      </c>
      <c r="V256" s="125"/>
      <c r="W256" s="125"/>
    </row>
    <row r="257" spans="1:23">
      <c r="A257" s="121">
        <v>43342</v>
      </c>
      <c r="B257" s="125">
        <v>155481391.75465113</v>
      </c>
      <c r="C257" s="125">
        <v>39794355.39046149</v>
      </c>
      <c r="D257" s="125">
        <v>46131532.378991313</v>
      </c>
      <c r="E257" s="125">
        <v>73399334.010747209</v>
      </c>
      <c r="F257" s="123">
        <v>159325221.7802</v>
      </c>
      <c r="G257" s="125">
        <v>0</v>
      </c>
      <c r="H257" s="125">
        <v>1701.6845636003802</v>
      </c>
      <c r="I257" s="125">
        <v>992.19682099649219</v>
      </c>
      <c r="J257" s="125">
        <v>502.82304967517865</v>
      </c>
      <c r="K257" s="125">
        <v>1132.6313321435127</v>
      </c>
      <c r="L257" s="122">
        <v>2627.6512028151838</v>
      </c>
      <c r="M257" s="125">
        <v>0</v>
      </c>
      <c r="N257" s="115">
        <v>14690</v>
      </c>
      <c r="P257" s="125">
        <v>0</v>
      </c>
      <c r="Q257" s="125">
        <v>0</v>
      </c>
      <c r="S257" s="125">
        <v>-8.0000000000000007E-7</v>
      </c>
      <c r="T257" s="125">
        <v>0</v>
      </c>
      <c r="V257" s="125"/>
      <c r="W257" s="125"/>
    </row>
    <row r="258" spans="1:23">
      <c r="A258" s="121">
        <v>43343</v>
      </c>
      <c r="B258" s="125">
        <v>156311172.47256386</v>
      </c>
      <c r="C258" s="125">
        <v>37612041.715844296</v>
      </c>
      <c r="D258" s="125">
        <v>46552268.157759309</v>
      </c>
      <c r="E258" s="125">
        <v>73266456.908149242</v>
      </c>
      <c r="F258" s="123">
        <v>157430766.78175285</v>
      </c>
      <c r="G258" s="125">
        <v>-2348000</v>
      </c>
      <c r="H258" s="125">
        <v>1703.8155703326129</v>
      </c>
      <c r="I258" s="125">
        <v>995.99833438289136</v>
      </c>
      <c r="J258" s="125">
        <v>501.97246250373792</v>
      </c>
      <c r="K258" s="125">
        <v>1132.896178555699</v>
      </c>
      <c r="L258" s="122">
        <v>2630.8669754423281</v>
      </c>
      <c r="M258" s="125">
        <v>0</v>
      </c>
      <c r="N258" s="115">
        <v>14730</v>
      </c>
      <c r="P258" s="125">
        <v>0</v>
      </c>
      <c r="Q258" s="125">
        <v>0</v>
      </c>
      <c r="S258" s="125">
        <v>-8.0000000000000007E-7</v>
      </c>
      <c r="T258" s="125">
        <v>0</v>
      </c>
      <c r="V258" s="125"/>
      <c r="W258" s="125"/>
    </row>
    <row r="259" spans="1:23">
      <c r="A259" s="121">
        <v>43346</v>
      </c>
      <c r="B259" s="125">
        <v>156194387.79668316</v>
      </c>
      <c r="C259" s="125">
        <v>38926024.859590352</v>
      </c>
      <c r="D259" s="125">
        <v>45983879.986444652</v>
      </c>
      <c r="E259" s="125">
        <v>72847266.227412477</v>
      </c>
      <c r="F259" s="123">
        <v>157757171.07344747</v>
      </c>
      <c r="G259" s="125">
        <v>-1370000</v>
      </c>
      <c r="H259" s="125">
        <v>1698.3673414560751</v>
      </c>
      <c r="I259" s="125">
        <v>951.80345390507296</v>
      </c>
      <c r="J259" s="125">
        <v>501.65862392436787</v>
      </c>
      <c r="K259" s="125">
        <v>1130.0904029902231</v>
      </c>
      <c r="L259" s="122">
        <v>2583.5524808196642</v>
      </c>
      <c r="M259" s="125">
        <v>0</v>
      </c>
      <c r="N259" s="115">
        <v>14815</v>
      </c>
      <c r="P259" s="125">
        <v>0</v>
      </c>
      <c r="Q259" s="125">
        <v>0</v>
      </c>
      <c r="S259" s="125">
        <v>-8.0000000000000007E-7</v>
      </c>
      <c r="T259" s="125">
        <v>0</v>
      </c>
      <c r="V259" s="125"/>
      <c r="W259" s="125"/>
    </row>
    <row r="260" spans="1:23">
      <c r="A260" s="121">
        <v>43347</v>
      </c>
      <c r="B260" s="125">
        <v>156031512.43379512</v>
      </c>
      <c r="C260" s="125">
        <v>39581802.473551981</v>
      </c>
      <c r="D260" s="125">
        <v>45834907.039017707</v>
      </c>
      <c r="E260" s="125">
        <v>73062464.107175633</v>
      </c>
      <c r="F260" s="123">
        <v>158479173.61974531</v>
      </c>
      <c r="G260" s="125">
        <v>-640000</v>
      </c>
      <c r="H260" s="125">
        <v>1731.574369034013</v>
      </c>
      <c r="I260" s="125">
        <v>957.54862276770848</v>
      </c>
      <c r="J260" s="125">
        <v>501.32352467972009</v>
      </c>
      <c r="K260" s="125">
        <v>1130.9048711884589</v>
      </c>
      <c r="L260" s="122">
        <v>2589.7770186358875</v>
      </c>
      <c r="M260" s="125">
        <v>0</v>
      </c>
      <c r="N260" s="115">
        <v>14935</v>
      </c>
      <c r="P260" s="125">
        <v>0</v>
      </c>
      <c r="Q260" s="125">
        <v>0</v>
      </c>
      <c r="S260" s="125">
        <v>-8.0000000000000007E-7</v>
      </c>
      <c r="T260" s="125">
        <v>0</v>
      </c>
      <c r="V260" s="125"/>
      <c r="W260" s="125"/>
    </row>
    <row r="261" spans="1:23">
      <c r="A261" s="121">
        <v>43348</v>
      </c>
      <c r="B261" s="125">
        <v>155758989.25552073</v>
      </c>
      <c r="C261" s="125">
        <v>39123255.767218582</v>
      </c>
      <c r="D261" s="125">
        <v>45652569.39108146</v>
      </c>
      <c r="E261" s="125">
        <v>73241182.494944319</v>
      </c>
      <c r="F261" s="123">
        <v>158017007.65324438</v>
      </c>
      <c r="G261" s="125">
        <v>-640000</v>
      </c>
      <c r="H261" s="125">
        <v>1730.0913374931347</v>
      </c>
      <c r="I261" s="125">
        <v>970.52637968688134</v>
      </c>
      <c r="J261" s="125">
        <v>501.26082621924905</v>
      </c>
      <c r="K261" s="125">
        <v>1136.5291675987596</v>
      </c>
      <c r="L261" s="122">
        <v>2608.3163735048902</v>
      </c>
      <c r="M261" s="125">
        <v>0</v>
      </c>
      <c r="N261" s="115">
        <v>14935</v>
      </c>
      <c r="P261" s="125">
        <v>0</v>
      </c>
      <c r="Q261" s="125">
        <v>0</v>
      </c>
      <c r="S261" s="125">
        <v>-8.0000000000000007E-7</v>
      </c>
      <c r="T261" s="125">
        <v>0</v>
      </c>
      <c r="V261" s="125"/>
      <c r="W261" s="125"/>
    </row>
    <row r="262" spans="1:23">
      <c r="A262" s="121">
        <v>43349</v>
      </c>
      <c r="B262" s="125">
        <v>155461919.08459222</v>
      </c>
      <c r="C262" s="125">
        <v>39054774.934860773</v>
      </c>
      <c r="D262" s="125">
        <v>45601647.100192726</v>
      </c>
      <c r="E262" s="125">
        <v>73440415.10023348</v>
      </c>
      <c r="F262" s="123">
        <v>158096837.13528699</v>
      </c>
      <c r="G262" s="125">
        <v>-640000</v>
      </c>
      <c r="H262" s="125">
        <v>1691.6502706350934</v>
      </c>
      <c r="I262" s="125">
        <v>952.2741949505704</v>
      </c>
      <c r="J262" s="125">
        <v>503.36677948220535</v>
      </c>
      <c r="K262" s="125">
        <v>1148.0124925688417</v>
      </c>
      <c r="L262" s="122">
        <v>2603.6534670016172</v>
      </c>
      <c r="M262" s="125">
        <v>0</v>
      </c>
      <c r="N262" s="115">
        <v>14890</v>
      </c>
      <c r="P262" s="125">
        <v>0</v>
      </c>
      <c r="Q262" s="125">
        <v>0</v>
      </c>
      <c r="S262" s="125">
        <v>-8.0000000000000007E-7</v>
      </c>
      <c r="T262" s="125">
        <v>0</v>
      </c>
      <c r="V262" s="125"/>
      <c r="W262" s="125"/>
    </row>
    <row r="263" spans="1:23">
      <c r="A263" s="121">
        <v>43350</v>
      </c>
      <c r="B263" s="125">
        <v>155410078.99614209</v>
      </c>
      <c r="C263" s="125">
        <v>39778973.861482315</v>
      </c>
      <c r="D263" s="125">
        <v>45595934.869374923</v>
      </c>
      <c r="E263" s="125">
        <v>73140696.117211059</v>
      </c>
      <c r="F263" s="123">
        <v>158515604.8480683</v>
      </c>
      <c r="G263" s="125">
        <v>-640000</v>
      </c>
      <c r="H263" s="125">
        <v>1701.7173559696364</v>
      </c>
      <c r="I263" s="125">
        <v>971.29906339640297</v>
      </c>
      <c r="J263" s="125">
        <v>503.09376731183289</v>
      </c>
      <c r="K263" s="125">
        <v>1129.9570714490305</v>
      </c>
      <c r="L263" s="122">
        <v>2604.3499021572661</v>
      </c>
      <c r="M263" s="125">
        <v>0</v>
      </c>
      <c r="N263" s="115">
        <v>14820</v>
      </c>
      <c r="P263" s="125">
        <v>0</v>
      </c>
      <c r="Q263" s="125">
        <v>0</v>
      </c>
      <c r="S263" s="125">
        <v>-8.0000000000000007E-7</v>
      </c>
      <c r="T263" s="125">
        <v>0</v>
      </c>
      <c r="V263" s="125"/>
      <c r="W263" s="125"/>
    </row>
    <row r="264" spans="1:23">
      <c r="A264" s="121">
        <v>43353</v>
      </c>
      <c r="B264" s="125">
        <v>155921812.03314319</v>
      </c>
      <c r="C264" s="125">
        <v>37791100.055853315</v>
      </c>
      <c r="D264" s="125">
        <v>45505833.271585763</v>
      </c>
      <c r="E264" s="125">
        <v>72830050.19145748</v>
      </c>
      <c r="F264" s="123">
        <v>156126983.51889655</v>
      </c>
      <c r="G264" s="125">
        <v>-640000</v>
      </c>
      <c r="H264" s="125">
        <v>1731.4935423015647</v>
      </c>
      <c r="I264" s="125">
        <v>966.15044172819739</v>
      </c>
      <c r="J264" s="125">
        <v>502.56934805811755</v>
      </c>
      <c r="K264" s="125">
        <v>1127.5170983598832</v>
      </c>
      <c r="L264" s="122">
        <v>2596.236888146198</v>
      </c>
      <c r="M264" s="125">
        <v>0</v>
      </c>
      <c r="N264" s="115">
        <v>14857</v>
      </c>
      <c r="P264" s="125">
        <v>0</v>
      </c>
      <c r="Q264" s="125">
        <v>0</v>
      </c>
      <c r="S264" s="125">
        <v>-8.0000000000000007E-7</v>
      </c>
      <c r="T264" s="125">
        <v>0</v>
      </c>
      <c r="V264" s="125"/>
      <c r="W264" s="125"/>
    </row>
    <row r="265" spans="1:23">
      <c r="A265" s="121">
        <v>43355</v>
      </c>
      <c r="B265" s="125">
        <v>156818492.93044582</v>
      </c>
      <c r="C265" s="125">
        <v>38291441.049099147</v>
      </c>
      <c r="D265" s="125">
        <v>45205124.153943822</v>
      </c>
      <c r="E265" s="125">
        <v>72930185.225055858</v>
      </c>
      <c r="F265" s="123">
        <v>156426750.42809883</v>
      </c>
      <c r="G265" s="125">
        <v>-2430000</v>
      </c>
      <c r="H265" s="125">
        <v>1738.094108415999</v>
      </c>
      <c r="I265" s="125">
        <v>980.62856853123208</v>
      </c>
      <c r="J265" s="125">
        <v>504.13667789878787</v>
      </c>
      <c r="K265" s="125">
        <v>1126.9326225901677</v>
      </c>
      <c r="L265" s="122">
        <v>2611.6978690201877</v>
      </c>
      <c r="M265" s="125">
        <v>0</v>
      </c>
      <c r="N265" s="115">
        <v>14830</v>
      </c>
      <c r="P265" s="125">
        <v>0</v>
      </c>
      <c r="Q265" s="125">
        <v>0</v>
      </c>
      <c r="S265" s="125">
        <v>-8.0000000000000007E-7</v>
      </c>
      <c r="T265" s="125">
        <v>0</v>
      </c>
      <c r="V265" s="125"/>
      <c r="W265" s="125"/>
    </row>
    <row r="266" spans="1:23">
      <c r="A266" s="121">
        <v>43356</v>
      </c>
      <c r="B266" s="125">
        <v>156354333.57575604</v>
      </c>
      <c r="C266" s="125">
        <v>38713437.381303541</v>
      </c>
      <c r="D266" s="125">
        <v>45096455.613374859</v>
      </c>
      <c r="E266" s="125">
        <v>72351586.924020559</v>
      </c>
      <c r="F266" s="123">
        <v>156161479.91869897</v>
      </c>
      <c r="G266" s="125">
        <v>-3322000</v>
      </c>
      <c r="H266" s="125">
        <v>1723.6013262289887</v>
      </c>
      <c r="I266" s="125">
        <v>954.3190429337111</v>
      </c>
      <c r="J266" s="125">
        <v>505.16716623089553</v>
      </c>
      <c r="K266" s="125">
        <v>1126.599063097942</v>
      </c>
      <c r="L266" s="122">
        <v>2586.0852722625486</v>
      </c>
      <c r="M266" s="125">
        <v>0</v>
      </c>
      <c r="N266" s="115">
        <v>14840</v>
      </c>
      <c r="P266" s="125">
        <v>0</v>
      </c>
      <c r="Q266" s="125">
        <v>0</v>
      </c>
      <c r="S266" s="125">
        <v>-8.0000000000000007E-7</v>
      </c>
      <c r="T266" s="125">
        <v>0</v>
      </c>
      <c r="V266" s="125"/>
      <c r="W266" s="125"/>
    </row>
    <row r="267" spans="1:23">
      <c r="A267" s="121">
        <v>43357</v>
      </c>
      <c r="B267" s="125">
        <v>156523583.04235172</v>
      </c>
      <c r="C267" s="125">
        <v>38857467.222501278</v>
      </c>
      <c r="D267" s="125">
        <v>44957726.905960411</v>
      </c>
      <c r="E267" s="125">
        <v>72595808.005197242</v>
      </c>
      <c r="F267" s="123">
        <v>156411002.13365895</v>
      </c>
      <c r="G267" s="125">
        <v>-2770000</v>
      </c>
      <c r="H267" s="125">
        <v>1722.4643590573914</v>
      </c>
      <c r="I267" s="125">
        <v>985.39587790727808</v>
      </c>
      <c r="J267" s="125">
        <v>506.08282903955518</v>
      </c>
      <c r="K267" s="125">
        <v>1128.0235133479507</v>
      </c>
      <c r="L267" s="122">
        <v>2619.5022202947839</v>
      </c>
      <c r="M267" s="125">
        <v>-10</v>
      </c>
      <c r="N267" s="115">
        <v>14805</v>
      </c>
      <c r="P267" s="125">
        <v>0</v>
      </c>
      <c r="Q267" s="125">
        <v>-370467.73574999999</v>
      </c>
      <c r="S267" s="125">
        <v>-8.0000000000000007E-7</v>
      </c>
      <c r="T267" s="125">
        <v>0</v>
      </c>
      <c r="V267" s="125"/>
      <c r="W267" s="125"/>
    </row>
    <row r="268" spans="1:23">
      <c r="A268" s="121">
        <v>43360</v>
      </c>
      <c r="B268" s="125">
        <v>156557669.34928253</v>
      </c>
      <c r="C268" s="125">
        <v>38918701.820878334</v>
      </c>
      <c r="D268" s="125">
        <v>44737476.342503756</v>
      </c>
      <c r="E268" s="125">
        <v>72249632.663453013</v>
      </c>
      <c r="F268" s="123">
        <v>155905810.8268351</v>
      </c>
      <c r="G268" s="125">
        <v>-2710000</v>
      </c>
      <c r="H268" s="125">
        <v>1733.0715339517776</v>
      </c>
      <c r="I268" s="125">
        <v>974.62229111750173</v>
      </c>
      <c r="J268" s="125">
        <v>506.95811150168862</v>
      </c>
      <c r="K268" s="125">
        <v>1124.7276843745226</v>
      </c>
      <c r="L268" s="122">
        <v>2606.308086993713</v>
      </c>
      <c r="M268" s="125">
        <v>-10</v>
      </c>
      <c r="N268" s="115">
        <v>14877.5</v>
      </c>
      <c r="P268" s="125">
        <v>0</v>
      </c>
      <c r="Q268" s="125">
        <v>-372281.91412500001</v>
      </c>
      <c r="S268" s="125">
        <v>-8.0000000000000007E-7</v>
      </c>
      <c r="T268" s="125">
        <v>0</v>
      </c>
      <c r="V268" s="125"/>
      <c r="W268" s="125"/>
    </row>
    <row r="269" spans="1:23">
      <c r="A269" s="121">
        <v>43361</v>
      </c>
      <c r="B269" s="125">
        <v>156474917.88107699</v>
      </c>
      <c r="C269" s="125">
        <v>39423507.003444061</v>
      </c>
      <c r="D269" s="125">
        <v>44703779.919652641</v>
      </c>
      <c r="E269" s="125">
        <v>73007843.42551899</v>
      </c>
      <c r="F269" s="123">
        <v>157135130.34861571</v>
      </c>
      <c r="G269" s="125">
        <v>-2920000</v>
      </c>
      <c r="H269" s="125">
        <v>1729.3132916202921</v>
      </c>
      <c r="I269" s="125">
        <v>969.25697503492529</v>
      </c>
      <c r="J269" s="125">
        <v>509.04117892573396</v>
      </c>
      <c r="K269" s="125">
        <v>1124.0453400600477</v>
      </c>
      <c r="L269" s="122">
        <v>2602.3434940207071</v>
      </c>
      <c r="M269" s="125">
        <v>-10</v>
      </c>
      <c r="N269" s="115">
        <v>14855</v>
      </c>
      <c r="P269" s="125">
        <v>0</v>
      </c>
      <c r="Q269" s="125">
        <v>-371718.89325000002</v>
      </c>
      <c r="S269" s="125">
        <v>-8.0000000000000007E-7</v>
      </c>
      <c r="T269" s="125">
        <v>0</v>
      </c>
      <c r="V269" s="125"/>
      <c r="W269" s="125"/>
    </row>
    <row r="270" spans="1:23">
      <c r="A270" s="121">
        <v>43362</v>
      </c>
      <c r="B270" s="125">
        <v>155120106.02514026</v>
      </c>
      <c r="C270" s="125">
        <v>39903330.480628699</v>
      </c>
      <c r="D270" s="125">
        <v>44682210.753693074</v>
      </c>
      <c r="E270" s="125">
        <v>73014349.048989847</v>
      </c>
      <c r="F270" s="123">
        <v>157599890.28331161</v>
      </c>
      <c r="G270" s="125">
        <v>-3630000</v>
      </c>
      <c r="H270" s="125">
        <v>1733.7673370324628</v>
      </c>
      <c r="I270" s="125">
        <v>1000.0035043649425</v>
      </c>
      <c r="J270" s="125">
        <v>509.70080134430196</v>
      </c>
      <c r="K270" s="125">
        <v>1124.6181092830077</v>
      </c>
      <c r="L270" s="122">
        <v>2634.3224149922521</v>
      </c>
      <c r="M270" s="125">
        <v>-10</v>
      </c>
      <c r="N270" s="115">
        <v>14875</v>
      </c>
      <c r="P270" s="125">
        <v>0</v>
      </c>
      <c r="Q270" s="125">
        <v>-1547682.7922499999</v>
      </c>
      <c r="S270" s="125">
        <v>-8.0000000000000007E-7</v>
      </c>
      <c r="T270" s="125">
        <v>0</v>
      </c>
      <c r="V270" s="125"/>
      <c r="W270" s="125"/>
    </row>
    <row r="271" spans="1:23">
      <c r="A271" s="121">
        <v>43363</v>
      </c>
      <c r="B271" s="125">
        <v>155156157.56984547</v>
      </c>
      <c r="C271" s="125">
        <v>39892168.074630626</v>
      </c>
      <c r="D271" s="125">
        <v>44718108.421669319</v>
      </c>
      <c r="E271" s="125">
        <v>73225893.304339126</v>
      </c>
      <c r="F271" s="123">
        <v>157836169.80063909</v>
      </c>
      <c r="G271" s="125">
        <v>-3630000</v>
      </c>
      <c r="H271" s="125">
        <v>1736.2318425045098</v>
      </c>
      <c r="I271" s="125">
        <v>1007.3932019327327</v>
      </c>
      <c r="J271" s="125">
        <v>509.98753046523336</v>
      </c>
      <c r="K271" s="125">
        <v>1126.6482207265328</v>
      </c>
      <c r="L271" s="122">
        <v>2644.0289531244989</v>
      </c>
      <c r="M271" s="125">
        <v>-10</v>
      </c>
      <c r="N271" s="115">
        <v>14845</v>
      </c>
      <c r="P271" s="125">
        <v>0</v>
      </c>
      <c r="Q271" s="125">
        <v>-1544561.4151900001</v>
      </c>
      <c r="S271" s="125">
        <v>-8.0000000000000007E-7</v>
      </c>
      <c r="T271" s="125">
        <v>0</v>
      </c>
      <c r="V271" s="125"/>
      <c r="W271" s="125"/>
    </row>
    <row r="272" spans="1:23">
      <c r="A272" s="121">
        <v>43364</v>
      </c>
      <c r="B272" s="125">
        <v>154582614.23949429</v>
      </c>
      <c r="C272" s="125">
        <v>38475246.703531295</v>
      </c>
      <c r="D272" s="125">
        <v>44806290.887982249</v>
      </c>
      <c r="E272" s="125">
        <v>73388920.22952272</v>
      </c>
      <c r="F272" s="123">
        <v>156670457.82103628</v>
      </c>
      <c r="G272" s="125">
        <v>-3630000</v>
      </c>
      <c r="H272" s="125">
        <v>1721.2929248440932</v>
      </c>
      <c r="I272" s="125">
        <v>1018.7545943909574</v>
      </c>
      <c r="J272" s="125">
        <v>511.070434226705</v>
      </c>
      <c r="K272" s="125">
        <v>1126.4140361026446</v>
      </c>
      <c r="L272" s="122">
        <v>2656.2390647203069</v>
      </c>
      <c r="M272" s="125">
        <v>-10</v>
      </c>
      <c r="N272" s="115">
        <v>14819</v>
      </c>
      <c r="P272" s="125">
        <v>0</v>
      </c>
      <c r="Q272" s="125">
        <v>-1541856.2217379999</v>
      </c>
      <c r="S272" s="125">
        <v>-8.0000000000000007E-7</v>
      </c>
      <c r="T272" s="125">
        <v>0</v>
      </c>
      <c r="V272" s="125"/>
      <c r="W272" s="125"/>
    </row>
    <row r="273" spans="1:23">
      <c r="A273" s="121">
        <v>43367</v>
      </c>
      <c r="B273" s="125">
        <v>154704240.77031779</v>
      </c>
      <c r="C273" s="125">
        <v>38848507.910144068</v>
      </c>
      <c r="D273" s="125">
        <v>44810225.438066393</v>
      </c>
      <c r="E273" s="125">
        <v>72611355.064987719</v>
      </c>
      <c r="F273" s="123">
        <v>156270088.41319817</v>
      </c>
      <c r="G273" s="125">
        <v>-3630000</v>
      </c>
      <c r="H273" s="125">
        <v>1745.200446495413</v>
      </c>
      <c r="I273" s="125">
        <v>1021.4932956998041</v>
      </c>
      <c r="J273" s="125">
        <v>528.08597191483022</v>
      </c>
      <c r="K273" s="125">
        <v>1091.0431294026794</v>
      </c>
      <c r="L273" s="122">
        <v>2640.6223970173137</v>
      </c>
      <c r="M273" s="125">
        <v>-10</v>
      </c>
      <c r="N273" s="115">
        <v>14867.5</v>
      </c>
      <c r="P273" s="125">
        <v>0</v>
      </c>
      <c r="Q273" s="125">
        <v>-1546902.447985</v>
      </c>
      <c r="S273" s="125">
        <v>-8.0000000000000007E-7</v>
      </c>
      <c r="T273" s="125">
        <v>0</v>
      </c>
      <c r="V273" s="125"/>
      <c r="W273" s="125"/>
    </row>
    <row r="274" spans="1:23">
      <c r="A274" s="121">
        <v>43368</v>
      </c>
      <c r="B274" s="125">
        <v>154987921.48465684</v>
      </c>
      <c r="C274" s="125">
        <v>38528708.103096478</v>
      </c>
      <c r="D274" s="125">
        <v>45357344.800603777</v>
      </c>
      <c r="E274" s="125">
        <v>73083104.554333746</v>
      </c>
      <c r="F274" s="123">
        <v>156969157.45803401</v>
      </c>
      <c r="G274" s="125">
        <v>-3630000</v>
      </c>
      <c r="H274" s="125">
        <v>1741.228932703619</v>
      </c>
      <c r="I274" s="125">
        <v>989.66804399544696</v>
      </c>
      <c r="J274" s="125">
        <v>510.70036138812173</v>
      </c>
      <c r="K274" s="125">
        <v>1089.986077207785</v>
      </c>
      <c r="L274" s="122">
        <v>2590.3544825913536</v>
      </c>
      <c r="M274" s="125">
        <v>-10</v>
      </c>
      <c r="N274" s="115">
        <v>14920</v>
      </c>
      <c r="P274" s="125">
        <v>0</v>
      </c>
      <c r="Q274" s="125">
        <v>-1552364.85784</v>
      </c>
      <c r="S274" s="125">
        <v>-8.0000000000000007E-7</v>
      </c>
      <c r="T274" s="125">
        <v>0</v>
      </c>
      <c r="V274" s="125"/>
      <c r="W274" s="125"/>
    </row>
    <row r="275" spans="1:23">
      <c r="A275" s="121">
        <v>43369</v>
      </c>
      <c r="B275" s="125">
        <v>154878132.54009026</v>
      </c>
      <c r="C275" s="125">
        <v>38318147.206005856</v>
      </c>
      <c r="D275" s="125">
        <v>45668957.764442489</v>
      </c>
      <c r="E275" s="125">
        <v>73714058.421734706</v>
      </c>
      <c r="F275" s="123">
        <v>157701163.39218307</v>
      </c>
      <c r="G275" s="125">
        <v>-2880000</v>
      </c>
      <c r="H275" s="125">
        <v>1746.4772225137074</v>
      </c>
      <c r="I275" s="125">
        <v>970.84407756001212</v>
      </c>
      <c r="J275" s="125">
        <v>510.24317957830078</v>
      </c>
      <c r="K275" s="125">
        <v>1094.6510124165334</v>
      </c>
      <c r="L275" s="122">
        <v>2575.7382695548463</v>
      </c>
      <c r="M275" s="125">
        <v>-34</v>
      </c>
      <c r="N275" s="115">
        <v>14905</v>
      </c>
      <c r="P275" s="125">
        <v>0</v>
      </c>
      <c r="Q275" s="125">
        <v>-1550804.16931</v>
      </c>
      <c r="S275" s="125">
        <v>-8.0000000000000007E-7</v>
      </c>
      <c r="T275" s="125">
        <v>0</v>
      </c>
      <c r="V275" s="125"/>
      <c r="W275" s="125"/>
    </row>
    <row r="276" spans="1:23">
      <c r="A276" s="121">
        <v>43370</v>
      </c>
      <c r="B276" s="125">
        <v>155210155.66848731</v>
      </c>
      <c r="C276" s="125">
        <v>38269980.112738818</v>
      </c>
      <c r="D276" s="125">
        <v>45772147.833470084</v>
      </c>
      <c r="E276" s="125">
        <v>73160715.918376282</v>
      </c>
      <c r="F276" s="123">
        <v>157202843.86458516</v>
      </c>
      <c r="G276" s="125">
        <v>-1890000</v>
      </c>
      <c r="H276" s="125">
        <v>1755.7410119856186</v>
      </c>
      <c r="I276" s="125">
        <v>998.59883514561875</v>
      </c>
      <c r="J276" s="125">
        <v>508.79557970153655</v>
      </c>
      <c r="K276" s="125">
        <v>1094.5495614278125</v>
      </c>
      <c r="L276" s="122">
        <v>2601.943976274968</v>
      </c>
      <c r="M276" s="125">
        <v>-34</v>
      </c>
      <c r="N276" s="115">
        <v>14917</v>
      </c>
      <c r="P276" s="125">
        <v>0</v>
      </c>
      <c r="Q276" s="125">
        <v>-1552052.7201340001</v>
      </c>
      <c r="S276" s="125">
        <v>-8.0000000000000007E-7</v>
      </c>
      <c r="T276" s="125">
        <v>0</v>
      </c>
      <c r="V276" s="125"/>
      <c r="W276" s="125"/>
    </row>
    <row r="277" spans="1:23">
      <c r="A277" s="121">
        <v>43371</v>
      </c>
      <c r="B277" s="125">
        <v>155400720.65667799</v>
      </c>
      <c r="C277" s="125">
        <v>35503039.931680925</v>
      </c>
      <c r="D277" s="125">
        <v>45969529.166360706</v>
      </c>
      <c r="E277" s="125">
        <v>74393739.869533807</v>
      </c>
      <c r="F277" s="123">
        <v>155866308.96757543</v>
      </c>
      <c r="G277" s="125">
        <v>-1645000</v>
      </c>
      <c r="H277" s="125">
        <v>1727.1861272603267</v>
      </c>
      <c r="I277" s="125">
        <v>1006.5732569868283</v>
      </c>
      <c r="J277" s="125">
        <v>511.51645955666186</v>
      </c>
      <c r="K277" s="125">
        <v>1116.661803059935</v>
      </c>
      <c r="L277" s="122">
        <v>2634.7515196034251</v>
      </c>
      <c r="M277" s="125">
        <v>-24</v>
      </c>
      <c r="N277" s="115">
        <v>14902.5</v>
      </c>
      <c r="P277" s="125">
        <v>0</v>
      </c>
      <c r="Q277" s="125">
        <v>-1550544.054555</v>
      </c>
      <c r="S277" s="125">
        <v>-8.0000000000000007E-7</v>
      </c>
      <c r="T277" s="125">
        <v>0</v>
      </c>
      <c r="V277" s="125"/>
      <c r="W277" s="125"/>
    </row>
    <row r="278" spans="1:23">
      <c r="A278" s="121">
        <v>43373</v>
      </c>
      <c r="B278" s="125">
        <v>155400720.65667799</v>
      </c>
      <c r="C278" s="125">
        <v>35503039.931680925</v>
      </c>
      <c r="D278" s="125">
        <v>45969529.166360706</v>
      </c>
      <c r="E278" s="125">
        <v>74393739.869533807</v>
      </c>
      <c r="F278" s="123">
        <v>155866308.96757543</v>
      </c>
      <c r="G278" s="125">
        <v>-1645000</v>
      </c>
      <c r="H278" s="125">
        <v>1727.1861272603267</v>
      </c>
      <c r="I278" s="125">
        <v>1006.5732569868283</v>
      </c>
      <c r="J278" s="125">
        <v>511.51645955666186</v>
      </c>
      <c r="K278" s="125">
        <v>1116.661803059935</v>
      </c>
      <c r="L278" s="122">
        <v>2634.7515196034251</v>
      </c>
      <c r="M278" s="125">
        <v>-24</v>
      </c>
      <c r="N278" s="115">
        <v>14902.5</v>
      </c>
      <c r="P278" s="125">
        <v>0</v>
      </c>
      <c r="Q278" s="125">
        <v>-1550544.054555</v>
      </c>
      <c r="S278" s="125">
        <v>-8.0000000000000007E-7</v>
      </c>
      <c r="T278" s="125">
        <v>0</v>
      </c>
      <c r="V278" s="125"/>
      <c r="W278" s="125"/>
    </row>
    <row r="279" spans="1:23">
      <c r="A279" s="121">
        <v>43374</v>
      </c>
      <c r="B279" s="125">
        <v>155076716.76174071</v>
      </c>
      <c r="C279" s="125">
        <v>37529423.943095736</v>
      </c>
      <c r="D279" s="125">
        <v>45597408.175931677</v>
      </c>
      <c r="E279" s="125">
        <v>74559295.32896395</v>
      </c>
      <c r="F279" s="123">
        <v>157686127.44799137</v>
      </c>
      <c r="G279" s="125">
        <v>-1645000</v>
      </c>
      <c r="H279" s="125">
        <v>1715.8396541276954</v>
      </c>
      <c r="I279" s="125">
        <v>986.36837493847304</v>
      </c>
      <c r="J279" s="125">
        <v>513.32285974464992</v>
      </c>
      <c r="K279" s="125">
        <v>1103.1792418977238</v>
      </c>
      <c r="L279" s="122">
        <v>2602.870476580847</v>
      </c>
      <c r="M279" s="125">
        <v>-24</v>
      </c>
      <c r="N279" s="115">
        <v>14910</v>
      </c>
      <c r="P279" s="125">
        <v>0</v>
      </c>
      <c r="Q279" s="125">
        <v>-1551324.39882</v>
      </c>
      <c r="S279" s="125">
        <v>-8.0000000000000007E-7</v>
      </c>
      <c r="T279" s="125">
        <v>0</v>
      </c>
      <c r="V279" s="125"/>
      <c r="W279" s="125"/>
    </row>
    <row r="280" spans="1:23">
      <c r="A280" s="121">
        <v>43375</v>
      </c>
      <c r="B280" s="125">
        <v>154754453.80819038</v>
      </c>
      <c r="C280" s="125">
        <v>38480848.456580229</v>
      </c>
      <c r="D280" s="125">
        <v>45699511.255772203</v>
      </c>
      <c r="E280" s="125">
        <v>74796394.359212875</v>
      </c>
      <c r="F280" s="123">
        <v>158976754.0715653</v>
      </c>
      <c r="G280" s="125">
        <v>-895000</v>
      </c>
      <c r="H280" s="125">
        <v>1716.9312685774585</v>
      </c>
      <c r="I280" s="125">
        <v>978.09280691652907</v>
      </c>
      <c r="J280" s="125">
        <v>513.36171981169116</v>
      </c>
      <c r="K280" s="125">
        <v>1102.6505494985404</v>
      </c>
      <c r="L280" s="122">
        <v>2594.1050762267605</v>
      </c>
      <c r="M280" s="125">
        <v>-24</v>
      </c>
      <c r="N280" s="115">
        <v>15047.5</v>
      </c>
      <c r="P280" s="125">
        <v>0</v>
      </c>
      <c r="Q280" s="125">
        <v>-1565630.710345</v>
      </c>
      <c r="S280" s="125">
        <v>-8.0000000000000007E-7</v>
      </c>
      <c r="T280" s="125">
        <v>0</v>
      </c>
      <c r="V280" s="125"/>
      <c r="W280" s="125"/>
    </row>
    <row r="281" spans="1:23">
      <c r="A281" s="121">
        <v>43376</v>
      </c>
      <c r="B281" s="125">
        <v>154612755.24187165</v>
      </c>
      <c r="C281" s="125">
        <v>38282333.323352702</v>
      </c>
      <c r="D281" s="125">
        <v>45670951.120199762</v>
      </c>
      <c r="E281" s="125">
        <v>74728428.303517878</v>
      </c>
      <c r="F281" s="123">
        <v>158681712.74707034</v>
      </c>
      <c r="G281" s="125">
        <v>-125000</v>
      </c>
      <c r="H281" s="125">
        <v>1710.8175526185989</v>
      </c>
      <c r="I281" s="125">
        <v>988.15198472844838</v>
      </c>
      <c r="J281" s="125">
        <v>510.1198252731495</v>
      </c>
      <c r="K281" s="125">
        <v>1095.3185874304518</v>
      </c>
      <c r="L281" s="122">
        <v>2593.5903974320499</v>
      </c>
      <c r="M281" s="125">
        <v>-39</v>
      </c>
      <c r="N281" s="115">
        <v>15075</v>
      </c>
      <c r="P281" s="125">
        <v>0</v>
      </c>
      <c r="Q281" s="125">
        <v>-1568491.9726499999</v>
      </c>
      <c r="S281" s="125">
        <v>-8.0000000000000007E-7</v>
      </c>
      <c r="T281" s="125">
        <v>0</v>
      </c>
      <c r="V281" s="125"/>
      <c r="W281" s="125"/>
    </row>
    <row r="282" spans="1:23">
      <c r="A282" s="121">
        <v>43377</v>
      </c>
      <c r="B282" s="125">
        <v>154770992.07702532</v>
      </c>
      <c r="C282" s="125">
        <v>38899094.648964755</v>
      </c>
      <c r="D282" s="125">
        <v>45702654.306446426</v>
      </c>
      <c r="E282" s="125">
        <v>74254224.460041583</v>
      </c>
      <c r="F282" s="123">
        <v>158855973.41545278</v>
      </c>
      <c r="G282" s="125">
        <v>-125000</v>
      </c>
      <c r="H282" s="125">
        <v>1739.4174282207912</v>
      </c>
      <c r="I282" s="125">
        <v>956.04540967278933</v>
      </c>
      <c r="J282" s="125">
        <v>508.54710123439679</v>
      </c>
      <c r="K282" s="125">
        <v>1095.1920147696992</v>
      </c>
      <c r="L282" s="122">
        <v>2559.7845256768851</v>
      </c>
      <c r="M282" s="125">
        <v>-24</v>
      </c>
      <c r="N282" s="115">
        <v>15170</v>
      </c>
      <c r="P282" s="125">
        <v>0</v>
      </c>
      <c r="Q282" s="125">
        <v>-1578376.3333399999</v>
      </c>
      <c r="S282" s="125">
        <v>-8.0000000000000007E-7</v>
      </c>
      <c r="T282" s="125">
        <v>0</v>
      </c>
      <c r="V282" s="125"/>
      <c r="W282" s="125"/>
    </row>
    <row r="283" spans="1:23">
      <c r="A283" s="121">
        <v>43378</v>
      </c>
      <c r="B283" s="125">
        <v>154767546.26260343</v>
      </c>
      <c r="C283" s="125">
        <v>38318000.171831347</v>
      </c>
      <c r="D283" s="125">
        <v>45630882.241828434</v>
      </c>
      <c r="E283" s="125">
        <v>74927564.936517552</v>
      </c>
      <c r="F283" s="123">
        <v>158876447.35017735</v>
      </c>
      <c r="G283" s="125">
        <v>-125000</v>
      </c>
      <c r="H283" s="125">
        <v>1745.9869241069578</v>
      </c>
      <c r="I283" s="125">
        <v>967.97678249855801</v>
      </c>
      <c r="J283" s="125">
        <v>507.7773997296726</v>
      </c>
      <c r="K283" s="125">
        <v>1092.6939700967721</v>
      </c>
      <c r="L283" s="122">
        <v>2568.4481523250024</v>
      </c>
      <c r="M283" s="125">
        <v>-24</v>
      </c>
      <c r="N283" s="115">
        <v>15180</v>
      </c>
      <c r="P283" s="125">
        <v>0</v>
      </c>
      <c r="Q283" s="125">
        <v>-1579416.7923600001</v>
      </c>
      <c r="S283" s="125">
        <v>-8.0000000000000007E-7</v>
      </c>
      <c r="T283" s="125">
        <v>0</v>
      </c>
      <c r="V283" s="125"/>
      <c r="W283" s="125"/>
    </row>
    <row r="284" spans="1:23">
      <c r="A284" s="121">
        <v>43381</v>
      </c>
      <c r="B284" s="125">
        <v>154647974.47625709</v>
      </c>
      <c r="C284" s="125">
        <v>39890741.76357767</v>
      </c>
      <c r="D284" s="125">
        <v>45407558.512259886</v>
      </c>
      <c r="E284" s="125">
        <v>74231357.368872762</v>
      </c>
      <c r="F284" s="123">
        <v>159529657.6447103</v>
      </c>
      <c r="G284" s="125">
        <v>-125000</v>
      </c>
      <c r="H284" s="125">
        <v>1748.8687437188867</v>
      </c>
      <c r="I284" s="125">
        <v>954.49331056421545</v>
      </c>
      <c r="J284" s="125">
        <v>506.97002868077254</v>
      </c>
      <c r="K284" s="125">
        <v>1089.0429229709439</v>
      </c>
      <c r="L284" s="122">
        <v>2550.5062622159321</v>
      </c>
      <c r="M284" s="125">
        <v>-24</v>
      </c>
      <c r="N284" s="115">
        <v>15217.5</v>
      </c>
      <c r="P284" s="125">
        <v>0</v>
      </c>
      <c r="Q284" s="125">
        <v>-1583318.5136849999</v>
      </c>
      <c r="S284" s="125">
        <v>-8.0000000000000007E-7</v>
      </c>
      <c r="T284" s="125">
        <v>0</v>
      </c>
      <c r="V284" s="125"/>
      <c r="W284" s="125"/>
    </row>
    <row r="285" spans="1:23">
      <c r="A285" s="121">
        <v>43382</v>
      </c>
      <c r="B285" s="125">
        <v>154104220.46242529</v>
      </c>
      <c r="C285" s="125">
        <v>37563097.518511161</v>
      </c>
      <c r="D285" s="125">
        <v>45369543.497050315</v>
      </c>
      <c r="E285" s="125">
        <v>74231885.77592811</v>
      </c>
      <c r="F285" s="123">
        <v>157164526.7914896</v>
      </c>
      <c r="G285" s="125">
        <v>-1125000</v>
      </c>
      <c r="H285" s="125">
        <v>1745.4952722175854</v>
      </c>
      <c r="I285" s="125">
        <v>932.96575938094531</v>
      </c>
      <c r="J285" s="125">
        <v>504.13161266876045</v>
      </c>
      <c r="K285" s="125">
        <v>1100.700832229157</v>
      </c>
      <c r="L285" s="122">
        <v>2537.7982042788626</v>
      </c>
      <c r="M285" s="125">
        <v>-24</v>
      </c>
      <c r="N285" s="115">
        <v>15230.5</v>
      </c>
      <c r="P285" s="125">
        <v>0</v>
      </c>
      <c r="Q285" s="125">
        <v>-1584671.110411</v>
      </c>
      <c r="S285" s="125">
        <v>-8.0000000000000007E-7</v>
      </c>
      <c r="T285" s="125">
        <v>0</v>
      </c>
      <c r="V285" s="125"/>
      <c r="W285" s="125"/>
    </row>
    <row r="286" spans="1:23">
      <c r="A286" s="121">
        <v>43383</v>
      </c>
      <c r="B286" s="125">
        <v>153236388.95124358</v>
      </c>
      <c r="C286" s="125">
        <v>38974773.571275532</v>
      </c>
      <c r="D286" s="125">
        <v>45469599.496859223</v>
      </c>
      <c r="E286" s="125">
        <v>73911887.268453315</v>
      </c>
      <c r="F286" s="123">
        <v>158356260.33658808</v>
      </c>
      <c r="G286" s="125">
        <v>-1125000</v>
      </c>
      <c r="H286" s="125">
        <v>1748.7367768584731</v>
      </c>
      <c r="I286" s="125">
        <v>957.67831171184025</v>
      </c>
      <c r="J286" s="125">
        <v>502.41020092939192</v>
      </c>
      <c r="K286" s="125">
        <v>1102.9138460054542</v>
      </c>
      <c r="L286" s="122">
        <v>2563.0023586466864</v>
      </c>
      <c r="M286" s="125">
        <v>0</v>
      </c>
      <c r="N286" s="115">
        <v>15203</v>
      </c>
      <c r="P286" s="125">
        <v>0</v>
      </c>
      <c r="Q286" s="125">
        <v>-1581809.8481060001</v>
      </c>
      <c r="S286" s="125">
        <v>-8.0000000000000007E-7</v>
      </c>
      <c r="T286" s="125">
        <v>0</v>
      </c>
      <c r="V286" s="125"/>
      <c r="W286" s="125"/>
    </row>
    <row r="287" spans="1:23">
      <c r="A287" s="121">
        <v>43384</v>
      </c>
      <c r="B287" s="125">
        <v>153578521.89802966</v>
      </c>
      <c r="C287" s="125">
        <v>39605161.054816291</v>
      </c>
      <c r="D287" s="125">
        <v>45333891.321838118</v>
      </c>
      <c r="E287" s="125">
        <v>74083965.508419156</v>
      </c>
      <c r="F287" s="123">
        <v>159023017.88507357</v>
      </c>
      <c r="G287" s="125">
        <v>-1125000</v>
      </c>
      <c r="H287" s="125">
        <v>1755.5877637739732</v>
      </c>
      <c r="I287" s="125">
        <v>1019.4167096929998</v>
      </c>
      <c r="J287" s="125">
        <v>502.46739241190267</v>
      </c>
      <c r="K287" s="125">
        <v>1114.9003667935583</v>
      </c>
      <c r="L287" s="122">
        <v>2636.7844688984605</v>
      </c>
      <c r="M287" s="125">
        <v>0</v>
      </c>
      <c r="N287" s="115">
        <v>15235</v>
      </c>
      <c r="P287" s="125">
        <v>0</v>
      </c>
      <c r="Q287" s="125">
        <v>-1585139.31697</v>
      </c>
      <c r="S287" s="125">
        <v>-8.0000000000000007E-7</v>
      </c>
      <c r="T287" s="125">
        <v>0</v>
      </c>
      <c r="V287" s="125"/>
      <c r="W287" s="125"/>
    </row>
    <row r="288" spans="1:23">
      <c r="A288" s="121">
        <v>43385</v>
      </c>
      <c r="B288" s="125">
        <v>153261856.11162031</v>
      </c>
      <c r="C288" s="125">
        <v>38334832.854451656</v>
      </c>
      <c r="D288" s="125">
        <v>45384484.98208949</v>
      </c>
      <c r="E288" s="125">
        <v>73795829.738827035</v>
      </c>
      <c r="F288" s="123">
        <v>157515147.57536817</v>
      </c>
      <c r="G288" s="125">
        <v>-1125000</v>
      </c>
      <c r="H288" s="125">
        <v>1774.6111424982046</v>
      </c>
      <c r="I288" s="125">
        <v>1046.3541604829493</v>
      </c>
      <c r="J288" s="125">
        <v>502.22052386674653</v>
      </c>
      <c r="K288" s="125">
        <v>1135.0662110346223</v>
      </c>
      <c r="L288" s="122">
        <v>2683.6408953843184</v>
      </c>
      <c r="M288" s="125">
        <v>0</v>
      </c>
      <c r="N288" s="115">
        <v>15205</v>
      </c>
      <c r="P288" s="125">
        <v>0</v>
      </c>
      <c r="Q288" s="125">
        <v>-1582017.93991</v>
      </c>
      <c r="S288" s="125">
        <v>-8.0000000000000007E-7</v>
      </c>
      <c r="T288" s="125">
        <v>0</v>
      </c>
      <c r="V288" s="125"/>
      <c r="W288" s="125"/>
    </row>
    <row r="289" spans="1:23">
      <c r="A289" s="121">
        <v>43388</v>
      </c>
      <c r="B289" s="125">
        <v>153411580.92862949</v>
      </c>
      <c r="C289" s="125">
        <v>38956830.625730984</v>
      </c>
      <c r="D289" s="125">
        <v>45610875.90815562</v>
      </c>
      <c r="E289" s="125">
        <v>72646057.600751758</v>
      </c>
      <c r="F289" s="123">
        <v>157213764.13463837</v>
      </c>
      <c r="G289" s="125">
        <v>-1120000</v>
      </c>
      <c r="H289" s="125">
        <v>1778.1019290436402</v>
      </c>
      <c r="I289" s="125">
        <v>1076.3848009016101</v>
      </c>
      <c r="J289" s="125">
        <v>506.05097978266809</v>
      </c>
      <c r="K289" s="125">
        <v>1138.1610846620702</v>
      </c>
      <c r="L289" s="122">
        <v>2720.5968653463483</v>
      </c>
      <c r="M289" s="125">
        <v>0</v>
      </c>
      <c r="N289" s="115">
        <v>15210</v>
      </c>
      <c r="P289" s="125">
        <v>0</v>
      </c>
      <c r="Q289" s="125">
        <v>-1201936.0579200001</v>
      </c>
      <c r="S289" s="125">
        <v>-8.0000000000000007E-7</v>
      </c>
      <c r="T289" s="125">
        <v>0</v>
      </c>
      <c r="V289" s="125"/>
      <c r="W289" s="125"/>
    </row>
    <row r="290" spans="1:23">
      <c r="A290" s="121">
        <v>43389</v>
      </c>
      <c r="B290" s="125">
        <v>153354827.34295422</v>
      </c>
      <c r="C290" s="125">
        <v>38700521.02164074</v>
      </c>
      <c r="D290" s="125">
        <v>45689935.259308659</v>
      </c>
      <c r="E290" s="125">
        <v>73349034.775029182</v>
      </c>
      <c r="F290" s="123">
        <v>157739491.0559786</v>
      </c>
      <c r="G290" s="125">
        <v>-1120000</v>
      </c>
      <c r="H290" s="125">
        <v>1765.8015171184209</v>
      </c>
      <c r="I290" s="125">
        <v>1068.5072033885001</v>
      </c>
      <c r="J290" s="125">
        <v>502.85681834327175</v>
      </c>
      <c r="K290" s="125">
        <v>1144.8229367759527</v>
      </c>
      <c r="L290" s="122">
        <v>2716.1869585077247</v>
      </c>
      <c r="M290" s="125">
        <v>0</v>
      </c>
      <c r="N290" s="115">
        <v>15200</v>
      </c>
      <c r="P290" s="125">
        <v>-161335.79999999999</v>
      </c>
      <c r="Q290" s="125">
        <v>-1201145.8304000001</v>
      </c>
      <c r="S290" s="125">
        <v>-8.0000000000000007E-7</v>
      </c>
      <c r="T290" s="125">
        <v>0</v>
      </c>
      <c r="V290" s="125"/>
      <c r="W290" s="125"/>
    </row>
    <row r="291" spans="1:23">
      <c r="A291" s="121">
        <v>43390</v>
      </c>
      <c r="B291" s="125">
        <v>153158831.75612497</v>
      </c>
      <c r="C291" s="125">
        <v>38678845.660638079</v>
      </c>
      <c r="D291" s="125">
        <v>45636560.950265571</v>
      </c>
      <c r="E291" s="125">
        <v>73612276.721683517</v>
      </c>
      <c r="F291" s="123">
        <v>157927683.33258718</v>
      </c>
      <c r="G291" s="125">
        <v>-1120000</v>
      </c>
      <c r="H291" s="125">
        <v>1765.6211631274327</v>
      </c>
      <c r="I291" s="125">
        <v>1051.1125555682825</v>
      </c>
      <c r="J291" s="125">
        <v>503.65088472493858</v>
      </c>
      <c r="K291" s="125">
        <v>1143.0235789657775</v>
      </c>
      <c r="L291" s="122">
        <v>2697.7870192589985</v>
      </c>
      <c r="M291" s="125">
        <v>0</v>
      </c>
      <c r="N291" s="115">
        <v>15155</v>
      </c>
      <c r="P291" s="125">
        <v>-161335.79999999999</v>
      </c>
      <c r="Q291" s="125">
        <v>-1197589.8065599999</v>
      </c>
      <c r="S291" s="125">
        <v>-8.0000000000000007E-7</v>
      </c>
      <c r="T291" s="125">
        <v>0</v>
      </c>
      <c r="V291" s="125"/>
      <c r="W291" s="125"/>
    </row>
    <row r="292" spans="1:23">
      <c r="A292" s="121">
        <v>43391</v>
      </c>
      <c r="B292" s="125">
        <v>153531556.26285067</v>
      </c>
      <c r="C292" s="125">
        <v>38494361.339495823</v>
      </c>
      <c r="D292" s="125">
        <v>45791727.188696064</v>
      </c>
      <c r="E292" s="125">
        <v>73848995.727965519</v>
      </c>
      <c r="F292" s="123">
        <v>158135084.2561574</v>
      </c>
      <c r="G292" s="125">
        <v>-1120000</v>
      </c>
      <c r="H292" s="125">
        <v>1771.5736172841425</v>
      </c>
      <c r="I292" s="125">
        <v>1048.0929145513801</v>
      </c>
      <c r="J292" s="125">
        <v>503.97570642175833</v>
      </c>
      <c r="K292" s="125">
        <v>1152.9354141783299</v>
      </c>
      <c r="L292" s="122">
        <v>2705.0040351514681</v>
      </c>
      <c r="M292" s="125">
        <v>0</v>
      </c>
      <c r="N292" s="115">
        <v>15193.5</v>
      </c>
      <c r="P292" s="125">
        <v>-161335.79999999999</v>
      </c>
      <c r="Q292" s="125">
        <v>-1200632.182512</v>
      </c>
      <c r="S292" s="125">
        <v>-8.0000000000000007E-7</v>
      </c>
      <c r="T292" s="125">
        <v>0</v>
      </c>
      <c r="V292" s="125"/>
      <c r="W292" s="125"/>
    </row>
    <row r="293" spans="1:23">
      <c r="A293" s="121">
        <v>43392</v>
      </c>
      <c r="B293" s="125">
        <v>152768935.41160506</v>
      </c>
      <c r="C293" s="125">
        <v>38998291.605228819</v>
      </c>
      <c r="D293" s="125">
        <v>45998785.675197639</v>
      </c>
      <c r="E293" s="125">
        <v>74043597.565238073</v>
      </c>
      <c r="F293" s="123">
        <v>159040674.84566453</v>
      </c>
      <c r="G293" s="125">
        <v>-1120000</v>
      </c>
      <c r="H293" s="125">
        <v>1780.172536250026</v>
      </c>
      <c r="I293" s="125">
        <v>1012.6184890294406</v>
      </c>
      <c r="J293" s="125">
        <v>501.8436416067467</v>
      </c>
      <c r="K293" s="125">
        <v>1165.3374263812948</v>
      </c>
      <c r="L293" s="122">
        <v>2679.7995570174821</v>
      </c>
      <c r="M293" s="125">
        <v>0</v>
      </c>
      <c r="N293" s="115">
        <v>15187.5</v>
      </c>
      <c r="P293" s="125">
        <v>-161335.79999999999</v>
      </c>
      <c r="Q293" s="125">
        <v>0</v>
      </c>
      <c r="S293" s="125">
        <v>-8.0000000000000007E-7</v>
      </c>
      <c r="T293" s="125">
        <v>0</v>
      </c>
      <c r="V293" s="125"/>
      <c r="W293" s="125"/>
    </row>
    <row r="294" spans="1:23">
      <c r="A294" s="121">
        <v>43395</v>
      </c>
      <c r="B294" s="125">
        <v>152921608.34205538</v>
      </c>
      <c r="C294" s="125">
        <v>38263054.20578374</v>
      </c>
      <c r="D294" s="125">
        <v>45816728.412569024</v>
      </c>
      <c r="E294" s="125">
        <v>73743256.970640466</v>
      </c>
      <c r="F294" s="123">
        <v>157823039.58899325</v>
      </c>
      <c r="G294" s="125">
        <v>-1120000</v>
      </c>
      <c r="H294" s="125">
        <v>1763.5754573178251</v>
      </c>
      <c r="I294" s="125">
        <v>1019.2321973338683</v>
      </c>
      <c r="J294" s="125">
        <v>502.52466832136247</v>
      </c>
      <c r="K294" s="125">
        <v>1152.7381039664372</v>
      </c>
      <c r="L294" s="122">
        <v>2674.4949696216681</v>
      </c>
      <c r="M294" s="125">
        <v>0</v>
      </c>
      <c r="N294" s="115">
        <v>15185</v>
      </c>
      <c r="P294" s="125">
        <v>-161335.79999999999</v>
      </c>
      <c r="Q294" s="125">
        <v>0</v>
      </c>
      <c r="S294" s="125">
        <v>-8.0000000000000007E-7</v>
      </c>
      <c r="T294" s="125">
        <v>0</v>
      </c>
      <c r="V294" s="125"/>
      <c r="W294" s="125"/>
    </row>
    <row r="295" spans="1:23">
      <c r="A295" s="121">
        <v>43396</v>
      </c>
      <c r="B295" s="125">
        <v>153052495.77321464</v>
      </c>
      <c r="C295" s="125">
        <v>39689665.884798944</v>
      </c>
      <c r="D295" s="125">
        <v>45826854.357839957</v>
      </c>
      <c r="E295" s="125">
        <v>73917925.348680839</v>
      </c>
      <c r="F295" s="123">
        <v>159434445.59131974</v>
      </c>
      <c r="G295" s="125">
        <v>-1120000</v>
      </c>
      <c r="H295" s="125">
        <v>1759.9816451748327</v>
      </c>
      <c r="I295" s="125">
        <v>997.73337150586019</v>
      </c>
      <c r="J295" s="125">
        <v>503.47179284701724</v>
      </c>
      <c r="K295" s="125">
        <v>1151.1759752152727</v>
      </c>
      <c r="L295" s="122">
        <v>2652.3811395681505</v>
      </c>
      <c r="M295" s="125">
        <v>0</v>
      </c>
      <c r="N295" s="115">
        <v>15190</v>
      </c>
      <c r="P295" s="125">
        <v>-161335.79999999999</v>
      </c>
      <c r="Q295" s="125">
        <v>0</v>
      </c>
      <c r="S295" s="125">
        <v>-8.0000000000000007E-7</v>
      </c>
      <c r="T295" s="125">
        <v>0</v>
      </c>
      <c r="V295" s="125"/>
      <c r="W295" s="125"/>
    </row>
    <row r="296" spans="1:23">
      <c r="A296" s="121">
        <v>43397</v>
      </c>
      <c r="B296" s="125">
        <v>153522084.34304252</v>
      </c>
      <c r="C296" s="125">
        <v>38861623.061944276</v>
      </c>
      <c r="D296" s="125">
        <v>45931383.023073383</v>
      </c>
      <c r="E296" s="125">
        <v>73141193.680552468</v>
      </c>
      <c r="F296" s="123">
        <v>157934199.7655701</v>
      </c>
      <c r="G296" s="125">
        <v>-1120000</v>
      </c>
      <c r="H296" s="125">
        <v>1762.4088520913765</v>
      </c>
      <c r="I296" s="125">
        <v>989.3016219879471</v>
      </c>
      <c r="J296" s="125">
        <v>503.51189324781126</v>
      </c>
      <c r="K296" s="125">
        <v>1160.3522487627331</v>
      </c>
      <c r="L296" s="122">
        <v>2653.1657639984915</v>
      </c>
      <c r="M296" s="125">
        <v>0</v>
      </c>
      <c r="N296" s="115">
        <v>15197</v>
      </c>
      <c r="P296" s="125">
        <v>-161335.79999999999</v>
      </c>
      <c r="Q296" s="125">
        <v>0</v>
      </c>
      <c r="S296" s="125">
        <v>-8.0000000000000007E-7</v>
      </c>
      <c r="T296" s="125">
        <v>0</v>
      </c>
      <c r="V296" s="125"/>
      <c r="W296" s="125"/>
    </row>
    <row r="297" spans="1:23">
      <c r="A297" s="121">
        <v>43398</v>
      </c>
      <c r="B297" s="125">
        <v>153296837.02622789</v>
      </c>
      <c r="C297" s="125">
        <v>37269754.661208309</v>
      </c>
      <c r="D297" s="125">
        <v>46671829.322005883</v>
      </c>
      <c r="E297" s="125">
        <v>73802292.711919621</v>
      </c>
      <c r="F297" s="123">
        <v>157743876.69513381</v>
      </c>
      <c r="G297" s="125">
        <v>-1120000</v>
      </c>
      <c r="H297" s="125">
        <v>1761.4037111112627</v>
      </c>
      <c r="I297" s="125">
        <v>1011.9071983915077</v>
      </c>
      <c r="J297" s="125">
        <v>503.57402945786112</v>
      </c>
      <c r="K297" s="125">
        <v>1117.6146190890265</v>
      </c>
      <c r="L297" s="122">
        <v>2633.095846938395</v>
      </c>
      <c r="M297" s="125">
        <v>0</v>
      </c>
      <c r="N297" s="115">
        <v>15187.5</v>
      </c>
      <c r="P297" s="125">
        <v>-161335.79999999999</v>
      </c>
      <c r="Q297" s="125">
        <v>0</v>
      </c>
      <c r="S297" s="125">
        <v>-8.0000000000000007E-7</v>
      </c>
      <c r="T297" s="125">
        <v>0</v>
      </c>
      <c r="V297" s="125"/>
      <c r="W297" s="125"/>
    </row>
    <row r="298" spans="1:23">
      <c r="A298" s="121">
        <v>43399</v>
      </c>
      <c r="B298" s="125">
        <v>153395904.13890663</v>
      </c>
      <c r="C298" s="125">
        <v>37897702.05738087</v>
      </c>
      <c r="D298" s="125">
        <v>47224203.493063897</v>
      </c>
      <c r="E298" s="125">
        <v>73902101.701556474</v>
      </c>
      <c r="F298" s="123">
        <v>159024007.25200123</v>
      </c>
      <c r="G298" s="125">
        <v>-1120000</v>
      </c>
      <c r="H298" s="125">
        <v>1760.059876179374</v>
      </c>
      <c r="I298" s="125">
        <v>1005.1402416239033</v>
      </c>
      <c r="J298" s="125">
        <v>503.2495979072657</v>
      </c>
      <c r="K298" s="125">
        <v>1110.7958980161186</v>
      </c>
      <c r="L298" s="122">
        <v>2619.1857375472873</v>
      </c>
      <c r="M298" s="125">
        <v>0</v>
      </c>
      <c r="N298" s="115">
        <v>15216.5</v>
      </c>
      <c r="P298" s="125">
        <v>-161335.79999999999</v>
      </c>
      <c r="Q298" s="125">
        <v>0</v>
      </c>
      <c r="S298" s="125">
        <v>-8.0000000000000007E-7</v>
      </c>
      <c r="T298" s="125">
        <v>0</v>
      </c>
      <c r="V298" s="125"/>
      <c r="W298" s="125"/>
    </row>
    <row r="299" spans="1:23">
      <c r="A299" s="121">
        <v>43402</v>
      </c>
      <c r="B299" s="125">
        <v>153625167.12451786</v>
      </c>
      <c r="C299" s="125">
        <v>37224117.755026393</v>
      </c>
      <c r="D299" s="125">
        <v>47015219.809145197</v>
      </c>
      <c r="E299" s="125">
        <v>73079060.373932183</v>
      </c>
      <c r="F299" s="123">
        <v>157318397.93810377</v>
      </c>
      <c r="G299" s="125">
        <v>-1120000</v>
      </c>
      <c r="H299" s="125">
        <v>1760.2098704970424</v>
      </c>
      <c r="I299" s="125">
        <v>994.586667569729</v>
      </c>
      <c r="J299" s="125">
        <v>502.93845970588313</v>
      </c>
      <c r="K299" s="125">
        <v>1119.5158926203403</v>
      </c>
      <c r="L299" s="122">
        <v>2617.0410198959526</v>
      </c>
      <c r="M299" s="125">
        <v>0</v>
      </c>
      <c r="N299" s="115">
        <v>15220</v>
      </c>
      <c r="P299" s="125">
        <v>-161335.79999999999</v>
      </c>
      <c r="Q299" s="125">
        <v>0</v>
      </c>
      <c r="S299" s="125">
        <v>-8.0000000000000007E-7</v>
      </c>
      <c r="T299" s="125">
        <v>0</v>
      </c>
      <c r="V299" s="125"/>
      <c r="W299" s="125"/>
    </row>
    <row r="300" spans="1:23">
      <c r="A300" s="121">
        <v>43403</v>
      </c>
      <c r="B300" s="125">
        <v>153927759.63492242</v>
      </c>
      <c r="C300" s="125">
        <v>36698634.202632122</v>
      </c>
      <c r="D300" s="125">
        <v>46722292.965826057</v>
      </c>
      <c r="E300" s="125">
        <v>73263801.415311173</v>
      </c>
      <c r="F300" s="123">
        <v>156684728.58376935</v>
      </c>
      <c r="G300" s="125">
        <v>-1120000</v>
      </c>
      <c r="H300" s="125">
        <v>1753.3888954790539</v>
      </c>
      <c r="I300" s="125">
        <v>1013.1150645511675</v>
      </c>
      <c r="J300" s="125">
        <v>504.09775252064895</v>
      </c>
      <c r="K300" s="125">
        <v>1107.0007166238013</v>
      </c>
      <c r="L300" s="122">
        <v>2624.213533695618</v>
      </c>
      <c r="M300" s="125">
        <v>0</v>
      </c>
      <c r="N300" s="115">
        <v>15223</v>
      </c>
      <c r="P300" s="125">
        <v>-161335.79999999999</v>
      </c>
      <c r="Q300" s="125">
        <v>0</v>
      </c>
      <c r="S300" s="125">
        <v>-8.0000000000000007E-7</v>
      </c>
      <c r="T300" s="125">
        <v>0</v>
      </c>
      <c r="V300" s="125"/>
      <c r="W300" s="125"/>
    </row>
    <row r="301" spans="1:23">
      <c r="A301" s="121">
        <v>43404</v>
      </c>
      <c r="B301" s="125">
        <v>155359829.71338737</v>
      </c>
      <c r="C301" s="125">
        <v>36184805.718546525</v>
      </c>
      <c r="D301" s="125">
        <v>45805746.11310862</v>
      </c>
      <c r="E301" s="125">
        <v>74144392.570797965</v>
      </c>
      <c r="F301" s="123">
        <v>156134944.40245312</v>
      </c>
      <c r="G301" s="125">
        <v>-2729000</v>
      </c>
      <c r="H301" s="125">
        <v>1784.9991909976593</v>
      </c>
      <c r="I301" s="125">
        <v>1016.5391896579396</v>
      </c>
      <c r="J301" s="125">
        <v>503.43478523851417</v>
      </c>
      <c r="K301" s="125">
        <v>1124.6402184020103</v>
      </c>
      <c r="L301" s="122">
        <v>2644.6141932984638</v>
      </c>
      <c r="M301" s="125">
        <v>0</v>
      </c>
      <c r="N301" s="115">
        <v>15202.5</v>
      </c>
      <c r="P301" s="125">
        <v>-161335.79999999999</v>
      </c>
      <c r="Q301" s="125">
        <v>0</v>
      </c>
      <c r="S301" s="125">
        <v>-8.0000000000000007E-7</v>
      </c>
      <c r="T301" s="125">
        <v>0</v>
      </c>
      <c r="V301" s="125"/>
      <c r="W301" s="125"/>
    </row>
    <row r="302" spans="1:23">
      <c r="A302" s="121">
        <v>43405</v>
      </c>
      <c r="B302" s="125">
        <v>154830447.8116962</v>
      </c>
      <c r="C302" s="125">
        <v>36755219.521144897</v>
      </c>
      <c r="D302" s="125">
        <v>45536372.566727772</v>
      </c>
      <c r="E302" s="125">
        <v>74289396.340459317</v>
      </c>
      <c r="F302" s="123">
        <v>156580988.42833197</v>
      </c>
      <c r="G302" s="125">
        <v>-1120000</v>
      </c>
      <c r="H302" s="125">
        <v>1776.0587604414873</v>
      </c>
      <c r="I302" s="125">
        <v>1039.5228784254023</v>
      </c>
      <c r="J302" s="125">
        <v>500.79672251586561</v>
      </c>
      <c r="K302" s="125">
        <v>1122.1709342473534</v>
      </c>
      <c r="L302" s="122">
        <v>2662.4905351886214</v>
      </c>
      <c r="M302" s="125">
        <v>0</v>
      </c>
      <c r="N302" s="115">
        <v>15127.5</v>
      </c>
      <c r="P302" s="125">
        <v>-161335.79999999999</v>
      </c>
      <c r="Q302" s="125">
        <v>0</v>
      </c>
      <c r="S302" s="125">
        <v>-8.0000000000000007E-7</v>
      </c>
      <c r="T302" s="125">
        <v>0</v>
      </c>
      <c r="V302" s="125"/>
      <c r="W302" s="125"/>
    </row>
    <row r="303" spans="1:23">
      <c r="A303" s="121">
        <v>43406</v>
      </c>
      <c r="B303" s="125">
        <v>154671417.99049872</v>
      </c>
      <c r="C303" s="125">
        <v>36601701.743679143</v>
      </c>
      <c r="D303" s="125">
        <v>45367500.50827603</v>
      </c>
      <c r="E303" s="125">
        <v>74891900.65690574</v>
      </c>
      <c r="F303" s="123">
        <v>156861102.90886092</v>
      </c>
      <c r="G303" s="125">
        <v>-1120000</v>
      </c>
      <c r="H303" s="125">
        <v>1782.5564669608373</v>
      </c>
      <c r="I303" s="125">
        <v>1119.9649941165112</v>
      </c>
      <c r="J303" s="125">
        <v>501.22886838432419</v>
      </c>
      <c r="K303" s="125">
        <v>1133.5052258230066</v>
      </c>
      <c r="L303" s="122">
        <v>2754.6990883238423</v>
      </c>
      <c r="M303" s="125">
        <v>0</v>
      </c>
      <c r="N303" s="115">
        <v>14952.5</v>
      </c>
      <c r="P303" s="125">
        <v>-161335.79999999999</v>
      </c>
      <c r="Q303" s="125">
        <v>0</v>
      </c>
      <c r="S303" s="125">
        <v>-8.0000000000000007E-7</v>
      </c>
      <c r="T303" s="125">
        <v>0</v>
      </c>
      <c r="V303" s="125"/>
      <c r="W303" s="125"/>
    </row>
    <row r="304" spans="1:23">
      <c r="A304" s="121">
        <v>43409</v>
      </c>
      <c r="B304" s="125">
        <v>153964310.99878916</v>
      </c>
      <c r="C304" s="125">
        <v>38162521.065031223</v>
      </c>
      <c r="D304" s="125">
        <v>45260781.616316982</v>
      </c>
      <c r="E304" s="125">
        <v>75167075.017215967</v>
      </c>
      <c r="F304" s="123">
        <v>158590377.69856417</v>
      </c>
      <c r="G304" s="125">
        <v>-1120000</v>
      </c>
      <c r="H304" s="125">
        <v>1774.4146909520803</v>
      </c>
      <c r="I304" s="125">
        <v>1161.9135655324981</v>
      </c>
      <c r="J304" s="125">
        <v>500.63067093120532</v>
      </c>
      <c r="K304" s="125">
        <v>1134.1859161102871</v>
      </c>
      <c r="L304" s="122">
        <v>2796.7301525739904</v>
      </c>
      <c r="M304" s="125">
        <v>0</v>
      </c>
      <c r="N304" s="115">
        <v>14976</v>
      </c>
      <c r="P304" s="125">
        <v>-251849.7</v>
      </c>
      <c r="Q304" s="125">
        <v>0</v>
      </c>
      <c r="S304" s="125">
        <v>-8.0000000000000007E-7</v>
      </c>
      <c r="T304" s="125">
        <v>0</v>
      </c>
      <c r="V304" s="125"/>
      <c r="W304" s="125"/>
    </row>
    <row r="305" spans="1:23">
      <c r="A305" s="121">
        <v>43410</v>
      </c>
      <c r="B305" s="125">
        <v>153719436.42776349</v>
      </c>
      <c r="C305" s="125">
        <v>36512981.108101197</v>
      </c>
      <c r="D305" s="125">
        <v>45053562.442184664</v>
      </c>
      <c r="E305" s="125">
        <v>75307745.192985684</v>
      </c>
      <c r="F305" s="123">
        <v>156874288.74327153</v>
      </c>
      <c r="G305" s="125">
        <v>-1120000</v>
      </c>
      <c r="H305" s="125">
        <v>1780.3968408506246</v>
      </c>
      <c r="I305" s="125">
        <v>1141.9960884503573</v>
      </c>
      <c r="J305" s="125">
        <v>502.27993001656398</v>
      </c>
      <c r="K305" s="125">
        <v>1132.3062253251323</v>
      </c>
      <c r="L305" s="122">
        <v>2776.5822437920538</v>
      </c>
      <c r="M305" s="125">
        <v>0</v>
      </c>
      <c r="N305" s="115">
        <v>14802.5</v>
      </c>
      <c r="P305" s="125">
        <v>-251849.7</v>
      </c>
      <c r="Q305" s="125">
        <v>0</v>
      </c>
      <c r="S305" s="125">
        <v>-8.0000000000000007E-7</v>
      </c>
      <c r="T305" s="125">
        <v>0</v>
      </c>
      <c r="V305" s="125"/>
      <c r="W305" s="125"/>
    </row>
    <row r="306" spans="1:23">
      <c r="A306" s="121">
        <v>43411</v>
      </c>
      <c r="B306" s="125">
        <v>153569755.93031749</v>
      </c>
      <c r="C306" s="125">
        <v>37647777.393721387</v>
      </c>
      <c r="D306" s="125">
        <v>44934972.43236044</v>
      </c>
      <c r="E306" s="125">
        <v>75287633.242452025</v>
      </c>
      <c r="F306" s="123">
        <v>157870383.06853384</v>
      </c>
      <c r="G306" s="125">
        <v>-1120000</v>
      </c>
      <c r="H306" s="125">
        <v>1780.2621745564518</v>
      </c>
      <c r="I306" s="125">
        <v>1159.7230342479629</v>
      </c>
      <c r="J306" s="125">
        <v>503.62571681677503</v>
      </c>
      <c r="K306" s="125">
        <v>1132.8112210362322</v>
      </c>
      <c r="L306" s="122">
        <v>2796.1599721009698</v>
      </c>
      <c r="M306" s="125">
        <v>-25</v>
      </c>
      <c r="N306" s="115">
        <v>14580</v>
      </c>
    </row>
    <row r="307" spans="1:23">
      <c r="A307" s="121">
        <v>43412</v>
      </c>
      <c r="B307" s="125">
        <v>153300404.12381381</v>
      </c>
      <c r="C307" s="125">
        <v>36995035.21501524</v>
      </c>
      <c r="D307" s="125">
        <v>44963477.476332739</v>
      </c>
      <c r="E307" s="125">
        <v>75778767.424895614</v>
      </c>
      <c r="F307" s="123">
        <v>157737280.1162436</v>
      </c>
      <c r="G307" s="125">
        <v>-1120000</v>
      </c>
      <c r="H307" s="125">
        <v>1779.5273820181101</v>
      </c>
      <c r="I307" s="125">
        <v>1156.7733005959949</v>
      </c>
      <c r="J307" s="125">
        <v>503.95513548134608</v>
      </c>
      <c r="K307" s="125">
        <v>1118.9226276733111</v>
      </c>
      <c r="L307" s="122">
        <v>2779.6510637506522</v>
      </c>
      <c r="M307" s="125">
        <v>0</v>
      </c>
      <c r="N307" s="115">
        <v>14540</v>
      </c>
      <c r="P307" s="125">
        <v>-297383.84999999998</v>
      </c>
      <c r="Q307" s="125">
        <v>0</v>
      </c>
      <c r="S307" s="125">
        <v>-8.0000000000000007E-7</v>
      </c>
      <c r="T307" s="125">
        <v>0</v>
      </c>
      <c r="V307" s="125"/>
      <c r="W307" s="125"/>
    </row>
    <row r="308" spans="1:23">
      <c r="A308" s="121">
        <v>43413</v>
      </c>
      <c r="B308" s="125">
        <v>153415612.86611861</v>
      </c>
      <c r="C308" s="125">
        <v>35107469.116667755</v>
      </c>
      <c r="D308" s="125">
        <v>44982495.24174042</v>
      </c>
      <c r="E308" s="125">
        <v>75803116.044792041</v>
      </c>
      <c r="F308" s="123">
        <v>155893080.40320021</v>
      </c>
      <c r="G308" s="125">
        <v>-1120000</v>
      </c>
      <c r="H308" s="125">
        <v>1779.2352537557017</v>
      </c>
      <c r="I308" s="125">
        <v>1129.4267122470833</v>
      </c>
      <c r="J308" s="125">
        <v>505.43878899051481</v>
      </c>
      <c r="K308" s="125">
        <v>1134.3674201737263</v>
      </c>
      <c r="L308" s="122">
        <v>2769.2329214113242</v>
      </c>
      <c r="M308" s="125">
        <v>0</v>
      </c>
      <c r="N308" s="115">
        <v>14685</v>
      </c>
      <c r="P308" s="125">
        <v>-297383.84999999998</v>
      </c>
      <c r="Q308" s="125">
        <v>0</v>
      </c>
      <c r="S308" s="125">
        <v>-8.0000000000000007E-7</v>
      </c>
      <c r="T308" s="125">
        <v>0</v>
      </c>
      <c r="V308" s="125"/>
      <c r="W308" s="125"/>
    </row>
    <row r="309" spans="1:23">
      <c r="A309" s="121">
        <v>43416</v>
      </c>
      <c r="B309" s="125">
        <v>153482586.53276816</v>
      </c>
      <c r="C309" s="125">
        <v>36527334.033004314</v>
      </c>
      <c r="D309" s="125">
        <v>44751366.402046159</v>
      </c>
      <c r="E309" s="125">
        <v>74158018.28833957</v>
      </c>
      <c r="F309" s="123">
        <v>155436718.72339004</v>
      </c>
      <c r="G309" s="125">
        <v>-1120000</v>
      </c>
      <c r="H309" s="125">
        <v>1779.3401826658226</v>
      </c>
      <c r="I309" s="125">
        <v>1185.0156525226712</v>
      </c>
      <c r="J309" s="125">
        <v>505.15449512876415</v>
      </c>
      <c r="K309" s="125">
        <v>1127.4547130601018</v>
      </c>
      <c r="L309" s="122">
        <v>2817.6248607115372</v>
      </c>
      <c r="M309" s="125">
        <v>0</v>
      </c>
      <c r="N309" s="115">
        <v>14815</v>
      </c>
      <c r="P309" s="125">
        <v>-297383.84999999998</v>
      </c>
      <c r="Q309" s="125">
        <v>0</v>
      </c>
      <c r="S309" s="125">
        <v>-8.0000000000000007E-7</v>
      </c>
      <c r="T309" s="125">
        <v>0</v>
      </c>
      <c r="V309" s="125"/>
      <c r="W309" s="125"/>
    </row>
    <row r="310" spans="1:23">
      <c r="A310" s="121">
        <v>43417</v>
      </c>
      <c r="B310" s="125">
        <v>153293186.46221069</v>
      </c>
      <c r="C310" s="125">
        <v>36274754.088518523</v>
      </c>
      <c r="D310" s="125">
        <v>44739032.05234354</v>
      </c>
      <c r="E310" s="125">
        <v>73896892.237955764</v>
      </c>
      <c r="F310" s="123">
        <v>154910678.37881783</v>
      </c>
      <c r="G310" s="125">
        <v>-1120000</v>
      </c>
      <c r="H310" s="125">
        <v>1799.847789749846</v>
      </c>
      <c r="I310" s="125">
        <v>1062.9905062288619</v>
      </c>
      <c r="J310" s="125">
        <v>504.59140897123615</v>
      </c>
      <c r="K310" s="125">
        <v>1127.9117928157871</v>
      </c>
      <c r="L310" s="122">
        <v>2695.4937080158852</v>
      </c>
      <c r="M310" s="125">
        <v>0</v>
      </c>
      <c r="N310" s="115">
        <v>14810</v>
      </c>
      <c r="P310" s="125">
        <v>-297383.84999999998</v>
      </c>
      <c r="Q310" s="125">
        <v>0</v>
      </c>
      <c r="S310" s="125">
        <v>-8.0000000000000007E-7</v>
      </c>
      <c r="T310" s="125">
        <v>0</v>
      </c>
      <c r="V310" s="125"/>
      <c r="W310" s="125"/>
    </row>
    <row r="311" spans="1:23">
      <c r="A311" s="121">
        <v>43418</v>
      </c>
      <c r="B311" s="125">
        <v>154142357.23765644</v>
      </c>
      <c r="C311" s="125">
        <v>36721569.706790544</v>
      </c>
      <c r="D311" s="125">
        <v>44563162.739333086</v>
      </c>
      <c r="E311" s="125">
        <v>73731171.921313301</v>
      </c>
      <c r="F311" s="123">
        <f t="shared" ref="F311:F316" si="5">SUM(C311:E311)</f>
        <v>155015904.36743695</v>
      </c>
      <c r="G311" s="125">
        <v>-1120000</v>
      </c>
      <c r="H311" s="125">
        <v>1804.0241507387984</v>
      </c>
      <c r="I311" s="125">
        <v>1155.4286758412795</v>
      </c>
      <c r="J311" s="125">
        <v>505.27195677172779</v>
      </c>
      <c r="K311" s="125">
        <v>1131.1249773328959</v>
      </c>
      <c r="L311" s="122">
        <f t="shared" ref="L311:L316" si="6">SUM(I311:K311)</f>
        <v>2791.8256099459031</v>
      </c>
      <c r="M311" s="125">
        <v>0</v>
      </c>
      <c r="N311" s="115">
        <v>14787</v>
      </c>
      <c r="P311" s="125">
        <v>-297383.84999999998</v>
      </c>
      <c r="Q311" s="125">
        <v>0</v>
      </c>
      <c r="S311" s="125">
        <v>-8.0000000000000007E-7</v>
      </c>
      <c r="T311" s="125">
        <v>0</v>
      </c>
      <c r="V311" s="125"/>
      <c r="W311" s="125"/>
    </row>
    <row r="312" spans="1:23">
      <c r="A312" s="121">
        <v>43419</v>
      </c>
      <c r="B312" s="125">
        <v>155109885.31485361</v>
      </c>
      <c r="C312" s="125">
        <v>36256424.666566931</v>
      </c>
      <c r="D312" s="125">
        <v>44446411.687813163</v>
      </c>
      <c r="E312" s="125">
        <v>73761205.656349048</v>
      </c>
      <c r="F312" s="123">
        <f t="shared" si="5"/>
        <v>154464042.01072913</v>
      </c>
      <c r="G312" s="125">
        <v>-1000000</v>
      </c>
      <c r="H312" s="125">
        <v>1799.8509186750882</v>
      </c>
      <c r="I312" s="125">
        <v>1133.7029382347403</v>
      </c>
      <c r="J312" s="125">
        <v>504.40971756882425</v>
      </c>
      <c r="K312" s="125">
        <v>1130.2867836205035</v>
      </c>
      <c r="L312" s="122">
        <f t="shared" si="6"/>
        <v>2768.3994394240681</v>
      </c>
      <c r="M312" s="125">
        <v>0</v>
      </c>
      <c r="N312" s="115">
        <v>14677.5</v>
      </c>
      <c r="P312" s="125">
        <v>-297383.84999999998</v>
      </c>
      <c r="Q312" s="125">
        <v>-72730.46831738</v>
      </c>
      <c r="S312" s="125">
        <v>-8.0000000000000007E-7</v>
      </c>
      <c r="T312" s="125">
        <v>0</v>
      </c>
      <c r="V312" s="125"/>
      <c r="W312" s="125"/>
    </row>
    <row r="313" spans="1:23">
      <c r="A313" s="121">
        <v>43420</v>
      </c>
      <c r="B313" s="125">
        <v>155406859.03986377</v>
      </c>
      <c r="C313" s="125">
        <v>37539708.726513155</v>
      </c>
      <c r="D313" s="125">
        <v>44371763.765043497</v>
      </c>
      <c r="E313" s="125">
        <v>73182676.502473116</v>
      </c>
      <c r="F313" s="123">
        <f t="shared" si="5"/>
        <v>155094148.99402976</v>
      </c>
      <c r="G313" s="125">
        <v>-1000000</v>
      </c>
      <c r="H313" s="125">
        <v>1792.8864241766707</v>
      </c>
      <c r="I313" s="125">
        <v>1128.6482957314604</v>
      </c>
      <c r="J313" s="125">
        <v>502.13801227192266</v>
      </c>
      <c r="K313" s="125">
        <v>1136.8885739658153</v>
      </c>
      <c r="L313" s="122">
        <f t="shared" si="6"/>
        <v>2767.6748819691984</v>
      </c>
      <c r="M313" s="125">
        <v>0</v>
      </c>
      <c r="N313" s="115">
        <v>14611.5</v>
      </c>
      <c r="P313" s="125">
        <v>-136048.04999999999</v>
      </c>
      <c r="Q313" s="125">
        <v>-72403.422777679996</v>
      </c>
      <c r="S313" s="125">
        <v>-8.0000000000000007E-7</v>
      </c>
      <c r="T313" s="125">
        <v>0</v>
      </c>
      <c r="V313" s="125"/>
      <c r="W313" s="125"/>
    </row>
    <row r="314" spans="1:23">
      <c r="A314" s="121">
        <v>43423</v>
      </c>
      <c r="B314" s="125">
        <v>153639738.08172438</v>
      </c>
      <c r="C314" s="125">
        <v>37430863.312111862</v>
      </c>
      <c r="D314" s="125">
        <v>44140278.114463918</v>
      </c>
      <c r="E314" s="125">
        <v>72504420.667568907</v>
      </c>
      <c r="F314" s="123">
        <f t="shared" si="5"/>
        <v>154075562.0941447</v>
      </c>
      <c r="G314" s="125">
        <v>-1000000</v>
      </c>
      <c r="H314" s="125">
        <v>1785.6348547678488</v>
      </c>
      <c r="I314" s="125">
        <v>1144.995219991371</v>
      </c>
      <c r="J314" s="125">
        <v>501.55143660844601</v>
      </c>
      <c r="K314" s="125">
        <v>1089.4518699835173</v>
      </c>
      <c r="L314" s="122">
        <f t="shared" si="6"/>
        <v>2735.9985265833343</v>
      </c>
      <c r="M314" s="125">
        <v>0</v>
      </c>
      <c r="N314" s="115">
        <v>14590</v>
      </c>
      <c r="P314" s="125">
        <v>-136048.04999999999</v>
      </c>
      <c r="Q314" s="125">
        <v>-72296.885215500006</v>
      </c>
      <c r="S314" s="125">
        <v>-8.0000000000000007E-7</v>
      </c>
      <c r="T314" s="125">
        <v>0</v>
      </c>
      <c r="V314" s="125"/>
      <c r="W314" s="125"/>
    </row>
    <row r="315" spans="1:23">
      <c r="A315" s="121">
        <v>43425</v>
      </c>
      <c r="B315" s="125">
        <v>153635111.94308701</v>
      </c>
      <c r="C315" s="125">
        <v>36993310.049380466</v>
      </c>
      <c r="D315" s="125">
        <v>44199045.633750826</v>
      </c>
      <c r="E315" s="125">
        <v>73246450.389862075</v>
      </c>
      <c r="F315" s="123">
        <f t="shared" si="5"/>
        <v>154438806.07299337</v>
      </c>
      <c r="G315" s="125">
        <v>-1000000</v>
      </c>
      <c r="H315" s="125">
        <v>1785.3931126643656</v>
      </c>
      <c r="I315" s="125">
        <v>1155.1048604658145</v>
      </c>
      <c r="J315" s="125">
        <v>500.8015912866731</v>
      </c>
      <c r="K315" s="125">
        <v>1090.5056317072708</v>
      </c>
      <c r="L315" s="122">
        <f t="shared" si="6"/>
        <v>2746.4120834597584</v>
      </c>
      <c r="M315" s="125">
        <v>0</v>
      </c>
      <c r="N315" s="115">
        <v>14605</v>
      </c>
      <c r="P315" s="125">
        <v>0</v>
      </c>
      <c r="Q315" s="125">
        <v>0</v>
      </c>
      <c r="S315" s="125">
        <v>-8.0000000000000007E-7</v>
      </c>
      <c r="T315" s="125">
        <v>0</v>
      </c>
      <c r="V315" s="125"/>
      <c r="W315" s="125"/>
    </row>
    <row r="316" spans="1:23">
      <c r="A316" s="121">
        <v>43426</v>
      </c>
      <c r="B316" s="125">
        <v>153967463.43826956</v>
      </c>
      <c r="C316" s="125">
        <v>38950862.063209623</v>
      </c>
      <c r="D316" s="125">
        <v>44341783.058649734</v>
      </c>
      <c r="E316" s="125">
        <v>73006582.513374835</v>
      </c>
      <c r="F316" s="123">
        <f t="shared" si="5"/>
        <v>156299227.63523418</v>
      </c>
      <c r="G316" s="125">
        <v>-2050000</v>
      </c>
      <c r="H316" s="125">
        <v>1790.6442376602963</v>
      </c>
      <c r="I316" s="125">
        <v>1148.2713227908707</v>
      </c>
      <c r="J316" s="125">
        <v>501.44147828839948</v>
      </c>
      <c r="K316" s="125">
        <v>1089.5112357608411</v>
      </c>
      <c r="L316" s="122">
        <f t="shared" si="6"/>
        <v>2739.2240368401117</v>
      </c>
      <c r="M316" s="125">
        <v>0</v>
      </c>
      <c r="N316" s="115">
        <v>14577.5</v>
      </c>
      <c r="P316" s="125">
        <v>0</v>
      </c>
      <c r="Q316" s="125">
        <v>0</v>
      </c>
      <c r="S316" s="125">
        <v>-8.0000000000000007E-7</v>
      </c>
      <c r="T316" s="125">
        <v>0</v>
      </c>
      <c r="V316" s="125"/>
      <c r="W316" s="125"/>
    </row>
    <row r="317" spans="1:23">
      <c r="A317" s="121">
        <v>43427</v>
      </c>
      <c r="B317" s="125">
        <v>153776500.20412681</v>
      </c>
      <c r="C317" s="125">
        <v>38999030.805161983</v>
      </c>
      <c r="D317" s="125">
        <v>44923492.277426459</v>
      </c>
      <c r="E317" s="125">
        <v>72951116.584047988</v>
      </c>
      <c r="F317" s="123">
        <v>156873639.66663641</v>
      </c>
      <c r="G317" s="125">
        <v>-1000000</v>
      </c>
      <c r="H317" s="125">
        <v>1780.2139101829957</v>
      </c>
      <c r="I317" s="125">
        <v>1154.7702366365313</v>
      </c>
      <c r="J317" s="125">
        <v>502.909939305362</v>
      </c>
      <c r="K317" s="125">
        <v>1091.2218105331663</v>
      </c>
      <c r="L317" s="122">
        <v>2748.9019864750599</v>
      </c>
      <c r="M317" s="125">
        <v>0</v>
      </c>
      <c r="N317" s="115">
        <v>14540</v>
      </c>
      <c r="P317" s="125">
        <v>0</v>
      </c>
      <c r="Q317" s="125">
        <v>0</v>
      </c>
      <c r="S317" s="125">
        <v>-8.0000000000000007E-7</v>
      </c>
      <c r="T317" s="125">
        <v>0</v>
      </c>
      <c r="V317" s="125"/>
      <c r="W317" s="125"/>
    </row>
    <row r="318" spans="1:23">
      <c r="A318" s="121">
        <v>43430</v>
      </c>
      <c r="B318" s="125">
        <v>154078053.59931785</v>
      </c>
      <c r="C318" s="125">
        <v>38847078.784444861</v>
      </c>
      <c r="D318" s="125">
        <v>44917848.476799682</v>
      </c>
      <c r="E318" s="125">
        <v>71181602.619657978</v>
      </c>
      <c r="F318" s="123">
        <v>154946529.88090253</v>
      </c>
      <c r="G318" s="125">
        <v>-1000000</v>
      </c>
      <c r="H318" s="125">
        <v>1781.5733067498454</v>
      </c>
      <c r="I318" s="125">
        <v>1159.1896709601388</v>
      </c>
      <c r="J318" s="125">
        <v>502.46396626564774</v>
      </c>
      <c r="K318" s="125">
        <v>1068.2195345076657</v>
      </c>
      <c r="L318" s="122">
        <v>2729.8731717334522</v>
      </c>
      <c r="M318" s="125">
        <v>0</v>
      </c>
      <c r="N318" s="115">
        <v>14475</v>
      </c>
      <c r="P318" s="125">
        <v>0</v>
      </c>
      <c r="Q318" s="125">
        <v>0</v>
      </c>
      <c r="S318" s="125">
        <v>-8.0000000000000007E-7</v>
      </c>
      <c r="T318" s="125">
        <v>0</v>
      </c>
      <c r="V318" s="125"/>
      <c r="W318" s="125"/>
    </row>
    <row r="319" spans="1:23">
      <c r="A319" s="121">
        <v>43431</v>
      </c>
      <c r="B319" s="125">
        <v>154264276.2790176</v>
      </c>
      <c r="C319" s="125">
        <v>38908509.088857688</v>
      </c>
      <c r="D319" s="125">
        <v>45032655.291848697</v>
      </c>
      <c r="E319" s="125">
        <v>71118772.312160492</v>
      </c>
      <c r="F319" s="123">
        <v>155059936.69286686</v>
      </c>
      <c r="G319" s="125">
        <v>-1000000</v>
      </c>
      <c r="H319" s="125">
        <v>1781.0260212910191</v>
      </c>
      <c r="I319" s="125">
        <v>1153.0481422824589</v>
      </c>
      <c r="J319" s="125">
        <v>506.94432331791108</v>
      </c>
      <c r="K319" s="125">
        <v>1064.6022036506918</v>
      </c>
      <c r="L319" s="122">
        <v>2724.5946692510615</v>
      </c>
      <c r="M319" s="125">
        <v>0</v>
      </c>
      <c r="N319" s="115">
        <v>14515</v>
      </c>
      <c r="P319" s="125">
        <v>0</v>
      </c>
      <c r="Q319" s="125">
        <v>0</v>
      </c>
      <c r="S319" s="125">
        <v>-1388220.0000008</v>
      </c>
      <c r="T319" s="125">
        <v>0</v>
      </c>
      <c r="V319" s="125"/>
      <c r="W319" s="125"/>
    </row>
    <row r="320" spans="1:23">
      <c r="A320" s="121">
        <v>43432</v>
      </c>
      <c r="B320" s="125">
        <v>154628558.13209143</v>
      </c>
      <c r="C320" s="125">
        <v>38644476.225810558</v>
      </c>
      <c r="D320" s="125">
        <v>45162043.934914134</v>
      </c>
      <c r="E320" s="125">
        <v>71170097.295050547</v>
      </c>
      <c r="F320" s="123">
        <f>SUM(C320:E320)</f>
        <v>154976617.45577526</v>
      </c>
      <c r="G320" s="125">
        <v>-1000000</v>
      </c>
      <c r="H320" s="125">
        <v>1774.8282405544628</v>
      </c>
      <c r="I320" s="125">
        <v>1281.1720696690602</v>
      </c>
      <c r="J320" s="125">
        <v>506.7205816096303</v>
      </c>
      <c r="K320" s="125">
        <v>950.5249461618082</v>
      </c>
      <c r="L320" s="122">
        <f>SUM(I320:K320)</f>
        <v>2738.4175974404989</v>
      </c>
      <c r="M320" s="125">
        <v>0</v>
      </c>
      <c r="N320" s="115">
        <v>14529</v>
      </c>
      <c r="P320" s="125">
        <v>0</v>
      </c>
      <c r="Q320" s="125">
        <v>0</v>
      </c>
      <c r="S320" s="125">
        <v>-1388220.0000008</v>
      </c>
      <c r="T320" s="125">
        <v>0</v>
      </c>
      <c r="V320" s="125"/>
      <c r="W320" s="125"/>
    </row>
    <row r="321" spans="1:23">
      <c r="A321" s="121">
        <v>43433</v>
      </c>
      <c r="B321" s="125">
        <v>154849675.72969601</v>
      </c>
      <c r="C321" s="125">
        <v>37938667.658855975</v>
      </c>
      <c r="D321" s="125">
        <v>45090065.614665806</v>
      </c>
      <c r="E321" s="125">
        <v>70762520.351568475</v>
      </c>
      <c r="F321" s="123">
        <v>153791253.62509024</v>
      </c>
      <c r="G321" s="125">
        <v>-1000000</v>
      </c>
      <c r="H321" s="125">
        <v>1763.7404175318591</v>
      </c>
      <c r="I321" s="125">
        <v>1228.0181656868967</v>
      </c>
      <c r="J321" s="125">
        <v>504.9337046106379</v>
      </c>
      <c r="K321" s="125">
        <v>1009.7988679784215</v>
      </c>
      <c r="L321" s="122">
        <v>2742.7507382759563</v>
      </c>
      <c r="M321" s="125">
        <v>0</v>
      </c>
      <c r="N321" s="115">
        <v>14382.5</v>
      </c>
      <c r="P321" s="125">
        <v>0</v>
      </c>
      <c r="Q321" s="125">
        <v>0</v>
      </c>
      <c r="S321" s="125">
        <v>-1388220.0000008</v>
      </c>
      <c r="T321" s="125">
        <v>0</v>
      </c>
      <c r="V321" s="125"/>
      <c r="W321" s="125"/>
    </row>
    <row r="322" spans="1:23">
      <c r="A322" s="121">
        <v>43434</v>
      </c>
      <c r="B322" s="125">
        <v>156633438.64875004</v>
      </c>
      <c r="C322" s="125">
        <v>34382470.596978411</v>
      </c>
      <c r="D322" s="125">
        <v>45549682.814381644</v>
      </c>
      <c r="E322" s="125">
        <v>71401209.822337195</v>
      </c>
      <c r="F322" s="123">
        <v>151333363.23369724</v>
      </c>
      <c r="G322" s="125">
        <v>-2700000</v>
      </c>
      <c r="H322" s="125">
        <v>1762.5517069302209</v>
      </c>
      <c r="I322" s="125">
        <v>1220.3658418953116</v>
      </c>
      <c r="J322" s="125">
        <v>503.12105598203561</v>
      </c>
      <c r="K322" s="125">
        <v>1027.2412473127363</v>
      </c>
      <c r="L322" s="122">
        <v>2750.7281451900835</v>
      </c>
      <c r="M322" s="125">
        <v>0</v>
      </c>
      <c r="N322" s="115">
        <v>14302.5</v>
      </c>
      <c r="O322" s="116">
        <v>3415.1149999999998</v>
      </c>
      <c r="P322" s="125">
        <v>0</v>
      </c>
      <c r="Q322" s="125">
        <v>0</v>
      </c>
      <c r="S322" s="125">
        <v>-1388220.0000008</v>
      </c>
      <c r="T322" s="125">
        <v>0</v>
      </c>
      <c r="V322" s="125"/>
      <c r="W322" s="125"/>
    </row>
    <row r="323" spans="1:23">
      <c r="A323" s="121">
        <v>43437</v>
      </c>
      <c r="B323" s="125">
        <v>155721404.12915447</v>
      </c>
      <c r="C323" s="125">
        <v>37162858.641425893</v>
      </c>
      <c r="D323" s="125">
        <v>45200043.441827439</v>
      </c>
      <c r="E323" s="125">
        <v>70918346.588320017</v>
      </c>
      <c r="F323" s="123">
        <v>153281248.67157334</v>
      </c>
      <c r="G323" s="125">
        <v>-1000000</v>
      </c>
      <c r="H323" s="125">
        <v>1758.6500840637759</v>
      </c>
      <c r="I323" s="125">
        <v>1173.9334514757106</v>
      </c>
      <c r="J323" s="125">
        <v>505.44833127835523</v>
      </c>
      <c r="K323" s="125">
        <v>1040.2609544318718</v>
      </c>
      <c r="L323" s="122">
        <v>2719.6427371859377</v>
      </c>
      <c r="M323" s="125">
        <v>0</v>
      </c>
      <c r="N323" s="115">
        <v>14240</v>
      </c>
      <c r="P323" s="125">
        <v>0</v>
      </c>
      <c r="Q323" s="125">
        <v>0</v>
      </c>
      <c r="S323" s="125">
        <v>-1388220.0000008</v>
      </c>
      <c r="T323" s="125">
        <v>0</v>
      </c>
      <c r="V323" s="125"/>
      <c r="W323" s="125"/>
    </row>
    <row r="324" spans="1:23">
      <c r="A324" s="121">
        <v>43438</v>
      </c>
      <c r="B324" s="125">
        <v>155403545.14322272</v>
      </c>
      <c r="C324" s="125">
        <v>37125252.332700148</v>
      </c>
      <c r="D324" s="125">
        <v>45008132.234207511</v>
      </c>
      <c r="E324" s="125">
        <v>71236942.015226185</v>
      </c>
      <c r="F324" s="123">
        <v>153370326.58213383</v>
      </c>
      <c r="G324" s="125">
        <v>-1000000</v>
      </c>
      <c r="H324" s="125">
        <v>1730.3992476038622</v>
      </c>
      <c r="I324" s="125">
        <v>1178.3232453663979</v>
      </c>
      <c r="J324" s="125">
        <v>503.45469598551426</v>
      </c>
      <c r="K324" s="125">
        <v>1041.2981318284355</v>
      </c>
      <c r="L324" s="122">
        <v>2723.0760731803475</v>
      </c>
      <c r="M324" s="125">
        <v>0</v>
      </c>
      <c r="N324" s="115">
        <v>14290</v>
      </c>
      <c r="P324" s="125">
        <v>0</v>
      </c>
      <c r="Q324" s="125">
        <v>0</v>
      </c>
      <c r="S324" s="125">
        <v>-1388220.0000008</v>
      </c>
      <c r="T324" s="125">
        <v>0</v>
      </c>
      <c r="V324" s="125"/>
      <c r="W324" s="125"/>
    </row>
    <row r="325" spans="1:23">
      <c r="A325" s="121">
        <v>43439</v>
      </c>
      <c r="B325" s="125">
        <v>155179102.81757632</v>
      </c>
      <c r="C325" s="125">
        <v>37679809.104281396</v>
      </c>
      <c r="D325" s="125">
        <v>44858513.852474861</v>
      </c>
      <c r="E325" s="125">
        <v>70994261.243354723</v>
      </c>
      <c r="F325" s="123">
        <v>153532584.20011097</v>
      </c>
      <c r="G325" s="125">
        <v>-1000000</v>
      </c>
      <c r="H325" s="125">
        <v>1760.3932869909092</v>
      </c>
      <c r="I325" s="125">
        <v>1108.1519234647169</v>
      </c>
      <c r="J325" s="125">
        <v>503.26776930199895</v>
      </c>
      <c r="K325" s="125">
        <v>1058.1929769382373</v>
      </c>
      <c r="L325" s="122">
        <v>2669.6126697049531</v>
      </c>
      <c r="M325" s="125">
        <v>0</v>
      </c>
      <c r="N325" s="115">
        <v>14395</v>
      </c>
      <c r="P325" s="125">
        <v>0</v>
      </c>
      <c r="Q325" s="125">
        <v>0</v>
      </c>
      <c r="S325" s="125">
        <v>-1388220.0000008</v>
      </c>
      <c r="T325" s="125">
        <v>0</v>
      </c>
      <c r="V325" s="125"/>
      <c r="W325" s="125"/>
    </row>
    <row r="326" spans="1:23">
      <c r="A326" s="121">
        <v>43440</v>
      </c>
      <c r="B326" s="125">
        <v>154869991.90422443</v>
      </c>
      <c r="C326" s="125">
        <v>37947485.558316022</v>
      </c>
      <c r="D326" s="125">
        <v>46555571.351948716</v>
      </c>
      <c r="E326" s="125">
        <v>70683103.50460121</v>
      </c>
      <c r="F326" s="123">
        <v>155186160.41486594</v>
      </c>
      <c r="G326" s="125">
        <v>-1000000</v>
      </c>
      <c r="H326" s="125">
        <v>1748.6619773621715</v>
      </c>
      <c r="I326" s="125">
        <v>1066.8287336983426</v>
      </c>
      <c r="J326" s="125">
        <v>503.01271594926493</v>
      </c>
      <c r="K326" s="125">
        <v>1166.0232870367558</v>
      </c>
      <c r="L326" s="122">
        <v>2735.8647366843634</v>
      </c>
      <c r="M326" s="125">
        <v>0</v>
      </c>
      <c r="N326" s="115">
        <v>14520</v>
      </c>
      <c r="P326" s="125">
        <v>0</v>
      </c>
      <c r="Q326" s="125">
        <v>0</v>
      </c>
      <c r="S326" s="125">
        <v>-1388220.0000008</v>
      </c>
      <c r="T326" s="125">
        <v>0</v>
      </c>
      <c r="V326" s="125"/>
      <c r="W326" s="125"/>
    </row>
    <row r="327" spans="1:23">
      <c r="A327" s="121">
        <v>43441</v>
      </c>
      <c r="B327" s="125">
        <v>154302447.28131256</v>
      </c>
      <c r="C327" s="125">
        <v>37435109.335321642</v>
      </c>
      <c r="D327" s="125">
        <v>46550213.773844823</v>
      </c>
      <c r="E327" s="125">
        <v>70398266.713257223</v>
      </c>
      <c r="F327" s="123">
        <v>154383589.8224237</v>
      </c>
      <c r="G327" s="125">
        <v>-1000000</v>
      </c>
      <c r="H327" s="125">
        <v>1746.4525419085817</v>
      </c>
      <c r="I327" s="125">
        <v>995.02951858385268</v>
      </c>
      <c r="J327" s="125">
        <v>503.3313155374467</v>
      </c>
      <c r="K327" s="125">
        <v>1208.2600948056156</v>
      </c>
      <c r="L327" s="122">
        <v>2706.620928926915</v>
      </c>
      <c r="M327" s="125">
        <v>0</v>
      </c>
      <c r="N327" s="115">
        <v>14470</v>
      </c>
      <c r="P327" s="125">
        <v>0</v>
      </c>
      <c r="Q327" s="125">
        <v>0</v>
      </c>
      <c r="S327" s="125">
        <v>-3299133.30000113</v>
      </c>
      <c r="T327" s="125">
        <v>0</v>
      </c>
      <c r="V327" s="125"/>
      <c r="W327" s="125"/>
    </row>
    <row r="328" spans="1:23">
      <c r="A328" s="121">
        <v>43444</v>
      </c>
      <c r="B328" s="125">
        <v>154727514.25741377</v>
      </c>
      <c r="C328" s="125">
        <v>37371173.694441512</v>
      </c>
      <c r="D328" s="125">
        <v>46189045.69382152</v>
      </c>
      <c r="E328" s="125">
        <v>68587271.552272171</v>
      </c>
      <c r="F328" s="123">
        <v>152147490.94053519</v>
      </c>
      <c r="G328" s="125">
        <v>-1000000</v>
      </c>
      <c r="H328" s="125">
        <v>1747.3742727169215</v>
      </c>
      <c r="I328" s="125">
        <v>1001.1836732026507</v>
      </c>
      <c r="J328" s="125">
        <v>501.95579154084282</v>
      </c>
      <c r="K328" s="125">
        <v>1229.1539946797723</v>
      </c>
      <c r="L328" s="122">
        <v>2732.2934594232656</v>
      </c>
      <c r="M328" s="125">
        <v>0</v>
      </c>
      <c r="N328" s="115">
        <v>14555</v>
      </c>
      <c r="P328" s="125">
        <v>0</v>
      </c>
      <c r="Q328" s="125">
        <v>0</v>
      </c>
      <c r="S328" s="125">
        <v>-3299133.30000113</v>
      </c>
      <c r="T328" s="125">
        <v>0</v>
      </c>
      <c r="V328" s="125"/>
      <c r="W328" s="125"/>
    </row>
    <row r="329" spans="1:23">
      <c r="A329" s="121">
        <v>43445</v>
      </c>
      <c r="B329" s="125">
        <v>154616483.80579737</v>
      </c>
      <c r="C329" s="125">
        <v>36665876.555570565</v>
      </c>
      <c r="D329" s="125">
        <v>46154535.030432336</v>
      </c>
      <c r="E329" s="125">
        <v>68732956.562394455</v>
      </c>
      <c r="F329" s="123">
        <v>151553368.14839736</v>
      </c>
      <c r="G329" s="125">
        <v>-1000000</v>
      </c>
      <c r="H329" s="125">
        <v>1752.1040711247017</v>
      </c>
      <c r="I329" s="125">
        <v>1013.8564732629357</v>
      </c>
      <c r="J329" s="125">
        <v>502.33174071083283</v>
      </c>
      <c r="K329" s="125">
        <v>1229.2230696181844</v>
      </c>
      <c r="L329" s="122">
        <v>2745.4112835919532</v>
      </c>
      <c r="M329" s="125">
        <v>0</v>
      </c>
      <c r="N329" s="115">
        <v>14600</v>
      </c>
      <c r="P329" s="125">
        <v>0</v>
      </c>
      <c r="Q329" s="125">
        <v>0</v>
      </c>
      <c r="S329" s="125">
        <v>-1910913.30000113</v>
      </c>
      <c r="T329" s="125">
        <v>0</v>
      </c>
      <c r="V329" s="125"/>
      <c r="W329" s="125"/>
    </row>
    <row r="330" spans="1:23">
      <c r="A330" s="121">
        <v>43446</v>
      </c>
      <c r="B330" s="125">
        <v>154659707.02175742</v>
      </c>
      <c r="C330" s="125">
        <v>37907733.618982151</v>
      </c>
      <c r="D330" s="125">
        <v>46007673.376616716</v>
      </c>
      <c r="E330" s="125">
        <v>68873903.001898676</v>
      </c>
      <c r="F330" s="123">
        <v>152789309.99749756</v>
      </c>
      <c r="G330" s="125">
        <v>-1125000</v>
      </c>
      <c r="H330" s="125">
        <v>1723.0031243194126</v>
      </c>
      <c r="I330" s="125">
        <v>1016.4258904727857</v>
      </c>
      <c r="J330" s="125">
        <v>498.48461969865878</v>
      </c>
      <c r="K330" s="125">
        <v>1201.385799165502</v>
      </c>
      <c r="L330" s="122">
        <v>2716.2963093369463</v>
      </c>
      <c r="M330" s="125">
        <v>0</v>
      </c>
      <c r="N330" s="115">
        <v>14597.5</v>
      </c>
      <c r="P330" s="125">
        <v>0</v>
      </c>
      <c r="Q330" s="125">
        <v>0</v>
      </c>
      <c r="S330" s="125">
        <v>-7662914.90000105</v>
      </c>
      <c r="T330" s="125">
        <v>0</v>
      </c>
      <c r="V330" s="125"/>
      <c r="W330" s="125"/>
    </row>
    <row r="331" spans="1:23">
      <c r="A331" s="121">
        <v>43447</v>
      </c>
      <c r="B331" s="125">
        <v>154959178.25383377</v>
      </c>
      <c r="C331" s="125">
        <v>38683003.94992172</v>
      </c>
      <c r="D331" s="125">
        <v>45943629.752970263</v>
      </c>
      <c r="E331" s="125">
        <v>69530697.455061451</v>
      </c>
      <c r="F331" s="123">
        <v>154157331.15795344</v>
      </c>
      <c r="G331" s="125">
        <v>-1125000</v>
      </c>
      <c r="H331" s="125">
        <v>1767.4516087779484</v>
      </c>
      <c r="I331" s="125">
        <v>1006.7336109881916</v>
      </c>
      <c r="J331" s="125">
        <v>498.77663436579104</v>
      </c>
      <c r="K331" s="125">
        <v>1218.8224450409311</v>
      </c>
      <c r="L331" s="122">
        <v>2724.3326903949137</v>
      </c>
      <c r="M331" s="125">
        <v>0</v>
      </c>
      <c r="N331" s="115">
        <v>14497.5</v>
      </c>
      <c r="P331" s="125">
        <v>0</v>
      </c>
      <c r="Q331" s="125">
        <v>0</v>
      </c>
      <c r="S331" s="125">
        <v>-7662914.90000105</v>
      </c>
      <c r="T331" s="125">
        <v>0</v>
      </c>
      <c r="V331" s="125"/>
      <c r="W331" s="125"/>
    </row>
    <row r="332" spans="1:23">
      <c r="A332" s="121">
        <v>43448</v>
      </c>
      <c r="B332" s="125">
        <v>155920714.09693</v>
      </c>
      <c r="C332" s="125">
        <v>37504305.573885858</v>
      </c>
      <c r="D332" s="125">
        <v>46014734.754828736</v>
      </c>
      <c r="E332" s="125">
        <v>69916962.795793742</v>
      </c>
      <c r="F332" s="123">
        <v>153436003.12450832</v>
      </c>
      <c r="G332" s="125">
        <v>-1125000</v>
      </c>
      <c r="H332" s="125">
        <v>1763.1257851357461</v>
      </c>
      <c r="I332" s="125">
        <v>972.00237875991638</v>
      </c>
      <c r="J332" s="125">
        <v>497.27670546566281</v>
      </c>
      <c r="K332" s="125">
        <v>1220.7565877024088</v>
      </c>
      <c r="L332" s="122">
        <v>2690.035671927988</v>
      </c>
      <c r="M332" s="125">
        <v>0</v>
      </c>
      <c r="N332" s="115">
        <v>14585</v>
      </c>
      <c r="P332" s="125">
        <v>0</v>
      </c>
      <c r="Q332" s="125">
        <v>0</v>
      </c>
      <c r="S332" s="125">
        <v>-7662914.90000105</v>
      </c>
      <c r="T332" s="125">
        <v>0</v>
      </c>
      <c r="V332" s="125"/>
      <c r="W332" s="125"/>
    </row>
    <row r="333" spans="1:23">
      <c r="A333" s="121">
        <v>43451</v>
      </c>
      <c r="B333" s="125">
        <v>158167512.05474311</v>
      </c>
      <c r="C333" s="125">
        <v>39086739.903114721</v>
      </c>
      <c r="D333" s="125">
        <v>46364282.624147423</v>
      </c>
      <c r="E333" s="125">
        <v>69333743.189940691</v>
      </c>
      <c r="F333" s="123">
        <v>154784765.71720284</v>
      </c>
      <c r="G333" s="125">
        <v>-1125000</v>
      </c>
      <c r="H333" s="125">
        <v>1763.5539586416421</v>
      </c>
      <c r="I333" s="125">
        <v>988.15138926900374</v>
      </c>
      <c r="J333" s="125">
        <v>500.51507926869027</v>
      </c>
      <c r="K333" s="125">
        <v>1215.430933644391</v>
      </c>
      <c r="L333" s="122">
        <v>2704.0974021820848</v>
      </c>
      <c r="M333" s="125">
        <v>0</v>
      </c>
      <c r="N333" s="115">
        <v>14575</v>
      </c>
      <c r="P333" s="125">
        <v>0</v>
      </c>
      <c r="Q333" s="125">
        <v>0</v>
      </c>
      <c r="S333" s="125">
        <v>-7662914.90000105</v>
      </c>
      <c r="T333" s="125">
        <v>0</v>
      </c>
      <c r="V333" s="125"/>
      <c r="W333" s="125"/>
    </row>
    <row r="334" spans="1:23">
      <c r="A334" s="121">
        <v>43452</v>
      </c>
      <c r="B334" s="125">
        <v>158687470.54990658</v>
      </c>
      <c r="C334" s="125">
        <v>38427743.688865088</v>
      </c>
      <c r="D334" s="125">
        <v>46344419.787688136</v>
      </c>
      <c r="E334" s="125">
        <v>69757110.665185377</v>
      </c>
      <c r="F334" s="123">
        <v>154529274.14173859</v>
      </c>
      <c r="G334" s="125">
        <v>-1125000</v>
      </c>
      <c r="H334" s="125">
        <v>1736.1122964448946</v>
      </c>
      <c r="I334" s="125">
        <v>985.55373510720904</v>
      </c>
      <c r="J334" s="125">
        <v>498.16994917905799</v>
      </c>
      <c r="K334" s="125">
        <v>1203.1836381131482</v>
      </c>
      <c r="L334" s="122">
        <v>2686.9073223994155</v>
      </c>
      <c r="M334" s="125">
        <v>0</v>
      </c>
      <c r="N334" s="115">
        <v>14500</v>
      </c>
      <c r="P334" s="125">
        <v>0</v>
      </c>
      <c r="Q334" s="125">
        <v>0</v>
      </c>
      <c r="S334" s="125">
        <v>-7662914.90000105</v>
      </c>
      <c r="T334" s="125">
        <v>0</v>
      </c>
      <c r="V334" s="125"/>
      <c r="W334" s="125"/>
    </row>
    <row r="335" spans="1:23">
      <c r="A335" s="121">
        <v>43453</v>
      </c>
      <c r="B335" s="125">
        <v>159382979.65340844</v>
      </c>
      <c r="C335" s="125">
        <v>40660514.307718284</v>
      </c>
      <c r="D335" s="125">
        <v>46340513.29388456</v>
      </c>
      <c r="E335" s="125">
        <v>69514030.12466459</v>
      </c>
      <c r="F335" s="123">
        <v>156515057.72626746</v>
      </c>
      <c r="G335" s="125">
        <v>-1125000</v>
      </c>
      <c r="H335" s="125">
        <v>1735.6425805771121</v>
      </c>
      <c r="I335" s="125">
        <v>954.27371351511238</v>
      </c>
      <c r="J335" s="125">
        <v>497.98944645965241</v>
      </c>
      <c r="K335" s="125">
        <v>1184.3440453474036</v>
      </c>
      <c r="L335" s="122">
        <v>2636.6072053221683</v>
      </c>
      <c r="M335" s="125">
        <v>0</v>
      </c>
      <c r="N335" s="115">
        <v>14442.5</v>
      </c>
      <c r="P335" s="125">
        <v>0</v>
      </c>
      <c r="Q335" s="125">
        <v>0</v>
      </c>
      <c r="S335" s="125">
        <v>-11714071.80555163</v>
      </c>
      <c r="T335" s="125">
        <v>0</v>
      </c>
      <c r="V335" s="125"/>
      <c r="W335" s="125"/>
    </row>
    <row r="336" spans="1:23">
      <c r="A336" s="121">
        <v>43454</v>
      </c>
      <c r="B336" s="125">
        <v>161284448.85790738</v>
      </c>
      <c r="C336" s="125">
        <v>40297342.31965255</v>
      </c>
      <c r="D336" s="125">
        <v>46654527.57564272</v>
      </c>
      <c r="E336" s="125">
        <v>69247677.328305468</v>
      </c>
      <c r="F336" s="123">
        <v>156199547.22360075</v>
      </c>
      <c r="G336" s="125">
        <v>-1125000</v>
      </c>
      <c r="H336" s="125">
        <v>1746.8778798368669</v>
      </c>
      <c r="I336" s="125">
        <v>964.0264794224048</v>
      </c>
      <c r="J336" s="125">
        <v>497.24717843814307</v>
      </c>
      <c r="K336" s="125">
        <v>1182.0346940057204</v>
      </c>
      <c r="L336" s="122">
        <v>2643.3083518662684</v>
      </c>
      <c r="M336" s="125">
        <v>0</v>
      </c>
      <c r="N336" s="115">
        <v>14470</v>
      </c>
      <c r="P336" s="125">
        <v>0</v>
      </c>
      <c r="Q336" s="125">
        <v>0</v>
      </c>
      <c r="S336" s="125">
        <v>-11714108.211102629</v>
      </c>
      <c r="T336" s="125">
        <v>0</v>
      </c>
      <c r="V336" s="125"/>
      <c r="W336" s="125"/>
    </row>
    <row r="337" spans="1:23">
      <c r="A337" s="121">
        <v>43455</v>
      </c>
      <c r="B337" s="125">
        <v>161372086.76578116</v>
      </c>
      <c r="C337" s="125">
        <v>38330176.443083316</v>
      </c>
      <c r="D337" s="125">
        <v>47559071.155121244</v>
      </c>
      <c r="E337" s="125">
        <v>69797123.710054979</v>
      </c>
      <c r="F337" s="123">
        <v>155686371.30825955</v>
      </c>
      <c r="G337" s="125">
        <v>-1125000</v>
      </c>
      <c r="H337" s="125">
        <v>1745.3253784662572</v>
      </c>
      <c r="I337" s="125">
        <v>873.44072995412557</v>
      </c>
      <c r="J337" s="125">
        <v>498.83936923879838</v>
      </c>
      <c r="K337" s="125">
        <v>1225.8993055078163</v>
      </c>
      <c r="L337" s="122">
        <v>2598.1794047007402</v>
      </c>
      <c r="M337" s="125">
        <v>0</v>
      </c>
      <c r="N337" s="115">
        <v>14555</v>
      </c>
      <c r="P337" s="125">
        <v>0</v>
      </c>
      <c r="Q337" s="125">
        <v>0</v>
      </c>
      <c r="S337" s="125">
        <v>-11714144.616653629</v>
      </c>
      <c r="T337" s="125">
        <v>0</v>
      </c>
      <c r="V337" s="125"/>
      <c r="W337" s="125"/>
    </row>
    <row r="338" spans="1:23">
      <c r="A338" s="121">
        <v>43460</v>
      </c>
      <c r="B338" s="125">
        <v>161845633.31525731</v>
      </c>
      <c r="C338" s="125">
        <v>41917131.754826307</v>
      </c>
      <c r="D338" s="125">
        <v>47271996.569858469</v>
      </c>
      <c r="E338" s="125">
        <v>68629442.920783848</v>
      </c>
      <c r="F338" s="123">
        <v>157818571.24546862</v>
      </c>
      <c r="G338" s="125">
        <v>-1125000</v>
      </c>
      <c r="H338" s="125">
        <v>1740.7057266660827</v>
      </c>
      <c r="I338" s="125">
        <v>822.59799057668545</v>
      </c>
      <c r="J338" s="125">
        <v>497.19951059230738</v>
      </c>
      <c r="K338" s="125">
        <v>1358.2778562015726</v>
      </c>
      <c r="L338" s="122">
        <v>2678.0753573705651</v>
      </c>
      <c r="M338" s="125">
        <v>0</v>
      </c>
      <c r="N338" s="115">
        <v>14575</v>
      </c>
      <c r="P338" s="125">
        <v>0</v>
      </c>
      <c r="Q338" s="125">
        <v>0</v>
      </c>
      <c r="S338" s="125">
        <v>-11714326.644408628</v>
      </c>
      <c r="T338" s="125">
        <v>0</v>
      </c>
      <c r="V338" s="125"/>
      <c r="W338" s="125"/>
    </row>
    <row r="339" spans="1:23">
      <c r="A339" s="121">
        <v>43461</v>
      </c>
      <c r="B339" s="125">
        <v>161327612.96217126</v>
      </c>
      <c r="C339" s="125">
        <v>38428724.522131518</v>
      </c>
      <c r="D339" s="125">
        <v>47578387.68497768</v>
      </c>
      <c r="E339" s="125">
        <v>69001925.194937214</v>
      </c>
      <c r="F339" s="123">
        <v>155009037.40204641</v>
      </c>
      <c r="G339" s="125">
        <v>-1125000</v>
      </c>
      <c r="H339" s="125">
        <v>1740.3465218568897</v>
      </c>
      <c r="I339" s="125">
        <v>810.07825288035372</v>
      </c>
      <c r="J339" s="125">
        <v>499.32739901035922</v>
      </c>
      <c r="K339" s="125">
        <v>1373.5373212923751</v>
      </c>
      <c r="L339" s="122">
        <v>2682.9429731830878</v>
      </c>
      <c r="M339" s="125">
        <v>0</v>
      </c>
      <c r="N339" s="115">
        <v>14560</v>
      </c>
      <c r="P339" s="125">
        <v>0</v>
      </c>
      <c r="Q339" s="125">
        <v>0</v>
      </c>
      <c r="S339" s="125">
        <v>-11714363.04995963</v>
      </c>
      <c r="T339" s="125">
        <v>0</v>
      </c>
      <c r="V339" s="125"/>
      <c r="W339" s="125"/>
    </row>
    <row r="340" spans="1:23">
      <c r="A340" s="121">
        <v>43462</v>
      </c>
      <c r="B340" s="125">
        <v>161268080.15537301</v>
      </c>
      <c r="C340" s="125">
        <v>34400247.149724104</v>
      </c>
      <c r="D340" s="125">
        <v>47717367.410014778</v>
      </c>
      <c r="E340" s="125">
        <v>69918038.792714342</v>
      </c>
      <c r="F340" s="123">
        <v>152035653.35245323</v>
      </c>
      <c r="G340" s="125">
        <v>-1315000</v>
      </c>
      <c r="H340" s="125">
        <v>1735.5118900040254</v>
      </c>
      <c r="I340" s="125">
        <v>817.51451265104515</v>
      </c>
      <c r="J340" s="125">
        <v>498.22502173234216</v>
      </c>
      <c r="K340" s="125">
        <v>1371.157734014743</v>
      </c>
      <c r="L340" s="122">
        <v>2686.8972683981301</v>
      </c>
      <c r="M340" s="125">
        <v>0</v>
      </c>
      <c r="N340" s="115">
        <v>14560</v>
      </c>
      <c r="P340" s="125">
        <v>0</v>
      </c>
      <c r="Q340" s="125">
        <v>0</v>
      </c>
      <c r="S340" s="125">
        <v>-11714399.455510629</v>
      </c>
      <c r="T340" s="125">
        <v>0</v>
      </c>
      <c r="V340" s="125"/>
      <c r="W340" s="125"/>
    </row>
    <row r="341" spans="1:23">
      <c r="A341" s="121">
        <v>43465</v>
      </c>
      <c r="B341" s="125">
        <v>161560727.05359051</v>
      </c>
      <c r="C341" s="125">
        <v>34145410.661942236</v>
      </c>
      <c r="D341" s="125">
        <v>47326369.474357054</v>
      </c>
      <c r="E341" s="125">
        <v>70680577.992145598</v>
      </c>
      <c r="F341" s="123">
        <v>152152358.12844488</v>
      </c>
      <c r="G341" s="125">
        <v>-1315000</v>
      </c>
      <c r="H341" s="125">
        <v>1724.040089223063</v>
      </c>
      <c r="I341" s="125">
        <v>818.14415783842981</v>
      </c>
      <c r="J341" s="125">
        <v>498.7965944783212</v>
      </c>
      <c r="K341" s="125">
        <v>1373.479820972294</v>
      </c>
      <c r="L341" s="122">
        <v>2690.420573289045</v>
      </c>
      <c r="M341" s="125">
        <v>0</v>
      </c>
      <c r="N341" s="115">
        <v>14380</v>
      </c>
      <c r="O341" s="116">
        <v>3476.79</v>
      </c>
      <c r="P341" s="125">
        <v>0</v>
      </c>
      <c r="Q341" s="125">
        <v>0</v>
      </c>
      <c r="S341" s="125">
        <v>-11714508.672163628</v>
      </c>
      <c r="T341" s="125">
        <v>0</v>
      </c>
      <c r="V341" s="125"/>
      <c r="W341" s="125"/>
    </row>
    <row r="342" spans="1:23">
      <c r="A342" s="121">
        <v>43467</v>
      </c>
      <c r="B342" s="125">
        <v>160250336.07245657</v>
      </c>
      <c r="C342" s="125">
        <v>36379770.583968163</v>
      </c>
      <c r="D342" s="125">
        <v>47014288.985102519</v>
      </c>
      <c r="E342" s="125">
        <v>69663257.153063238</v>
      </c>
      <c r="F342" s="123">
        <v>153057316.72213393</v>
      </c>
      <c r="G342" s="125">
        <v>-1815000</v>
      </c>
      <c r="H342" s="125">
        <v>1720.5105570823011</v>
      </c>
      <c r="I342" s="125">
        <v>804.18343994785334</v>
      </c>
      <c r="J342" s="125">
        <v>499.05167947756325</v>
      </c>
      <c r="K342" s="125">
        <v>1389.2206293129796</v>
      </c>
      <c r="L342" s="122">
        <v>2692.4557487383963</v>
      </c>
      <c r="M342" s="125">
        <v>0</v>
      </c>
      <c r="N342" s="115">
        <v>14450</v>
      </c>
      <c r="P342" s="125">
        <v>0</v>
      </c>
      <c r="Q342" s="125">
        <v>0</v>
      </c>
      <c r="S342" s="125">
        <v>-11714581.483265629</v>
      </c>
      <c r="T342" s="125">
        <v>0</v>
      </c>
      <c r="V342" s="125"/>
      <c r="W342" s="125"/>
    </row>
    <row r="343" spans="1:23">
      <c r="A343" s="121">
        <v>43468</v>
      </c>
      <c r="B343" s="125">
        <v>159733702.87149617</v>
      </c>
      <c r="C343" s="125">
        <v>37620177.438448802</v>
      </c>
      <c r="D343" s="125">
        <v>47128161.234954625</v>
      </c>
      <c r="E343" s="125">
        <v>69661370.681207523</v>
      </c>
      <c r="F343" s="123">
        <v>154409709.35461095</v>
      </c>
      <c r="G343" s="125">
        <v>-1815000</v>
      </c>
      <c r="H343" s="125">
        <v>1719.5064688913683</v>
      </c>
      <c r="I343" s="125">
        <v>792.66022435790546</v>
      </c>
      <c r="J343" s="125">
        <v>499.42142790241843</v>
      </c>
      <c r="K343" s="125">
        <v>1391.351383989012</v>
      </c>
      <c r="L343" s="122">
        <v>2683.4330362493356</v>
      </c>
      <c r="M343" s="125">
        <v>0</v>
      </c>
      <c r="N343" s="115">
        <v>14410</v>
      </c>
      <c r="P343" s="125">
        <v>0</v>
      </c>
      <c r="Q343" s="125">
        <v>0</v>
      </c>
      <c r="S343" s="125">
        <v>-11714617.888816629</v>
      </c>
      <c r="T343" s="125">
        <v>0</v>
      </c>
      <c r="V343" s="125"/>
      <c r="W343" s="125"/>
    </row>
    <row r="344" spans="1:23">
      <c r="A344" s="121">
        <v>43469</v>
      </c>
      <c r="B344" s="125">
        <v>158562315.15767837</v>
      </c>
      <c r="C344" s="125">
        <v>37674590.964579873</v>
      </c>
      <c r="D344" s="125">
        <v>47235554.30026266</v>
      </c>
      <c r="E344" s="125">
        <v>69835012.297332495</v>
      </c>
      <c r="F344" s="123">
        <v>154745157.56217504</v>
      </c>
      <c r="G344" s="125">
        <v>-1815000</v>
      </c>
      <c r="H344" s="125">
        <v>1700.2361945353598</v>
      </c>
      <c r="I344" s="125">
        <v>909.16381086222543</v>
      </c>
      <c r="J344" s="125">
        <v>501.64521257271343</v>
      </c>
      <c r="K344" s="125">
        <v>1316.7099619532507</v>
      </c>
      <c r="L344" s="122">
        <v>2727.5189853881893</v>
      </c>
      <c r="M344" s="125">
        <v>0</v>
      </c>
      <c r="N344" s="115">
        <v>14270</v>
      </c>
      <c r="P344" s="125">
        <v>0</v>
      </c>
      <c r="Q344" s="125">
        <v>0</v>
      </c>
      <c r="S344" s="125">
        <v>-9803740.9943677187</v>
      </c>
      <c r="T344" s="125">
        <v>0</v>
      </c>
      <c r="V344" s="125"/>
      <c r="W344" s="125"/>
    </row>
    <row r="345" spans="1:23">
      <c r="A345" s="121">
        <v>43472</v>
      </c>
      <c r="B345" s="125">
        <v>158216873.36811227</v>
      </c>
      <c r="C345" s="125">
        <v>38471319.700922385</v>
      </c>
      <c r="D345" s="125">
        <v>47137568.293223776</v>
      </c>
      <c r="E345" s="125">
        <v>69176608.893593773</v>
      </c>
      <c r="F345" s="123">
        <v>154785496.88773996</v>
      </c>
      <c r="G345" s="125">
        <v>-1815000</v>
      </c>
      <c r="H345" s="125">
        <v>1704.1785431838732</v>
      </c>
      <c r="I345" s="125">
        <v>999.09088006904346</v>
      </c>
      <c r="J345" s="125">
        <v>504.0539876482909</v>
      </c>
      <c r="K345" s="125">
        <v>1224.6308611825066</v>
      </c>
      <c r="L345" s="122">
        <v>2727.7757288998409</v>
      </c>
      <c r="M345" s="125">
        <v>0</v>
      </c>
      <c r="N345" s="115">
        <v>14090</v>
      </c>
      <c r="P345" s="125">
        <v>0</v>
      </c>
      <c r="Q345" s="125">
        <v>0</v>
      </c>
      <c r="S345" s="125">
        <v>-9803850.2110207193</v>
      </c>
      <c r="T345" s="125">
        <v>0</v>
      </c>
      <c r="V345" s="125"/>
      <c r="W345" s="125"/>
    </row>
    <row r="346" spans="1:23">
      <c r="A346" s="121">
        <v>43473</v>
      </c>
      <c r="B346" s="125">
        <v>157948970.83241725</v>
      </c>
      <c r="C346" s="125">
        <v>37919618.210258693</v>
      </c>
      <c r="D346" s="125">
        <v>47003635.395943686</v>
      </c>
      <c r="E346" s="125">
        <v>69592598.686064035</v>
      </c>
      <c r="F346" s="123">
        <v>154515852.29226643</v>
      </c>
      <c r="G346" s="125">
        <v>-1815000</v>
      </c>
      <c r="H346" s="125">
        <v>1704.1323302013195</v>
      </c>
      <c r="I346" s="125">
        <v>999.28906853363674</v>
      </c>
      <c r="J346" s="125">
        <v>505.48198082610253</v>
      </c>
      <c r="K346" s="125">
        <v>1219.7455871732518</v>
      </c>
      <c r="L346" s="122">
        <v>2724.516636532991</v>
      </c>
      <c r="M346" s="125">
        <v>0</v>
      </c>
      <c r="N346" s="115">
        <v>14145</v>
      </c>
      <c r="P346" s="125">
        <v>0</v>
      </c>
      <c r="Q346" s="125">
        <v>0</v>
      </c>
      <c r="S346" s="125">
        <v>-9803886.6165717188</v>
      </c>
      <c r="T346" s="125">
        <v>0</v>
      </c>
      <c r="V346" s="125"/>
      <c r="W346" s="125"/>
    </row>
    <row r="347" spans="1:23">
      <c r="A347" s="121">
        <v>43474</v>
      </c>
      <c r="B347" s="125">
        <v>157183231.88988349</v>
      </c>
      <c r="C347" s="125">
        <v>37693883.885579444</v>
      </c>
      <c r="D347" s="125">
        <v>47195480.177910358</v>
      </c>
      <c r="E347" s="125">
        <v>69541245.143428981</v>
      </c>
      <c r="F347" s="123">
        <v>154430609.20691878</v>
      </c>
      <c r="G347" s="125">
        <v>-1815000</v>
      </c>
      <c r="H347" s="125">
        <v>1706.2952833005304</v>
      </c>
      <c r="I347" s="125">
        <v>987.45528651601489</v>
      </c>
      <c r="J347" s="125">
        <v>508.71188297421662</v>
      </c>
      <c r="K347" s="125">
        <v>1234.7107944232205</v>
      </c>
      <c r="L347" s="122">
        <v>2730.8779639134518</v>
      </c>
      <c r="M347" s="125">
        <v>0</v>
      </c>
      <c r="N347" s="115">
        <v>14125</v>
      </c>
      <c r="P347" s="125">
        <v>0</v>
      </c>
      <c r="Q347" s="125">
        <v>0</v>
      </c>
      <c r="S347" s="125">
        <v>-4051921.4221227202</v>
      </c>
      <c r="T347" s="125">
        <v>0</v>
      </c>
      <c r="V347" s="125"/>
      <c r="W347" s="125"/>
    </row>
    <row r="348" spans="1:23">
      <c r="A348" s="121">
        <v>43475</v>
      </c>
      <c r="B348" s="125">
        <v>156886856.65590802</v>
      </c>
      <c r="C348" s="125">
        <v>35973169.611768261</v>
      </c>
      <c r="D348" s="125">
        <v>47185850.634744599</v>
      </c>
      <c r="E348" s="125">
        <v>69815563.648436263</v>
      </c>
      <c r="F348" s="123">
        <v>152974583.89494914</v>
      </c>
      <c r="G348" s="125">
        <v>-1815000</v>
      </c>
      <c r="H348" s="125">
        <v>1722.424626469123</v>
      </c>
      <c r="I348" s="125">
        <v>998.38157325920554</v>
      </c>
      <c r="J348" s="125">
        <v>510.76555090475568</v>
      </c>
      <c r="K348" s="125">
        <v>1244.8135004047856</v>
      </c>
      <c r="L348" s="122">
        <v>2753.9606245687469</v>
      </c>
      <c r="M348" s="125">
        <v>0</v>
      </c>
      <c r="N348" s="115">
        <v>14055</v>
      </c>
      <c r="P348" s="125">
        <v>0</v>
      </c>
      <c r="Q348" s="125">
        <v>0</v>
      </c>
      <c r="S348" s="125">
        <v>-4051957.8276737202</v>
      </c>
      <c r="T348" s="125">
        <v>0</v>
      </c>
      <c r="V348" s="125"/>
      <c r="W348" s="125"/>
    </row>
    <row r="349" spans="1:23">
      <c r="A349" s="121">
        <v>43476</v>
      </c>
      <c r="B349" s="125">
        <v>156362681.46368343</v>
      </c>
      <c r="C349" s="125">
        <v>35887126.201204106</v>
      </c>
      <c r="D349" s="125">
        <v>47239706.864391334</v>
      </c>
      <c r="E349" s="125">
        <v>70009894.17153348</v>
      </c>
      <c r="F349" s="123">
        <v>153136727.23712891</v>
      </c>
      <c r="G349" s="125">
        <v>-1790000</v>
      </c>
      <c r="H349" s="125">
        <v>1714.0698465241239</v>
      </c>
      <c r="I349" s="125">
        <v>985.6736450252547</v>
      </c>
      <c r="J349" s="125">
        <v>509.78562801246494</v>
      </c>
      <c r="K349" s="125">
        <v>1245.449179745119</v>
      </c>
      <c r="L349" s="122">
        <v>2740.9084527828386</v>
      </c>
      <c r="M349" s="125">
        <v>0</v>
      </c>
      <c r="N349" s="115">
        <v>14045</v>
      </c>
      <c r="P349" s="125">
        <v>0</v>
      </c>
      <c r="Q349" s="125">
        <v>0</v>
      </c>
      <c r="S349" s="125">
        <v>-4051994.2332247202</v>
      </c>
      <c r="T349" s="125">
        <v>0</v>
      </c>
      <c r="V349" s="125"/>
      <c r="W349" s="125"/>
    </row>
    <row r="350" spans="1:23">
      <c r="A350" s="121">
        <v>43479</v>
      </c>
      <c r="B350" s="125">
        <v>156138131.55368069</v>
      </c>
      <c r="C350" s="125">
        <v>37701697.439280182</v>
      </c>
      <c r="D350" s="125">
        <v>47333993.717920713</v>
      </c>
      <c r="E350" s="125">
        <v>70005390.484416828</v>
      </c>
      <c r="F350" s="123">
        <v>155041081.64161772</v>
      </c>
      <c r="G350" s="125">
        <v>-1690000</v>
      </c>
      <c r="H350" s="125">
        <v>1708.9581807659463</v>
      </c>
      <c r="I350" s="125">
        <v>984.59564442479609</v>
      </c>
      <c r="J350" s="125">
        <v>507.46794860032213</v>
      </c>
      <c r="K350" s="125">
        <v>1248.6437162498555</v>
      </c>
      <c r="L350" s="122">
        <v>2740.7073092749738</v>
      </c>
      <c r="M350" s="125">
        <v>0</v>
      </c>
      <c r="N350" s="115">
        <v>14124</v>
      </c>
      <c r="P350" s="125">
        <v>0</v>
      </c>
      <c r="Q350" s="125">
        <v>0</v>
      </c>
      <c r="S350" s="125">
        <v>-4052103.4498777203</v>
      </c>
      <c r="T350" s="125">
        <v>0</v>
      </c>
      <c r="V350" s="125"/>
      <c r="W350" s="125"/>
    </row>
    <row r="351" spans="1:23">
      <c r="A351" s="121">
        <v>43480</v>
      </c>
      <c r="B351" s="125">
        <v>156249588.92098916</v>
      </c>
      <c r="C351" s="125">
        <v>37208152.143206343</v>
      </c>
      <c r="D351" s="125">
        <v>47047762.845508829</v>
      </c>
      <c r="E351" s="125">
        <v>70283723.022952929</v>
      </c>
      <c r="F351" s="123">
        <v>154539638.01166809</v>
      </c>
      <c r="G351" s="125">
        <v>-1690000</v>
      </c>
      <c r="H351" s="125">
        <v>1708.0617587314619</v>
      </c>
      <c r="I351" s="125">
        <v>957.73955641531893</v>
      </c>
      <c r="J351" s="125">
        <v>506.04940812335968</v>
      </c>
      <c r="K351" s="125">
        <v>1251.2320165788165</v>
      </c>
      <c r="L351" s="122">
        <v>2715.020981117495</v>
      </c>
      <c r="M351" s="125">
        <v>0</v>
      </c>
      <c r="N351" s="115">
        <v>14092.5</v>
      </c>
      <c r="P351" s="125">
        <v>0</v>
      </c>
      <c r="Q351" s="125">
        <v>0</v>
      </c>
      <c r="S351" s="125">
        <v>-4052139.8554287204</v>
      </c>
      <c r="T351" s="125">
        <v>0</v>
      </c>
      <c r="V351" s="125"/>
      <c r="W351" s="125"/>
    </row>
    <row r="352" spans="1:23">
      <c r="A352" s="121">
        <v>43481</v>
      </c>
      <c r="B352" s="125">
        <v>156058648.77716714</v>
      </c>
      <c r="C352" s="125">
        <v>37475833.717821702</v>
      </c>
      <c r="D352" s="125">
        <v>46968891.537507072</v>
      </c>
      <c r="E352" s="125">
        <v>70308826.688091248</v>
      </c>
      <c r="F352" s="123">
        <v>154753551.94342002</v>
      </c>
      <c r="G352" s="125">
        <v>-2460000</v>
      </c>
      <c r="H352" s="125">
        <v>1719.6861821624209</v>
      </c>
      <c r="I352" s="125">
        <v>996.40982808052433</v>
      </c>
      <c r="J352" s="125">
        <v>506.08951887281552</v>
      </c>
      <c r="K352" s="125">
        <v>1251.0085339131469</v>
      </c>
      <c r="L352" s="122">
        <v>2753.5078808664866</v>
      </c>
      <c r="M352" s="125">
        <v>0</v>
      </c>
      <c r="N352" s="115">
        <v>14122.5</v>
      </c>
      <c r="P352" s="125">
        <v>0</v>
      </c>
      <c r="Q352" s="125">
        <v>0</v>
      </c>
      <c r="S352" s="125">
        <v>-7.1999999999999999E-7</v>
      </c>
      <c r="T352" s="125">
        <v>0</v>
      </c>
      <c r="V352" s="125"/>
      <c r="W352" s="125"/>
    </row>
    <row r="353" spans="1:23">
      <c r="A353" s="121">
        <v>43482</v>
      </c>
      <c r="B353" s="125">
        <v>155441643.20970991</v>
      </c>
      <c r="C353" s="125">
        <v>38127277.218024231</v>
      </c>
      <c r="D353" s="125">
        <v>47159498.208550707</v>
      </c>
      <c r="E353" s="125">
        <v>70578954.552815169</v>
      </c>
      <c r="F353" s="123">
        <v>155865729.97939011</v>
      </c>
      <c r="G353" s="125">
        <v>-1840000</v>
      </c>
      <c r="H353" s="125">
        <v>1714.3573550506517</v>
      </c>
      <c r="I353" s="125">
        <v>990.43770776425856</v>
      </c>
      <c r="J353" s="125">
        <v>509.45395802444466</v>
      </c>
      <c r="K353" s="125">
        <v>1241.9020579304547</v>
      </c>
      <c r="L353" s="122">
        <v>2741.7937237191582</v>
      </c>
      <c r="M353" s="125">
        <v>0</v>
      </c>
      <c r="N353" s="115">
        <v>14180</v>
      </c>
      <c r="P353" s="125">
        <v>0</v>
      </c>
      <c r="Q353" s="125">
        <v>0</v>
      </c>
      <c r="S353" s="125">
        <v>-7.1999999999999999E-7</v>
      </c>
      <c r="T353" s="125">
        <v>0</v>
      </c>
      <c r="V353" s="125"/>
      <c r="W353" s="125"/>
    </row>
    <row r="354" spans="1:23">
      <c r="A354" s="121">
        <v>43483</v>
      </c>
      <c r="B354" s="125">
        <v>155007755.87467277</v>
      </c>
      <c r="C354" s="125">
        <v>38269201.961239129</v>
      </c>
      <c r="D354" s="125">
        <v>47181961.837556139</v>
      </c>
      <c r="E354" s="125">
        <v>71643185.419436112</v>
      </c>
      <c r="F354" s="123">
        <v>157094349.21823138</v>
      </c>
      <c r="G354" s="125">
        <v>-1840000</v>
      </c>
      <c r="H354" s="125">
        <v>1727.650880061414</v>
      </c>
      <c r="I354" s="125">
        <v>941.86433952924369</v>
      </c>
      <c r="J354" s="125">
        <v>504.8171940537764</v>
      </c>
      <c r="K354" s="125">
        <v>1217.0844061480784</v>
      </c>
      <c r="L354" s="122">
        <v>2663.7659397310986</v>
      </c>
      <c r="M354" s="125">
        <v>0</v>
      </c>
      <c r="N354" s="115">
        <v>14175</v>
      </c>
      <c r="P354" s="125">
        <v>0</v>
      </c>
      <c r="Q354" s="125">
        <v>0</v>
      </c>
      <c r="S354" s="125">
        <v>-7.1999999999999999E-7</v>
      </c>
      <c r="T354" s="125">
        <v>0</v>
      </c>
      <c r="V354" s="125"/>
      <c r="W354" s="125"/>
    </row>
    <row r="355" spans="1:23">
      <c r="A355" s="121">
        <v>43486</v>
      </c>
      <c r="B355" s="125">
        <v>154881676.08994073</v>
      </c>
      <c r="C355" s="125">
        <v>38149875.715239085</v>
      </c>
      <c r="D355" s="125">
        <v>47262242.874590039</v>
      </c>
      <c r="E355" s="125">
        <v>70649452.814344302</v>
      </c>
      <c r="F355" s="123">
        <v>156061571.40417343</v>
      </c>
      <c r="G355" s="125">
        <v>-1840000</v>
      </c>
      <c r="H355" s="125">
        <v>1730.1609298822727</v>
      </c>
      <c r="I355" s="125">
        <v>950.7530744585124</v>
      </c>
      <c r="J355" s="125">
        <v>509.29180497359852</v>
      </c>
      <c r="K355" s="125">
        <v>1207.4884054615732</v>
      </c>
      <c r="L355" s="122">
        <v>2667.5332848936841</v>
      </c>
      <c r="M355" s="125">
        <v>0</v>
      </c>
      <c r="N355" s="115">
        <v>14222.5</v>
      </c>
      <c r="P355" s="125">
        <v>0</v>
      </c>
      <c r="Q355" s="125">
        <v>0</v>
      </c>
      <c r="S355" s="125">
        <v>-938626.00000072015</v>
      </c>
      <c r="T355" s="125">
        <v>0</v>
      </c>
      <c r="V355" s="125"/>
      <c r="W355" s="125"/>
    </row>
    <row r="356" spans="1:23">
      <c r="A356" s="121">
        <v>43487</v>
      </c>
      <c r="B356" s="125">
        <v>154953376.01668292</v>
      </c>
      <c r="C356" s="125">
        <v>38773694.05427774</v>
      </c>
      <c r="D356" s="125">
        <v>47089474.429575309</v>
      </c>
      <c r="E356" s="125">
        <v>71324925.010751188</v>
      </c>
      <c r="F356" s="123">
        <v>157188093.49460423</v>
      </c>
      <c r="G356" s="125">
        <v>-1840000</v>
      </c>
      <c r="H356" s="125">
        <v>1737.426639782607</v>
      </c>
      <c r="I356" s="125">
        <v>929.68597449713627</v>
      </c>
      <c r="J356" s="125">
        <v>509.48895130080331</v>
      </c>
      <c r="K356" s="125">
        <v>1206.8624649267826</v>
      </c>
      <c r="L356" s="122">
        <v>2646.0373907247222</v>
      </c>
      <c r="M356" s="125">
        <v>-44</v>
      </c>
      <c r="N356" s="115">
        <v>14215</v>
      </c>
      <c r="P356" s="125">
        <v>0</v>
      </c>
      <c r="Q356" s="125">
        <v>0</v>
      </c>
      <c r="S356" s="125">
        <v>-938626.00000072015</v>
      </c>
      <c r="T356" s="125">
        <v>0</v>
      </c>
      <c r="V356" s="125"/>
      <c r="W356" s="125"/>
    </row>
    <row r="357" spans="1:23">
      <c r="A357" s="121">
        <v>43488</v>
      </c>
      <c r="B357" s="125">
        <v>154756175.60070047</v>
      </c>
      <c r="C357" s="125">
        <v>38393533.771271802</v>
      </c>
      <c r="D357" s="125">
        <v>47029015.340658762</v>
      </c>
      <c r="E357" s="125">
        <v>72177060.459946632</v>
      </c>
      <c r="F357" s="123">
        <v>157599609.57187718</v>
      </c>
      <c r="G357" s="125">
        <v>-1840000</v>
      </c>
      <c r="H357" s="125">
        <v>1739.3263095677144</v>
      </c>
      <c r="I357" s="125">
        <v>940.73760356828768</v>
      </c>
      <c r="J357" s="125">
        <v>519.88623385078267</v>
      </c>
      <c r="K357" s="125">
        <v>1187.200339815862</v>
      </c>
      <c r="L357" s="122">
        <v>2647.824177234932</v>
      </c>
      <c r="M357" s="125">
        <v>-44</v>
      </c>
      <c r="N357" s="115">
        <v>14180</v>
      </c>
      <c r="P357" s="125">
        <v>0</v>
      </c>
      <c r="Q357" s="125">
        <v>0</v>
      </c>
      <c r="S357" s="125">
        <v>-938626.00000072015</v>
      </c>
      <c r="T357" s="125">
        <v>0</v>
      </c>
      <c r="V357" s="125"/>
      <c r="W357" s="125"/>
    </row>
    <row r="358" spans="1:23">
      <c r="A358" s="121">
        <v>43489</v>
      </c>
      <c r="B358" s="125">
        <v>154815472.42661637</v>
      </c>
      <c r="C358" s="125">
        <v>38138125.126308545</v>
      </c>
      <c r="D358" s="125">
        <v>47129909.792311303</v>
      </c>
      <c r="E358" s="125">
        <v>71990613.305898353</v>
      </c>
      <c r="F358" s="123">
        <v>157258648.22451818</v>
      </c>
      <c r="G358" s="125">
        <v>-1840000</v>
      </c>
      <c r="H358" s="125">
        <v>1724.8639045484283</v>
      </c>
      <c r="I358" s="125">
        <v>945.37834521403772</v>
      </c>
      <c r="J358" s="125">
        <v>519.24898048299099</v>
      </c>
      <c r="K358" s="125">
        <v>1211.260724103435</v>
      </c>
      <c r="L358" s="122">
        <v>2675.8880498004637</v>
      </c>
      <c r="M358" s="125">
        <v>-44</v>
      </c>
      <c r="N358" s="115">
        <v>14165</v>
      </c>
      <c r="P358" s="125">
        <v>0</v>
      </c>
      <c r="Q358" s="125">
        <v>0</v>
      </c>
      <c r="S358" s="125">
        <v>-938626.00000072015</v>
      </c>
      <c r="T358" s="125">
        <v>0</v>
      </c>
      <c r="V358" s="125"/>
      <c r="W358" s="125"/>
    </row>
    <row r="359" spans="1:23">
      <c r="A359" s="121">
        <v>43490</v>
      </c>
      <c r="B359" s="125">
        <v>154701974.17071882</v>
      </c>
      <c r="C359" s="125">
        <v>37035287.878176346</v>
      </c>
      <c r="D359" s="125">
        <v>47309427.263691723</v>
      </c>
      <c r="E359" s="125">
        <v>70821709.905201882</v>
      </c>
      <c r="F359" s="123">
        <v>155166425.04706997</v>
      </c>
      <c r="G359" s="125">
        <v>-1840000</v>
      </c>
      <c r="H359" s="125">
        <v>1735.5479646558913</v>
      </c>
      <c r="I359" s="125">
        <v>966.41916150462146</v>
      </c>
      <c r="J359" s="125">
        <v>518.84166516774803</v>
      </c>
      <c r="K359" s="125">
        <v>1222.8678949225932</v>
      </c>
      <c r="L359" s="122">
        <v>2708.1287215949628</v>
      </c>
      <c r="M359" s="125">
        <v>-44</v>
      </c>
      <c r="N359" s="115">
        <v>14085</v>
      </c>
      <c r="P359" s="125">
        <v>0</v>
      </c>
      <c r="Q359" s="125">
        <v>0</v>
      </c>
      <c r="S359" s="125">
        <v>-938626.00000072015</v>
      </c>
      <c r="T359" s="125">
        <v>0</v>
      </c>
      <c r="V359" s="125"/>
      <c r="W359" s="125"/>
    </row>
    <row r="360" spans="1:23">
      <c r="A360" s="121">
        <v>43493</v>
      </c>
      <c r="B360" s="125">
        <v>154962067.4689182</v>
      </c>
      <c r="C360" s="125">
        <v>38760609.808990009</v>
      </c>
      <c r="D360" s="125">
        <v>47472666.485265665</v>
      </c>
      <c r="E360" s="125">
        <v>70621724.009098411</v>
      </c>
      <c r="F360" s="123">
        <v>156855000.30335408</v>
      </c>
      <c r="G360" s="125">
        <v>-1650000</v>
      </c>
      <c r="H360" s="125">
        <v>1734.3956089763262</v>
      </c>
      <c r="I360" s="125">
        <v>1015.4743526404022</v>
      </c>
      <c r="J360" s="125">
        <v>520.33703542011824</v>
      </c>
      <c r="K360" s="125">
        <v>1167.568295213737</v>
      </c>
      <c r="L360" s="122">
        <v>2703.3796832742573</v>
      </c>
      <c r="M360" s="125">
        <v>-54</v>
      </c>
      <c r="N360" s="115">
        <v>14070</v>
      </c>
      <c r="P360" s="125">
        <v>0</v>
      </c>
      <c r="Q360" s="125">
        <v>0</v>
      </c>
      <c r="S360" s="125">
        <v>-938626.00000072015</v>
      </c>
      <c r="T360" s="125">
        <v>0</v>
      </c>
      <c r="V360" s="125"/>
      <c r="W360" s="125"/>
    </row>
    <row r="361" spans="1:23">
      <c r="A361" s="121">
        <v>43494</v>
      </c>
      <c r="B361" s="125">
        <v>154920708.97965339</v>
      </c>
      <c r="C361" s="125">
        <v>38370915.914313324</v>
      </c>
      <c r="D361" s="125">
        <v>47391586.134732179</v>
      </c>
      <c r="E361" s="125">
        <v>70857792.061641961</v>
      </c>
      <c r="F361" s="123">
        <v>156620294.11068746</v>
      </c>
      <c r="G361" s="125">
        <v>-1650000</v>
      </c>
      <c r="H361" s="125">
        <v>1732.6706105379096</v>
      </c>
      <c r="I361" s="125">
        <v>1009.4537839149154</v>
      </c>
      <c r="J361" s="125">
        <v>522.06659490014363</v>
      </c>
      <c r="K361" s="125">
        <v>1145.2247744066649</v>
      </c>
      <c r="L361" s="122">
        <v>2676.7451532217237</v>
      </c>
      <c r="M361" s="125">
        <v>-54</v>
      </c>
      <c r="N361" s="115">
        <v>14095</v>
      </c>
      <c r="P361" s="125">
        <v>0</v>
      </c>
      <c r="Q361" s="125">
        <v>0</v>
      </c>
      <c r="S361" s="125">
        <v>-938626.00000072015</v>
      </c>
      <c r="T361" s="125">
        <v>0</v>
      </c>
      <c r="V361" s="125"/>
      <c r="W361" s="125"/>
    </row>
    <row r="362" spans="1:23">
      <c r="A362" s="121">
        <v>43495</v>
      </c>
      <c r="B362" s="125">
        <v>154948356.68348613</v>
      </c>
      <c r="C362" s="125">
        <v>38296290.31212537</v>
      </c>
      <c r="D362" s="125">
        <v>47554917.980318561</v>
      </c>
      <c r="E362" s="125">
        <v>71251331.677526161</v>
      </c>
      <c r="F362" s="123">
        <v>157102539.96997011</v>
      </c>
      <c r="G362" s="125">
        <v>-1650000</v>
      </c>
      <c r="H362" s="125">
        <v>1706.4709620833901</v>
      </c>
      <c r="I362" s="125">
        <v>1013.8881252490668</v>
      </c>
      <c r="J362" s="125">
        <v>514.76671099329246</v>
      </c>
      <c r="K362" s="125">
        <v>1113.0076282363527</v>
      </c>
      <c r="L362" s="122">
        <v>2641.6624644787116</v>
      </c>
      <c r="M362" s="125">
        <v>-60</v>
      </c>
      <c r="N362" s="115">
        <v>14130</v>
      </c>
      <c r="P362" s="125">
        <v>0</v>
      </c>
      <c r="Q362" s="125">
        <v>0</v>
      </c>
      <c r="S362" s="125">
        <v>-938626.00000072015</v>
      </c>
      <c r="T362" s="125">
        <v>0</v>
      </c>
      <c r="V362" s="125"/>
      <c r="W362" s="125"/>
    </row>
    <row r="363" spans="1:23">
      <c r="A363" s="121">
        <v>43496</v>
      </c>
      <c r="B363" s="125">
        <v>157705093.02821216</v>
      </c>
      <c r="C363" s="125">
        <v>37417432.044713512</v>
      </c>
      <c r="D363" s="125">
        <v>47911056.076263182</v>
      </c>
      <c r="E363" s="125">
        <v>70551447.588904426</v>
      </c>
      <c r="F363" s="123">
        <v>155879935.70988113</v>
      </c>
      <c r="G363" s="125">
        <v>-1500000</v>
      </c>
      <c r="H363" s="125">
        <v>1736.6679269264514</v>
      </c>
      <c r="I363" s="125">
        <v>1025.3723460762544</v>
      </c>
      <c r="J363" s="125">
        <v>522.17644351903971</v>
      </c>
      <c r="K363" s="125">
        <v>1169.2819063677741</v>
      </c>
      <c r="L363" s="122">
        <v>2716.8306959630681</v>
      </c>
      <c r="M363" s="125">
        <v>-65</v>
      </c>
      <c r="N363" s="115">
        <v>13972.5</v>
      </c>
      <c r="O363" s="116">
        <v>3415.84</v>
      </c>
      <c r="P363" s="125">
        <v>0</v>
      </c>
      <c r="Q363" s="125">
        <v>0</v>
      </c>
      <c r="S363" s="125">
        <v>-938626.00000072015</v>
      </c>
      <c r="T363" s="125">
        <v>0</v>
      </c>
      <c r="V363" s="125"/>
      <c r="W363" s="125"/>
    </row>
    <row r="364" spans="1:23">
      <c r="A364" s="121">
        <v>43497</v>
      </c>
      <c r="B364" s="125">
        <v>157181050.64202619</v>
      </c>
      <c r="C364" s="125">
        <v>37041433.02362965</v>
      </c>
      <c r="D364" s="125">
        <v>47252945.596349686</v>
      </c>
      <c r="E364" s="125">
        <v>70591472.005077884</v>
      </c>
      <c r="F364" s="123">
        <v>154885850.62505722</v>
      </c>
      <c r="G364" s="125">
        <v>-1500000</v>
      </c>
      <c r="H364" s="125">
        <v>1731.805215751705</v>
      </c>
      <c r="I364" s="125">
        <v>981.3630645475854</v>
      </c>
      <c r="J364" s="125">
        <v>529.28742089149682</v>
      </c>
      <c r="K364" s="125">
        <v>1230.5305448047911</v>
      </c>
      <c r="L364" s="122">
        <v>2741.1810302438735</v>
      </c>
      <c r="M364" s="125">
        <v>-65</v>
      </c>
      <c r="N364" s="115">
        <v>13942.5</v>
      </c>
      <c r="P364" s="125">
        <v>0</v>
      </c>
      <c r="Q364" s="125">
        <v>0</v>
      </c>
      <c r="S364" s="125">
        <v>-938626.00000072015</v>
      </c>
      <c r="T364" s="125">
        <v>0</v>
      </c>
      <c r="V364" s="125"/>
      <c r="W364" s="125"/>
    </row>
    <row r="365" spans="1:23">
      <c r="A365" s="121">
        <v>43500</v>
      </c>
      <c r="B365" s="125">
        <v>156630535.74645349</v>
      </c>
      <c r="C365" s="125">
        <v>37738490.14216008</v>
      </c>
      <c r="D365" s="125">
        <v>47085525.390785433</v>
      </c>
      <c r="E365" s="125">
        <v>70437947.515273422</v>
      </c>
      <c r="F365" s="123">
        <v>155261963.04821894</v>
      </c>
      <c r="G365" s="125">
        <v>-1500000</v>
      </c>
      <c r="H365" s="125">
        <v>1769.4727339248857</v>
      </c>
      <c r="I365" s="125">
        <v>966.7241577419328</v>
      </c>
      <c r="J365" s="125">
        <v>523.72491075306471</v>
      </c>
      <c r="K365" s="125">
        <v>1222.0279318561338</v>
      </c>
      <c r="L365" s="122">
        <v>2712.4770003511312</v>
      </c>
      <c r="M365" s="125">
        <v>-55</v>
      </c>
      <c r="N365" s="115">
        <v>13955</v>
      </c>
      <c r="P365" s="125">
        <v>0</v>
      </c>
      <c r="Q365" s="125">
        <v>0</v>
      </c>
      <c r="S365" s="125">
        <v>-7.1999999999999999E-7</v>
      </c>
      <c r="T365" s="125">
        <v>0</v>
      </c>
      <c r="V365" s="125"/>
      <c r="W365" s="125"/>
    </row>
    <row r="366" spans="1:23">
      <c r="A366" s="121">
        <v>43502</v>
      </c>
      <c r="B366" s="125">
        <v>156778207.32102433</v>
      </c>
      <c r="C366" s="125">
        <v>37696391.476360194</v>
      </c>
      <c r="D366" s="125">
        <v>46727183.042813532</v>
      </c>
      <c r="E366" s="125">
        <v>70190535.409179583</v>
      </c>
      <c r="F366" s="123">
        <v>154614109.92835331</v>
      </c>
      <c r="G366" s="125">
        <v>-2685000</v>
      </c>
      <c r="H366" s="125">
        <v>1775.0287538540922</v>
      </c>
      <c r="I366" s="125">
        <v>967.1305097385507</v>
      </c>
      <c r="J366" s="125">
        <v>524.7992012334505</v>
      </c>
      <c r="K366" s="125">
        <v>1220.8906388166249</v>
      </c>
      <c r="L366" s="122">
        <v>2712.8203497886261</v>
      </c>
      <c r="M366" s="125">
        <v>-11</v>
      </c>
      <c r="N366" s="115">
        <v>13922</v>
      </c>
      <c r="P366" s="125">
        <v>0</v>
      </c>
      <c r="Q366" s="125">
        <v>0</v>
      </c>
      <c r="S366" s="125">
        <v>-7.1999999999999999E-7</v>
      </c>
      <c r="T366" s="125">
        <v>0</v>
      </c>
      <c r="V366" s="125"/>
      <c r="W366" s="125"/>
    </row>
    <row r="367" spans="1:23">
      <c r="A367" s="121">
        <v>43503</v>
      </c>
      <c r="B367" s="125">
        <v>156707196.41071993</v>
      </c>
      <c r="C367" s="125">
        <v>38015596.290039428</v>
      </c>
      <c r="D367" s="125">
        <v>46526521.398163781</v>
      </c>
      <c r="E367" s="125">
        <v>70067649.822326615</v>
      </c>
      <c r="F367" s="123">
        <v>154609767.51052982</v>
      </c>
      <c r="G367" s="125">
        <v>-2010000</v>
      </c>
      <c r="H367" s="125">
        <v>1775.9539341590776</v>
      </c>
      <c r="I367" s="125">
        <v>968.9310129667748</v>
      </c>
      <c r="J367" s="125">
        <v>517.32698323941372</v>
      </c>
      <c r="K367" s="125">
        <v>1224.9320956969652</v>
      </c>
      <c r="L367" s="122">
        <v>2711.1900919031541</v>
      </c>
      <c r="M367" s="125">
        <v>-11</v>
      </c>
      <c r="N367" s="115">
        <v>13972.5</v>
      </c>
      <c r="P367" s="125">
        <v>0</v>
      </c>
      <c r="Q367" s="125">
        <v>0</v>
      </c>
      <c r="S367" s="125">
        <v>-7.1999999999999999E-7</v>
      </c>
      <c r="T367" s="125">
        <v>0</v>
      </c>
      <c r="V367" s="125"/>
      <c r="W367" s="125"/>
    </row>
    <row r="368" spans="1:23">
      <c r="A368" s="121">
        <v>43504</v>
      </c>
      <c r="B368" s="125">
        <v>156776176.03333157</v>
      </c>
      <c r="C368" s="125">
        <v>36821463.584843621</v>
      </c>
      <c r="D368" s="125">
        <v>46403815.463765278</v>
      </c>
      <c r="E368" s="125">
        <v>70032598.464519411</v>
      </c>
      <c r="F368" s="123">
        <v>153257877.51312831</v>
      </c>
      <c r="G368" s="125">
        <v>-3135000</v>
      </c>
      <c r="H368" s="125">
        <v>1749.8504960491694</v>
      </c>
      <c r="I368" s="125">
        <v>977.84703214897388</v>
      </c>
      <c r="J368" s="125">
        <v>515.61961447755016</v>
      </c>
      <c r="K368" s="125">
        <v>1197.5490944769126</v>
      </c>
      <c r="L368" s="122">
        <v>2691.0157411034365</v>
      </c>
      <c r="M368" s="125">
        <v>-11</v>
      </c>
      <c r="N368" s="115">
        <v>13965</v>
      </c>
      <c r="P368" s="125">
        <v>0</v>
      </c>
      <c r="Q368" s="125">
        <v>0</v>
      </c>
      <c r="S368" s="125">
        <v>-7.1999999999999999E-7</v>
      </c>
      <c r="T368" s="125">
        <v>0</v>
      </c>
      <c r="V368" s="125"/>
      <c r="W368" s="125"/>
    </row>
    <row r="369" spans="1:25">
      <c r="A369" s="121">
        <v>43507</v>
      </c>
      <c r="B369" s="125">
        <v>156765729.31212544</v>
      </c>
      <c r="C369" s="125">
        <v>39829913.659647733</v>
      </c>
      <c r="D369" s="125">
        <v>46175745.056634955</v>
      </c>
      <c r="E369" s="125">
        <v>69814411.493294299</v>
      </c>
      <c r="F369" s="123">
        <v>155820070.20957699</v>
      </c>
      <c r="G369" s="125">
        <v>-1500000</v>
      </c>
      <c r="H369" s="125">
        <v>1729.0084340923356</v>
      </c>
      <c r="I369" s="125">
        <v>986.72321829777809</v>
      </c>
      <c r="J369" s="125">
        <v>514.58634219739099</v>
      </c>
      <c r="K369" s="125">
        <v>1174.4834216960023</v>
      </c>
      <c r="L369" s="122">
        <v>2675.7929821911712</v>
      </c>
      <c r="M369" s="125">
        <v>-11</v>
      </c>
      <c r="N369" s="115">
        <v>14040</v>
      </c>
      <c r="P369" s="125">
        <v>0</v>
      </c>
      <c r="Q369" s="125">
        <v>0</v>
      </c>
      <c r="S369" s="125">
        <v>-7.1999999999999999E-7</v>
      </c>
      <c r="T369" s="125">
        <v>0</v>
      </c>
      <c r="V369" s="125"/>
      <c r="W369" s="125"/>
    </row>
    <row r="370" spans="1:25">
      <c r="A370" s="121">
        <v>43508</v>
      </c>
      <c r="B370" s="125">
        <v>156732160.74574548</v>
      </c>
      <c r="C370" s="125">
        <v>37476536.883148752</v>
      </c>
      <c r="D370" s="125">
        <v>46019396.862655677</v>
      </c>
      <c r="E370" s="125">
        <v>70544891.605087459</v>
      </c>
      <c r="F370" s="123">
        <v>154040825.35089189</v>
      </c>
      <c r="G370" s="125">
        <v>-1500000</v>
      </c>
      <c r="H370" s="125">
        <v>1715.2825119724173</v>
      </c>
      <c r="I370" s="125">
        <v>965.93806076315832</v>
      </c>
      <c r="J370" s="125">
        <v>513.78222864102906</v>
      </c>
      <c r="K370" s="125">
        <v>1179.985538800521</v>
      </c>
      <c r="L370" s="122">
        <v>2659.7058282047083</v>
      </c>
      <c r="M370" s="125">
        <v>-11</v>
      </c>
      <c r="N370" s="115">
        <v>14068.5</v>
      </c>
      <c r="P370" s="125">
        <v>0</v>
      </c>
      <c r="Q370" s="125">
        <v>0</v>
      </c>
      <c r="S370" s="125">
        <v>-3332282.4000014598</v>
      </c>
      <c r="T370" s="125">
        <v>0</v>
      </c>
      <c r="V370" s="125"/>
      <c r="W370" s="125"/>
    </row>
    <row r="371" spans="1:25">
      <c r="A371" s="121">
        <v>43509</v>
      </c>
      <c r="B371" s="125">
        <v>156296969.19499162</v>
      </c>
      <c r="C371" s="125">
        <v>38495081.945634149</v>
      </c>
      <c r="D371" s="125">
        <v>46013398.91517695</v>
      </c>
      <c r="E371" s="125">
        <v>70546383.022367328</v>
      </c>
      <c r="F371" s="123">
        <v>155054863.88317841</v>
      </c>
      <c r="G371" s="125">
        <v>-1500000</v>
      </c>
      <c r="H371" s="125">
        <v>1723.5396797384135</v>
      </c>
      <c r="I371" s="125">
        <v>1002.4859541826496</v>
      </c>
      <c r="J371" s="125">
        <v>513.55542323506359</v>
      </c>
      <c r="K371" s="125">
        <v>1181.196022478267</v>
      </c>
      <c r="L371" s="122">
        <v>2697.2373998959802</v>
      </c>
      <c r="M371" s="125">
        <v>-5</v>
      </c>
      <c r="N371" s="115">
        <v>14057.5</v>
      </c>
      <c r="P371" s="125">
        <v>0</v>
      </c>
      <c r="Q371" s="125">
        <v>0</v>
      </c>
      <c r="S371" s="125">
        <v>-3332282.4000014598</v>
      </c>
      <c r="T371" s="125">
        <v>0</v>
      </c>
      <c r="V371" s="125"/>
      <c r="W371" s="125"/>
    </row>
    <row r="372" spans="1:25">
      <c r="A372" s="121">
        <v>43510</v>
      </c>
      <c r="B372" s="125">
        <v>156654207.02445272</v>
      </c>
      <c r="C372" s="125">
        <v>37932653.787473649</v>
      </c>
      <c r="D372" s="125">
        <v>45983891.320476025</v>
      </c>
      <c r="E372" s="125">
        <v>71450385.275100529</v>
      </c>
      <c r="F372" s="123">
        <v>155366930.3830502</v>
      </c>
      <c r="G372" s="125">
        <v>-1500000</v>
      </c>
      <c r="H372" s="125">
        <v>1725.8520541666203</v>
      </c>
      <c r="I372" s="125">
        <v>1004.7868099785679</v>
      </c>
      <c r="J372" s="125">
        <v>514.15429849505801</v>
      </c>
      <c r="K372" s="125">
        <v>1171.6522781618469</v>
      </c>
      <c r="L372" s="122">
        <v>2690.5933866354726</v>
      </c>
      <c r="M372" s="125">
        <v>0</v>
      </c>
      <c r="N372" s="115">
        <v>14090</v>
      </c>
      <c r="P372" s="125">
        <v>0</v>
      </c>
      <c r="Q372" s="125">
        <v>0</v>
      </c>
      <c r="S372" s="125">
        <v>-3332282.4000014598</v>
      </c>
      <c r="T372" s="125">
        <v>0</v>
      </c>
      <c r="V372" s="125"/>
      <c r="W372" s="125"/>
    </row>
    <row r="373" spans="1:25">
      <c r="A373" s="121">
        <v>43511</v>
      </c>
      <c r="B373" s="125">
        <v>156703016.28510612</v>
      </c>
      <c r="C373" s="125">
        <v>36765309.128938854</v>
      </c>
      <c r="D373" s="125">
        <v>45948029.791671984</v>
      </c>
      <c r="E373" s="125">
        <v>70508525.507241338</v>
      </c>
      <c r="F373" s="123">
        <v>153221864.42785218</v>
      </c>
      <c r="G373" s="125">
        <v>-1500000</v>
      </c>
      <c r="H373" s="125">
        <v>1723.9835207725378</v>
      </c>
      <c r="I373" s="125">
        <v>970.04556171906097</v>
      </c>
      <c r="J373" s="125">
        <v>517.16733188881994</v>
      </c>
      <c r="K373" s="125">
        <v>1180.5906643302112</v>
      </c>
      <c r="L373" s="122">
        <v>2667.8035579380921</v>
      </c>
      <c r="M373" s="125">
        <v>0</v>
      </c>
      <c r="N373" s="115">
        <v>14142.5</v>
      </c>
      <c r="P373" s="125">
        <v>0</v>
      </c>
      <c r="Q373" s="125">
        <v>0</v>
      </c>
      <c r="S373" s="125">
        <v>-3332282.4000014598</v>
      </c>
      <c r="T373" s="125">
        <v>0</v>
      </c>
      <c r="V373" s="125"/>
      <c r="W373" s="125"/>
    </row>
    <row r="374" spans="1:25">
      <c r="A374" s="121">
        <v>43514</v>
      </c>
      <c r="B374" s="125">
        <v>156934819.68241876</v>
      </c>
      <c r="C374" s="125">
        <v>41697276.878403358</v>
      </c>
      <c r="D374" s="125">
        <v>45673368.019856803</v>
      </c>
      <c r="E374" s="125">
        <v>69931278.740290448</v>
      </c>
      <c r="F374" s="123">
        <v>157301923.63855061</v>
      </c>
      <c r="G374" s="125">
        <v>-1000000</v>
      </c>
      <c r="H374" s="125">
        <v>1726.0439381349954</v>
      </c>
      <c r="I374" s="125">
        <v>944.65506488040114</v>
      </c>
      <c r="J374" s="125">
        <v>516.53835430001595</v>
      </c>
      <c r="K374" s="125">
        <v>1175.2153641967811</v>
      </c>
      <c r="L374" s="122">
        <v>2636.4087833771982</v>
      </c>
      <c r="M374" s="125">
        <v>0</v>
      </c>
      <c r="N374" s="115">
        <v>14106.5</v>
      </c>
      <c r="P374" s="125">
        <v>0</v>
      </c>
      <c r="Q374" s="125">
        <v>0</v>
      </c>
      <c r="S374" s="125">
        <v>-3332282.4000014598</v>
      </c>
      <c r="T374" s="125">
        <v>0</v>
      </c>
      <c r="V374" s="125"/>
      <c r="W374" s="125"/>
    </row>
    <row r="375" spans="1:25">
      <c r="A375" s="121">
        <v>43515</v>
      </c>
      <c r="B375" s="125">
        <v>157115626.41485038</v>
      </c>
      <c r="C375" s="125">
        <v>39496882.949944213</v>
      </c>
      <c r="D375" s="125">
        <v>45657883.801370732</v>
      </c>
      <c r="E375" s="125">
        <v>69964035.71219644</v>
      </c>
      <c r="F375" s="123">
        <v>155118802.46351138</v>
      </c>
      <c r="G375" s="125">
        <v>-1000000</v>
      </c>
      <c r="H375" s="125">
        <v>1779.0420684693515</v>
      </c>
      <c r="I375" s="125">
        <v>917.3329591868636</v>
      </c>
      <c r="J375" s="125">
        <v>516.55938405342056</v>
      </c>
      <c r="K375" s="125">
        <v>1181.9218275660105</v>
      </c>
      <c r="L375" s="122">
        <v>2615.8141708062949</v>
      </c>
      <c r="M375" s="125">
        <v>0</v>
      </c>
      <c r="N375" s="115">
        <v>14102</v>
      </c>
      <c r="P375" s="125">
        <v>0</v>
      </c>
      <c r="Q375" s="125">
        <v>0</v>
      </c>
      <c r="S375" s="125">
        <v>-4958875.1000014599</v>
      </c>
      <c r="T375" s="125">
        <v>0</v>
      </c>
      <c r="V375" s="125"/>
      <c r="W375" s="125"/>
    </row>
    <row r="376" spans="1:25">
      <c r="A376" s="121">
        <v>43516</v>
      </c>
      <c r="B376" s="125">
        <v>157204884.96053863</v>
      </c>
      <c r="C376" s="125">
        <v>39051057.684250943</v>
      </c>
      <c r="D376" s="125">
        <v>45833356.225853749</v>
      </c>
      <c r="E376" s="125">
        <v>70158462.800409064</v>
      </c>
      <c r="F376" s="123">
        <v>155042876.71051377</v>
      </c>
      <c r="G376" s="125">
        <v>-1000000</v>
      </c>
      <c r="H376" s="125">
        <v>1784.8410315562357</v>
      </c>
      <c r="I376" s="125">
        <v>925.71038100787507</v>
      </c>
      <c r="J376" s="125">
        <v>517.49913106889733</v>
      </c>
      <c r="K376" s="125">
        <v>1181.9866270476193</v>
      </c>
      <c r="L376" s="122">
        <v>2625.1961391243917</v>
      </c>
      <c r="M376" s="125">
        <v>0</v>
      </c>
      <c r="N376" s="115">
        <v>14040</v>
      </c>
      <c r="P376" s="125">
        <v>0</v>
      </c>
      <c r="Q376" s="125">
        <v>0</v>
      </c>
      <c r="S376" s="125">
        <v>-4958875.1000014599</v>
      </c>
      <c r="T376" s="125">
        <v>0</v>
      </c>
      <c r="V376" s="125"/>
      <c r="W376" s="125"/>
    </row>
    <row r="377" spans="1:25">
      <c r="A377" s="121">
        <v>43517</v>
      </c>
      <c r="B377" s="125">
        <v>157072178.17629367</v>
      </c>
      <c r="C377" s="125">
        <v>39519273.580754973</v>
      </c>
      <c r="D377" s="125">
        <v>45732382.236572161</v>
      </c>
      <c r="E377" s="125">
        <v>70377005.637365356</v>
      </c>
      <c r="F377" s="123">
        <v>155628661.45469248</v>
      </c>
      <c r="G377" s="125">
        <v>-1000000</v>
      </c>
      <c r="H377" s="125">
        <v>1781.2126122968707</v>
      </c>
      <c r="I377" s="125">
        <v>901.79614471605748</v>
      </c>
      <c r="J377" s="125">
        <v>515.20070554877748</v>
      </c>
      <c r="K377" s="125">
        <v>1182.3453257894409</v>
      </c>
      <c r="L377" s="122">
        <v>2599.342176054276</v>
      </c>
      <c r="M377" s="125">
        <v>0</v>
      </c>
      <c r="N377" s="115">
        <v>14063</v>
      </c>
      <c r="P377" s="125">
        <v>0</v>
      </c>
      <c r="Q377" s="125">
        <v>0</v>
      </c>
      <c r="S377" s="125">
        <v>-4958875.1000014599</v>
      </c>
      <c r="T377" s="125">
        <v>0</v>
      </c>
      <c r="V377" s="125"/>
      <c r="W377" s="125"/>
    </row>
    <row r="378" spans="1:25">
      <c r="A378" s="121">
        <v>43518</v>
      </c>
      <c r="B378" s="125">
        <v>157055698.18555236</v>
      </c>
      <c r="C378" s="125">
        <v>37944087.370932207</v>
      </c>
      <c r="D378" s="125">
        <v>45852014.482733212</v>
      </c>
      <c r="E378" s="125">
        <v>70600742.479091942</v>
      </c>
      <c r="F378" s="123">
        <v>154396844.33275735</v>
      </c>
      <c r="G378" s="125">
        <v>-1000000</v>
      </c>
      <c r="H378" s="125">
        <v>1774.1701011455216</v>
      </c>
      <c r="I378" s="125">
        <v>911.64126274391265</v>
      </c>
      <c r="J378" s="125">
        <v>515.75741633296627</v>
      </c>
      <c r="K378" s="125">
        <v>1185.1152300729348</v>
      </c>
      <c r="L378" s="122">
        <v>2612.513909149814</v>
      </c>
      <c r="M378" s="125">
        <v>0</v>
      </c>
      <c r="N378" s="115">
        <v>14057.5</v>
      </c>
      <c r="P378" s="125">
        <v>0</v>
      </c>
      <c r="Q378" s="125">
        <v>0</v>
      </c>
      <c r="S378" s="125">
        <v>-4958875.1000014599</v>
      </c>
      <c r="T378" s="125">
        <v>0</v>
      </c>
      <c r="V378" s="125"/>
      <c r="W378" s="125"/>
    </row>
    <row r="379" spans="1:25">
      <c r="A379" s="121">
        <v>43521</v>
      </c>
      <c r="B379" s="125">
        <v>158232948.33099407</v>
      </c>
      <c r="C379" s="125">
        <v>38677403.345459096</v>
      </c>
      <c r="D379" s="125">
        <v>46263535.222961053</v>
      </c>
      <c r="E379" s="125">
        <v>70199693.680148736</v>
      </c>
      <c r="F379" s="123">
        <v>155140632.24856889</v>
      </c>
      <c r="G379" s="125">
        <v>-1000000</v>
      </c>
      <c r="H379" s="125">
        <v>1741.9855034780805</v>
      </c>
      <c r="I379" s="125">
        <v>937.65744308500541</v>
      </c>
      <c r="J379" s="125">
        <v>516.7045571394126</v>
      </c>
      <c r="K379" s="125">
        <v>1182.553624356626</v>
      </c>
      <c r="L379" s="122">
        <v>2636.9156245810436</v>
      </c>
      <c r="M379" s="125">
        <v>0</v>
      </c>
      <c r="N379" s="115">
        <v>14017.5</v>
      </c>
      <c r="P379" s="125">
        <v>0</v>
      </c>
      <c r="Q379" s="125">
        <v>0</v>
      </c>
      <c r="S379" s="125">
        <v>-4958875.1000014599</v>
      </c>
      <c r="T379" s="125">
        <v>0</v>
      </c>
      <c r="V379" s="125"/>
      <c r="W379" s="125"/>
    </row>
    <row r="380" spans="1:25">
      <c r="A380" s="121">
        <v>43522</v>
      </c>
      <c r="B380" s="125">
        <v>158520485.17253906</v>
      </c>
      <c r="C380" s="125">
        <v>37547761.630700037</v>
      </c>
      <c r="D380" s="125">
        <v>46321383.200964049</v>
      </c>
      <c r="E380" s="125">
        <v>70186881.216503486</v>
      </c>
      <c r="F380" s="123">
        <v>154056026.04816759</v>
      </c>
      <c r="G380" s="125">
        <v>-1000000</v>
      </c>
      <c r="H380" s="125">
        <v>1743.0827430095374</v>
      </c>
      <c r="I380" s="125">
        <v>935.0980677809373</v>
      </c>
      <c r="J380" s="125">
        <v>512.93096749229244</v>
      </c>
      <c r="K380" s="125">
        <v>1184.2203989244483</v>
      </c>
      <c r="L380" s="122">
        <v>2632.2494341976781</v>
      </c>
      <c r="M380" s="125">
        <v>0</v>
      </c>
      <c r="N380" s="115">
        <v>13991</v>
      </c>
      <c r="P380" s="125">
        <v>0</v>
      </c>
      <c r="Q380" s="125">
        <v>0</v>
      </c>
      <c r="S380" s="125">
        <v>-4527935.8000014601</v>
      </c>
      <c r="T380" s="125">
        <v>0</v>
      </c>
      <c r="V380" s="125"/>
      <c r="W380" s="125"/>
    </row>
    <row r="381" spans="1:25">
      <c r="A381" s="121">
        <v>43523</v>
      </c>
      <c r="B381" s="125">
        <v>158966467.21399629</v>
      </c>
      <c r="C381" s="125">
        <v>37241598.954307474</v>
      </c>
      <c r="D381" s="125">
        <v>46698595.715590306</v>
      </c>
      <c r="E381" s="125">
        <v>70198704.103572264</v>
      </c>
      <c r="F381" s="123">
        <v>154138898.77347004</v>
      </c>
      <c r="G381" s="125">
        <v>-1000000</v>
      </c>
      <c r="H381" s="125">
        <v>1742.0051056830398</v>
      </c>
      <c r="I381" s="125">
        <v>930.95390795591368</v>
      </c>
      <c r="J381" s="125">
        <v>513.74788595233554</v>
      </c>
      <c r="K381" s="125">
        <v>1228.7508228620425</v>
      </c>
      <c r="L381" s="122">
        <v>2673.4526167702916</v>
      </c>
      <c r="M381" s="125">
        <v>0</v>
      </c>
      <c r="N381" s="115">
        <v>14030</v>
      </c>
      <c r="P381" s="125">
        <v>0</v>
      </c>
      <c r="Q381" s="125">
        <v>0</v>
      </c>
      <c r="S381" s="125">
        <v>-4527935.8000014601</v>
      </c>
      <c r="T381" s="125">
        <v>0</v>
      </c>
      <c r="V381" s="125"/>
      <c r="W381" s="125"/>
    </row>
    <row r="382" spans="1:25">
      <c r="A382" s="121">
        <v>43524</v>
      </c>
      <c r="B382" s="125">
        <v>158991546.1206924</v>
      </c>
      <c r="C382" s="125">
        <v>35423443.435190544</v>
      </c>
      <c r="D382" s="125">
        <v>47788650.268509611</v>
      </c>
      <c r="E382" s="125">
        <v>70385155.895345405</v>
      </c>
      <c r="F382" s="123">
        <v>153597249.59904557</v>
      </c>
      <c r="G382" s="125">
        <v>0</v>
      </c>
      <c r="H382" s="125">
        <v>1740.2417208579202</v>
      </c>
      <c r="I382" s="125">
        <v>933.35252028946104</v>
      </c>
      <c r="J382" s="125">
        <v>510.25032848032066</v>
      </c>
      <c r="K382" s="125">
        <v>1240.4935052654218</v>
      </c>
      <c r="L382" s="122">
        <v>2684.0963540352036</v>
      </c>
      <c r="M382" s="125">
        <v>0</v>
      </c>
      <c r="N382" s="115">
        <v>14065</v>
      </c>
      <c r="O382" s="116">
        <v>3457.05</v>
      </c>
      <c r="P382" s="125">
        <v>0</v>
      </c>
      <c r="Q382" s="125">
        <v>0</v>
      </c>
      <c r="S382" s="125">
        <v>-6421254.8000010801</v>
      </c>
      <c r="T382" s="125">
        <v>0</v>
      </c>
      <c r="V382" s="125"/>
      <c r="W382" s="125"/>
      <c r="Y382" s="125"/>
    </row>
    <row r="383" spans="1:25">
      <c r="A383" s="121">
        <v>43525</v>
      </c>
      <c r="B383" s="125">
        <v>158677780.45974299</v>
      </c>
      <c r="C383" s="125">
        <v>34789785.353852712</v>
      </c>
      <c r="D383" s="125">
        <v>47614632.765505202</v>
      </c>
      <c r="E383" s="125">
        <v>70929908.653296068</v>
      </c>
      <c r="F383" s="123">
        <v>153334326.772654</v>
      </c>
      <c r="G383" s="125">
        <v>0</v>
      </c>
      <c r="H383" s="125">
        <v>1731.620444566955</v>
      </c>
      <c r="I383" s="125">
        <v>910.80999847594944</v>
      </c>
      <c r="J383" s="125">
        <v>507.95175218148711</v>
      </c>
      <c r="K383" s="125">
        <v>1289.2320548158746</v>
      </c>
      <c r="L383" s="122">
        <v>2707.9938054733111</v>
      </c>
      <c r="M383" s="125">
        <v>0</v>
      </c>
      <c r="N383" s="115">
        <v>14115</v>
      </c>
      <c r="P383" s="125">
        <v>0</v>
      </c>
      <c r="Q383" s="125">
        <v>0</v>
      </c>
      <c r="S383" s="125">
        <v>-6421254.8000010801</v>
      </c>
      <c r="T383" s="125">
        <v>0</v>
      </c>
      <c r="V383" s="125"/>
      <c r="W383" s="125"/>
    </row>
    <row r="384" spans="1:25">
      <c r="A384" s="121">
        <v>43528</v>
      </c>
      <c r="B384" s="125">
        <v>158334542.15914938</v>
      </c>
      <c r="C384" s="125">
        <v>36079528.960790358</v>
      </c>
      <c r="D384" s="125">
        <v>47020754.248630136</v>
      </c>
      <c r="E384" s="125">
        <v>70813924.238004416</v>
      </c>
      <c r="F384" s="123">
        <v>153914207.44742492</v>
      </c>
      <c r="G384" s="125">
        <v>0</v>
      </c>
      <c r="H384" s="125">
        <v>1726.9583344572006</v>
      </c>
      <c r="I384" s="125">
        <v>914.32889237517588</v>
      </c>
      <c r="J384" s="125">
        <v>507.61109024068298</v>
      </c>
      <c r="K384" s="125">
        <v>1357.9820368672536</v>
      </c>
      <c r="L384" s="122">
        <v>2779.9220194831123</v>
      </c>
      <c r="M384" s="125">
        <v>0</v>
      </c>
      <c r="N384" s="115">
        <v>14130</v>
      </c>
      <c r="P384" s="125">
        <v>0</v>
      </c>
      <c r="Q384" s="125">
        <v>0</v>
      </c>
      <c r="S384" s="125">
        <v>-6421254.8000010801</v>
      </c>
      <c r="T384" s="125">
        <v>0</v>
      </c>
      <c r="V384" s="125"/>
      <c r="W384" s="125"/>
    </row>
    <row r="385" spans="1:23">
      <c r="A385" s="121">
        <v>43529</v>
      </c>
      <c r="B385" s="125">
        <v>157937026.16137582</v>
      </c>
      <c r="C385" s="125">
        <v>35992670.640205272</v>
      </c>
      <c r="D385" s="125">
        <v>46831870.837215386</v>
      </c>
      <c r="E385" s="125">
        <v>71273544.402249783</v>
      </c>
      <c r="F385" s="123">
        <v>154098085.87967044</v>
      </c>
      <c r="G385" s="125">
        <v>0</v>
      </c>
      <c r="H385" s="125">
        <v>1704.5713365579838</v>
      </c>
      <c r="I385" s="125">
        <v>905.22325211019233</v>
      </c>
      <c r="J385" s="125">
        <v>507.96866620111444</v>
      </c>
      <c r="K385" s="125">
        <v>1221.4737924172816</v>
      </c>
      <c r="L385" s="122">
        <v>2634.6657107285882</v>
      </c>
      <c r="M385" s="125">
        <v>0</v>
      </c>
      <c r="N385" s="115">
        <v>14120</v>
      </c>
      <c r="P385" s="125">
        <v>0</v>
      </c>
      <c r="Q385" s="125">
        <v>0</v>
      </c>
      <c r="S385" s="125">
        <v>-6421254.8000010801</v>
      </c>
      <c r="T385" s="125">
        <v>0</v>
      </c>
      <c r="V385" s="125"/>
      <c r="W385" s="125"/>
    </row>
    <row r="386" spans="1:23">
      <c r="A386" s="121">
        <v>43530</v>
      </c>
      <c r="B386" s="125">
        <v>157626197.51144564</v>
      </c>
      <c r="C386" s="125">
        <v>35743657.302352093</v>
      </c>
      <c r="D386" s="125">
        <v>46826978.957029097</v>
      </c>
      <c r="E386" s="125">
        <v>71195979.119337961</v>
      </c>
      <c r="F386" s="123">
        <v>153766615.37871915</v>
      </c>
      <c r="G386" s="125">
        <v>0</v>
      </c>
      <c r="H386" s="125">
        <v>1690.961961615978</v>
      </c>
      <c r="I386" s="125">
        <v>904.35027534627488</v>
      </c>
      <c r="J386" s="125">
        <v>507.54502619339939</v>
      </c>
      <c r="K386" s="125">
        <v>1231.0864874397369</v>
      </c>
      <c r="L386" s="122">
        <v>2642.9817889794112</v>
      </c>
      <c r="M386" s="125">
        <v>0</v>
      </c>
      <c r="N386" s="115">
        <v>14140</v>
      </c>
      <c r="P386" s="125">
        <v>0</v>
      </c>
      <c r="Q386" s="125">
        <v>0</v>
      </c>
      <c r="S386" s="125">
        <v>-6421254.8000010801</v>
      </c>
      <c r="T386" s="125">
        <v>0</v>
      </c>
      <c r="V386" s="125"/>
      <c r="W386" s="125"/>
    </row>
    <row r="387" spans="1:23">
      <c r="A387" s="121">
        <v>43532</v>
      </c>
      <c r="B387" s="125">
        <v>157102780.98476925</v>
      </c>
      <c r="C387" s="125">
        <v>35614210.257620983</v>
      </c>
      <c r="D387" s="125">
        <v>46799348.371693633</v>
      </c>
      <c r="E387" s="125">
        <v>70706844.980527207</v>
      </c>
      <c r="F387" s="123">
        <v>153120403.60984182</v>
      </c>
      <c r="G387" s="125">
        <v>0</v>
      </c>
      <c r="H387" s="125">
        <v>1720.9084152873572</v>
      </c>
      <c r="I387" s="125">
        <v>903.12533313957442</v>
      </c>
      <c r="J387" s="125">
        <v>507.59307601230961</v>
      </c>
      <c r="K387" s="125">
        <v>1225.2489944016631</v>
      </c>
      <c r="L387" s="122">
        <v>2635.9674035535472</v>
      </c>
      <c r="M387" s="125">
        <v>0</v>
      </c>
      <c r="N387" s="115">
        <v>14310</v>
      </c>
      <c r="P387" s="125">
        <v>0</v>
      </c>
      <c r="Q387" s="125">
        <v>0</v>
      </c>
      <c r="S387" s="125">
        <v>-6421254.8000010801</v>
      </c>
      <c r="T387" s="125">
        <v>0</v>
      </c>
      <c r="V387" s="125"/>
      <c r="W387" s="125"/>
    </row>
    <row r="388" spans="1:23">
      <c r="A388" s="121">
        <v>43535</v>
      </c>
      <c r="B388" s="125">
        <v>156988251.38184652</v>
      </c>
      <c r="C388" s="125">
        <v>37852285.642200857</v>
      </c>
      <c r="D388" s="125">
        <v>46980760.50906273</v>
      </c>
      <c r="E388" s="125">
        <v>70224649.200241715</v>
      </c>
      <c r="F388" s="123">
        <v>155057695.35150531</v>
      </c>
      <c r="G388" s="125">
        <v>0</v>
      </c>
      <c r="H388" s="125">
        <v>1739.5435441368411</v>
      </c>
      <c r="I388" s="125">
        <v>916.8565333937463</v>
      </c>
      <c r="J388" s="125">
        <v>509.39826411703223</v>
      </c>
      <c r="K388" s="125">
        <v>1198.0337701779156</v>
      </c>
      <c r="L388" s="122">
        <v>2624.2885676886945</v>
      </c>
      <c r="M388" s="125">
        <v>0</v>
      </c>
      <c r="N388" s="115">
        <v>14290</v>
      </c>
      <c r="P388" s="125">
        <v>0</v>
      </c>
      <c r="Q388" s="125">
        <v>0</v>
      </c>
      <c r="S388" s="125">
        <v>-6421254.8000010801</v>
      </c>
      <c r="T388" s="125">
        <v>0</v>
      </c>
      <c r="V388" s="125"/>
      <c r="W388" s="125"/>
    </row>
    <row r="389" spans="1:23">
      <c r="A389" s="121">
        <v>43536</v>
      </c>
      <c r="B389" s="125">
        <v>156969815.64534962</v>
      </c>
      <c r="C389" s="125">
        <v>37648687.404373735</v>
      </c>
      <c r="D389" s="125">
        <v>46922874.283971526</v>
      </c>
      <c r="E389" s="125">
        <v>70315347.336877748</v>
      </c>
      <c r="F389" s="123">
        <v>154886909.02522302</v>
      </c>
      <c r="G389" s="125">
        <v>0</v>
      </c>
      <c r="H389" s="125">
        <v>1738.2873499478976</v>
      </c>
      <c r="I389" s="125">
        <v>947.58530555739344</v>
      </c>
      <c r="J389" s="125">
        <v>506.50498175999007</v>
      </c>
      <c r="K389" s="125">
        <v>1202.4219357916479</v>
      </c>
      <c r="L389" s="122">
        <v>2656.5122231090318</v>
      </c>
      <c r="M389" s="125">
        <v>0</v>
      </c>
      <c r="N389" s="115">
        <v>14265</v>
      </c>
      <c r="P389" s="125">
        <v>0</v>
      </c>
      <c r="Q389" s="125">
        <v>0</v>
      </c>
      <c r="S389" s="125">
        <v>-4511191.4000010798</v>
      </c>
      <c r="T389" s="125">
        <v>0</v>
      </c>
      <c r="V389" s="125"/>
      <c r="W389" s="125"/>
    </row>
    <row r="390" spans="1:23">
      <c r="A390" s="121">
        <v>43537</v>
      </c>
      <c r="B390" s="125">
        <v>157040162.3215487</v>
      </c>
      <c r="C390" s="125">
        <v>37304561.870872617</v>
      </c>
      <c r="D390" s="125">
        <v>46780024.172841914</v>
      </c>
      <c r="E390" s="125">
        <v>70440033.739075407</v>
      </c>
      <c r="F390" s="123">
        <f>SUM(C390:E390)</f>
        <v>154524619.78278995</v>
      </c>
      <c r="G390" s="125">
        <v>0</v>
      </c>
      <c r="H390" s="125">
        <v>1722.9241556772281</v>
      </c>
      <c r="I390" s="125">
        <v>997.97719994450426</v>
      </c>
      <c r="J390" s="125">
        <v>506.16004967121393</v>
      </c>
      <c r="K390" s="125">
        <v>1203.1365734637545</v>
      </c>
      <c r="L390" s="122">
        <f>SUM(I390:K390)</f>
        <v>2707.273823079473</v>
      </c>
      <c r="M390" s="125">
        <v>0</v>
      </c>
      <c r="N390" s="115">
        <v>14265</v>
      </c>
      <c r="P390" s="125">
        <v>0</v>
      </c>
      <c r="Q390" s="125">
        <v>0</v>
      </c>
      <c r="S390" s="125">
        <v>-4511191.4000010798</v>
      </c>
      <c r="T390" s="125">
        <v>0</v>
      </c>
      <c r="V390" s="125"/>
      <c r="W390" s="125"/>
    </row>
    <row r="391" spans="1:23">
      <c r="A391" s="121">
        <v>43538</v>
      </c>
      <c r="B391" s="125">
        <v>157572721.80796856</v>
      </c>
      <c r="C391" s="125">
        <v>37972211.326048099</v>
      </c>
      <c r="D391" s="125">
        <v>46824040.460000947</v>
      </c>
      <c r="E391" s="125">
        <v>70233502.538499847</v>
      </c>
      <c r="F391" s="123">
        <v>155029754.3245489</v>
      </c>
      <c r="G391" s="125">
        <v>0</v>
      </c>
      <c r="H391" s="125">
        <v>1714.4884232744653</v>
      </c>
      <c r="I391" s="125">
        <v>996.30294844124921</v>
      </c>
      <c r="J391" s="125">
        <v>506.76363266667488</v>
      </c>
      <c r="K391" s="125">
        <v>1203.2479045123227</v>
      </c>
      <c r="L391" s="122">
        <v>2706.3144856202471</v>
      </c>
      <c r="M391" s="125">
        <v>0</v>
      </c>
      <c r="N391" s="115">
        <v>14267</v>
      </c>
      <c r="P391" s="125">
        <v>0</v>
      </c>
      <c r="Q391" s="125">
        <v>0</v>
      </c>
      <c r="S391" s="125">
        <v>-4511191.4000010798</v>
      </c>
      <c r="T391" s="125">
        <v>0</v>
      </c>
      <c r="V391" s="125"/>
      <c r="W391" s="125"/>
    </row>
    <row r="392" spans="1:23">
      <c r="A392" s="121">
        <v>43539</v>
      </c>
      <c r="B392" s="125">
        <v>157334968.3983106</v>
      </c>
      <c r="C392" s="125">
        <v>36311943.928078696</v>
      </c>
      <c r="D392" s="125">
        <v>46671221.299842156</v>
      </c>
      <c r="E392" s="125">
        <v>70424866.532570198</v>
      </c>
      <c r="F392" s="123">
        <v>153408031.76049107</v>
      </c>
      <c r="G392" s="125">
        <v>-35000</v>
      </c>
      <c r="H392" s="125">
        <v>1716.0605892503279</v>
      </c>
      <c r="I392" s="125">
        <v>1080.9050460881854</v>
      </c>
      <c r="J392" s="125">
        <v>504.19269710564379</v>
      </c>
      <c r="K392" s="125">
        <v>1207.5861882923634</v>
      </c>
      <c r="L392" s="122">
        <v>2792.6839314861927</v>
      </c>
      <c r="M392" s="125">
        <v>0</v>
      </c>
      <c r="N392" s="115">
        <v>14259</v>
      </c>
      <c r="P392" s="125">
        <v>0</v>
      </c>
      <c r="Q392" s="125">
        <v>0</v>
      </c>
      <c r="S392" s="125">
        <v>-4511191.4000010798</v>
      </c>
      <c r="T392" s="125">
        <v>0</v>
      </c>
      <c r="V392" s="125"/>
      <c r="W392" s="125"/>
    </row>
    <row r="393" spans="1:23">
      <c r="A393" s="121">
        <v>43542</v>
      </c>
      <c r="B393" s="125">
        <v>157510400.07775274</v>
      </c>
      <c r="C393" s="125">
        <v>37394820.614404254</v>
      </c>
      <c r="D393" s="125">
        <v>46591169.761137657</v>
      </c>
      <c r="E393" s="125">
        <v>70210165.790619016</v>
      </c>
      <c r="F393" s="123">
        <v>154196156.16616094</v>
      </c>
      <c r="G393" s="125">
        <v>0</v>
      </c>
      <c r="H393" s="125">
        <v>1732.6615288018397</v>
      </c>
      <c r="I393" s="125">
        <v>1145.8080153260209</v>
      </c>
      <c r="J393" s="125">
        <v>503.28418610986677</v>
      </c>
      <c r="K393" s="125">
        <v>1184.5051025665209</v>
      </c>
      <c r="L393" s="122">
        <v>2833.5973040024087</v>
      </c>
      <c r="M393" s="125">
        <v>0</v>
      </c>
      <c r="N393" s="115">
        <v>14237.5</v>
      </c>
      <c r="P393" s="125">
        <v>0</v>
      </c>
      <c r="Q393" s="125">
        <v>0</v>
      </c>
      <c r="S393" s="125">
        <v>-4511191.4000010798</v>
      </c>
      <c r="T393" s="125">
        <v>0</v>
      </c>
      <c r="V393" s="125"/>
      <c r="W393" s="125"/>
    </row>
    <row r="394" spans="1:23">
      <c r="A394" s="121">
        <v>43543</v>
      </c>
      <c r="B394" s="125">
        <v>157583647.66562685</v>
      </c>
      <c r="C394" s="125">
        <v>37216428.287196688</v>
      </c>
      <c r="D394" s="125">
        <v>46541896.204418063</v>
      </c>
      <c r="E394" s="125">
        <v>69749038.262386799</v>
      </c>
      <c r="F394" s="123">
        <v>153507362.75400156</v>
      </c>
      <c r="G394" s="125">
        <v>0</v>
      </c>
      <c r="H394" s="125">
        <v>1736.2556894300876</v>
      </c>
      <c r="I394" s="125">
        <v>1233.1021966872697</v>
      </c>
      <c r="J394" s="125">
        <v>504.40747491089576</v>
      </c>
      <c r="K394" s="125">
        <v>1185.2249590999891</v>
      </c>
      <c r="L394" s="122">
        <v>2922.7346306981544</v>
      </c>
      <c r="M394" s="125">
        <v>0</v>
      </c>
      <c r="N394" s="115">
        <v>14230</v>
      </c>
      <c r="P394" s="125">
        <v>0</v>
      </c>
      <c r="Q394" s="125">
        <v>0</v>
      </c>
      <c r="S394" s="125">
        <v>-4810951.10000108</v>
      </c>
      <c r="T394" s="125">
        <v>0</v>
      </c>
      <c r="V394" s="125"/>
      <c r="W394" s="125"/>
    </row>
    <row r="395" spans="1:23">
      <c r="A395" s="121">
        <v>43544</v>
      </c>
      <c r="B395" s="125">
        <v>157341050.08910444</v>
      </c>
      <c r="C395" s="125">
        <v>37274412.872681059</v>
      </c>
      <c r="D395" s="125">
        <v>46512692.741457067</v>
      </c>
      <c r="E395" s="125">
        <v>69856623.311327174</v>
      </c>
      <c r="F395" s="123">
        <v>153643728.92546529</v>
      </c>
      <c r="G395" s="125">
        <v>0</v>
      </c>
      <c r="H395" s="125">
        <v>1739.8155497120467</v>
      </c>
      <c r="I395" s="125">
        <v>1205.1221224440708</v>
      </c>
      <c r="J395" s="125">
        <v>504.09514592643075</v>
      </c>
      <c r="K395" s="125">
        <v>1185.1223297469223</v>
      </c>
      <c r="L395" s="122">
        <v>2894.339598117424</v>
      </c>
      <c r="M395" s="125">
        <v>0</v>
      </c>
      <c r="N395" s="115">
        <v>14185</v>
      </c>
      <c r="P395" s="125">
        <v>0</v>
      </c>
      <c r="Q395" s="125">
        <v>0</v>
      </c>
      <c r="S395" s="125">
        <v>-6759887.9000012698</v>
      </c>
      <c r="T395" s="125">
        <v>0</v>
      </c>
      <c r="V395" s="125"/>
      <c r="W395" s="125"/>
    </row>
    <row r="396" spans="1:23">
      <c r="A396" s="121">
        <v>43545</v>
      </c>
      <c r="B396" s="125">
        <v>157619896.03309277</v>
      </c>
      <c r="C396" s="125">
        <v>38051404.613385066</v>
      </c>
      <c r="D396" s="125">
        <v>46695981.768275186</v>
      </c>
      <c r="E396" s="125">
        <v>69193928.069381788</v>
      </c>
      <c r="F396" s="123">
        <v>153941314.45104206</v>
      </c>
      <c r="G396" s="125">
        <v>0</v>
      </c>
      <c r="H396" s="125">
        <v>1733.1815254397413</v>
      </c>
      <c r="I396" s="125">
        <v>1214.4573574319372</v>
      </c>
      <c r="J396" s="125">
        <v>505.83856403704806</v>
      </c>
      <c r="K396" s="125">
        <v>1180.6136408362795</v>
      </c>
      <c r="L396" s="122">
        <v>2900.9095623052649</v>
      </c>
      <c r="M396" s="125">
        <v>0</v>
      </c>
      <c r="N396" s="115">
        <v>14140</v>
      </c>
      <c r="P396" s="125">
        <v>0</v>
      </c>
      <c r="Q396" s="125">
        <v>0</v>
      </c>
      <c r="S396" s="125">
        <v>-6759887.9000012698</v>
      </c>
      <c r="T396" s="125">
        <v>0</v>
      </c>
      <c r="V396" s="125"/>
      <c r="W396" s="125"/>
    </row>
    <row r="397" spans="1:23">
      <c r="A397" s="121">
        <v>43546</v>
      </c>
      <c r="B397" s="125">
        <v>157935455.03901652</v>
      </c>
      <c r="C397" s="125">
        <v>37945397.571823299</v>
      </c>
      <c r="D397" s="125">
        <v>46899288.897957228</v>
      </c>
      <c r="E397" s="125">
        <v>68741050.455636933</v>
      </c>
      <c r="F397" s="123">
        <v>153585736.92541748</v>
      </c>
      <c r="G397" s="125">
        <v>0</v>
      </c>
      <c r="H397" s="125">
        <v>1730.9311523708618</v>
      </c>
      <c r="I397" s="125">
        <v>1176.1010801480493</v>
      </c>
      <c r="J397" s="125">
        <v>505.64663176706438</v>
      </c>
      <c r="K397" s="125">
        <v>1181.4016836140161</v>
      </c>
      <c r="L397" s="122">
        <v>2863.1493955291298</v>
      </c>
      <c r="M397" s="125">
        <v>0</v>
      </c>
      <c r="N397" s="115">
        <v>14165</v>
      </c>
      <c r="P397" s="125">
        <v>0</v>
      </c>
      <c r="Q397" s="125">
        <v>0</v>
      </c>
      <c r="S397" s="125">
        <v>-6759887.9000012698</v>
      </c>
      <c r="T397" s="125">
        <v>0</v>
      </c>
      <c r="V397" s="125"/>
      <c r="W397" s="125"/>
    </row>
    <row r="398" spans="1:23">
      <c r="A398" s="121">
        <v>43549</v>
      </c>
      <c r="B398" s="125">
        <v>158257760.10460588</v>
      </c>
      <c r="C398" s="125">
        <v>37442798.786812544</v>
      </c>
      <c r="D398" s="125">
        <v>47468319.544081166</v>
      </c>
      <c r="E398" s="125">
        <v>71404764.420143828</v>
      </c>
      <c r="F398" s="123">
        <v>156315882.75103754</v>
      </c>
      <c r="G398" s="125">
        <v>0</v>
      </c>
      <c r="H398" s="125">
        <v>1720.5695025849618</v>
      </c>
      <c r="I398" s="125">
        <v>1100.8283521594415</v>
      </c>
      <c r="J398" s="125">
        <v>500.78900653571094</v>
      </c>
      <c r="K398" s="125">
        <v>1209.0748699626681</v>
      </c>
      <c r="L398" s="122">
        <v>2810.6922286578206</v>
      </c>
      <c r="M398" s="125">
        <v>0</v>
      </c>
      <c r="N398" s="115">
        <v>14180</v>
      </c>
      <c r="P398" s="125">
        <v>0</v>
      </c>
      <c r="Q398" s="125">
        <v>0</v>
      </c>
      <c r="S398" s="125">
        <v>-6759887.9000012698</v>
      </c>
      <c r="T398" s="125">
        <v>0</v>
      </c>
      <c r="V398" s="125"/>
      <c r="W398" s="125"/>
    </row>
    <row r="399" spans="1:23">
      <c r="A399" s="121">
        <v>43550</v>
      </c>
      <c r="B399" s="125">
        <v>159773135.69033575</v>
      </c>
      <c r="C399" s="125">
        <v>37207466.226293221</v>
      </c>
      <c r="D399" s="125">
        <v>47694502.680694446</v>
      </c>
      <c r="E399" s="125">
        <v>71829669.739403054</v>
      </c>
      <c r="F399" s="123">
        <v>156731638.64639074</v>
      </c>
      <c r="G399" s="125">
        <v>0</v>
      </c>
      <c r="H399" s="125">
        <v>1719.7978760215856</v>
      </c>
      <c r="I399" s="125">
        <v>1101.5335588714042</v>
      </c>
      <c r="J399" s="125">
        <v>500.34501295892824</v>
      </c>
      <c r="K399" s="125">
        <v>1219.9338605956179</v>
      </c>
      <c r="L399" s="122">
        <v>2821.8124324259506</v>
      </c>
      <c r="M399" s="125">
        <v>0</v>
      </c>
      <c r="N399" s="115">
        <v>14170</v>
      </c>
      <c r="P399" s="125">
        <v>0</v>
      </c>
      <c r="Q399" s="125">
        <v>0</v>
      </c>
      <c r="S399" s="125">
        <v>-6895856.60000127</v>
      </c>
      <c r="T399" s="125">
        <v>0</v>
      </c>
      <c r="V399" s="125"/>
      <c r="W399" s="125"/>
    </row>
    <row r="400" spans="1:23">
      <c r="A400" s="121">
        <v>43551</v>
      </c>
      <c r="B400" s="125">
        <v>158820329.0831278</v>
      </c>
      <c r="C400" s="125">
        <v>37656009.331264041</v>
      </c>
      <c r="D400" s="125">
        <v>47733788.759247631</v>
      </c>
      <c r="E400" s="125">
        <v>71669493.732744142</v>
      </c>
      <c r="F400" s="123">
        <v>157059291.82325584</v>
      </c>
      <c r="G400" s="125">
        <v>0</v>
      </c>
      <c r="H400" s="125">
        <v>1740.2237929545236</v>
      </c>
      <c r="I400" s="125">
        <v>1089.4354737729761</v>
      </c>
      <c r="J400" s="125">
        <v>503.77546622404151</v>
      </c>
      <c r="K400" s="125">
        <v>1189.1901032733456</v>
      </c>
      <c r="L400" s="122">
        <v>2782.4010432703635</v>
      </c>
      <c r="M400" s="125">
        <v>0</v>
      </c>
      <c r="N400" s="115">
        <v>14195</v>
      </c>
      <c r="P400" s="125">
        <v>0</v>
      </c>
      <c r="Q400" s="125">
        <v>0</v>
      </c>
      <c r="S400" s="125">
        <v>-6895856.60000127</v>
      </c>
      <c r="T400" s="125">
        <v>0</v>
      </c>
      <c r="V400" s="125"/>
      <c r="W400" s="125"/>
    </row>
    <row r="401" spans="1:23">
      <c r="A401" s="121">
        <v>43552</v>
      </c>
      <c r="B401" s="125">
        <v>159034246.58896253</v>
      </c>
      <c r="C401" s="125">
        <v>38302799.853412233</v>
      </c>
      <c r="D401" s="125">
        <v>47405722.569472924</v>
      </c>
      <c r="E401" s="125">
        <v>70536987.20468618</v>
      </c>
      <c r="F401" s="123">
        <v>156245509.62757134</v>
      </c>
      <c r="G401" s="125">
        <v>0</v>
      </c>
      <c r="H401" s="125">
        <v>1762.9022159469489</v>
      </c>
      <c r="I401" s="125">
        <v>1083.3387984856715</v>
      </c>
      <c r="J401" s="125">
        <v>504.16181461342524</v>
      </c>
      <c r="K401" s="125">
        <v>1166.3932793014167</v>
      </c>
      <c r="L401" s="122">
        <v>2753.8938924005133</v>
      </c>
      <c r="M401" s="125">
        <v>0</v>
      </c>
      <c r="N401" s="115">
        <v>14242</v>
      </c>
      <c r="P401" s="125">
        <v>0</v>
      </c>
      <c r="Q401" s="125">
        <v>0</v>
      </c>
      <c r="S401" s="125">
        <v>-6972877.5000012601</v>
      </c>
      <c r="T401" s="125">
        <v>0</v>
      </c>
      <c r="V401" s="125"/>
      <c r="W401" s="125"/>
    </row>
    <row r="402" spans="1:23">
      <c r="A402" s="121">
        <v>43553</v>
      </c>
      <c r="B402" s="125">
        <v>160057582.8953355</v>
      </c>
      <c r="C402" s="125">
        <v>35072660.097866073</v>
      </c>
      <c r="D402" s="125">
        <v>47618151.019067638</v>
      </c>
      <c r="E402" s="125">
        <v>71108360.451640472</v>
      </c>
      <c r="F402" s="123">
        <v>153799171.56857419</v>
      </c>
      <c r="G402" s="125">
        <v>-650000</v>
      </c>
      <c r="H402" s="125">
        <v>1762.8108226046493</v>
      </c>
      <c r="I402" s="125">
        <v>934.37546575567694</v>
      </c>
      <c r="J402" s="125">
        <v>503.51563692591344</v>
      </c>
      <c r="K402" s="125">
        <v>1195.8545521580786</v>
      </c>
      <c r="L402" s="122">
        <v>2633.745654839669</v>
      </c>
      <c r="M402" s="125">
        <v>-17</v>
      </c>
      <c r="N402" s="115">
        <v>14240</v>
      </c>
      <c r="P402" s="125">
        <v>0</v>
      </c>
      <c r="Q402" s="125">
        <v>0</v>
      </c>
      <c r="S402" s="125">
        <v>-8409060.0000012908</v>
      </c>
      <c r="T402" s="125">
        <v>0</v>
      </c>
      <c r="V402" s="125"/>
      <c r="W402" s="125"/>
    </row>
    <row r="403" spans="1:23">
      <c r="A403" s="121">
        <v>43555</v>
      </c>
      <c r="H403" s="128"/>
      <c r="L403" s="126"/>
      <c r="N403" s="115">
        <v>14240</v>
      </c>
      <c r="O403" s="116">
        <v>3489.2</v>
      </c>
    </row>
    <row r="404" spans="1:23">
      <c r="A404" s="121">
        <v>43556</v>
      </c>
      <c r="B404" s="125">
        <v>159476892.58844224</v>
      </c>
      <c r="C404" s="125">
        <v>36857911.046898387</v>
      </c>
      <c r="D404" s="125">
        <v>46928293.415182613</v>
      </c>
      <c r="E404" s="125">
        <v>71579285.133208498</v>
      </c>
      <c r="F404" s="123">
        <v>155365489.5952895</v>
      </c>
      <c r="G404" s="125">
        <v>0</v>
      </c>
      <c r="H404" s="125">
        <v>1761.8337704956225</v>
      </c>
      <c r="I404" s="125">
        <v>943.85437899433748</v>
      </c>
      <c r="J404" s="125">
        <v>504.78949129337212</v>
      </c>
      <c r="K404" s="125">
        <v>1168.4436222739409</v>
      </c>
      <c r="L404" s="164">
        <v>2617.0874925616508</v>
      </c>
      <c r="M404" s="125">
        <v>0</v>
      </c>
      <c r="N404" s="115">
        <v>14225</v>
      </c>
      <c r="P404" s="125">
        <v>0</v>
      </c>
      <c r="Q404" s="125">
        <v>0</v>
      </c>
      <c r="S404" s="125">
        <v>-8409060.0000012908</v>
      </c>
      <c r="T404" s="125">
        <v>0</v>
      </c>
      <c r="V404" s="125"/>
      <c r="W404" s="125"/>
    </row>
    <row r="405" spans="1:23">
      <c r="A405" s="121">
        <v>43557</v>
      </c>
      <c r="B405" s="125">
        <v>159478319.84451535</v>
      </c>
      <c r="C405" s="125">
        <v>36899141.875719361</v>
      </c>
      <c r="D405" s="125">
        <v>46842395.84436442</v>
      </c>
      <c r="E405" s="125">
        <v>72777014.495194376</v>
      </c>
      <c r="F405" s="123">
        <v>156518552.21527815</v>
      </c>
      <c r="G405" s="125">
        <v>0</v>
      </c>
      <c r="H405" s="125">
        <v>1754.942061617835</v>
      </c>
      <c r="I405" s="125">
        <v>967.51468904004207</v>
      </c>
      <c r="J405" s="125">
        <v>504.44682414937898</v>
      </c>
      <c r="K405" s="125">
        <v>1168.099964670208</v>
      </c>
      <c r="L405" s="164">
        <v>2640.0614778596291</v>
      </c>
      <c r="M405" s="125">
        <v>-10</v>
      </c>
      <c r="N405" s="115">
        <v>14220</v>
      </c>
      <c r="P405" s="125">
        <v>0</v>
      </c>
      <c r="Q405" s="125">
        <v>0</v>
      </c>
      <c r="S405" s="125">
        <v>-7452455.6000012904</v>
      </c>
      <c r="T405" s="125">
        <v>0</v>
      </c>
      <c r="V405" s="125"/>
      <c r="W405" s="125"/>
    </row>
    <row r="406" spans="1:23">
      <c r="A406" s="121">
        <v>43559</v>
      </c>
      <c r="B406" s="125">
        <v>159229495.174606</v>
      </c>
      <c r="C406" s="125">
        <v>37711962.748301744</v>
      </c>
      <c r="D406" s="125">
        <v>46961291.411543548</v>
      </c>
      <c r="E406" s="125">
        <v>72965141.079625547</v>
      </c>
      <c r="F406" s="123">
        <v>157638395.23947084</v>
      </c>
      <c r="G406" s="125">
        <v>0</v>
      </c>
      <c r="H406" s="125">
        <v>1747.7681614902142</v>
      </c>
      <c r="I406" s="125">
        <v>993.56335408570146</v>
      </c>
      <c r="J406" s="125">
        <v>505.98654102097078</v>
      </c>
      <c r="K406" s="125">
        <v>1172.1648832137421</v>
      </c>
      <c r="L406" s="164">
        <v>2671.7147783204146</v>
      </c>
      <c r="M406" s="125">
        <v>0</v>
      </c>
      <c r="N406" s="115">
        <v>14180</v>
      </c>
      <c r="P406" s="125">
        <v>0</v>
      </c>
      <c r="Q406" s="125">
        <v>0</v>
      </c>
      <c r="S406" s="125">
        <v>-6604012.1000012904</v>
      </c>
      <c r="T406" s="125">
        <v>0</v>
      </c>
      <c r="V406" s="125"/>
      <c r="W406" s="125"/>
    </row>
    <row r="407" spans="1:23">
      <c r="A407" s="121">
        <v>43560</v>
      </c>
      <c r="B407" s="125">
        <v>158879979.06706238</v>
      </c>
      <c r="C407" s="125">
        <v>38091764.95560658</v>
      </c>
      <c r="D407" s="125">
        <v>46615057.800955467</v>
      </c>
      <c r="E407" s="125">
        <v>72211292.784002036</v>
      </c>
      <c r="F407" s="123">
        <v>156918115.54056409</v>
      </c>
      <c r="G407" s="125">
        <v>0</v>
      </c>
      <c r="H407" s="125">
        <v>1747.8078196758661</v>
      </c>
      <c r="I407" s="125">
        <v>1084.1208724705591</v>
      </c>
      <c r="J407" s="125">
        <v>504.2734646971972</v>
      </c>
      <c r="K407" s="125">
        <v>1176.2979219967658</v>
      </c>
      <c r="L407" s="164">
        <v>2764.6922591645221</v>
      </c>
      <c r="M407" s="125">
        <v>0</v>
      </c>
      <c r="N407" s="115">
        <v>14134</v>
      </c>
      <c r="P407" s="125">
        <v>0</v>
      </c>
      <c r="Q407" s="125">
        <v>0</v>
      </c>
      <c r="S407" s="125">
        <v>-6604012.1000012904</v>
      </c>
      <c r="T407" s="125">
        <v>0</v>
      </c>
      <c r="V407" s="125"/>
      <c r="W407" s="125"/>
    </row>
    <row r="408" spans="1:23">
      <c r="A408" s="121">
        <v>43563</v>
      </c>
      <c r="B408" s="125">
        <v>158545416.78427812</v>
      </c>
      <c r="C408" s="125">
        <v>38391206.639978141</v>
      </c>
      <c r="D408" s="125">
        <v>46370108.407313772</v>
      </c>
      <c r="E408" s="125">
        <v>72257091.474213064</v>
      </c>
      <c r="F408" s="123">
        <v>157018406.52150497</v>
      </c>
      <c r="G408" s="125">
        <v>0</v>
      </c>
      <c r="H408" s="125">
        <v>1746.8564551514201</v>
      </c>
      <c r="I408" s="125">
        <v>1082.8855254395453</v>
      </c>
      <c r="J408" s="125">
        <v>503.77387995489295</v>
      </c>
      <c r="K408" s="125">
        <v>1160.2328749794806</v>
      </c>
      <c r="L408" s="164">
        <v>2746.8922803739188</v>
      </c>
      <c r="M408" s="125">
        <v>-15</v>
      </c>
      <c r="N408" s="115">
        <v>14163</v>
      </c>
      <c r="P408" s="125">
        <v>0</v>
      </c>
      <c r="Q408" s="125">
        <v>0</v>
      </c>
      <c r="S408" s="125">
        <v>-6604012.1000012904</v>
      </c>
      <c r="T408" s="125">
        <v>0</v>
      </c>
      <c r="V408" s="125"/>
      <c r="W408" s="125"/>
    </row>
    <row r="409" spans="1:23">
      <c r="A409" s="121">
        <v>43564</v>
      </c>
      <c r="B409" s="125">
        <v>158452393.62913072</v>
      </c>
      <c r="C409" s="125">
        <v>39212652.466658466</v>
      </c>
      <c r="D409" s="125">
        <v>46164025.295888983</v>
      </c>
      <c r="E409" s="125">
        <v>73600783.063894942</v>
      </c>
      <c r="F409" s="123">
        <v>158977460.82644239</v>
      </c>
      <c r="G409" s="125">
        <v>0</v>
      </c>
      <c r="H409" s="125">
        <v>1748.2767901475372</v>
      </c>
      <c r="I409" s="125">
        <v>1076.2222155000477</v>
      </c>
      <c r="J409" s="125">
        <v>504.31695967818126</v>
      </c>
      <c r="K409" s="125">
        <v>1160.945912813957</v>
      </c>
      <c r="L409" s="164">
        <v>2741.485087992186</v>
      </c>
      <c r="M409" s="125">
        <v>0</v>
      </c>
      <c r="N409" s="115">
        <v>14133</v>
      </c>
      <c r="P409" s="125">
        <v>0</v>
      </c>
      <c r="Q409" s="125">
        <v>0</v>
      </c>
      <c r="S409" s="125">
        <v>-5476763.7000012901</v>
      </c>
      <c r="T409" s="125">
        <v>0</v>
      </c>
      <c r="V409" s="125"/>
      <c r="W409" s="125"/>
    </row>
    <row r="410" spans="1:23">
      <c r="A410" s="121">
        <v>43565</v>
      </c>
      <c r="B410" s="125">
        <v>158461011.97619781</v>
      </c>
      <c r="C410" s="125">
        <v>38868334.49708996</v>
      </c>
      <c r="D410" s="125">
        <v>46079386.674198784</v>
      </c>
      <c r="E410" s="125">
        <v>72886478.835818604</v>
      </c>
      <c r="F410" s="123">
        <v>157834200.00710735</v>
      </c>
      <c r="G410" s="125">
        <v>0</v>
      </c>
      <c r="H410" s="125">
        <v>1749.0911469773619</v>
      </c>
      <c r="I410" s="125">
        <v>1086.8531558718282</v>
      </c>
      <c r="J410" s="125">
        <v>505.55134878026507</v>
      </c>
      <c r="K410" s="125">
        <v>1147.0089711066819</v>
      </c>
      <c r="L410" s="164">
        <v>2739.4134757587753</v>
      </c>
      <c r="M410" s="125">
        <v>0</v>
      </c>
      <c r="N410" s="115">
        <v>14150</v>
      </c>
      <c r="P410" s="125">
        <v>0</v>
      </c>
      <c r="Q410" s="125">
        <v>0</v>
      </c>
      <c r="S410" s="125">
        <v>-5476763.7000012901</v>
      </c>
      <c r="T410" s="125">
        <v>0</v>
      </c>
      <c r="V410" s="125"/>
      <c r="W410" s="125"/>
    </row>
    <row r="411" spans="1:23">
      <c r="A411" s="121">
        <v>43566</v>
      </c>
      <c r="B411" s="125">
        <v>158183178.99025863</v>
      </c>
      <c r="C411" s="125">
        <v>39806873.029305734</v>
      </c>
      <c r="D411" s="125">
        <v>46236951.507153198</v>
      </c>
      <c r="E411" s="125">
        <v>72888126.318644702</v>
      </c>
      <c r="F411" s="123">
        <v>158931950.85510364</v>
      </c>
      <c r="G411" s="125">
        <v>0</v>
      </c>
      <c r="H411" s="125">
        <v>1757.5670063568093</v>
      </c>
      <c r="I411" s="125">
        <v>1085.1118462312656</v>
      </c>
      <c r="J411" s="125">
        <v>506.56485100001197</v>
      </c>
      <c r="K411" s="125">
        <v>1147.8814261969335</v>
      </c>
      <c r="L411" s="164">
        <v>2739.5581234282108</v>
      </c>
      <c r="M411" s="125">
        <v>0</v>
      </c>
      <c r="N411" s="115">
        <v>14135</v>
      </c>
      <c r="P411" s="125">
        <v>0</v>
      </c>
      <c r="Q411" s="125">
        <v>0</v>
      </c>
      <c r="S411" s="125">
        <v>-6398528.100001689</v>
      </c>
      <c r="T411" s="125">
        <v>0</v>
      </c>
      <c r="V411" s="125"/>
      <c r="W411" s="125"/>
    </row>
    <row r="412" spans="1:23">
      <c r="A412" s="121">
        <v>43567</v>
      </c>
      <c r="B412" s="125">
        <v>158580152.72830454</v>
      </c>
      <c r="C412" s="125">
        <v>37716932.520358667</v>
      </c>
      <c r="D412" s="125">
        <v>46133005.946767196</v>
      </c>
      <c r="E412" s="125">
        <v>72578073.539683193</v>
      </c>
      <c r="F412" s="123">
        <v>156428012.00680906</v>
      </c>
      <c r="G412" s="125">
        <v>0</v>
      </c>
      <c r="H412" s="125">
        <v>1736.1075293890315</v>
      </c>
      <c r="I412" s="125">
        <v>1071.8676590351786</v>
      </c>
      <c r="J412" s="125">
        <v>507.81604172954519</v>
      </c>
      <c r="K412" s="125">
        <v>1148.9401558313027</v>
      </c>
      <c r="L412" s="164">
        <v>2728.6238565960266</v>
      </c>
      <c r="M412" s="125">
        <v>0</v>
      </c>
      <c r="N412" s="115">
        <v>14092.5</v>
      </c>
      <c r="P412" s="125">
        <v>0</v>
      </c>
      <c r="Q412" s="125">
        <v>0</v>
      </c>
      <c r="S412" s="125">
        <v>-7450178.0000016894</v>
      </c>
      <c r="T412" s="125">
        <v>0</v>
      </c>
      <c r="V412" s="125"/>
      <c r="W412" s="125"/>
    </row>
    <row r="413" spans="1:23">
      <c r="A413" s="121">
        <v>43570</v>
      </c>
      <c r="B413" s="125">
        <v>158903740.81736082</v>
      </c>
      <c r="C413" s="125">
        <v>38812880.561029792</v>
      </c>
      <c r="D413" s="125">
        <v>45932843.404595032</v>
      </c>
      <c r="E413" s="125">
        <v>71726796.172066003</v>
      </c>
      <c r="F413" s="123">
        <v>156472520.13769084</v>
      </c>
      <c r="G413" s="125">
        <v>-1000000</v>
      </c>
      <c r="H413" s="125">
        <v>1747.1185123556952</v>
      </c>
      <c r="I413" s="125">
        <v>1062.1213860437563</v>
      </c>
      <c r="J413" s="125">
        <v>511.91077919489538</v>
      </c>
      <c r="K413" s="125">
        <v>1153.8142809793485</v>
      </c>
      <c r="L413" s="164">
        <v>2727.846446218</v>
      </c>
      <c r="M413" s="125">
        <v>0</v>
      </c>
      <c r="N413" s="115">
        <v>14060</v>
      </c>
      <c r="P413" s="125">
        <v>0</v>
      </c>
      <c r="Q413" s="125">
        <v>0</v>
      </c>
      <c r="S413" s="125">
        <v>-7450178.0000016894</v>
      </c>
      <c r="T413" s="125">
        <v>0</v>
      </c>
      <c r="V413" s="125"/>
      <c r="W413" s="125"/>
    </row>
    <row r="414" spans="1:23">
      <c r="A414" s="121">
        <v>43571</v>
      </c>
      <c r="B414" s="125">
        <v>159012438.6517323</v>
      </c>
      <c r="C414" s="125">
        <v>39924907.8244396</v>
      </c>
      <c r="D414" s="125">
        <v>45774332.218652248</v>
      </c>
      <c r="E414" s="125">
        <v>71816091.887551203</v>
      </c>
      <c r="F414" s="123">
        <v>157515331.93064305</v>
      </c>
      <c r="G414" s="125">
        <v>-1000000</v>
      </c>
      <c r="H414" s="125">
        <v>1744.1572287597307</v>
      </c>
      <c r="I414" s="125">
        <v>1101.4383951568432</v>
      </c>
      <c r="J414" s="125">
        <v>516.221743190805</v>
      </c>
      <c r="K414" s="125">
        <v>1127.4354926228984</v>
      </c>
      <c r="L414" s="164">
        <v>2745.0956309705466</v>
      </c>
      <c r="M414" s="125">
        <v>0</v>
      </c>
      <c r="N414" s="115">
        <v>14085</v>
      </c>
      <c r="P414" s="125">
        <v>0</v>
      </c>
      <c r="Q414" s="125">
        <v>0</v>
      </c>
      <c r="S414" s="125">
        <v>-7430323.0000012498</v>
      </c>
      <c r="T414" s="125">
        <v>0</v>
      </c>
      <c r="V414" s="125"/>
      <c r="W414" s="125"/>
    </row>
    <row r="415" spans="1:23">
      <c r="A415" s="121">
        <v>43573</v>
      </c>
      <c r="B415" s="125">
        <v>159172097.57617462</v>
      </c>
      <c r="C415" s="125">
        <v>38315848.030221663</v>
      </c>
      <c r="D415" s="125">
        <v>45851514.428500339</v>
      </c>
      <c r="E415" s="125">
        <v>71650194.87231189</v>
      </c>
      <c r="F415" s="123">
        <v>155817557.33103389</v>
      </c>
      <c r="G415" s="125">
        <v>-1000000</v>
      </c>
      <c r="H415" s="125">
        <v>1751.7778486986329</v>
      </c>
      <c r="I415" s="125">
        <v>1066.7027233179369</v>
      </c>
      <c r="J415" s="125">
        <v>514.82876130884858</v>
      </c>
      <c r="K415" s="125">
        <v>1130.5374113968812</v>
      </c>
      <c r="L415" s="164">
        <v>2712.0688960236666</v>
      </c>
      <c r="M415" s="125">
        <v>0</v>
      </c>
      <c r="N415" s="115">
        <v>14042.5</v>
      </c>
      <c r="P415" s="125">
        <v>0</v>
      </c>
      <c r="Q415" s="125">
        <v>0</v>
      </c>
      <c r="S415" s="125">
        <v>-7886389.70000125</v>
      </c>
      <c r="T415" s="125">
        <v>0</v>
      </c>
      <c r="V415" s="125"/>
      <c r="W415" s="125"/>
    </row>
    <row r="416" spans="1:23">
      <c r="A416" s="121">
        <v>43577</v>
      </c>
      <c r="B416" s="125">
        <v>159637058.43773311</v>
      </c>
      <c r="C416" s="125">
        <v>40347047.777665094</v>
      </c>
      <c r="D416" s="125">
        <v>45695625.374445632</v>
      </c>
      <c r="E416" s="125">
        <v>71929602.418591514</v>
      </c>
      <c r="F416" s="123">
        <v>157972275.57070225</v>
      </c>
      <c r="G416" s="125">
        <v>-1450000</v>
      </c>
      <c r="H416" s="125">
        <v>1755.8562670390859</v>
      </c>
      <c r="I416" s="125">
        <v>1047.6166264858052</v>
      </c>
      <c r="J416" s="125">
        <v>515.38019843908341</v>
      </c>
      <c r="K416" s="125">
        <v>1135.9469111716533</v>
      </c>
      <c r="L416" s="164">
        <v>2698.9437360965421</v>
      </c>
      <c r="M416" s="125">
        <v>0</v>
      </c>
      <c r="N416" s="115">
        <v>14075</v>
      </c>
      <c r="P416" s="125">
        <v>0</v>
      </c>
      <c r="Q416" s="125">
        <v>0</v>
      </c>
      <c r="S416" s="125">
        <v>-7886389.70000125</v>
      </c>
      <c r="T416" s="125">
        <v>0</v>
      </c>
      <c r="V416" s="125"/>
      <c r="W416" s="125"/>
    </row>
    <row r="417" spans="1:23">
      <c r="A417" s="121">
        <v>43578</v>
      </c>
      <c r="B417" s="125">
        <v>159949931.53383273</v>
      </c>
      <c r="C417" s="125">
        <v>41075815.614486486</v>
      </c>
      <c r="D417" s="125">
        <v>45789577.157579653</v>
      </c>
      <c r="E417" s="125">
        <v>72043388.585929081</v>
      </c>
      <c r="F417" s="123">
        <v>158908781.35799521</v>
      </c>
      <c r="G417" s="125">
        <v>-1450000</v>
      </c>
      <c r="H417" s="125">
        <v>1757.3318191708179</v>
      </c>
      <c r="I417" s="125">
        <v>1037.5268229896435</v>
      </c>
      <c r="J417" s="125">
        <v>508.97607012737973</v>
      </c>
      <c r="K417" s="125">
        <v>1137.372532228015</v>
      </c>
      <c r="L417" s="164">
        <v>2683.8754253450379</v>
      </c>
      <c r="M417" s="125">
        <v>0</v>
      </c>
      <c r="N417" s="115">
        <v>14075</v>
      </c>
      <c r="P417" s="125">
        <v>2.2625E-4</v>
      </c>
      <c r="Q417" s="125">
        <v>11.408941499999999</v>
      </c>
      <c r="S417" s="125">
        <v>-7886389.70000125</v>
      </c>
      <c r="T417" s="125">
        <v>0</v>
      </c>
      <c r="V417" s="125"/>
      <c r="W417" s="125"/>
    </row>
    <row r="418" spans="1:23">
      <c r="A418" s="121">
        <v>43579</v>
      </c>
      <c r="B418" s="125">
        <v>160112966.88051417</v>
      </c>
      <c r="C418" s="125">
        <v>40719645.775785476</v>
      </c>
      <c r="D418" s="125">
        <v>45777217.587668762</v>
      </c>
      <c r="E418" s="125">
        <v>71774970.378485635</v>
      </c>
      <c r="F418" s="123">
        <v>158271833.74193987</v>
      </c>
      <c r="G418" s="125">
        <v>-1450000</v>
      </c>
      <c r="H418" s="125">
        <v>1767.1865103234479</v>
      </c>
      <c r="I418" s="125">
        <v>1025.82275134628</v>
      </c>
      <c r="J418" s="125">
        <v>503.82507594943132</v>
      </c>
      <c r="K418" s="125">
        <v>1139.508850162244</v>
      </c>
      <c r="L418" s="164">
        <v>2669.1566774579551</v>
      </c>
      <c r="M418" s="125">
        <v>0</v>
      </c>
      <c r="N418" s="115">
        <v>14095</v>
      </c>
      <c r="P418" s="125">
        <v>0</v>
      </c>
      <c r="Q418" s="125">
        <v>0</v>
      </c>
      <c r="S418" s="125">
        <v>-7886389.70000125</v>
      </c>
      <c r="T418" s="125">
        <v>0</v>
      </c>
      <c r="V418" s="125"/>
      <c r="W418" s="125"/>
    </row>
    <row r="419" spans="1:23">
      <c r="A419" s="121">
        <v>43580</v>
      </c>
      <c r="B419" s="125">
        <v>160730327.11606145</v>
      </c>
      <c r="C419" s="125">
        <v>40231859.967270643</v>
      </c>
      <c r="D419" s="125">
        <v>46445098.846963227</v>
      </c>
      <c r="E419" s="125">
        <v>70610126.589452088</v>
      </c>
      <c r="F419" s="123">
        <v>157287085.40368596</v>
      </c>
      <c r="G419" s="125">
        <v>-1450000</v>
      </c>
      <c r="H419" s="125">
        <v>1773.2209228795339</v>
      </c>
      <c r="I419" s="125">
        <v>1017.6708313663268</v>
      </c>
      <c r="J419" s="125">
        <v>503.6464094561494</v>
      </c>
      <c r="K419" s="125">
        <v>1147.2877286216819</v>
      </c>
      <c r="L419" s="164">
        <v>2668.6049694441581</v>
      </c>
      <c r="M419" s="125">
        <v>0</v>
      </c>
      <c r="N419" s="115">
        <v>14185</v>
      </c>
      <c r="P419" s="125">
        <v>-4426.21524503</v>
      </c>
      <c r="Q419" s="125">
        <v>-142.661382</v>
      </c>
      <c r="S419" s="125">
        <v>-6907511.0000012498</v>
      </c>
      <c r="T419" s="125">
        <v>0</v>
      </c>
      <c r="V419" s="125"/>
      <c r="W419" s="125"/>
    </row>
    <row r="420" spans="1:23">
      <c r="A420" s="121">
        <v>43581</v>
      </c>
      <c r="B420" s="125">
        <v>160303875.65075201</v>
      </c>
      <c r="C420" s="125">
        <v>38856235.850559331</v>
      </c>
      <c r="D420" s="125">
        <v>46851072.325124279</v>
      </c>
      <c r="E420" s="125">
        <v>70601643.509525582</v>
      </c>
      <c r="F420" s="123">
        <v>156308951.68520921</v>
      </c>
      <c r="G420" s="125">
        <v>-1450000</v>
      </c>
      <c r="H420" s="125">
        <v>1781.6366240251705</v>
      </c>
      <c r="I420" s="125">
        <v>1002.2430913771857</v>
      </c>
      <c r="J420" s="125">
        <v>507.38863709503079</v>
      </c>
      <c r="K420" s="125">
        <v>1134.6508489845151</v>
      </c>
      <c r="L420" s="164">
        <v>2644.2825774567318</v>
      </c>
      <c r="M420" s="125">
        <v>0</v>
      </c>
      <c r="N420" s="115">
        <v>14187.5</v>
      </c>
      <c r="P420" s="125">
        <v>-4762.8712615999993</v>
      </c>
      <c r="Q420" s="125">
        <v>-148.37386813999998</v>
      </c>
      <c r="S420" s="125">
        <v>-7423471.0000012498</v>
      </c>
      <c r="T420" s="125">
        <v>0</v>
      </c>
      <c r="V420" s="125"/>
      <c r="W420" s="125"/>
    </row>
    <row r="421" spans="1:23">
      <c r="A421" s="121">
        <v>43584</v>
      </c>
      <c r="B421" s="125">
        <v>161400174.34838089</v>
      </c>
      <c r="C421" s="125">
        <v>41839963.557046451</v>
      </c>
      <c r="D421" s="125">
        <v>46807128.656645164</v>
      </c>
      <c r="E421" s="125">
        <v>72400616.171601266</v>
      </c>
      <c r="F421" s="123">
        <v>161047708.38529289</v>
      </c>
      <c r="G421" s="125">
        <v>-450000</v>
      </c>
      <c r="H421" s="125">
        <v>1785.2348422125522</v>
      </c>
      <c r="I421" s="125">
        <v>986.66145213969526</v>
      </c>
      <c r="J421" s="125">
        <v>509.01593574309578</v>
      </c>
      <c r="K421" s="125">
        <v>1131.408898639248</v>
      </c>
      <c r="L421" s="164">
        <v>2627.0862865220388</v>
      </c>
      <c r="M421" s="125">
        <v>0</v>
      </c>
      <c r="N421" s="115">
        <v>14200</v>
      </c>
      <c r="P421" s="125">
        <v>-3052.92893869</v>
      </c>
      <c r="Q421" s="125">
        <v>-165.581514</v>
      </c>
      <c r="S421" s="125">
        <v>-7423471.0000012498</v>
      </c>
      <c r="T421" s="125">
        <v>0</v>
      </c>
      <c r="V421" s="125"/>
      <c r="W421" s="125"/>
    </row>
    <row r="422" spans="1:23">
      <c r="A422" s="121">
        <v>43585</v>
      </c>
      <c r="B422" s="125">
        <v>161609048.60873994</v>
      </c>
      <c r="C422" s="125">
        <v>35254721.869564123</v>
      </c>
      <c r="D422" s="125">
        <v>47265227.660681903</v>
      </c>
      <c r="E422" s="125">
        <v>72931372.995678365</v>
      </c>
      <c r="F422" s="123">
        <v>155451322.52592438</v>
      </c>
      <c r="G422" s="125">
        <v>-3240000</v>
      </c>
      <c r="H422" s="125">
        <v>1749.1317795612367</v>
      </c>
      <c r="I422" s="125">
        <v>985.30574748080971</v>
      </c>
      <c r="J422" s="125">
        <v>508.90072415883367</v>
      </c>
      <c r="K422" s="125">
        <v>1131.4239131314898</v>
      </c>
      <c r="L422" s="164">
        <v>2625.6303847711333</v>
      </c>
      <c r="M422" s="125">
        <v>0</v>
      </c>
      <c r="N422" s="115">
        <v>14250</v>
      </c>
      <c r="O422" s="116">
        <v>3444.94</v>
      </c>
      <c r="P422" s="125">
        <v>-2675.31888961</v>
      </c>
      <c r="Q422" s="125">
        <v>0</v>
      </c>
      <c r="S422" s="125">
        <v>-8469611.1000012495</v>
      </c>
      <c r="T422" s="125">
        <v>0</v>
      </c>
      <c r="V422" s="125"/>
      <c r="W422" s="125"/>
    </row>
    <row r="423" spans="1:23">
      <c r="A423" s="121">
        <v>43587</v>
      </c>
      <c r="B423" s="125">
        <v>161376796.44133979</v>
      </c>
      <c r="C423" s="125">
        <v>36689142.355816036</v>
      </c>
      <c r="D423" s="125">
        <v>46892459.830054246</v>
      </c>
      <c r="E423" s="125">
        <v>73002259.279004961</v>
      </c>
      <c r="F423" s="123">
        <v>156583861.46487525</v>
      </c>
      <c r="G423" s="125">
        <v>-1400000</v>
      </c>
      <c r="H423" s="125">
        <v>1776.8653059501285</v>
      </c>
      <c r="I423" s="125">
        <v>974.04006162491987</v>
      </c>
      <c r="J423" s="125">
        <v>506.90592231888627</v>
      </c>
      <c r="K423" s="125">
        <v>1096.748067292212</v>
      </c>
      <c r="L423" s="164">
        <v>2577.6940512360179</v>
      </c>
      <c r="M423" s="125">
        <v>0</v>
      </c>
      <c r="N423" s="115">
        <v>14250</v>
      </c>
      <c r="P423" s="125">
        <v>-3081.18278556</v>
      </c>
      <c r="Q423" s="125">
        <v>-11.427645</v>
      </c>
      <c r="S423" s="125">
        <v>-9834875.1500012502</v>
      </c>
      <c r="T423" s="125">
        <v>0</v>
      </c>
      <c r="V423" s="125"/>
      <c r="W423" s="125"/>
    </row>
    <row r="424" spans="1:23">
      <c r="A424" s="121">
        <v>43588</v>
      </c>
      <c r="B424" s="125">
        <v>161106399.11404419</v>
      </c>
      <c r="C424" s="125">
        <v>36625723.03086745</v>
      </c>
      <c r="D424" s="125">
        <v>46814055.048145309</v>
      </c>
      <c r="E424" s="125">
        <v>73563500.263490066</v>
      </c>
      <c r="F424" s="123">
        <v>157003278.34250283</v>
      </c>
      <c r="G424" s="125">
        <v>-1050000</v>
      </c>
      <c r="H424" s="125">
        <v>1775.114387567769</v>
      </c>
      <c r="I424" s="125">
        <v>970.14748660884186</v>
      </c>
      <c r="J424" s="125">
        <v>506.90202670156009</v>
      </c>
      <c r="K424" s="125">
        <v>1099.0765604625449</v>
      </c>
      <c r="L424" s="164">
        <v>2576.1260737729467</v>
      </c>
      <c r="M424" s="125">
        <v>-34</v>
      </c>
      <c r="N424" s="115">
        <v>14257.5</v>
      </c>
      <c r="P424" s="125">
        <v>-3197.5652656500001</v>
      </c>
      <c r="Q424" s="125">
        <v>-49.428186170000004</v>
      </c>
      <c r="S424" s="125">
        <v>-9834875.1500012502</v>
      </c>
      <c r="T424" s="125">
        <v>0</v>
      </c>
      <c r="V424" s="125"/>
      <c r="W424" s="125"/>
    </row>
    <row r="425" spans="1:23">
      <c r="A425" s="121">
        <v>43591</v>
      </c>
      <c r="B425" s="125">
        <v>160507738.3221567</v>
      </c>
      <c r="C425" s="125">
        <v>37563319.012461491</v>
      </c>
      <c r="D425" s="125">
        <v>46387047.003073677</v>
      </c>
      <c r="E425" s="125">
        <v>73370917.020780385</v>
      </c>
      <c r="F425" s="123">
        <v>157321283.03631556</v>
      </c>
      <c r="G425" s="125">
        <v>-600000</v>
      </c>
      <c r="H425" s="125">
        <v>1774.3635092948459</v>
      </c>
      <c r="I425" s="125">
        <v>1053.4057712015613</v>
      </c>
      <c r="J425" s="125">
        <v>511.78745586076195</v>
      </c>
      <c r="K425" s="125">
        <v>1093.6008480556172</v>
      </c>
      <c r="L425" s="164">
        <v>2658.7940751179403</v>
      </c>
      <c r="M425" s="125">
        <v>-19</v>
      </c>
      <c r="N425" s="115">
        <v>14290</v>
      </c>
      <c r="P425" s="125">
        <v>-2261.3917437000005</v>
      </c>
      <c r="Q425" s="125">
        <v>-107.9736681</v>
      </c>
      <c r="S425" s="125">
        <v>-9834875.1500012502</v>
      </c>
      <c r="T425" s="125">
        <v>0</v>
      </c>
      <c r="V425" s="125"/>
      <c r="W425" s="125"/>
    </row>
    <row r="426" spans="1:23">
      <c r="A426" s="121">
        <v>43592</v>
      </c>
      <c r="B426" s="125">
        <v>160229770.58487266</v>
      </c>
      <c r="C426" s="125">
        <v>37439346.67886927</v>
      </c>
      <c r="D426" s="125">
        <v>46294638.569789067</v>
      </c>
      <c r="E426" s="125">
        <v>73662346.213779956</v>
      </c>
      <c r="F426" s="123">
        <v>157396331.46243829</v>
      </c>
      <c r="G426" s="125">
        <v>-600000</v>
      </c>
      <c r="H426" s="125">
        <v>1744.5979566977917</v>
      </c>
      <c r="I426" s="125">
        <v>1071.0433576771634</v>
      </c>
      <c r="J426" s="125">
        <v>497.64989982968791</v>
      </c>
      <c r="K426" s="125">
        <v>1109.7303315246475</v>
      </c>
      <c r="L426" s="164">
        <v>2678.4235890314985</v>
      </c>
      <c r="M426" s="125">
        <v>-19</v>
      </c>
      <c r="N426" s="115">
        <v>14280</v>
      </c>
      <c r="P426" s="125">
        <v>-2476.6921998499997</v>
      </c>
      <c r="Q426" s="125">
        <v>-132.00917519999999</v>
      </c>
      <c r="S426" s="125">
        <v>-9834875.1500012502</v>
      </c>
      <c r="T426" s="125">
        <v>0</v>
      </c>
      <c r="V426" s="125"/>
      <c r="W426" s="125"/>
    </row>
    <row r="427" spans="1:23">
      <c r="A427" s="121">
        <v>43593</v>
      </c>
      <c r="B427" s="125">
        <v>159406719.42773223</v>
      </c>
      <c r="C427" s="125">
        <v>39127370.506518282</v>
      </c>
      <c r="D427" s="125">
        <v>46268623.786591165</v>
      </c>
      <c r="E427" s="125">
        <v>73084318.58243838</v>
      </c>
      <c r="F427" s="123">
        <v>158480312.87554783</v>
      </c>
      <c r="G427" s="125">
        <v>-600000</v>
      </c>
      <c r="H427" s="125">
        <v>1783.3669180935306</v>
      </c>
      <c r="I427" s="125">
        <v>1048.8286138441279</v>
      </c>
      <c r="J427" s="125">
        <v>496.17649368281423</v>
      </c>
      <c r="K427" s="125">
        <v>1112.2362299946767</v>
      </c>
      <c r="L427" s="164">
        <v>2657.2413375216188</v>
      </c>
      <c r="M427" s="125">
        <v>-59</v>
      </c>
      <c r="N427" s="115">
        <v>14295</v>
      </c>
      <c r="P427" s="125">
        <v>-2583.8509001599996</v>
      </c>
      <c r="Q427" s="125">
        <v>-193.60933575000001</v>
      </c>
      <c r="S427" s="125">
        <v>-9834875.1500012502</v>
      </c>
      <c r="T427" s="125">
        <v>0</v>
      </c>
      <c r="V427" s="125"/>
      <c r="W427" s="125"/>
    </row>
    <row r="428" spans="1:23">
      <c r="A428" s="121">
        <v>43594</v>
      </c>
      <c r="B428" s="125">
        <v>159509233.2341685</v>
      </c>
      <c r="C428" s="125">
        <v>37965912.917612962</v>
      </c>
      <c r="D428" s="125">
        <v>46327583.536091745</v>
      </c>
      <c r="E428" s="125">
        <v>72840526.544497699</v>
      </c>
      <c r="F428" s="123">
        <v>157134022.99820241</v>
      </c>
      <c r="G428" s="125">
        <v>-600000</v>
      </c>
      <c r="H428" s="125">
        <v>1786.1631803956141</v>
      </c>
      <c r="I428" s="125">
        <v>978.07443776639377</v>
      </c>
      <c r="J428" s="125">
        <v>496.43964822473032</v>
      </c>
      <c r="K428" s="125">
        <v>1110.8629664151065</v>
      </c>
      <c r="L428" s="164">
        <v>2585.3770524062306</v>
      </c>
      <c r="M428" s="125">
        <v>-109</v>
      </c>
      <c r="N428" s="115">
        <v>14350</v>
      </c>
      <c r="P428" s="125">
        <v>-2801.7893620500004</v>
      </c>
      <c r="Q428" s="125">
        <v>-267.43219650000003</v>
      </c>
      <c r="S428" s="125">
        <v>-7921649.5500012496</v>
      </c>
      <c r="T428" s="125">
        <v>0</v>
      </c>
      <c r="V428" s="125"/>
      <c r="W428" s="125"/>
    </row>
    <row r="429" spans="1:23">
      <c r="A429" s="121">
        <v>43595</v>
      </c>
      <c r="B429" s="125">
        <v>159899253.91683275</v>
      </c>
      <c r="C429" s="125">
        <v>36353683.861110263</v>
      </c>
      <c r="D429" s="125">
        <v>46271298.018190302</v>
      </c>
      <c r="E429" s="125">
        <v>73285669.209258541</v>
      </c>
      <c r="F429" s="123">
        <v>155910651.08855909</v>
      </c>
      <c r="G429" s="125">
        <v>-600000</v>
      </c>
      <c r="H429" s="125">
        <v>1785.6716098820743</v>
      </c>
      <c r="I429" s="125">
        <v>967.25830291910097</v>
      </c>
      <c r="J429" s="125">
        <v>495.90450807781087</v>
      </c>
      <c r="K429" s="125">
        <v>1160.5399113382241</v>
      </c>
      <c r="L429" s="164">
        <v>2623.7027223351361</v>
      </c>
      <c r="M429" s="125">
        <v>-40</v>
      </c>
      <c r="N429" s="115">
        <v>14325</v>
      </c>
      <c r="P429" s="125">
        <v>-3009.4203212699995</v>
      </c>
      <c r="Q429" s="125">
        <v>-136.26326775000001</v>
      </c>
      <c r="S429" s="125">
        <v>-6869999.6500012502</v>
      </c>
      <c r="T429" s="125">
        <v>0</v>
      </c>
      <c r="V429" s="125"/>
      <c r="W429" s="125"/>
    </row>
    <row r="430" spans="1:23">
      <c r="A430" s="121">
        <v>43598</v>
      </c>
      <c r="B430" s="125">
        <v>160217898.11378354</v>
      </c>
      <c r="C430" s="125">
        <v>38382526.230397582</v>
      </c>
      <c r="D430" s="125">
        <v>46016294.531184219</v>
      </c>
      <c r="E430" s="125">
        <v>72625276.321951345</v>
      </c>
      <c r="F430" s="123">
        <v>157024097.08353317</v>
      </c>
      <c r="G430" s="125">
        <v>-600000</v>
      </c>
      <c r="H430" s="125">
        <v>1769.1424798153153</v>
      </c>
      <c r="I430" s="125">
        <v>979.66119640954571</v>
      </c>
      <c r="J430" s="125">
        <v>491.64298632166907</v>
      </c>
      <c r="K430" s="125">
        <v>1152.4022398463462</v>
      </c>
      <c r="L430" s="164">
        <v>2623.7064225775612</v>
      </c>
      <c r="M430" s="125">
        <v>-40</v>
      </c>
      <c r="N430" s="115">
        <v>14420</v>
      </c>
      <c r="P430" s="125">
        <v>-3478.9572038799997</v>
      </c>
      <c r="Q430" s="125">
        <v>-273.53716179999998</v>
      </c>
      <c r="S430" s="125">
        <v>-7821590.6500012502</v>
      </c>
      <c r="T430" s="125">
        <v>0</v>
      </c>
      <c r="V430" s="125"/>
      <c r="W430" s="125"/>
    </row>
    <row r="431" spans="1:23">
      <c r="A431" s="121">
        <v>43599</v>
      </c>
      <c r="B431" s="125">
        <v>160729358.19227779</v>
      </c>
      <c r="C431" s="125">
        <v>41691658.567003369</v>
      </c>
      <c r="D431" s="125">
        <v>45902850.263254225</v>
      </c>
      <c r="E431" s="125">
        <v>72661111.098436445</v>
      </c>
      <c r="F431" s="123">
        <v>160255619.92869404</v>
      </c>
      <c r="G431" s="125">
        <v>0</v>
      </c>
      <c r="H431" s="125">
        <v>1743.31943315181</v>
      </c>
      <c r="I431" s="125">
        <v>976.41293406642058</v>
      </c>
      <c r="J431" s="125">
        <v>489.77889407927188</v>
      </c>
      <c r="K431" s="125">
        <v>1147.6766212345833</v>
      </c>
      <c r="L431" s="164">
        <v>2613.8684493802757</v>
      </c>
      <c r="M431" s="125">
        <v>-40</v>
      </c>
      <c r="N431" s="115">
        <v>14430</v>
      </c>
      <c r="P431" s="125">
        <v>-2058.0617496099999</v>
      </c>
      <c r="Q431" s="125">
        <v>-319.2169968</v>
      </c>
      <c r="S431" s="125">
        <v>-6871697.6500012502</v>
      </c>
      <c r="T431" s="125">
        <v>0</v>
      </c>
      <c r="V431" s="125"/>
      <c r="W431" s="125"/>
    </row>
    <row r="432" spans="1:23">
      <c r="A432" s="121">
        <v>43600</v>
      </c>
      <c r="B432" s="125">
        <v>159559146.30295008</v>
      </c>
      <c r="C432" s="125">
        <v>39265866.987176783</v>
      </c>
      <c r="D432" s="125">
        <v>45915789.649868496</v>
      </c>
      <c r="E432" s="125">
        <v>73158154.882831216</v>
      </c>
      <c r="F432" s="123">
        <v>158339811.51987648</v>
      </c>
      <c r="G432" s="125">
        <v>0</v>
      </c>
      <c r="H432" s="125">
        <v>1769.5711092793788</v>
      </c>
      <c r="I432" s="125">
        <v>1021.536214824268</v>
      </c>
      <c r="J432" s="125">
        <v>489.8173324889845</v>
      </c>
      <c r="K432" s="125">
        <v>1139.0108647986247</v>
      </c>
      <c r="L432" s="164">
        <v>2650.3644121118768</v>
      </c>
      <c r="M432" s="125">
        <v>-40</v>
      </c>
      <c r="N432" s="115">
        <v>14460</v>
      </c>
      <c r="P432" s="125">
        <v>-1242.4543056300001</v>
      </c>
      <c r="Q432" s="125">
        <v>-365.46522120000003</v>
      </c>
      <c r="S432" s="125">
        <v>-7790447.6500012502</v>
      </c>
      <c r="T432" s="125">
        <v>0</v>
      </c>
      <c r="V432" s="125"/>
      <c r="W432" s="125"/>
    </row>
    <row r="433" spans="1:23">
      <c r="A433" s="121">
        <v>43601</v>
      </c>
      <c r="B433" s="125">
        <v>159890533.81427103</v>
      </c>
      <c r="C433" s="125">
        <v>37483352.213824324</v>
      </c>
      <c r="D433" s="125">
        <v>45943399.333816744</v>
      </c>
      <c r="E433" s="125">
        <v>73253730.533715248</v>
      </c>
      <c r="F433" s="123">
        <v>156680482.08135632</v>
      </c>
      <c r="G433" s="125">
        <v>0</v>
      </c>
      <c r="H433" s="125">
        <v>1766.7217956330492</v>
      </c>
      <c r="I433" s="125">
        <v>1022.623464031003</v>
      </c>
      <c r="J433" s="125">
        <v>496.06211753969336</v>
      </c>
      <c r="K433" s="125">
        <v>1140.9805867746263</v>
      </c>
      <c r="L433" s="164">
        <v>2659.6661683453226</v>
      </c>
      <c r="M433" s="125">
        <v>-35</v>
      </c>
      <c r="N433" s="115">
        <v>14450</v>
      </c>
      <c r="P433" s="125">
        <v>-1341.25135467</v>
      </c>
      <c r="Q433" s="125">
        <v>-430.38689200000005</v>
      </c>
      <c r="S433" s="125">
        <v>-6233887.6500012502</v>
      </c>
      <c r="T433" s="125">
        <v>0</v>
      </c>
      <c r="V433" s="125"/>
      <c r="W433" s="125"/>
    </row>
    <row r="434" spans="1:23">
      <c r="A434" s="121">
        <v>43602</v>
      </c>
      <c r="B434" s="125">
        <v>159701944.73915738</v>
      </c>
      <c r="C434" s="125">
        <v>37216492.489859253</v>
      </c>
      <c r="D434" s="125">
        <v>45963546.509218387</v>
      </c>
      <c r="E434" s="125">
        <v>73647284.758965746</v>
      </c>
      <c r="F434" s="123">
        <v>156827323.75804341</v>
      </c>
      <c r="G434" s="125">
        <v>0</v>
      </c>
      <c r="H434" s="125">
        <v>1773.38505153401</v>
      </c>
      <c r="I434" s="125">
        <v>1003.0580413459217</v>
      </c>
      <c r="J434" s="125">
        <v>499.96454076198199</v>
      </c>
      <c r="K434" s="125">
        <v>1144.1392225679697</v>
      </c>
      <c r="L434" s="164">
        <v>2647.1618046758731</v>
      </c>
      <c r="M434" s="125">
        <v>-35</v>
      </c>
      <c r="N434" s="115">
        <v>14450</v>
      </c>
      <c r="P434" s="125">
        <v>-1441.5847371600003</v>
      </c>
      <c r="Q434" s="125">
        <v>-530.00027899999998</v>
      </c>
      <c r="S434" s="125">
        <v>-7466502.8500012504</v>
      </c>
      <c r="T434" s="125">
        <v>0</v>
      </c>
      <c r="V434" s="125"/>
      <c r="W434" s="125"/>
    </row>
    <row r="435" spans="1:23">
      <c r="A435" s="121">
        <v>43605</v>
      </c>
      <c r="B435" s="125">
        <v>159886166.95231852</v>
      </c>
      <c r="C435" s="125">
        <v>40603188.383163244</v>
      </c>
      <c r="D435" s="125">
        <v>46013996.97198949</v>
      </c>
      <c r="E435" s="125">
        <v>73020646.357285678</v>
      </c>
      <c r="F435" s="123">
        <v>159637831.7124384</v>
      </c>
      <c r="G435" s="125">
        <v>0</v>
      </c>
      <c r="H435" s="125">
        <v>1773.5117630973684</v>
      </c>
      <c r="I435" s="125">
        <v>999.18529559549359</v>
      </c>
      <c r="J435" s="125">
        <v>510.20313795504518</v>
      </c>
      <c r="K435" s="125">
        <v>1129.43395633567</v>
      </c>
      <c r="L435" s="164">
        <v>2638.8223898862088</v>
      </c>
      <c r="M435" s="125">
        <v>-35</v>
      </c>
      <c r="N435" s="115">
        <v>14455</v>
      </c>
      <c r="P435" s="125">
        <v>-1630.6142795300002</v>
      </c>
      <c r="Q435" s="125">
        <v>-829.12839239999994</v>
      </c>
      <c r="S435" s="125">
        <v>-7466502.8500012504</v>
      </c>
      <c r="T435" s="125">
        <v>0</v>
      </c>
      <c r="V435" s="125"/>
      <c r="W435" s="125"/>
    </row>
    <row r="436" spans="1:23">
      <c r="A436" s="121">
        <v>43606</v>
      </c>
      <c r="B436" s="125">
        <v>160082999.54495794</v>
      </c>
      <c r="C436" s="125">
        <v>37050613.550503947</v>
      </c>
      <c r="D436" s="125">
        <v>46153495.848570012</v>
      </c>
      <c r="E436" s="125">
        <v>73182350.82175082</v>
      </c>
      <c r="F436" s="123">
        <v>156386460.22082478</v>
      </c>
      <c r="G436" s="125">
        <v>0</v>
      </c>
      <c r="H436" s="125">
        <v>1770.3648016787074</v>
      </c>
      <c r="I436" s="125">
        <v>975.47476452004446</v>
      </c>
      <c r="J436" s="125">
        <v>500.27380966015875</v>
      </c>
      <c r="K436" s="125">
        <v>1135.381505951339</v>
      </c>
      <c r="L436" s="164">
        <v>2611.1300801315419</v>
      </c>
      <c r="M436" s="125">
        <v>-35</v>
      </c>
      <c r="N436" s="115">
        <v>14480</v>
      </c>
      <c r="P436" s="125">
        <v>-1707.5385505299998</v>
      </c>
      <c r="Q436" s="125">
        <v>-930.38300559999993</v>
      </c>
      <c r="S436" s="125">
        <v>-7466502.8500012504</v>
      </c>
      <c r="T436" s="125">
        <v>0</v>
      </c>
      <c r="V436" s="125"/>
      <c r="W436" s="125"/>
    </row>
    <row r="437" spans="1:23">
      <c r="A437" s="121">
        <v>43607</v>
      </c>
      <c r="B437" s="125">
        <v>162272527.01572958</v>
      </c>
      <c r="C437" s="125">
        <v>38133516.25400912</v>
      </c>
      <c r="D437" s="125">
        <v>47177364.53455738</v>
      </c>
      <c r="E437" s="125">
        <v>73017896.780789748</v>
      </c>
      <c r="F437" s="123">
        <v>158328777.56935626</v>
      </c>
      <c r="G437" s="125">
        <v>-450000</v>
      </c>
      <c r="H437" s="125">
        <v>1768.7036904936469</v>
      </c>
      <c r="I437" s="125">
        <v>978.2567486967157</v>
      </c>
      <c r="J437" s="125">
        <v>497.78922403467323</v>
      </c>
      <c r="K437" s="125">
        <v>1133.1762476386457</v>
      </c>
      <c r="L437" s="164">
        <v>2609.2222203700348</v>
      </c>
      <c r="M437" s="125">
        <v>-35</v>
      </c>
      <c r="N437" s="115">
        <v>14525</v>
      </c>
      <c r="P437" s="125">
        <v>-1889.1012924100003</v>
      </c>
      <c r="Q437" s="125">
        <v>-1033.4055269999999</v>
      </c>
      <c r="S437" s="125">
        <v>-7466502.8500012504</v>
      </c>
      <c r="T437" s="125">
        <v>0</v>
      </c>
      <c r="V437" s="125"/>
      <c r="W437" s="125"/>
    </row>
    <row r="438" spans="1:23">
      <c r="A438" s="121">
        <v>43608</v>
      </c>
      <c r="B438" s="125">
        <v>161600787.13930729</v>
      </c>
      <c r="C438" s="125">
        <v>40668287.476672247</v>
      </c>
      <c r="D438" s="125">
        <v>47187380.177199058</v>
      </c>
      <c r="E438" s="125">
        <v>72736060.368496627</v>
      </c>
      <c r="F438" s="123">
        <v>160591728.02236792</v>
      </c>
      <c r="G438" s="125">
        <v>-550000</v>
      </c>
      <c r="H438" s="125">
        <v>1766.5367273572065</v>
      </c>
      <c r="I438" s="125">
        <v>960.0827955320724</v>
      </c>
      <c r="J438" s="125">
        <v>498.20338765641327</v>
      </c>
      <c r="K438" s="125">
        <v>1142.8462945132517</v>
      </c>
      <c r="L438" s="164">
        <v>2601.1324777017371</v>
      </c>
      <c r="M438" s="125">
        <v>0</v>
      </c>
      <c r="N438" s="115">
        <v>14460</v>
      </c>
      <c r="P438" s="125">
        <v>-2097.9904055400002</v>
      </c>
      <c r="Q438" s="125">
        <v>-605.49399119999998</v>
      </c>
      <c r="S438" s="125">
        <v>-8860615.7500014808</v>
      </c>
      <c r="T438" s="125">
        <v>0</v>
      </c>
      <c r="V438" s="125"/>
      <c r="W438" s="125"/>
    </row>
    <row r="439" spans="1:23">
      <c r="A439" s="121">
        <v>43609</v>
      </c>
      <c r="B439" s="125">
        <v>163079122.47148612</v>
      </c>
      <c r="C439" s="125">
        <v>39678591.168771267</v>
      </c>
      <c r="D439" s="125">
        <v>48072525.339727215</v>
      </c>
      <c r="E439" s="125">
        <v>72584399.274187908</v>
      </c>
      <c r="F439" s="123">
        <v>160335515.78268641</v>
      </c>
      <c r="G439" s="125">
        <v>-1000000</v>
      </c>
      <c r="H439" s="125">
        <v>1773.8915088094686</v>
      </c>
      <c r="I439" s="125">
        <v>942.76467827486852</v>
      </c>
      <c r="J439" s="125">
        <v>495.71959992434859</v>
      </c>
      <c r="K439" s="125">
        <v>1136.5509903563257</v>
      </c>
      <c r="L439" s="164">
        <v>2575.0352685555426</v>
      </c>
      <c r="M439" s="125">
        <v>0</v>
      </c>
      <c r="N439" s="115">
        <v>14392.5</v>
      </c>
      <c r="P439" s="125">
        <v>-2395.6172235400004</v>
      </c>
      <c r="Q439" s="125">
        <v>-667.18347954000001</v>
      </c>
      <c r="S439" s="125">
        <v>-6908473.2500014799</v>
      </c>
      <c r="T439" s="125">
        <v>0</v>
      </c>
      <c r="V439" s="125"/>
      <c r="W439" s="125"/>
    </row>
    <row r="440" spans="1:23">
      <c r="A440" s="121">
        <v>43612</v>
      </c>
      <c r="B440" s="125">
        <v>162578431.19200376</v>
      </c>
      <c r="C440" s="125">
        <v>41227976.518999517</v>
      </c>
      <c r="D440" s="125">
        <v>47741383.712092593</v>
      </c>
      <c r="E440" s="125">
        <v>72706961.212616995</v>
      </c>
      <c r="F440" s="123">
        <v>161676321.44370911</v>
      </c>
      <c r="G440" s="125">
        <v>-1975000</v>
      </c>
      <c r="H440" s="125">
        <v>1770.6818468479653</v>
      </c>
      <c r="I440" s="125">
        <v>927.00494926329998</v>
      </c>
      <c r="J440" s="125">
        <v>495.71051831568855</v>
      </c>
      <c r="K440" s="125">
        <v>1135.2859540756479</v>
      </c>
      <c r="L440" s="164">
        <v>2558.001421654636</v>
      </c>
      <c r="M440" s="125">
        <v>0</v>
      </c>
      <c r="N440" s="115">
        <v>14380</v>
      </c>
      <c r="P440" s="125">
        <v>-3396.6174694199999</v>
      </c>
      <c r="Q440" s="125">
        <v>-859.9838208000001</v>
      </c>
      <c r="S440" s="125">
        <v>-6527836.8500014795</v>
      </c>
      <c r="T440" s="125">
        <v>0</v>
      </c>
      <c r="V440" s="125"/>
      <c r="W440" s="125"/>
    </row>
    <row r="441" spans="1:23">
      <c r="A441" s="121">
        <v>43613</v>
      </c>
      <c r="B441" s="125">
        <v>163642492.54327494</v>
      </c>
      <c r="C441" s="125">
        <v>41148668.66009818</v>
      </c>
      <c r="D441" s="125">
        <v>48114179.518685974</v>
      </c>
      <c r="E441" s="125">
        <v>72924485.174409926</v>
      </c>
      <c r="F441" s="123">
        <v>162187333.35319409</v>
      </c>
      <c r="G441" s="125">
        <v>-1975000</v>
      </c>
      <c r="H441" s="125">
        <v>1787.1709701497502</v>
      </c>
      <c r="I441" s="125">
        <v>903.85143694282306</v>
      </c>
      <c r="J441" s="125">
        <v>495.08073237524803</v>
      </c>
      <c r="K441" s="125">
        <v>1120.1065927039012</v>
      </c>
      <c r="L441" s="164">
        <v>2519.0387620219726</v>
      </c>
      <c r="M441" s="125">
        <v>0</v>
      </c>
      <c r="N441" s="115">
        <v>14375</v>
      </c>
      <c r="P441" s="125">
        <v>-3857.2585067999999</v>
      </c>
      <c r="Q441" s="125">
        <v>-924.12231874999998</v>
      </c>
      <c r="S441" s="125">
        <v>-6426339.7500014799</v>
      </c>
      <c r="T441" s="125">
        <v>0</v>
      </c>
      <c r="V441" s="125"/>
      <c r="W441" s="125"/>
    </row>
    <row r="442" spans="1:23">
      <c r="A442" s="121">
        <v>43614</v>
      </c>
      <c r="B442" s="125">
        <v>162915884.49249509</v>
      </c>
      <c r="C442" s="125">
        <v>39791132.03756234</v>
      </c>
      <c r="D442" s="125">
        <v>48383609.455945164</v>
      </c>
      <c r="E442" s="125">
        <v>71767907.202889845</v>
      </c>
      <c r="F442" s="123">
        <v>159942648.69639736</v>
      </c>
      <c r="G442" s="125">
        <v>-1975000</v>
      </c>
      <c r="H442" s="125">
        <v>1786.685184228658</v>
      </c>
      <c r="I442" s="125">
        <v>903.35577988048976</v>
      </c>
      <c r="J442" s="125">
        <v>493.48452471876465</v>
      </c>
      <c r="K442" s="125">
        <v>1120.4662027660083</v>
      </c>
      <c r="L442" s="164">
        <v>2517.3065073652629</v>
      </c>
      <c r="M442" s="125">
        <v>0</v>
      </c>
      <c r="N442" s="115">
        <v>14400</v>
      </c>
      <c r="P442" s="125">
        <v>-4305.7122964800001</v>
      </c>
      <c r="Q442" s="125">
        <v>-1013.7057119999999</v>
      </c>
      <c r="S442" s="125">
        <v>-9274339.8500014581</v>
      </c>
      <c r="T442" s="125">
        <v>0</v>
      </c>
      <c r="V442" s="125"/>
      <c r="W442" s="125"/>
    </row>
    <row r="443" spans="1:23">
      <c r="A443" s="121">
        <v>43616</v>
      </c>
      <c r="B443" s="125">
        <v>161804677.76884633</v>
      </c>
      <c r="C443" s="125">
        <v>34025568.072957538</v>
      </c>
      <c r="D443" s="125">
        <v>48194971.23195798</v>
      </c>
      <c r="E443" s="125">
        <v>72653836.496277094</v>
      </c>
      <c r="F443" s="123">
        <v>154874375.80119261</v>
      </c>
      <c r="G443" s="125">
        <v>-2075000</v>
      </c>
      <c r="H443" s="125">
        <v>1784.3220715039251</v>
      </c>
      <c r="I443" s="125">
        <v>922.29485392555785</v>
      </c>
      <c r="J443" s="125">
        <v>490.35304123085979</v>
      </c>
      <c r="K443" s="125">
        <v>1141.0149827621724</v>
      </c>
      <c r="L443" s="164">
        <v>2553.6628779185903</v>
      </c>
      <c r="M443" s="125">
        <v>0</v>
      </c>
      <c r="N443" s="115">
        <v>14272.5</v>
      </c>
      <c r="O443" s="116">
        <v>3405.12</v>
      </c>
      <c r="P443" s="125">
        <v>-3996.1554469299995</v>
      </c>
      <c r="Q443" s="125">
        <v>-1001.37130253</v>
      </c>
      <c r="S443" s="125">
        <v>-7909075.8000014601</v>
      </c>
      <c r="T443" s="125">
        <v>0</v>
      </c>
      <c r="V443" s="125"/>
      <c r="W443" s="125"/>
    </row>
    <row r="444" spans="1:23">
      <c r="A444" s="121">
        <v>43626</v>
      </c>
      <c r="B444" s="125">
        <v>161082028.95113254</v>
      </c>
      <c r="C444" s="125">
        <v>39038907.846639507</v>
      </c>
      <c r="D444" s="125">
        <v>47756612.76057709</v>
      </c>
      <c r="E444" s="125">
        <v>71011774.657767415</v>
      </c>
      <c r="F444" s="123">
        <v>157807295.26498401</v>
      </c>
      <c r="G444" s="125">
        <v>-2075000</v>
      </c>
      <c r="H444" s="125">
        <v>1779.5026744215859</v>
      </c>
      <c r="I444" s="125">
        <v>992.05732421175378</v>
      </c>
      <c r="J444" s="125">
        <v>493.98066896171372</v>
      </c>
      <c r="K444" s="125">
        <v>1088.2075123182408</v>
      </c>
      <c r="L444" s="164">
        <v>2574.2455054917082</v>
      </c>
      <c r="M444" s="125">
        <v>0</v>
      </c>
      <c r="N444" s="115">
        <v>14250</v>
      </c>
      <c r="P444" s="125">
        <v>-8264.3642246500003</v>
      </c>
      <c r="Q444" s="125">
        <v>-1870.4132474999999</v>
      </c>
      <c r="S444" s="125">
        <v>-7338121.2000014596</v>
      </c>
      <c r="T444" s="125">
        <v>0</v>
      </c>
      <c r="V444" s="125"/>
      <c r="W444" s="125"/>
    </row>
    <row r="445" spans="1:23">
      <c r="A445" s="121">
        <v>43627</v>
      </c>
      <c r="B445" s="125">
        <v>161147869.91503572</v>
      </c>
      <c r="C445" s="125">
        <v>40558180.56070064</v>
      </c>
      <c r="D445" s="125">
        <v>47762797.698260196</v>
      </c>
      <c r="E445" s="125">
        <v>71651205.948943719</v>
      </c>
      <c r="F445" s="123">
        <v>159972184.20790458</v>
      </c>
      <c r="G445" s="125">
        <v>-2075000</v>
      </c>
      <c r="H445" s="125">
        <v>1780.1713287506182</v>
      </c>
      <c r="I445" s="125">
        <v>1000.2823844825616</v>
      </c>
      <c r="J445" s="125">
        <v>495.68384096042615</v>
      </c>
      <c r="K445" s="125">
        <v>1088.7644471200822</v>
      </c>
      <c r="L445" s="164">
        <v>2584.7306725630697</v>
      </c>
      <c r="M445" s="125">
        <v>0</v>
      </c>
      <c r="N445" s="115">
        <v>14237.5</v>
      </c>
      <c r="P445" s="125">
        <v>-8754.0081925800005</v>
      </c>
      <c r="Q445" s="125">
        <v>-1955.75853364</v>
      </c>
      <c r="S445" s="125">
        <v>-7338121.2000014596</v>
      </c>
      <c r="T445" s="125">
        <v>0</v>
      </c>
      <c r="V445" s="125"/>
      <c r="W445" s="125"/>
    </row>
    <row r="446" spans="1:23">
      <c r="A446" s="121">
        <v>43628</v>
      </c>
      <c r="B446" s="125">
        <v>161001871.79231295</v>
      </c>
      <c r="C446" s="125">
        <v>40235400.780065268</v>
      </c>
      <c r="D446" s="125">
        <v>47471810.064719006</v>
      </c>
      <c r="E446" s="125">
        <v>71927399.818186432</v>
      </c>
      <c r="F446" s="123">
        <v>159634610.66297072</v>
      </c>
      <c r="G446" s="125">
        <v>-2075000</v>
      </c>
      <c r="H446" s="125">
        <v>1770.9239504726943</v>
      </c>
      <c r="I446" s="125">
        <v>997.85975410264416</v>
      </c>
      <c r="J446" s="125">
        <v>496.76240438445518</v>
      </c>
      <c r="K446" s="125">
        <v>1087.8291087127482</v>
      </c>
      <c r="L446" s="164">
        <v>2582.4512671998473</v>
      </c>
      <c r="M446" s="125">
        <v>0</v>
      </c>
      <c r="N446" s="115">
        <v>14235</v>
      </c>
      <c r="P446" s="125">
        <v>-9246.2989685800003</v>
      </c>
      <c r="Q446" s="125">
        <v>-2042.3852728499999</v>
      </c>
      <c r="S446" s="125">
        <v>-6419371.2000014596</v>
      </c>
      <c r="T446" s="125">
        <v>0</v>
      </c>
      <c r="V446" s="125"/>
      <c r="W446" s="125"/>
    </row>
    <row r="447" spans="1:23">
      <c r="A447" s="121">
        <v>43629</v>
      </c>
      <c r="B447" s="125">
        <v>160840719.6434238</v>
      </c>
      <c r="C447" s="125">
        <v>39228872.787473135</v>
      </c>
      <c r="D447" s="125">
        <v>47435924.658374503</v>
      </c>
      <c r="E447" s="125">
        <v>72318086.947466671</v>
      </c>
      <c r="F447" s="123">
        <v>158982884.3933143</v>
      </c>
      <c r="G447" s="125">
        <v>-2075000</v>
      </c>
      <c r="H447" s="125">
        <v>1775.663886094306</v>
      </c>
      <c r="I447" s="125">
        <v>1051.6010993702919</v>
      </c>
      <c r="J447" s="125">
        <v>499.34441371630697</v>
      </c>
      <c r="K447" s="125">
        <v>1087.4646777298678</v>
      </c>
      <c r="L447" s="164">
        <v>2638.4101908164666</v>
      </c>
      <c r="M447" s="125">
        <v>0</v>
      </c>
      <c r="N447" s="115">
        <v>14280</v>
      </c>
      <c r="P447" s="125">
        <v>-9643.9515141599986</v>
      </c>
      <c r="Q447" s="125">
        <v>-2136.0850811999999</v>
      </c>
      <c r="S447" s="125">
        <v>-6419371.2000014596</v>
      </c>
      <c r="T447" s="125">
        <v>0</v>
      </c>
      <c r="V447" s="125"/>
      <c r="W447" s="125"/>
    </row>
    <row r="448" spans="1:23">
      <c r="A448" s="121">
        <v>43630</v>
      </c>
      <c r="B448" s="125">
        <v>161126307.46511787</v>
      </c>
      <c r="C448" s="125">
        <v>39214716.083818823</v>
      </c>
      <c r="D448" s="125">
        <v>47514729.996598914</v>
      </c>
      <c r="E448" s="125">
        <v>72401477.096223339</v>
      </c>
      <c r="F448" s="123">
        <v>159130923.17664108</v>
      </c>
      <c r="G448" s="125">
        <v>-2075000</v>
      </c>
      <c r="H448" s="125">
        <v>1775.714513979616</v>
      </c>
      <c r="I448" s="125">
        <v>1028.6539624593047</v>
      </c>
      <c r="J448" s="125">
        <v>504.14016329145255</v>
      </c>
      <c r="K448" s="125">
        <v>1089.7195965390479</v>
      </c>
      <c r="L448" s="164">
        <v>2622.5137222898052</v>
      </c>
      <c r="M448" s="125">
        <v>0</v>
      </c>
      <c r="N448" s="115">
        <v>14325</v>
      </c>
      <c r="P448" s="125">
        <v>-10109.78768888</v>
      </c>
      <c r="Q448" s="125">
        <v>-2230.3348860000001</v>
      </c>
      <c r="S448" s="125">
        <v>-5298039.2000014596</v>
      </c>
      <c r="T448" s="125">
        <v>0</v>
      </c>
      <c r="V448" s="125"/>
      <c r="W448" s="125"/>
    </row>
    <row r="449" spans="1:23">
      <c r="A449" s="121">
        <v>43633</v>
      </c>
      <c r="B449" s="125">
        <v>161006857.599668</v>
      </c>
      <c r="C449" s="125">
        <v>38256948.533442207</v>
      </c>
      <c r="D449" s="125">
        <v>47266385.653919771</v>
      </c>
      <c r="E449" s="125">
        <v>72330989.908586636</v>
      </c>
      <c r="F449" s="123">
        <v>157854324.09594864</v>
      </c>
      <c r="G449" s="125">
        <v>-1150000</v>
      </c>
      <c r="H449" s="125">
        <v>1734.579064852175</v>
      </c>
      <c r="I449" s="125">
        <v>1083.4139231836234</v>
      </c>
      <c r="J449" s="125">
        <v>504.41217112199899</v>
      </c>
      <c r="K449" s="125">
        <v>1083.2522773610483</v>
      </c>
      <c r="L449" s="164">
        <v>2671.078371666671</v>
      </c>
      <c r="M449" s="125">
        <v>0</v>
      </c>
      <c r="N449" s="115">
        <v>14335</v>
      </c>
      <c r="P449" s="125">
        <v>-7113.2892499200007</v>
      </c>
      <c r="Q449" s="125">
        <v>-564.54656065000006</v>
      </c>
      <c r="S449" s="125">
        <v>-5298039.2000014596</v>
      </c>
      <c r="T449" s="125">
        <v>0</v>
      </c>
      <c r="V449" s="125"/>
      <c r="W449" s="125"/>
    </row>
    <row r="450" spans="1:23">
      <c r="A450" s="121">
        <v>43634</v>
      </c>
      <c r="B450" s="125">
        <v>160983908.26666564</v>
      </c>
      <c r="C450" s="125">
        <v>38397823.688899316</v>
      </c>
      <c r="D450" s="125">
        <v>47132873.895090863</v>
      </c>
      <c r="E450" s="125">
        <v>73603984.261844665</v>
      </c>
      <c r="F450" s="123">
        <v>159134681.84583485</v>
      </c>
      <c r="G450" s="125">
        <v>-1150000</v>
      </c>
      <c r="H450" s="125">
        <v>1747.209724248054</v>
      </c>
      <c r="I450" s="125">
        <v>1224.4836718671445</v>
      </c>
      <c r="J450" s="125">
        <v>504.87922331835995</v>
      </c>
      <c r="K450" s="125">
        <v>1085.6894841237863</v>
      </c>
      <c r="L450" s="164">
        <v>2815.0523793092907</v>
      </c>
      <c r="M450" s="125">
        <v>0</v>
      </c>
      <c r="N450" s="115">
        <v>14322.5</v>
      </c>
      <c r="P450" s="125">
        <v>-7416.8885409800005</v>
      </c>
      <c r="Q450" s="125">
        <v>-593.11205524000002</v>
      </c>
      <c r="S450" s="125">
        <v>-5298039.2000014596</v>
      </c>
      <c r="T450" s="125">
        <v>0</v>
      </c>
      <c r="V450" s="125"/>
      <c r="W450" s="125"/>
    </row>
    <row r="451" spans="1:23">
      <c r="A451" s="121">
        <v>43635</v>
      </c>
      <c r="B451" s="125">
        <v>160861882.91347951</v>
      </c>
      <c r="C451" s="125">
        <v>39096915.458895929</v>
      </c>
      <c r="D451" s="125">
        <v>46999109.112136833</v>
      </c>
      <c r="E451" s="125">
        <v>73339782.504582167</v>
      </c>
      <c r="F451" s="123">
        <v>159435807.07561493</v>
      </c>
      <c r="G451" s="125">
        <v>-1150000</v>
      </c>
      <c r="H451" s="125">
        <v>1745.8179915205021</v>
      </c>
      <c r="I451" s="125">
        <v>1228.89531235808</v>
      </c>
      <c r="J451" s="125">
        <v>504.03105121609423</v>
      </c>
      <c r="K451" s="125">
        <v>1090.7903926572219</v>
      </c>
      <c r="L451" s="164">
        <v>2823.7167562313962</v>
      </c>
      <c r="M451" s="125">
        <v>0</v>
      </c>
      <c r="N451" s="115">
        <v>14269.5</v>
      </c>
      <c r="P451" s="125">
        <v>-7724.1138452399991</v>
      </c>
      <c r="Q451" s="125">
        <v>-665.80074321000006</v>
      </c>
      <c r="S451" s="125">
        <v>-7222091.9000018705</v>
      </c>
      <c r="T451" s="125">
        <v>0</v>
      </c>
      <c r="V451" s="125"/>
      <c r="W451" s="125"/>
    </row>
    <row r="452" spans="1:23">
      <c r="A452" s="121">
        <v>43636</v>
      </c>
      <c r="B452" s="125">
        <v>161121111.26484698</v>
      </c>
      <c r="C452" s="125">
        <v>46906184.133640945</v>
      </c>
      <c r="D452" s="125">
        <v>47111543.783292055</v>
      </c>
      <c r="E452" s="125">
        <v>73486625.378634289</v>
      </c>
      <c r="F452" s="123">
        <v>167504353.29556727</v>
      </c>
      <c r="G452" s="125">
        <v>-1150000</v>
      </c>
      <c r="H452" s="125">
        <v>1743.8107558460852</v>
      </c>
      <c r="I452" s="125">
        <v>1078.8043888395955</v>
      </c>
      <c r="J452" s="125">
        <v>505.85754057445024</v>
      </c>
      <c r="K452" s="125">
        <v>1102.067149844946</v>
      </c>
      <c r="L452" s="164">
        <v>2686.729079258992</v>
      </c>
      <c r="M452" s="125">
        <v>0</v>
      </c>
      <c r="N452" s="115">
        <v>14182.5</v>
      </c>
      <c r="P452" s="125">
        <v>-8032.93464047</v>
      </c>
      <c r="Q452" s="125">
        <v>-736.12975643999994</v>
      </c>
      <c r="S452" s="125">
        <v>-5827979.0000017695</v>
      </c>
      <c r="T452" s="125">
        <v>0</v>
      </c>
      <c r="V452" s="125"/>
      <c r="W452" s="125"/>
    </row>
    <row r="453" spans="1:23">
      <c r="A453" s="121">
        <v>43637</v>
      </c>
      <c r="B453" s="125">
        <v>161437430.01841301</v>
      </c>
      <c r="C453" s="125">
        <v>43248112.625395879</v>
      </c>
      <c r="D453" s="125">
        <v>47283253.521924578</v>
      </c>
      <c r="E453" s="125">
        <v>74257686.257390037</v>
      </c>
      <c r="F453" s="123">
        <v>164789052.40471047</v>
      </c>
      <c r="G453" s="125">
        <v>-1150000</v>
      </c>
      <c r="H453" s="125">
        <v>1758.3483282842606</v>
      </c>
      <c r="I453" s="125">
        <v>1056.5720188545499</v>
      </c>
      <c r="J453" s="125">
        <v>504.76589882692707</v>
      </c>
      <c r="K453" s="125">
        <v>1101.8033049550895</v>
      </c>
      <c r="L453" s="164">
        <v>2663.1412226365665</v>
      </c>
      <c r="M453" s="125">
        <v>0</v>
      </c>
      <c r="N453" s="115">
        <v>14155</v>
      </c>
      <c r="P453" s="125">
        <v>-8316.0740624899991</v>
      </c>
      <c r="Q453" s="125">
        <v>-808.9463598000001</v>
      </c>
      <c r="S453" s="125">
        <v>-5827979.0000017695</v>
      </c>
      <c r="T453" s="125">
        <v>0</v>
      </c>
      <c r="V453" s="125"/>
      <c r="W453" s="125"/>
    </row>
    <row r="454" spans="1:23">
      <c r="A454" s="121">
        <v>43640</v>
      </c>
      <c r="B454" s="125">
        <v>161753969.97139904</v>
      </c>
      <c r="C454" s="125">
        <v>44810389.581579983</v>
      </c>
      <c r="D454" s="125">
        <v>47179546.537580572</v>
      </c>
      <c r="E454" s="125">
        <v>73519009.550131157</v>
      </c>
      <c r="F454" s="123">
        <v>165508945.66929173</v>
      </c>
      <c r="G454" s="125">
        <v>-150000</v>
      </c>
      <c r="H454" s="125">
        <v>1750.2899673958716</v>
      </c>
      <c r="I454" s="125">
        <v>993.70310735841792</v>
      </c>
      <c r="J454" s="125">
        <v>507.57082532242532</v>
      </c>
      <c r="K454" s="125">
        <v>1107.193511195258</v>
      </c>
      <c r="L454" s="164">
        <v>2608.4674438761012</v>
      </c>
      <c r="M454" s="125">
        <v>0</v>
      </c>
      <c r="N454" s="115">
        <v>14140</v>
      </c>
      <c r="P454" s="125">
        <v>-2760.91077984</v>
      </c>
      <c r="Q454" s="125">
        <v>-1030.5845676000001</v>
      </c>
      <c r="S454" s="125">
        <v>-5827979.0000017695</v>
      </c>
      <c r="T454" s="125">
        <v>0</v>
      </c>
      <c r="V454" s="125"/>
      <c r="W454" s="125"/>
    </row>
    <row r="455" spans="1:23">
      <c r="A455" s="121">
        <v>43641</v>
      </c>
      <c r="B455" s="125">
        <v>162043184.82576799</v>
      </c>
      <c r="C455" s="125">
        <v>40439770.53363733</v>
      </c>
      <c r="D455" s="125">
        <v>47766269.708238877</v>
      </c>
      <c r="E455" s="125">
        <v>73748769.029941142</v>
      </c>
      <c r="F455" s="123">
        <v>161954809.27181736</v>
      </c>
      <c r="G455" s="125">
        <v>-150000</v>
      </c>
      <c r="H455" s="125">
        <v>1747.3992724495602</v>
      </c>
      <c r="I455" s="125">
        <v>1137.406545026671</v>
      </c>
      <c r="J455" s="125">
        <v>514.43108057634834</v>
      </c>
      <c r="K455" s="125">
        <v>1129.5830018947058</v>
      </c>
      <c r="L455" s="164">
        <v>2781.420627497725</v>
      </c>
      <c r="M455" s="125">
        <v>0</v>
      </c>
      <c r="N455" s="115">
        <v>14125</v>
      </c>
      <c r="P455" s="125">
        <v>-2906.3269101200003</v>
      </c>
      <c r="Q455" s="125">
        <v>-1103.5766450000001</v>
      </c>
      <c r="S455" s="125">
        <v>-4883336.0000017695</v>
      </c>
      <c r="T455" s="125">
        <v>0</v>
      </c>
      <c r="V455" s="125"/>
      <c r="W455" s="125"/>
    </row>
    <row r="456" spans="1:23">
      <c r="A456" s="121">
        <v>43642</v>
      </c>
      <c r="B456" s="125">
        <v>163226833.21648812</v>
      </c>
      <c r="C456" s="125">
        <v>41140442.248068415</v>
      </c>
      <c r="D456" s="125">
        <v>47977881.922084428</v>
      </c>
      <c r="E456" s="125">
        <v>73951724.551936731</v>
      </c>
      <c r="F456" s="123">
        <v>163070048.72208959</v>
      </c>
      <c r="G456" s="125">
        <v>-100000</v>
      </c>
      <c r="H456" s="125">
        <v>1693.9008759426301</v>
      </c>
      <c r="I456" s="125">
        <v>979.71382569704781</v>
      </c>
      <c r="J456" s="125">
        <v>514.51378188766569</v>
      </c>
      <c r="K456" s="125">
        <v>1120.9422603375867</v>
      </c>
      <c r="L456" s="164">
        <v>2615.1698679223</v>
      </c>
      <c r="M456" s="125">
        <v>0</v>
      </c>
      <c r="N456" s="115">
        <v>14175</v>
      </c>
      <c r="P456" s="125">
        <v>-2752.8264697700006</v>
      </c>
      <c r="Q456" s="125">
        <v>-1181.83112775</v>
      </c>
      <c r="S456" s="125">
        <v>-4883336.0000017695</v>
      </c>
      <c r="T456" s="125">
        <v>0</v>
      </c>
      <c r="V456" s="125"/>
      <c r="W456" s="125"/>
    </row>
    <row r="457" spans="1:23">
      <c r="A457" s="121">
        <v>43643</v>
      </c>
      <c r="B457" s="125">
        <v>163756618.89836898</v>
      </c>
      <c r="C457" s="125">
        <v>40702381.30566036</v>
      </c>
      <c r="D457" s="125">
        <v>48283048.116746947</v>
      </c>
      <c r="E457" s="125">
        <v>73993055.917185083</v>
      </c>
      <c r="F457" s="123">
        <v>162978485.3395924</v>
      </c>
      <c r="G457" s="125">
        <v>-100000</v>
      </c>
      <c r="H457" s="125">
        <v>1684.5301803605498</v>
      </c>
      <c r="I457" s="125">
        <v>825.56452420841083</v>
      </c>
      <c r="J457" s="125">
        <v>517.73603631300409</v>
      </c>
      <c r="K457" s="125">
        <v>1123.39082520947</v>
      </c>
      <c r="L457" s="164">
        <v>2466.6913857308846</v>
      </c>
      <c r="M457" s="125">
        <v>0</v>
      </c>
      <c r="N457" s="115">
        <v>14140</v>
      </c>
      <c r="P457" s="125">
        <v>-3179.3424917699986</v>
      </c>
      <c r="Q457" s="125">
        <v>-1253.0778918000001</v>
      </c>
      <c r="S457" s="125">
        <v>-4883336.0000017695</v>
      </c>
      <c r="T457" s="125">
        <v>0</v>
      </c>
      <c r="V457" s="125"/>
      <c r="W457" s="125"/>
    </row>
    <row r="458" spans="1:23">
      <c r="A458" s="121">
        <v>43644</v>
      </c>
      <c r="B458" s="125">
        <v>164504832.63164735</v>
      </c>
      <c r="C458" s="125">
        <v>36043879.982258476</v>
      </c>
      <c r="D458" s="125">
        <v>48806363.970312163</v>
      </c>
      <c r="E458" s="125">
        <v>75184916.199952006</v>
      </c>
      <c r="F458" s="123">
        <v>160035160.15252265</v>
      </c>
      <c r="G458" s="125">
        <v>0</v>
      </c>
      <c r="H458" s="125">
        <v>1638.6216151474825</v>
      </c>
      <c r="I458" s="125">
        <v>971.26013155022247</v>
      </c>
      <c r="J458" s="125">
        <v>529.3332774677034</v>
      </c>
      <c r="K458" s="125">
        <v>1146.9804080477522</v>
      </c>
      <c r="L458" s="164">
        <v>2647.5738170656778</v>
      </c>
      <c r="M458" s="125">
        <v>0</v>
      </c>
      <c r="N458" s="115">
        <v>14127.5</v>
      </c>
      <c r="O458" s="116">
        <v>3417.8</v>
      </c>
      <c r="P458" s="125">
        <v>-4387.7693103799993</v>
      </c>
      <c r="Q458" s="125">
        <v>-1462.8911817399999</v>
      </c>
      <c r="S458" s="125">
        <v>-4883336.0000017695</v>
      </c>
      <c r="T458" s="125">
        <v>0</v>
      </c>
      <c r="V458" s="125"/>
      <c r="W458" s="125"/>
    </row>
    <row r="459" spans="1:23">
      <c r="A459" s="121">
        <v>43647</v>
      </c>
      <c r="B459" s="125">
        <v>163768318.67625162</v>
      </c>
      <c r="C459" s="125">
        <v>39898026.394352846</v>
      </c>
      <c r="D459" s="125">
        <v>48420893.791198626</v>
      </c>
      <c r="E459" s="125">
        <v>73571676.583389789</v>
      </c>
      <c r="F459" s="123">
        <v>161890596.76894125</v>
      </c>
      <c r="G459" s="125">
        <v>0</v>
      </c>
      <c r="H459" s="125">
        <v>1638.2300608357334</v>
      </c>
      <c r="I459" s="125">
        <v>956.91231762411269</v>
      </c>
      <c r="J459" s="125">
        <v>532.17329214095082</v>
      </c>
      <c r="K459" s="125">
        <v>1144.7697401071678</v>
      </c>
      <c r="L459" s="164">
        <v>2633.8553498722313</v>
      </c>
      <c r="M459" s="125">
        <v>0</v>
      </c>
      <c r="N459" s="115">
        <v>14113</v>
      </c>
      <c r="P459" s="125">
        <v>-3783.8280198299999</v>
      </c>
      <c r="Q459" s="125">
        <v>-595.65751189999992</v>
      </c>
      <c r="S459" s="125">
        <v>-4883336.0000017695</v>
      </c>
      <c r="T459" s="125">
        <v>0</v>
      </c>
      <c r="V459" s="125"/>
      <c r="W459" s="125"/>
    </row>
    <row r="460" spans="1:23">
      <c r="A460" s="121">
        <v>43648</v>
      </c>
      <c r="B460" s="125">
        <v>163247412.6951254</v>
      </c>
      <c r="C460" s="125">
        <v>38588011.811083913</v>
      </c>
      <c r="D460" s="125">
        <v>47940324.950392172</v>
      </c>
      <c r="E460" s="125">
        <v>74374545.312532008</v>
      </c>
      <c r="F460" s="123">
        <v>160902882.07400811</v>
      </c>
      <c r="G460" s="125">
        <v>0</v>
      </c>
      <c r="H460" s="125">
        <v>1644.6745650027369</v>
      </c>
      <c r="I460" s="125">
        <v>1020.9757292252255</v>
      </c>
      <c r="J460" s="125">
        <v>530.84109638979521</v>
      </c>
      <c r="K460" s="125">
        <v>1141.6436864433938</v>
      </c>
      <c r="L460" s="164">
        <v>2693.4605120584147</v>
      </c>
      <c r="M460" s="125">
        <v>0</v>
      </c>
      <c r="N460" s="115">
        <v>14137.5</v>
      </c>
      <c r="P460" s="125">
        <v>-4401.6503169999996</v>
      </c>
      <c r="Q460" s="125">
        <v>-647.84528250999995</v>
      </c>
      <c r="S460" s="125">
        <v>-4883336.0000017695</v>
      </c>
      <c r="T460" s="125">
        <v>0</v>
      </c>
      <c r="V460" s="125"/>
      <c r="W460" s="125"/>
    </row>
    <row r="461" spans="1:23">
      <c r="A461" s="121">
        <v>43649</v>
      </c>
      <c r="B461" s="125">
        <v>162860371.41940337</v>
      </c>
      <c r="C461" s="125">
        <v>37470276.650339395</v>
      </c>
      <c r="D461" s="125">
        <v>47793699.550332382</v>
      </c>
      <c r="E461" s="125">
        <v>74330330.021375582</v>
      </c>
      <c r="F461" s="123">
        <v>159594306.22204736</v>
      </c>
      <c r="G461" s="125">
        <v>0</v>
      </c>
      <c r="H461" s="125">
        <v>1653.8453978172715</v>
      </c>
      <c r="I461" s="125">
        <v>1302.5180752040283</v>
      </c>
      <c r="J461" s="125">
        <v>528.83933217874403</v>
      </c>
      <c r="K461" s="125">
        <v>1169.064261286557</v>
      </c>
      <c r="L461" s="164">
        <v>3000.4216686693289</v>
      </c>
      <c r="M461" s="125">
        <v>0</v>
      </c>
      <c r="N461" s="115">
        <v>14117.5</v>
      </c>
      <c r="P461" s="125">
        <v>-5020.9032074099996</v>
      </c>
      <c r="Q461" s="125">
        <v>-698.00985840999999</v>
      </c>
      <c r="S461" s="125">
        <v>-4883336.0000017695</v>
      </c>
      <c r="T461" s="125">
        <v>0</v>
      </c>
      <c r="V461" s="125"/>
      <c r="W461" s="125"/>
    </row>
    <row r="462" spans="1:23">
      <c r="A462" s="121">
        <v>43650</v>
      </c>
      <c r="B462" s="125">
        <v>162712654.42911348</v>
      </c>
      <c r="C462" s="125">
        <v>36765182.688663721</v>
      </c>
      <c r="D462" s="125">
        <v>47513669.880969211</v>
      </c>
      <c r="E462" s="125">
        <v>74455989.47280328</v>
      </c>
      <c r="F462" s="123">
        <v>158734842.04243621</v>
      </c>
      <c r="G462" s="125">
        <v>0</v>
      </c>
      <c r="H462" s="125">
        <v>1654.206446650541</v>
      </c>
      <c r="I462" s="125">
        <v>1303.3195037324442</v>
      </c>
      <c r="J462" s="125">
        <v>526.41564870638717</v>
      </c>
      <c r="K462" s="125">
        <v>1171.2242749501975</v>
      </c>
      <c r="L462" s="164">
        <v>3000.9594273890289</v>
      </c>
      <c r="M462" s="125">
        <v>0</v>
      </c>
      <c r="N462" s="115">
        <v>14140</v>
      </c>
      <c r="P462" s="125">
        <v>-5642.3270759000006</v>
      </c>
      <c r="Q462" s="125">
        <v>-750.31364799999994</v>
      </c>
      <c r="S462" s="125">
        <v>-4883336.0000017695</v>
      </c>
      <c r="T462" s="125">
        <v>0</v>
      </c>
      <c r="V462" s="125"/>
      <c r="W462" s="125"/>
    </row>
    <row r="463" spans="1:23">
      <c r="A463" s="121">
        <v>43651</v>
      </c>
      <c r="B463" s="125">
        <v>162471005.86619401</v>
      </c>
      <c r="C463" s="125">
        <v>36095769.984623201</v>
      </c>
      <c r="D463" s="125">
        <v>47716387.889285982</v>
      </c>
      <c r="E463" s="125">
        <v>75019307.000433981</v>
      </c>
      <c r="F463" s="123">
        <v>158831464.87434316</v>
      </c>
      <c r="G463" s="125">
        <v>0</v>
      </c>
      <c r="H463" s="125">
        <v>1655.25234380041</v>
      </c>
      <c r="I463" s="125">
        <v>1308.9651556657273</v>
      </c>
      <c r="J463" s="125">
        <v>526.39593734926416</v>
      </c>
      <c r="K463" s="125">
        <v>1173.2384451193755</v>
      </c>
      <c r="L463" s="164">
        <v>3008.5995381343669</v>
      </c>
      <c r="M463" s="125">
        <v>0</v>
      </c>
      <c r="N463" s="115">
        <v>14082.5</v>
      </c>
      <c r="P463" s="125">
        <v>-5815.2335115599999</v>
      </c>
      <c r="Q463" s="125">
        <v>-798.24623370999996</v>
      </c>
      <c r="S463" s="125">
        <v>-4883336.0000017695</v>
      </c>
      <c r="T463" s="125">
        <v>0</v>
      </c>
      <c r="V463" s="125"/>
      <c r="W463" s="125"/>
    </row>
    <row r="464" spans="1:23">
      <c r="A464" s="121">
        <v>43654</v>
      </c>
      <c r="B464" s="125">
        <v>162220115.00821394</v>
      </c>
      <c r="C464" s="125">
        <v>37033375.681251258</v>
      </c>
      <c r="D464" s="125">
        <v>47535602.734809756</v>
      </c>
      <c r="E464" s="125">
        <v>74746897.360666558</v>
      </c>
      <c r="F464" s="123">
        <v>159315875.77672756</v>
      </c>
      <c r="G464" s="125">
        <v>0</v>
      </c>
      <c r="H464" s="125">
        <v>1657.5319253379794</v>
      </c>
      <c r="I464" s="125">
        <v>1420.3348146775606</v>
      </c>
      <c r="J464" s="125">
        <v>526.73429773435566</v>
      </c>
      <c r="K464" s="125">
        <v>1153.0283061245718</v>
      </c>
      <c r="L464" s="164">
        <v>3100.097418536488</v>
      </c>
      <c r="M464" s="125">
        <v>0</v>
      </c>
      <c r="N464" s="115">
        <v>14110</v>
      </c>
      <c r="P464" s="125">
        <v>-7670.1502547299997</v>
      </c>
      <c r="Q464" s="125">
        <v>-953.04823869999996</v>
      </c>
      <c r="S464" s="125">
        <v>-4883336.0000017695</v>
      </c>
      <c r="T464" s="125">
        <v>0</v>
      </c>
      <c r="V464" s="125"/>
      <c r="W464" s="125"/>
    </row>
    <row r="465" spans="1:23">
      <c r="A465" s="121">
        <v>43655</v>
      </c>
      <c r="B465" s="125">
        <v>162236214.18185768</v>
      </c>
      <c r="C465" s="125">
        <v>38329773.45950406</v>
      </c>
      <c r="D465" s="125">
        <v>47335789.941653691</v>
      </c>
      <c r="E465" s="125">
        <v>74664334.652659431</v>
      </c>
      <c r="F465" s="123">
        <v>160329898.05381718</v>
      </c>
      <c r="G465" s="125">
        <v>0</v>
      </c>
      <c r="H465" s="125">
        <v>1659.9248063548105</v>
      </c>
      <c r="I465" s="125">
        <v>1394.9147010881941</v>
      </c>
      <c r="J465" s="125">
        <v>530.24494042035963</v>
      </c>
      <c r="K465" s="125">
        <v>1114.3108854581371</v>
      </c>
      <c r="L465" s="164">
        <v>3039.4705269666911</v>
      </c>
      <c r="M465" s="125">
        <v>0</v>
      </c>
      <c r="N465" s="115">
        <v>14130</v>
      </c>
      <c r="P465" s="125">
        <v>-8293.0345382800006</v>
      </c>
      <c r="Q465" s="125">
        <v>-1005.5488743</v>
      </c>
      <c r="S465" s="125">
        <v>-4883336.0000017695</v>
      </c>
      <c r="T465" s="125">
        <v>0</v>
      </c>
      <c r="V465" s="125"/>
      <c r="W465" s="125"/>
    </row>
    <row r="466" spans="1:23">
      <c r="A466" s="121">
        <v>43656</v>
      </c>
      <c r="B466" s="125">
        <v>162314529.16328624</v>
      </c>
      <c r="C466" s="125">
        <v>39632383.351470083</v>
      </c>
      <c r="D466" s="125">
        <v>47473599.213203475</v>
      </c>
      <c r="E466" s="125">
        <v>73495364.885493591</v>
      </c>
      <c r="F466" s="123">
        <v>160601347.45016715</v>
      </c>
      <c r="G466" s="125">
        <v>0</v>
      </c>
      <c r="H466" s="125">
        <v>1661.746875351246</v>
      </c>
      <c r="I466" s="125">
        <v>1377.779791477421</v>
      </c>
      <c r="J466" s="125">
        <v>534.15268483675288</v>
      </c>
      <c r="K466" s="125">
        <v>1121.6532434384021</v>
      </c>
      <c r="L466" s="164">
        <v>3033.5857197525761</v>
      </c>
      <c r="M466" s="125">
        <v>0</v>
      </c>
      <c r="N466" s="115">
        <v>14130</v>
      </c>
      <c r="P466" s="125">
        <v>-8905.0911592100001</v>
      </c>
      <c r="Q466" s="125">
        <v>-1056.6986265</v>
      </c>
      <c r="S466" s="125">
        <v>-4883336.0000017695</v>
      </c>
      <c r="T466" s="125">
        <v>0</v>
      </c>
      <c r="V466" s="125"/>
      <c r="W466" s="125"/>
    </row>
    <row r="467" spans="1:23">
      <c r="A467" s="121">
        <v>43657</v>
      </c>
      <c r="B467" s="125">
        <v>162452570.83183479</v>
      </c>
      <c r="C467" s="125">
        <v>38673320.104726769</v>
      </c>
      <c r="D467" s="125">
        <v>47469151.448047034</v>
      </c>
      <c r="E467" s="125">
        <v>73846599.34517245</v>
      </c>
      <c r="F467" s="123">
        <v>159989070.89794624</v>
      </c>
      <c r="G467" s="125">
        <v>0</v>
      </c>
      <c r="H467" s="125">
        <v>1655.8156553987769</v>
      </c>
      <c r="I467" s="125">
        <v>1378.4933979668133</v>
      </c>
      <c r="J467" s="125">
        <v>533.99730943920633</v>
      </c>
      <c r="K467" s="125">
        <v>1126.2395085541682</v>
      </c>
      <c r="L467" s="164">
        <v>3038.7302159601877</v>
      </c>
      <c r="M467" s="125">
        <v>0</v>
      </c>
      <c r="N467" s="115">
        <v>14065</v>
      </c>
      <c r="P467" s="125">
        <v>-9515.9529033600011</v>
      </c>
      <c r="Q467" s="125">
        <v>-1102.7521193500002</v>
      </c>
      <c r="S467" s="125">
        <v>-4883336.0000017695</v>
      </c>
      <c r="T467" s="125">
        <v>0</v>
      </c>
      <c r="V467" s="125"/>
      <c r="W467" s="125"/>
    </row>
    <row r="468" spans="1:23">
      <c r="A468" s="121">
        <v>43658</v>
      </c>
      <c r="B468" s="125">
        <v>163314132.9294515</v>
      </c>
      <c r="C468" s="125">
        <v>39199785.630847879</v>
      </c>
      <c r="D468" s="125">
        <v>47370350.753751636</v>
      </c>
      <c r="E468" s="125">
        <v>73552736.559625342</v>
      </c>
      <c r="F468" s="123">
        <v>160122872.94422483</v>
      </c>
      <c r="G468" s="125">
        <v>0</v>
      </c>
      <c r="H468" s="125">
        <v>1665.0358783364882</v>
      </c>
      <c r="I468" s="125">
        <v>1368.084912219113</v>
      </c>
      <c r="J468" s="125">
        <v>534.94499272998235</v>
      </c>
      <c r="K468" s="125">
        <v>1128.8388679542102</v>
      </c>
      <c r="L468" s="164">
        <v>3031.8687729033054</v>
      </c>
      <c r="M468" s="125">
        <v>0</v>
      </c>
      <c r="N468" s="115">
        <v>14007</v>
      </c>
      <c r="P468" s="125">
        <v>-10134.237223970002</v>
      </c>
      <c r="Q468" s="125">
        <v>-1148.9087672999999</v>
      </c>
      <c r="S468" s="125">
        <v>-4883336.0000017695</v>
      </c>
      <c r="T468" s="125">
        <v>0</v>
      </c>
      <c r="V468" s="125"/>
      <c r="W468" s="125"/>
    </row>
    <row r="469" spans="1:23">
      <c r="A469" s="121">
        <v>43661</v>
      </c>
      <c r="B469" s="125">
        <v>163509798.70979217</v>
      </c>
      <c r="C469" s="125">
        <v>38816250.008609645</v>
      </c>
      <c r="D469" s="125">
        <v>47169348.465911552</v>
      </c>
      <c r="E469" s="125">
        <v>72644821.050631151</v>
      </c>
      <c r="F469" s="123">
        <v>158630419.52515233</v>
      </c>
      <c r="G469" s="125">
        <v>0</v>
      </c>
      <c r="H469" s="125">
        <v>1650.0805288031329</v>
      </c>
      <c r="I469" s="125">
        <v>1393.1791214044752</v>
      </c>
      <c r="J469" s="125">
        <v>535.03500218074521</v>
      </c>
      <c r="K469" s="125">
        <v>1124.9931518666233</v>
      </c>
      <c r="L469" s="164">
        <v>3053.207275451844</v>
      </c>
      <c r="M469" s="125">
        <v>0</v>
      </c>
      <c r="N469" s="115">
        <v>13919.5</v>
      </c>
      <c r="P469" s="125">
        <v>-11833.958218209998</v>
      </c>
      <c r="Q469" s="125">
        <v>-1292.89494055</v>
      </c>
      <c r="S469" s="125">
        <v>-4883336.0000017695</v>
      </c>
      <c r="T469" s="125">
        <v>0</v>
      </c>
      <c r="V469" s="125"/>
      <c r="W469" s="125"/>
    </row>
    <row r="470" spans="1:23">
      <c r="A470" s="121">
        <v>43662</v>
      </c>
      <c r="B470" s="125">
        <v>163350617.20069778</v>
      </c>
      <c r="C470" s="125">
        <v>38411469.61441531</v>
      </c>
      <c r="D470" s="125">
        <v>47182716.689150363</v>
      </c>
      <c r="E470" s="125">
        <v>72629748.376036778</v>
      </c>
      <c r="F470" s="123">
        <v>158223934.67960244</v>
      </c>
      <c r="G470" s="125">
        <v>0</v>
      </c>
      <c r="H470" s="125">
        <v>1646.6729567161838</v>
      </c>
      <c r="I470" s="125">
        <v>1181.4356279465924</v>
      </c>
      <c r="J470" s="125">
        <v>537.40570088049253</v>
      </c>
      <c r="K470" s="125">
        <v>1125.3811465542644</v>
      </c>
      <c r="L470" s="164">
        <v>2844.2224753813493</v>
      </c>
      <c r="M470" s="125">
        <v>0</v>
      </c>
      <c r="N470" s="115">
        <v>13935</v>
      </c>
      <c r="P470" s="125">
        <v>-12463.030567780001</v>
      </c>
      <c r="Q470" s="125">
        <v>-1344.7786414500001</v>
      </c>
      <c r="S470" s="125">
        <v>-4883336.0000017695</v>
      </c>
      <c r="T470" s="125">
        <v>0</v>
      </c>
      <c r="V470" s="125"/>
      <c r="W470" s="125"/>
    </row>
    <row r="471" spans="1:23">
      <c r="A471" s="121">
        <v>43663</v>
      </c>
      <c r="B471" s="125">
        <v>163229662.01143923</v>
      </c>
      <c r="C471" s="125">
        <v>38838166.136320636</v>
      </c>
      <c r="D471" s="125">
        <v>47148595.756646961</v>
      </c>
      <c r="E471" s="125">
        <v>72194715.686211839</v>
      </c>
      <c r="F471" s="123">
        <v>158181477.57917944</v>
      </c>
      <c r="G471" s="125">
        <v>0</v>
      </c>
      <c r="H471" s="125">
        <v>1637.9506990970572</v>
      </c>
      <c r="I471" s="125">
        <v>1172.7535667427571</v>
      </c>
      <c r="J471" s="125">
        <v>538.67312563995529</v>
      </c>
      <c r="K471" s="125">
        <v>1101.0807850561041</v>
      </c>
      <c r="L471" s="164">
        <v>2812.5074774388167</v>
      </c>
      <c r="M471" s="125">
        <v>0</v>
      </c>
      <c r="N471" s="115">
        <v>13980</v>
      </c>
      <c r="P471" s="125">
        <v>-12200.053553989999</v>
      </c>
      <c r="Q471" s="125">
        <v>-1399.7280678000002</v>
      </c>
      <c r="S471" s="125">
        <v>-2959283.3000017698</v>
      </c>
      <c r="T471" s="125">
        <v>0</v>
      </c>
      <c r="V471" s="125"/>
      <c r="W471" s="125"/>
    </row>
    <row r="472" spans="1:23">
      <c r="A472" s="121">
        <v>43664</v>
      </c>
      <c r="B472" s="125">
        <v>163366232.68933454</v>
      </c>
      <c r="C472" s="125">
        <v>39655886.976872362</v>
      </c>
      <c r="D472" s="125">
        <v>46854559.879962467</v>
      </c>
      <c r="E472" s="125">
        <v>71698701.653610349</v>
      </c>
      <c r="F472" s="123">
        <v>158209148.51044518</v>
      </c>
      <c r="G472" s="125">
        <v>0</v>
      </c>
      <c r="H472" s="125">
        <v>1640.9662549119832</v>
      </c>
      <c r="I472" s="125">
        <v>1179.5587391909903</v>
      </c>
      <c r="J472" s="125">
        <v>539.95555507512779</v>
      </c>
      <c r="K472" s="125">
        <v>1098.254539654067</v>
      </c>
      <c r="L472" s="164">
        <v>2817.768833920185</v>
      </c>
      <c r="M472" s="125">
        <v>0</v>
      </c>
      <c r="N472" s="115">
        <v>13960</v>
      </c>
      <c r="P472" s="125">
        <v>-12825.71558887</v>
      </c>
      <c r="Q472" s="125">
        <v>-1448.2599580000001</v>
      </c>
      <c r="S472" s="125">
        <v>-2959283.3000017698</v>
      </c>
      <c r="T472" s="125">
        <v>0</v>
      </c>
      <c r="V472" s="125"/>
      <c r="W472" s="125"/>
    </row>
    <row r="473" spans="1:23">
      <c r="A473" s="121">
        <v>43665</v>
      </c>
      <c r="B473" s="125">
        <v>163414744.67140135</v>
      </c>
      <c r="C473" s="125">
        <v>40175711.923962981</v>
      </c>
      <c r="D473" s="125">
        <v>46934046.406941161</v>
      </c>
      <c r="E473" s="125">
        <v>72132015.665595725</v>
      </c>
      <c r="F473" s="123">
        <v>159241773.99649987</v>
      </c>
      <c r="G473" s="125">
        <v>0</v>
      </c>
      <c r="H473" s="125">
        <v>1638.0013818909292</v>
      </c>
      <c r="I473" s="125">
        <v>1134.7595956157725</v>
      </c>
      <c r="J473" s="125">
        <v>539.59536575906884</v>
      </c>
      <c r="K473" s="125">
        <v>1100.2429116539415</v>
      </c>
      <c r="L473" s="164">
        <v>2774.5978730287829</v>
      </c>
      <c r="M473" s="125">
        <v>0</v>
      </c>
      <c r="N473" s="115">
        <v>13935</v>
      </c>
      <c r="P473" s="125">
        <v>-13449.50087485</v>
      </c>
      <c r="Q473" s="125">
        <v>-1496.1103725</v>
      </c>
      <c r="S473" s="125">
        <v>-2959283.3000017698</v>
      </c>
      <c r="T473" s="125">
        <v>0</v>
      </c>
      <c r="V473" s="125"/>
      <c r="W473" s="125"/>
    </row>
    <row r="474" spans="1:23">
      <c r="A474" s="121">
        <v>43668</v>
      </c>
      <c r="B474" s="125">
        <v>163497144.72362417</v>
      </c>
      <c r="C474" s="125">
        <v>40941307.404103272</v>
      </c>
      <c r="D474" s="125">
        <v>46798411.993863322</v>
      </c>
      <c r="E474" s="125">
        <v>70589499.021321073</v>
      </c>
      <c r="F474" s="123">
        <v>158329218.41928768</v>
      </c>
      <c r="G474" s="125">
        <v>0</v>
      </c>
      <c r="H474" s="125">
        <v>1640.5527587617848</v>
      </c>
      <c r="I474" s="125">
        <v>1115.016096415836</v>
      </c>
      <c r="J474" s="125">
        <v>550.65185544089638</v>
      </c>
      <c r="K474" s="125">
        <v>1092.3064343980632</v>
      </c>
      <c r="L474" s="164">
        <v>2757.9743862547957</v>
      </c>
      <c r="M474" s="125">
        <v>0</v>
      </c>
      <c r="N474" s="115">
        <v>13945</v>
      </c>
      <c r="P474" s="125">
        <v>-15298.84942289</v>
      </c>
      <c r="Q474" s="125">
        <v>-1648.6247552</v>
      </c>
      <c r="S474" s="125">
        <v>-2959283.3000017698</v>
      </c>
      <c r="T474" s="125">
        <v>0</v>
      </c>
      <c r="V474" s="125"/>
      <c r="W474" s="125"/>
    </row>
    <row r="475" spans="1:23">
      <c r="A475" s="121">
        <v>43669</v>
      </c>
      <c r="B475" s="125">
        <v>163672477.39523157</v>
      </c>
      <c r="C475" s="125">
        <v>41326352.609234914</v>
      </c>
      <c r="D475" s="125">
        <v>46795083.093088418</v>
      </c>
      <c r="E475" s="125">
        <v>70733913.01476644</v>
      </c>
      <c r="F475" s="123">
        <v>158855348.71708977</v>
      </c>
      <c r="G475" s="125">
        <v>0</v>
      </c>
      <c r="H475" s="125">
        <v>1648.308199376512</v>
      </c>
      <c r="I475" s="125">
        <v>1111.8207565510472</v>
      </c>
      <c r="J475" s="125">
        <v>549.34019351470943</v>
      </c>
      <c r="K475" s="125">
        <v>1091.4271899473933</v>
      </c>
      <c r="L475" s="164">
        <v>2752.5881400131502</v>
      </c>
      <c r="M475" s="125">
        <v>0</v>
      </c>
      <c r="N475" s="115">
        <v>13984.5</v>
      </c>
      <c r="P475" s="125">
        <v>-15929.295496299999</v>
      </c>
      <c r="Q475" s="125">
        <v>-1703.9176288600001</v>
      </c>
      <c r="S475" s="125">
        <v>-2959283.3000017698</v>
      </c>
      <c r="T475" s="125">
        <v>0</v>
      </c>
      <c r="V475" s="125"/>
      <c r="W475" s="125"/>
    </row>
    <row r="476" spans="1:23">
      <c r="A476" s="121">
        <v>43670</v>
      </c>
      <c r="B476" s="125">
        <v>163625092.04533911</v>
      </c>
      <c r="C476" s="125">
        <v>42373879.343303293</v>
      </c>
      <c r="D476" s="125">
        <v>47005585.04223299</v>
      </c>
      <c r="E476" s="125">
        <v>70987515.276927769</v>
      </c>
      <c r="F476" s="123">
        <v>160366979.66246405</v>
      </c>
      <c r="G476" s="125">
        <v>-700000</v>
      </c>
      <c r="H476" s="125">
        <v>1627.0525921706371</v>
      </c>
      <c r="I476" s="125">
        <v>1091.3759387826708</v>
      </c>
      <c r="J476" s="125">
        <v>542.40298177821705</v>
      </c>
      <c r="K476" s="125">
        <v>1091.8432987377184</v>
      </c>
      <c r="L476" s="164">
        <v>2725.6222192986061</v>
      </c>
      <c r="M476" s="125">
        <v>0</v>
      </c>
      <c r="N476" s="115">
        <v>13993</v>
      </c>
      <c r="P476" s="125">
        <v>-16668.70521593</v>
      </c>
      <c r="Q476" s="125">
        <v>-1755.5557630100002</v>
      </c>
      <c r="S476" s="125">
        <v>-2959283.3000017698</v>
      </c>
      <c r="T476" s="125">
        <v>0</v>
      </c>
      <c r="V476" s="125"/>
      <c r="W476" s="125"/>
    </row>
    <row r="477" spans="1:23">
      <c r="A477" s="121">
        <v>43671</v>
      </c>
      <c r="B477" s="125">
        <v>164174313.18635741</v>
      </c>
      <c r="C477" s="125">
        <v>40847614.585244864</v>
      </c>
      <c r="D477" s="125">
        <v>47713036.340659775</v>
      </c>
      <c r="E477" s="125">
        <v>71014448.386268318</v>
      </c>
      <c r="F477" s="123">
        <v>159575099.31217295</v>
      </c>
      <c r="G477" s="125">
        <v>-500000</v>
      </c>
      <c r="H477" s="125">
        <v>1653.5633061160308</v>
      </c>
      <c r="I477" s="125">
        <v>1089.9255316304402</v>
      </c>
      <c r="J477" s="125">
        <v>543.33610651057711</v>
      </c>
      <c r="K477" s="125">
        <v>1085.6998231711509</v>
      </c>
      <c r="L477" s="164">
        <v>2718.9614613121685</v>
      </c>
      <c r="M477" s="125">
        <v>0</v>
      </c>
      <c r="N477" s="115">
        <v>13977.5</v>
      </c>
      <c r="P477" s="125">
        <v>-17339.42682973</v>
      </c>
      <c r="Q477" s="125">
        <v>-1804.1572740700003</v>
      </c>
      <c r="S477" s="125">
        <v>-2959283.3000017698</v>
      </c>
      <c r="T477" s="125">
        <v>0</v>
      </c>
      <c r="V477" s="125"/>
      <c r="W477" s="125"/>
    </row>
    <row r="478" spans="1:23">
      <c r="A478" s="121">
        <v>43672</v>
      </c>
      <c r="B478" s="125">
        <v>164192387.35842529</v>
      </c>
      <c r="C478" s="125">
        <v>39421254.015151247</v>
      </c>
      <c r="D478" s="125">
        <v>48168497.771518931</v>
      </c>
      <c r="E478" s="125">
        <v>71434296.824619517</v>
      </c>
      <c r="F478" s="123">
        <v>159024048.61128968</v>
      </c>
      <c r="G478" s="125">
        <v>-350000</v>
      </c>
      <c r="H478" s="125">
        <v>1650.2245346211946</v>
      </c>
      <c r="I478" s="125">
        <v>1099.5334171686122</v>
      </c>
      <c r="J478" s="125">
        <v>539.78590336207174</v>
      </c>
      <c r="K478" s="125">
        <v>1069.3386934234748</v>
      </c>
      <c r="L478" s="164">
        <v>2708.6580139541584</v>
      </c>
      <c r="M478" s="125">
        <v>0</v>
      </c>
      <c r="N478" s="115">
        <v>14004</v>
      </c>
      <c r="P478" s="125">
        <v>-17969.233825250001</v>
      </c>
      <c r="Q478" s="125">
        <v>-1858.2197482800002</v>
      </c>
      <c r="S478" s="125">
        <v>-2959283.3000017698</v>
      </c>
      <c r="T478" s="125">
        <v>0</v>
      </c>
      <c r="V478" s="125"/>
      <c r="W478" s="125"/>
    </row>
    <row r="479" spans="1:23">
      <c r="A479" s="121">
        <v>43675</v>
      </c>
      <c r="B479" s="125">
        <v>164072449.75428882</v>
      </c>
      <c r="C479" s="125">
        <v>40617648.053123921</v>
      </c>
      <c r="D479" s="125">
        <v>47938475.84510117</v>
      </c>
      <c r="E479" s="125">
        <v>70800340.438991278</v>
      </c>
      <c r="F479" s="123">
        <v>159356464.33721638</v>
      </c>
      <c r="G479" s="125">
        <v>-575000</v>
      </c>
      <c r="H479" s="125">
        <v>1665.9030607574607</v>
      </c>
      <c r="I479" s="125">
        <v>1113.6798351989246</v>
      </c>
      <c r="J479" s="125">
        <v>538.53684711154585</v>
      </c>
      <c r="K479" s="125">
        <v>1068.3542106323989</v>
      </c>
      <c r="L479" s="164">
        <v>2720.5708929428692</v>
      </c>
      <c r="M479" s="125">
        <v>0</v>
      </c>
      <c r="N479" s="115">
        <v>14020</v>
      </c>
      <c r="P479" s="125">
        <v>-19701.796648449999</v>
      </c>
      <c r="Q479" s="125">
        <v>-2012.470757</v>
      </c>
      <c r="S479" s="125">
        <v>-2959283.3000017698</v>
      </c>
      <c r="T479" s="125">
        <v>0</v>
      </c>
      <c r="V479" s="125"/>
      <c r="W479" s="125"/>
    </row>
    <row r="480" spans="1:23">
      <c r="A480" s="121">
        <v>43676</v>
      </c>
      <c r="B480" s="125">
        <v>164138972.08243322</v>
      </c>
      <c r="C480" s="125">
        <v>39851226.959602386</v>
      </c>
      <c r="D480" s="125">
        <v>47860508.564924635</v>
      </c>
      <c r="E480" s="125">
        <v>70232096.14853096</v>
      </c>
      <c r="F480" s="123">
        <v>157943831.67305797</v>
      </c>
      <c r="G480" s="125">
        <v>-575000</v>
      </c>
      <c r="H480" s="125">
        <v>1666.9169456781378</v>
      </c>
      <c r="I480" s="125">
        <v>1073.0629161847396</v>
      </c>
      <c r="J480" s="125">
        <v>539.0584126995077</v>
      </c>
      <c r="K480" s="125">
        <v>1068.445753054119</v>
      </c>
      <c r="L480" s="164">
        <v>2680.5670819383663</v>
      </c>
      <c r="M480" s="125">
        <v>0</v>
      </c>
      <c r="N480" s="115">
        <v>14020</v>
      </c>
      <c r="P480" s="125">
        <v>-20431.968767409999</v>
      </c>
      <c r="Q480" s="125">
        <v>-2063.1987622000001</v>
      </c>
      <c r="S480" s="125">
        <v>-2959283.3000017698</v>
      </c>
      <c r="T480" s="125">
        <v>0</v>
      </c>
      <c r="V480" s="125"/>
      <c r="W480" s="125"/>
    </row>
    <row r="481" spans="1:23">
      <c r="A481" s="121">
        <v>43677</v>
      </c>
      <c r="B481" s="125">
        <v>165217493.02673778</v>
      </c>
      <c r="C481" s="125">
        <v>39365907.709093861</v>
      </c>
      <c r="D481" s="125">
        <v>48113123.628562652</v>
      </c>
      <c r="E481" s="125">
        <v>71556990.703562424</v>
      </c>
      <c r="F481" s="123">
        <v>159036022.04121894</v>
      </c>
      <c r="G481" s="125">
        <v>-575000</v>
      </c>
      <c r="H481" s="125">
        <v>1637.6080169955189</v>
      </c>
      <c r="I481" s="125">
        <v>995.56130806676367</v>
      </c>
      <c r="J481" s="125">
        <v>540.31904455918527</v>
      </c>
      <c r="K481" s="125">
        <v>1090.2519605246919</v>
      </c>
      <c r="L481" s="164">
        <v>2626.1323131506406</v>
      </c>
      <c r="M481" s="125">
        <v>0</v>
      </c>
      <c r="N481" s="115">
        <v>14017</v>
      </c>
      <c r="O481" s="116">
        <v>3393.5349999999999</v>
      </c>
      <c r="P481" s="125">
        <v>-20170.507899430002</v>
      </c>
      <c r="Q481" s="125">
        <v>-1938.17852814</v>
      </c>
      <c r="S481" s="125">
        <v>-2959283.3000017698</v>
      </c>
      <c r="T481" s="125">
        <v>0</v>
      </c>
      <c r="V481" s="125"/>
      <c r="W481" s="125"/>
    </row>
    <row r="482" spans="1:23">
      <c r="A482" s="121">
        <v>43678</v>
      </c>
      <c r="B482" s="125">
        <v>164234564.6899372</v>
      </c>
      <c r="C482" s="125">
        <v>40067909.191909969</v>
      </c>
      <c r="D482" s="125">
        <v>48041411.924077213</v>
      </c>
      <c r="E482" s="125">
        <v>70822266.485146821</v>
      </c>
      <c r="F482" s="123">
        <v>158931587.601134</v>
      </c>
      <c r="G482" s="125">
        <v>-575000</v>
      </c>
      <c r="H482" s="125">
        <v>1669.3628442862096</v>
      </c>
      <c r="I482" s="125">
        <v>1002.7743654382624</v>
      </c>
      <c r="J482" s="125">
        <v>536.95656924600758</v>
      </c>
      <c r="K482" s="125">
        <v>1090.9764322191295</v>
      </c>
      <c r="L482" s="164">
        <v>2630.7073669033994</v>
      </c>
      <c r="M482" s="125">
        <v>0</v>
      </c>
      <c r="N482" s="115">
        <v>14116</v>
      </c>
      <c r="P482" s="125">
        <v>-20899.998610189999</v>
      </c>
      <c r="Q482" s="125">
        <v>-2002.9157110000001</v>
      </c>
      <c r="S482" s="125">
        <v>-2959283.3000017698</v>
      </c>
      <c r="T482" s="125">
        <v>0</v>
      </c>
      <c r="V482" s="125"/>
      <c r="W482" s="125"/>
    </row>
    <row r="483" spans="1:23">
      <c r="A483" s="121">
        <v>43679</v>
      </c>
      <c r="B483" s="125">
        <v>163872406.51774374</v>
      </c>
      <c r="C483" s="125">
        <v>39957291.526007764</v>
      </c>
      <c r="D483" s="125">
        <v>48075656.90410991</v>
      </c>
      <c r="E483" s="125">
        <v>71993033.681049258</v>
      </c>
      <c r="F483" s="123">
        <v>160025982.11116692</v>
      </c>
      <c r="G483" s="125">
        <v>-575000</v>
      </c>
      <c r="H483" s="125">
        <v>1666.8804522998034</v>
      </c>
      <c r="I483" s="125">
        <v>957.76462682817055</v>
      </c>
      <c r="J483" s="125">
        <v>536.96204732179876</v>
      </c>
      <c r="K483" s="125">
        <v>1091.7883850853452</v>
      </c>
      <c r="L483" s="164">
        <v>2586.5150592353148</v>
      </c>
      <c r="M483" s="125">
        <v>0</v>
      </c>
      <c r="N483" s="115">
        <v>14180</v>
      </c>
      <c r="P483" s="125">
        <v>-21628.45713174</v>
      </c>
      <c r="Q483" s="125">
        <v>-2063.2764980000002</v>
      </c>
      <c r="S483" s="125">
        <v>-2959283.3000017698</v>
      </c>
      <c r="T483" s="125">
        <v>0</v>
      </c>
      <c r="V483" s="125"/>
      <c r="W483" s="125"/>
    </row>
    <row r="484" spans="1:23">
      <c r="A484" s="121">
        <v>43682</v>
      </c>
      <c r="B484" s="125">
        <v>163369328.61242846</v>
      </c>
      <c r="C484" s="125">
        <v>41392737.069882929</v>
      </c>
      <c r="D484" s="125">
        <v>47901124.996346489</v>
      </c>
      <c r="E484" s="125">
        <v>71545629.487235218</v>
      </c>
      <c r="F484" s="123">
        <v>160839491.55346465</v>
      </c>
      <c r="G484" s="125">
        <v>-575000</v>
      </c>
      <c r="H484" s="125">
        <v>1662.5708414193552</v>
      </c>
      <c r="I484" s="125">
        <v>962.98934790325416</v>
      </c>
      <c r="J484" s="125">
        <v>534.85102176308453</v>
      </c>
      <c r="K484" s="125">
        <v>1087.7543281371663</v>
      </c>
      <c r="L484" s="164">
        <v>2585.5946978035049</v>
      </c>
      <c r="M484" s="125">
        <v>0</v>
      </c>
      <c r="N484" s="115">
        <v>14255</v>
      </c>
      <c r="P484" s="125">
        <v>-23262.7647669</v>
      </c>
      <c r="Q484" s="125">
        <v>-2228.8408101000005</v>
      </c>
      <c r="S484" s="125">
        <v>-2959283.3000017698</v>
      </c>
      <c r="T484" s="125">
        <v>0</v>
      </c>
      <c r="V484" s="125"/>
      <c r="W484" s="125"/>
    </row>
    <row r="485" spans="1:23">
      <c r="A485" s="121">
        <v>43683</v>
      </c>
      <c r="B485" s="125">
        <v>163300156.42084584</v>
      </c>
      <c r="C485" s="125">
        <v>41022778.872009456</v>
      </c>
      <c r="D485" s="125">
        <v>47745975.758321993</v>
      </c>
      <c r="E485" s="125">
        <v>72008648.389676392</v>
      </c>
      <c r="F485" s="123">
        <v>160777403.02000785</v>
      </c>
      <c r="G485" s="125">
        <v>-575000</v>
      </c>
      <c r="H485" s="125">
        <v>1662.997295301182</v>
      </c>
      <c r="I485" s="125">
        <v>940.15408069878447</v>
      </c>
      <c r="J485" s="125">
        <v>532.00865048385901</v>
      </c>
      <c r="K485" s="125">
        <v>1090.1720912658016</v>
      </c>
      <c r="L485" s="164">
        <v>2562.3348224484453</v>
      </c>
      <c r="M485" s="125">
        <v>0</v>
      </c>
      <c r="N485" s="115">
        <v>14265</v>
      </c>
      <c r="P485" s="125">
        <v>-23997.059055760001</v>
      </c>
      <c r="Q485" s="125">
        <v>-2281.9907371499999</v>
      </c>
      <c r="S485" s="125">
        <v>-2959283.3000017698</v>
      </c>
      <c r="T485" s="125">
        <v>0</v>
      </c>
      <c r="V485" s="125"/>
      <c r="W485" s="125"/>
    </row>
    <row r="486" spans="1:23">
      <c r="A486" s="121">
        <v>43684</v>
      </c>
      <c r="B486" s="125">
        <v>163368276.45250767</v>
      </c>
      <c r="C486" s="125">
        <v>40903513.953662738</v>
      </c>
      <c r="D486" s="125">
        <v>47516923.62769872</v>
      </c>
      <c r="E486" s="125">
        <v>72360363.68637158</v>
      </c>
      <c r="F486" s="123">
        <v>160780801.26773304</v>
      </c>
      <c r="G486" s="125">
        <v>-575000</v>
      </c>
      <c r="H486" s="125">
        <v>1664.5332983353092</v>
      </c>
      <c r="I486" s="125">
        <v>998.66382796561811</v>
      </c>
      <c r="J486" s="125">
        <v>531.79712687899428</v>
      </c>
      <c r="K486" s="125">
        <v>1086.8576384497446</v>
      </c>
      <c r="L486" s="164">
        <v>2617.318593294357</v>
      </c>
      <c r="M486" s="125">
        <v>0</v>
      </c>
      <c r="N486" s="115">
        <v>14222.5</v>
      </c>
      <c r="P486" s="125">
        <v>-20426.927464140001</v>
      </c>
      <c r="Q486" s="125">
        <v>-2326.6243565599998</v>
      </c>
      <c r="S486" s="125">
        <v>-2959283.3000017698</v>
      </c>
      <c r="T486" s="125">
        <v>0</v>
      </c>
      <c r="V486" s="125"/>
      <c r="W486" s="125"/>
    </row>
    <row r="487" spans="1:23">
      <c r="A487" s="121">
        <v>43685</v>
      </c>
      <c r="B487" s="125">
        <v>163355870.61267263</v>
      </c>
      <c r="C487" s="125">
        <v>40849103.978090577</v>
      </c>
      <c r="D487" s="125">
        <v>47328517.027314045</v>
      </c>
      <c r="E487" s="125">
        <v>71982088.879192367</v>
      </c>
      <c r="F487" s="123">
        <v>160159709.884597</v>
      </c>
      <c r="G487" s="125">
        <v>-575000</v>
      </c>
      <c r="H487" s="125">
        <v>1655.9058031743084</v>
      </c>
      <c r="I487" s="125">
        <v>954.02125823066115</v>
      </c>
      <c r="J487" s="125">
        <v>531.231151627141</v>
      </c>
      <c r="K487" s="125">
        <v>1091.5260997318674</v>
      </c>
      <c r="L487" s="164">
        <v>2576.7785095896697</v>
      </c>
      <c r="M487" s="125">
        <v>0</v>
      </c>
      <c r="N487" s="115">
        <v>14206.5</v>
      </c>
      <c r="P487" s="125">
        <v>-21052.533334219999</v>
      </c>
      <c r="Q487" s="125">
        <v>-2375.3809267699999</v>
      </c>
      <c r="S487" s="125">
        <v>-2959283.3000017698</v>
      </c>
      <c r="T487" s="125">
        <v>0</v>
      </c>
      <c r="V487" s="125"/>
      <c r="W487" s="125"/>
    </row>
    <row r="488" spans="1:23">
      <c r="A488" s="121">
        <v>43686</v>
      </c>
      <c r="B488" s="125">
        <v>163614160.89813069</v>
      </c>
      <c r="C488" s="125">
        <v>39404239.658706084</v>
      </c>
      <c r="D488" s="125">
        <v>47333701.183292888</v>
      </c>
      <c r="E488" s="125">
        <v>71961887.384040654</v>
      </c>
      <c r="F488" s="123">
        <v>158699828.22603962</v>
      </c>
      <c r="G488" s="125">
        <v>-575000</v>
      </c>
      <c r="H488" s="125">
        <v>1650.5482283821041</v>
      </c>
      <c r="I488" s="125">
        <v>961.63832013568344</v>
      </c>
      <c r="J488" s="125">
        <v>530.46715103062854</v>
      </c>
      <c r="K488" s="125">
        <v>1091.4952938111619</v>
      </c>
      <c r="L488" s="164">
        <v>2583.6007649774738</v>
      </c>
      <c r="M488" s="125">
        <v>0</v>
      </c>
      <c r="N488" s="115">
        <v>14206.5</v>
      </c>
      <c r="P488" s="125">
        <v>-21683.850528530002</v>
      </c>
      <c r="Q488" s="125">
        <v>-2423.9369352000003</v>
      </c>
      <c r="S488" s="125">
        <v>-2959283.3000017698</v>
      </c>
      <c r="T488" s="125">
        <v>0</v>
      </c>
      <c r="V488" s="125"/>
      <c r="W488" s="125"/>
    </row>
    <row r="489" spans="1:23">
      <c r="A489" s="121">
        <v>43689</v>
      </c>
      <c r="B489" s="125">
        <v>163329437.34248301</v>
      </c>
      <c r="C489" s="125">
        <v>40454049.54841534</v>
      </c>
      <c r="D489" s="125">
        <v>47548842.305742472</v>
      </c>
      <c r="E489" s="125">
        <v>71610549.591306567</v>
      </c>
      <c r="F489" s="123">
        <v>159613441.44546437</v>
      </c>
      <c r="G489" s="125">
        <v>-1938000</v>
      </c>
      <c r="H489" s="125">
        <v>1656.5637440727844</v>
      </c>
      <c r="I489" s="125">
        <v>962.24510138251424</v>
      </c>
      <c r="J489" s="125">
        <v>529.92938262540986</v>
      </c>
      <c r="K489" s="125">
        <v>1104.6432787602123</v>
      </c>
      <c r="L489" s="164">
        <v>2596.8177627681362</v>
      </c>
      <c r="M489" s="125">
        <v>0</v>
      </c>
      <c r="N489" s="115">
        <v>14247.5</v>
      </c>
      <c r="P489" s="125">
        <v>-23781.67050679</v>
      </c>
      <c r="Q489" s="125">
        <v>-2588.3273678099999</v>
      </c>
      <c r="S489" s="125">
        <v>-2959283.3000017698</v>
      </c>
      <c r="T489" s="125">
        <v>0</v>
      </c>
      <c r="V489" s="125"/>
      <c r="W489" s="125"/>
    </row>
    <row r="490" spans="1:23">
      <c r="A490" s="121">
        <v>43690</v>
      </c>
      <c r="B490" s="125">
        <v>163516393.31926247</v>
      </c>
      <c r="C490" s="125">
        <v>40768199.654295698</v>
      </c>
      <c r="D490" s="125">
        <v>47428294.444801785</v>
      </c>
      <c r="E490" s="125">
        <v>72239143.04515253</v>
      </c>
      <c r="F490" s="123">
        <v>160435637.14425004</v>
      </c>
      <c r="G490" s="125">
        <v>-1938000</v>
      </c>
      <c r="H490" s="125">
        <v>1658.1373461147912</v>
      </c>
      <c r="I490" s="125">
        <v>963.13154721963645</v>
      </c>
      <c r="J490" s="125">
        <v>530.42065298377941</v>
      </c>
      <c r="K490" s="125">
        <v>1105.2987126471085</v>
      </c>
      <c r="L490" s="164">
        <v>2598.8509128505243</v>
      </c>
      <c r="M490" s="125">
        <v>0</v>
      </c>
      <c r="N490" s="115">
        <v>14322.5</v>
      </c>
      <c r="P490" s="125">
        <v>-24625.486566350002</v>
      </c>
      <c r="Q490" s="125">
        <v>-2653.7465608899997</v>
      </c>
      <c r="S490" s="125">
        <v>-2959283.3000017698</v>
      </c>
      <c r="T490" s="125">
        <v>0</v>
      </c>
      <c r="V490" s="125"/>
      <c r="W490" s="125"/>
    </row>
    <row r="491" spans="1:23">
      <c r="A491" s="121">
        <v>43691</v>
      </c>
      <c r="B491" s="125">
        <v>163790382.86450553</v>
      </c>
      <c r="C491" s="125">
        <v>41848569.31692683</v>
      </c>
      <c r="D491" s="125">
        <v>47270474.695473753</v>
      </c>
      <c r="E491" s="125">
        <v>72764026.728445828</v>
      </c>
      <c r="F491" s="123">
        <v>161883070.7408464</v>
      </c>
      <c r="G491" s="125">
        <v>-1820000</v>
      </c>
      <c r="H491" s="125">
        <v>1651.8990274601581</v>
      </c>
      <c r="I491" s="125">
        <v>987.2584104215473</v>
      </c>
      <c r="J491" s="125">
        <v>530.54167310656294</v>
      </c>
      <c r="K491" s="125">
        <v>1094.4711029284301</v>
      </c>
      <c r="L491" s="164">
        <v>2612.2711864565404</v>
      </c>
      <c r="M491" s="125">
        <v>0</v>
      </c>
      <c r="N491" s="115">
        <v>14245</v>
      </c>
      <c r="P491" s="125">
        <v>-25415.048254669997</v>
      </c>
      <c r="Q491" s="125">
        <v>-2690.9008703499999</v>
      </c>
      <c r="S491" s="125">
        <v>-2959283.3000017698</v>
      </c>
      <c r="T491" s="125">
        <v>0</v>
      </c>
      <c r="V491" s="125"/>
      <c r="W491" s="125"/>
    </row>
    <row r="492" spans="1:23">
      <c r="A492" s="121">
        <v>43692</v>
      </c>
      <c r="B492" s="125">
        <v>163499536.10829735</v>
      </c>
      <c r="C492" s="125">
        <v>41074819.865321681</v>
      </c>
      <c r="D492" s="125">
        <v>47262573.635587029</v>
      </c>
      <c r="E492" s="125">
        <v>72203522.224021286</v>
      </c>
      <c r="F492" s="123">
        <v>160540915.72492999</v>
      </c>
      <c r="G492" s="125">
        <v>-1525000</v>
      </c>
      <c r="H492" s="125">
        <v>1648.7058299792968</v>
      </c>
      <c r="I492" s="125">
        <v>970.8728012013313</v>
      </c>
      <c r="J492" s="125">
        <v>530.5556801090728</v>
      </c>
      <c r="K492" s="125">
        <v>1101.0387811761454</v>
      </c>
      <c r="L492" s="164">
        <v>2602.4672624865498</v>
      </c>
      <c r="M492" s="125">
        <v>-5</v>
      </c>
      <c r="N492" s="115">
        <v>14267.5</v>
      </c>
      <c r="P492" s="125">
        <v>-25641.943573699999</v>
      </c>
      <c r="Q492" s="125">
        <v>-2750.82850186</v>
      </c>
      <c r="S492" s="125">
        <v>-2959283.3000017698</v>
      </c>
      <c r="T492" s="125">
        <v>0</v>
      </c>
      <c r="V492" s="125"/>
      <c r="W492" s="125"/>
    </row>
    <row r="493" spans="1:23">
      <c r="A493" s="121">
        <v>43693</v>
      </c>
      <c r="B493" s="125">
        <v>163475792.29803944</v>
      </c>
      <c r="C493" s="125">
        <v>40307474.452293828</v>
      </c>
      <c r="D493" s="125">
        <v>47204286.089399628</v>
      </c>
      <c r="E493" s="125">
        <v>72394239.828600958</v>
      </c>
      <c r="F493" s="123">
        <v>159906000.37029439</v>
      </c>
      <c r="G493" s="125">
        <v>-875000</v>
      </c>
      <c r="H493" s="125">
        <v>1648.5043199103309</v>
      </c>
      <c r="I493" s="125">
        <v>968.99517300352022</v>
      </c>
      <c r="J493" s="125">
        <v>535.6098237151466</v>
      </c>
      <c r="K493" s="125">
        <v>1117.0761646093031</v>
      </c>
      <c r="L493" s="164">
        <v>2621.6811613279697</v>
      </c>
      <c r="M493" s="125">
        <v>0</v>
      </c>
      <c r="N493" s="115">
        <v>14235</v>
      </c>
      <c r="P493" s="125">
        <v>-25712.995795219998</v>
      </c>
      <c r="Q493" s="125">
        <v>-2791.9669205999999</v>
      </c>
      <c r="S493" s="125">
        <v>-2848000.1000017701</v>
      </c>
      <c r="T493" s="125">
        <v>0</v>
      </c>
      <c r="V493" s="125"/>
      <c r="W493" s="125"/>
    </row>
    <row r="494" spans="1:23">
      <c r="A494" s="121">
        <v>43696</v>
      </c>
      <c r="B494" s="125">
        <v>163947814.23751244</v>
      </c>
      <c r="C494" s="125">
        <v>41710078.749399185</v>
      </c>
      <c r="D494" s="125">
        <v>47580646.499658205</v>
      </c>
      <c r="E494" s="125">
        <v>72449910.35780409</v>
      </c>
      <c r="F494" s="123">
        <v>161740635.60686147</v>
      </c>
      <c r="G494" s="125">
        <v>-575000</v>
      </c>
      <c r="H494" s="125">
        <v>1644.0899390188749</v>
      </c>
      <c r="I494" s="125">
        <v>973.96093208484933</v>
      </c>
      <c r="J494" s="125">
        <v>535.35181459771832</v>
      </c>
      <c r="K494" s="125">
        <v>1109.8196367093938</v>
      </c>
      <c r="L494" s="164">
        <v>2619.1323833919614</v>
      </c>
      <c r="M494" s="125">
        <v>0</v>
      </c>
      <c r="N494" s="115">
        <v>14235</v>
      </c>
      <c r="P494" s="125">
        <v>-26376.9829216</v>
      </c>
      <c r="Q494" s="125">
        <v>-108.35425770000001</v>
      </c>
      <c r="S494" s="125">
        <v>-2848000.1000017701</v>
      </c>
      <c r="T494" s="125">
        <v>0</v>
      </c>
      <c r="V494" s="125"/>
      <c r="W494" s="125"/>
    </row>
    <row r="495" spans="1:23">
      <c r="A495" s="121">
        <v>43697</v>
      </c>
      <c r="B495" s="125">
        <v>163838783.49312103</v>
      </c>
      <c r="C495" s="125">
        <v>42776588.093184784</v>
      </c>
      <c r="D495" s="125">
        <v>47447809.636639193</v>
      </c>
      <c r="E495" s="125">
        <v>72581376.599532247</v>
      </c>
      <c r="F495" s="123">
        <v>162805774.32935622</v>
      </c>
      <c r="G495" s="125">
        <v>-575000</v>
      </c>
      <c r="H495" s="125">
        <v>1647.0794366783773</v>
      </c>
      <c r="I495" s="125">
        <v>978.64925666322836</v>
      </c>
      <c r="J495" s="125">
        <v>539.28194769740981</v>
      </c>
      <c r="K495" s="125">
        <v>1119.4184488966762</v>
      </c>
      <c r="L495" s="164">
        <v>2637.3496532573145</v>
      </c>
      <c r="M495" s="125">
        <v>0</v>
      </c>
      <c r="N495" s="115">
        <v>14260</v>
      </c>
      <c r="P495" s="125">
        <v>-26993.311990770002</v>
      </c>
      <c r="Q495" s="125">
        <v>-114.25725179999999</v>
      </c>
      <c r="S495" s="125">
        <v>-4318001.6000017701</v>
      </c>
      <c r="T495" s="125">
        <v>0</v>
      </c>
      <c r="V495" s="125"/>
      <c r="W495" s="125"/>
    </row>
    <row r="496" spans="1:23">
      <c r="A496" s="121">
        <v>43698</v>
      </c>
      <c r="B496" s="125">
        <v>163887406.43494251</v>
      </c>
      <c r="C496" s="125">
        <v>41380668.379904874</v>
      </c>
      <c r="D496" s="125">
        <v>47327894.026956081</v>
      </c>
      <c r="E496" s="125">
        <v>72900607.344937935</v>
      </c>
      <c r="F496" s="123">
        <v>161609169.75179887</v>
      </c>
      <c r="G496" s="125">
        <v>-575000</v>
      </c>
      <c r="H496" s="125">
        <v>1642.3576788240464</v>
      </c>
      <c r="I496" s="125">
        <v>991.73325311451811</v>
      </c>
      <c r="J496" s="125">
        <v>542.09436296874878</v>
      </c>
      <c r="K496" s="125">
        <v>1127.633351648891</v>
      </c>
      <c r="L496" s="164">
        <v>2661.4609677321578</v>
      </c>
      <c r="M496" s="125">
        <v>0</v>
      </c>
      <c r="N496" s="115">
        <v>14242.5</v>
      </c>
      <c r="P496" s="125">
        <v>-27584.358423260001</v>
      </c>
      <c r="Q496" s="125">
        <v>-119.82286464000001</v>
      </c>
      <c r="S496" s="125">
        <v>-4318001.6000017701</v>
      </c>
      <c r="T496" s="125">
        <v>0</v>
      </c>
      <c r="V496" s="125"/>
      <c r="W496" s="125"/>
    </row>
    <row r="497" spans="1:23">
      <c r="A497" s="121">
        <v>43699</v>
      </c>
      <c r="B497" s="125">
        <v>164316710.03468934</v>
      </c>
      <c r="C497" s="125">
        <v>41375247.640143432</v>
      </c>
      <c r="D497" s="125">
        <v>47141657.858276255</v>
      </c>
      <c r="E497" s="125">
        <v>73635026.027121231</v>
      </c>
      <c r="F497" s="123">
        <v>162151931.52554092</v>
      </c>
      <c r="G497" s="125">
        <v>-575000</v>
      </c>
      <c r="H497" s="125">
        <v>1646.414414461698</v>
      </c>
      <c r="I497" s="125">
        <v>971.1926433458766</v>
      </c>
      <c r="J497" s="125">
        <v>544.63341174364086</v>
      </c>
      <c r="K497" s="125">
        <v>1141.6214835990313</v>
      </c>
      <c r="L497" s="164">
        <v>2657.4475386885488</v>
      </c>
      <c r="M497" s="125">
        <v>0</v>
      </c>
      <c r="N497" s="115">
        <v>14235</v>
      </c>
      <c r="P497" s="125">
        <v>-28192.375309000003</v>
      </c>
      <c r="Q497" s="125">
        <v>-125.46216539999999</v>
      </c>
      <c r="S497" s="125">
        <v>-4318001.6000017701</v>
      </c>
      <c r="T497" s="125">
        <v>0</v>
      </c>
      <c r="V497" s="125"/>
      <c r="W497" s="125"/>
    </row>
    <row r="498" spans="1:23">
      <c r="A498" s="121">
        <v>43700</v>
      </c>
      <c r="B498" s="125">
        <v>164680097.38071454</v>
      </c>
      <c r="C498" s="125">
        <v>38837336.862306304</v>
      </c>
      <c r="D498" s="125">
        <v>47787686.114149615</v>
      </c>
      <c r="E498" s="125">
        <v>73359312.737629041</v>
      </c>
      <c r="F498" s="123">
        <v>159984335.71408498</v>
      </c>
      <c r="G498" s="125">
        <v>-575000</v>
      </c>
      <c r="H498" s="125">
        <v>1631.4487285601115</v>
      </c>
      <c r="I498" s="125">
        <v>984.08820434813697</v>
      </c>
      <c r="J498" s="125">
        <v>541.4019065031946</v>
      </c>
      <c r="K498" s="125">
        <v>1140.0813140748371</v>
      </c>
      <c r="L498" s="164">
        <v>2665.5714249261687</v>
      </c>
      <c r="M498" s="125">
        <v>0</v>
      </c>
      <c r="N498" s="115">
        <v>14212.5</v>
      </c>
      <c r="P498" s="125">
        <v>-28806.641502369996</v>
      </c>
      <c r="Q498" s="125">
        <v>-130.96207612999999</v>
      </c>
      <c r="S498" s="125">
        <v>-4318001.6000017701</v>
      </c>
      <c r="T498" s="125">
        <v>0</v>
      </c>
      <c r="V498" s="125"/>
      <c r="W498" s="125"/>
    </row>
    <row r="499" spans="1:23">
      <c r="A499" s="121">
        <v>43703</v>
      </c>
      <c r="B499" s="125">
        <v>164578891.39492488</v>
      </c>
      <c r="C499" s="125">
        <v>40638168.825618736</v>
      </c>
      <c r="D499" s="125">
        <v>47951176.914694294</v>
      </c>
      <c r="E499" s="125">
        <v>73232953.903346598</v>
      </c>
      <c r="F499" s="123">
        <v>161822299.64365962</v>
      </c>
      <c r="G499" s="125">
        <v>-575000</v>
      </c>
      <c r="H499" s="125">
        <v>1615.1287593309005</v>
      </c>
      <c r="I499" s="125">
        <v>949.56369960271866</v>
      </c>
      <c r="J499" s="125">
        <v>539.47760002801806</v>
      </c>
      <c r="K499" s="125">
        <v>1113.9248379787216</v>
      </c>
      <c r="L499" s="164">
        <v>2602.9661376094582</v>
      </c>
      <c r="M499" s="125">
        <v>0</v>
      </c>
      <c r="N499" s="115">
        <v>14240</v>
      </c>
      <c r="P499" s="125">
        <v>-30634.210468199999</v>
      </c>
      <c r="Q499" s="125">
        <v>-148.34377599999999</v>
      </c>
      <c r="S499" s="125">
        <v>-4318001.6000017701</v>
      </c>
      <c r="T499" s="125">
        <v>0</v>
      </c>
      <c r="V499" s="125"/>
      <c r="W499" s="125"/>
    </row>
    <row r="500" spans="1:23">
      <c r="A500" s="121">
        <v>43704</v>
      </c>
      <c r="B500" s="125">
        <v>164515825.57301006</v>
      </c>
      <c r="C500" s="125">
        <v>40844849.974930905</v>
      </c>
      <c r="D500" s="125">
        <v>47750035.613550261</v>
      </c>
      <c r="E500" s="125">
        <v>72987546.646473005</v>
      </c>
      <c r="F500" s="123">
        <v>161582432.23495418</v>
      </c>
      <c r="G500" s="125">
        <v>-575000</v>
      </c>
      <c r="H500" s="125">
        <v>1616.5240298300678</v>
      </c>
      <c r="I500" s="125">
        <v>952.86558822851987</v>
      </c>
      <c r="J500" s="125">
        <v>539.923000082557</v>
      </c>
      <c r="K500" s="125">
        <v>1148.0741239522213</v>
      </c>
      <c r="L500" s="164">
        <v>2640.8627122632979</v>
      </c>
      <c r="M500" s="125">
        <v>0</v>
      </c>
      <c r="N500" s="115">
        <v>14255</v>
      </c>
      <c r="P500" s="125">
        <v>-31214.593711109999</v>
      </c>
      <c r="Q500" s="125">
        <v>-154.2154367</v>
      </c>
      <c r="S500" s="125">
        <v>-4318001.6000017701</v>
      </c>
      <c r="T500" s="125">
        <v>0</v>
      </c>
      <c r="V500" s="125"/>
      <c r="W500" s="125"/>
    </row>
    <row r="501" spans="1:23">
      <c r="A501" s="121">
        <v>43705</v>
      </c>
      <c r="B501" s="125">
        <v>164486514.43805674</v>
      </c>
      <c r="C501" s="125">
        <v>39697761.845707111</v>
      </c>
      <c r="D501" s="125">
        <v>47968480.290887952</v>
      </c>
      <c r="E501" s="125">
        <v>73062453.986098096</v>
      </c>
      <c r="F501" s="123">
        <v>160728696.12269318</v>
      </c>
      <c r="G501" s="125">
        <v>-575000</v>
      </c>
      <c r="H501" s="125">
        <v>1624.827440238578</v>
      </c>
      <c r="I501" s="125">
        <v>881.66037552801231</v>
      </c>
      <c r="J501" s="125">
        <v>541.65211114328747</v>
      </c>
      <c r="K501" s="125">
        <v>1113.7824929379206</v>
      </c>
      <c r="L501" s="164">
        <v>2537.09497960922</v>
      </c>
      <c r="M501" s="125">
        <v>0</v>
      </c>
      <c r="N501" s="115">
        <v>14255</v>
      </c>
      <c r="P501" s="125">
        <v>-31827.940476129999</v>
      </c>
      <c r="Q501" s="125">
        <v>-159.9308364</v>
      </c>
      <c r="S501" s="125">
        <v>-1470001.50000177</v>
      </c>
      <c r="T501" s="125">
        <v>0</v>
      </c>
      <c r="V501" s="125"/>
      <c r="W501" s="125"/>
    </row>
    <row r="502" spans="1:23">
      <c r="A502" s="121">
        <v>43706</v>
      </c>
      <c r="B502" s="125">
        <v>165084346.49302253</v>
      </c>
      <c r="C502" s="125">
        <v>38841110.376973502</v>
      </c>
      <c r="D502" s="125">
        <v>48461184.404263802</v>
      </c>
      <c r="E502" s="125">
        <v>73362941.246075884</v>
      </c>
      <c r="F502" s="123">
        <v>160665236.02731317</v>
      </c>
      <c r="G502" s="125">
        <v>-575000</v>
      </c>
      <c r="H502" s="125">
        <v>1626.2332078337777</v>
      </c>
      <c r="I502" s="125">
        <v>849.5135052567415</v>
      </c>
      <c r="J502" s="125">
        <v>544.92068774696031</v>
      </c>
      <c r="K502" s="125">
        <v>1122.7797327647995</v>
      </c>
      <c r="L502" s="164">
        <v>2517.2139257685012</v>
      </c>
      <c r="M502" s="125">
        <v>0</v>
      </c>
      <c r="N502" s="115">
        <v>14237.5</v>
      </c>
      <c r="P502" s="125">
        <v>-32407.719049539999</v>
      </c>
      <c r="Q502" s="125">
        <v>-165.471642</v>
      </c>
      <c r="S502" s="125">
        <v>-1470001.50000177</v>
      </c>
      <c r="T502" s="125">
        <v>0</v>
      </c>
      <c r="V502" s="125"/>
      <c r="W502" s="125"/>
    </row>
    <row r="503" spans="1:23">
      <c r="A503" s="121">
        <v>43707</v>
      </c>
      <c r="B503" s="125">
        <v>165957296.43045366</v>
      </c>
      <c r="C503" s="125">
        <v>37546434.955583319</v>
      </c>
      <c r="D503" s="125">
        <v>49648955.75814794</v>
      </c>
      <c r="E503" s="125">
        <v>73811572.297865659</v>
      </c>
      <c r="F503" s="123">
        <v>161006963.01159692</v>
      </c>
      <c r="G503" s="125">
        <v>-575000</v>
      </c>
      <c r="H503" s="125">
        <v>1610.8936449305827</v>
      </c>
      <c r="I503" s="125">
        <v>859.46300206266233</v>
      </c>
      <c r="J503" s="125">
        <v>544.51740125602953</v>
      </c>
      <c r="K503" s="125">
        <v>1121.5898744325145</v>
      </c>
      <c r="L503" s="164">
        <v>2525.5702777512065</v>
      </c>
      <c r="M503" s="125">
        <v>0</v>
      </c>
      <c r="N503" s="115">
        <v>14185</v>
      </c>
      <c r="P503" s="125">
        <v>-33546.26514684</v>
      </c>
      <c r="Q503" s="125">
        <v>-170.54880829999999</v>
      </c>
      <c r="S503" s="125">
        <v>-1470001.50000177</v>
      </c>
      <c r="T503" s="125">
        <v>0</v>
      </c>
      <c r="V503" s="125"/>
      <c r="W503" s="125"/>
    </row>
    <row r="504" spans="1:23">
      <c r="A504" s="121">
        <v>43708</v>
      </c>
      <c r="B504" s="125">
        <v>165957296.43045366</v>
      </c>
      <c r="C504" s="125">
        <v>37546434.955583319</v>
      </c>
      <c r="D504" s="125">
        <v>49648955.75814794</v>
      </c>
      <c r="E504" s="125">
        <v>73811572.297865659</v>
      </c>
      <c r="F504" s="123">
        <v>161006963.01159692</v>
      </c>
      <c r="G504" s="125">
        <v>-575000</v>
      </c>
      <c r="H504" s="125">
        <v>1609.8722244145636</v>
      </c>
      <c r="I504" s="125">
        <v>858.91804172600155</v>
      </c>
      <c r="J504" s="125">
        <v>544.17213870767773</v>
      </c>
      <c r="K504" s="125">
        <v>1120.8787071174595</v>
      </c>
      <c r="L504" s="164">
        <v>2523.9688875511388</v>
      </c>
      <c r="M504" s="125">
        <v>0</v>
      </c>
      <c r="N504" s="115">
        <v>14185</v>
      </c>
      <c r="O504" s="116">
        <v>3365.3649999999998</v>
      </c>
      <c r="P504" s="125">
        <v>-33546.26514684</v>
      </c>
      <c r="Q504" s="125">
        <v>-170.54880829999999</v>
      </c>
      <c r="S504" s="125">
        <v>-1470001.50000177</v>
      </c>
      <c r="T504" s="125">
        <v>0</v>
      </c>
      <c r="V504" s="125"/>
      <c r="W504" s="125"/>
    </row>
    <row r="505" spans="1:23">
      <c r="A505" s="121">
        <v>43710</v>
      </c>
      <c r="B505" s="125">
        <v>165002926.14848945</v>
      </c>
      <c r="C505" s="125">
        <v>39293427.609822631</v>
      </c>
      <c r="D505" s="125">
        <v>48754105.60545741</v>
      </c>
      <c r="E505" s="125">
        <v>73883019.594962403</v>
      </c>
      <c r="F505" s="123">
        <v>161930552.81024244</v>
      </c>
      <c r="G505" s="125">
        <v>0</v>
      </c>
      <c r="H505" s="125">
        <v>1603.2925776731659</v>
      </c>
      <c r="I505" s="125">
        <v>865.79799071274647</v>
      </c>
      <c r="J505" s="125">
        <v>571.19205717228056</v>
      </c>
      <c r="K505" s="125">
        <v>1111.0115251438881</v>
      </c>
      <c r="L505" s="164">
        <v>2548.0015730289151</v>
      </c>
      <c r="M505" s="125">
        <v>0</v>
      </c>
      <c r="N505" s="115">
        <v>14194</v>
      </c>
      <c r="P505" s="125">
        <v>-30325.894691319998</v>
      </c>
      <c r="Q505" s="125">
        <v>-11.383446060000001</v>
      </c>
      <c r="S505" s="125">
        <v>-1470001.50000177</v>
      </c>
      <c r="T505" s="125">
        <v>0</v>
      </c>
      <c r="V505" s="125"/>
      <c r="W505" s="125"/>
    </row>
    <row r="506" spans="1:23">
      <c r="A506" s="121">
        <v>43711</v>
      </c>
      <c r="B506" s="125">
        <v>164547002.25257373</v>
      </c>
      <c r="C506" s="125">
        <v>38729098.589521125</v>
      </c>
      <c r="D506" s="125">
        <v>48767368.870723084</v>
      </c>
      <c r="E506" s="125">
        <v>74548824.686961561</v>
      </c>
      <c r="F506" s="123">
        <v>162045292.14720577</v>
      </c>
      <c r="G506" s="125">
        <v>0</v>
      </c>
      <c r="H506" s="125">
        <v>1611.8482222992538</v>
      </c>
      <c r="I506" s="125">
        <v>936.69329541059687</v>
      </c>
      <c r="J506" s="125">
        <v>573.94735288398942</v>
      </c>
      <c r="K506" s="125">
        <v>1092.7498756241807</v>
      </c>
      <c r="L506" s="164">
        <v>2603.390523918767</v>
      </c>
      <c r="M506" s="125">
        <v>0</v>
      </c>
      <c r="N506" s="115">
        <v>14225</v>
      </c>
      <c r="P506" s="125">
        <v>-30840.518094769999</v>
      </c>
      <c r="Q506" s="125">
        <v>-17.112674999999999</v>
      </c>
      <c r="S506" s="125">
        <v>-2422617.5000016401</v>
      </c>
      <c r="T506" s="125">
        <v>0</v>
      </c>
      <c r="V506" s="125"/>
      <c r="W506" s="125"/>
    </row>
    <row r="507" spans="1:23">
      <c r="A507" s="121">
        <v>43712</v>
      </c>
      <c r="B507" s="125">
        <v>164034229.95950535</v>
      </c>
      <c r="C507" s="125">
        <v>39360030.639122456</v>
      </c>
      <c r="D507" s="125">
        <v>48568636.478536554</v>
      </c>
      <c r="E507" s="125">
        <v>74169924.826792508</v>
      </c>
      <c r="F507" s="123">
        <v>162098591.94445151</v>
      </c>
      <c r="G507" s="125">
        <v>0</v>
      </c>
      <c r="H507" s="125">
        <v>1603.881018442449</v>
      </c>
      <c r="I507" s="125">
        <v>923.58908380925891</v>
      </c>
      <c r="J507" s="125">
        <v>544.78116495872985</v>
      </c>
      <c r="K507" s="125">
        <v>1090.1106962176229</v>
      </c>
      <c r="L507" s="164">
        <v>2558.480944985612</v>
      </c>
      <c r="M507" s="125">
        <v>0</v>
      </c>
      <c r="N507" s="115">
        <v>14162.5</v>
      </c>
      <c r="P507" s="125">
        <v>-31356.863296030002</v>
      </c>
      <c r="Q507" s="125">
        <v>-22.716508389999998</v>
      </c>
      <c r="S507" s="125">
        <v>-2422617.5000016401</v>
      </c>
      <c r="T507" s="125">
        <v>0</v>
      </c>
      <c r="V507" s="125"/>
      <c r="W507" s="125"/>
    </row>
    <row r="508" spans="1:23">
      <c r="A508" s="121">
        <v>43713</v>
      </c>
      <c r="B508" s="125">
        <v>163853811.65927142</v>
      </c>
      <c r="C508" s="125">
        <v>38602588.351022348</v>
      </c>
      <c r="D508" s="125">
        <v>48217385.32827761</v>
      </c>
      <c r="E508" s="125">
        <v>73801062.677475199</v>
      </c>
      <c r="F508" s="123">
        <v>160621036.35677516</v>
      </c>
      <c r="G508" s="125">
        <v>0</v>
      </c>
      <c r="H508" s="125">
        <v>1604.9002829022611</v>
      </c>
      <c r="I508" s="125">
        <v>897.57817646451144</v>
      </c>
      <c r="J508" s="125">
        <v>546.24097364065904</v>
      </c>
      <c r="K508" s="125">
        <v>1094.3080809267217</v>
      </c>
      <c r="L508" s="164">
        <v>2538.1272310318923</v>
      </c>
      <c r="M508" s="125">
        <v>0</v>
      </c>
      <c r="N508" s="115">
        <v>14150</v>
      </c>
      <c r="P508" s="125">
        <v>-31297.089644670003</v>
      </c>
      <c r="Q508" s="125">
        <v>-28.3700425</v>
      </c>
      <c r="S508" s="125">
        <v>-2422617.5000016401</v>
      </c>
      <c r="T508" s="125">
        <v>0</v>
      </c>
      <c r="V508" s="125"/>
      <c r="W508" s="125"/>
    </row>
    <row r="509" spans="1:23">
      <c r="A509" s="121">
        <v>43714</v>
      </c>
      <c r="B509" s="125">
        <v>164073147.437316</v>
      </c>
      <c r="C509" s="125">
        <v>37673742.983599864</v>
      </c>
      <c r="D509" s="125">
        <v>48239946.213317946</v>
      </c>
      <c r="E509" s="125">
        <v>74448434.631907195</v>
      </c>
      <c r="F509" s="123">
        <v>160362123.828825</v>
      </c>
      <c r="G509" s="125">
        <v>0</v>
      </c>
      <c r="H509" s="125">
        <v>1584.668469141599</v>
      </c>
      <c r="I509" s="125">
        <v>892.56572273215568</v>
      </c>
      <c r="J509" s="125">
        <v>552.0602610051385</v>
      </c>
      <c r="K509" s="125">
        <v>1088.3109387788106</v>
      </c>
      <c r="L509" s="164">
        <v>2532.9369225161045</v>
      </c>
      <c r="M509" s="125">
        <v>0</v>
      </c>
      <c r="N509" s="115">
        <v>14095</v>
      </c>
      <c r="P509" s="125">
        <v>-31809.052035609999</v>
      </c>
      <c r="Q509" s="125">
        <v>-33.9120062</v>
      </c>
      <c r="S509" s="125">
        <v>-2422617.5000016401</v>
      </c>
      <c r="T509" s="125">
        <v>0</v>
      </c>
      <c r="V509" s="125"/>
      <c r="W509" s="125"/>
    </row>
    <row r="510" spans="1:23">
      <c r="A510" s="121">
        <v>43717</v>
      </c>
      <c r="B510" s="125">
        <v>163638869.91146734</v>
      </c>
      <c r="C510" s="125">
        <v>38692172.334934734</v>
      </c>
      <c r="D510" s="125">
        <v>46958063.233690225</v>
      </c>
      <c r="E510" s="125">
        <v>73556775.48936516</v>
      </c>
      <c r="F510" s="123">
        <v>159207011.05799013</v>
      </c>
      <c r="G510" s="125">
        <v>0</v>
      </c>
      <c r="H510" s="125">
        <v>1595.1371542004824</v>
      </c>
      <c r="I510" s="125">
        <v>901.23558612788565</v>
      </c>
      <c r="J510" s="125">
        <v>548.68242757543533</v>
      </c>
      <c r="K510" s="125">
        <v>1081.3682212484387</v>
      </c>
      <c r="L510" s="164">
        <v>2531.2862349517595</v>
      </c>
      <c r="M510" s="125">
        <v>0</v>
      </c>
      <c r="N510" s="115">
        <v>14031</v>
      </c>
      <c r="P510" s="125">
        <v>-33347.250145849997</v>
      </c>
      <c r="Q510" s="125">
        <v>-50.640544889999994</v>
      </c>
      <c r="S510" s="125">
        <v>-2422617.5000016401</v>
      </c>
      <c r="T510" s="125">
        <v>0</v>
      </c>
      <c r="V510" s="125"/>
      <c r="W510" s="125"/>
    </row>
    <row r="511" spans="1:23">
      <c r="A511" s="121">
        <v>43718</v>
      </c>
      <c r="B511" s="125">
        <v>163617168.73702696</v>
      </c>
      <c r="C511" s="125">
        <v>37429117.177156605</v>
      </c>
      <c r="D511" s="125">
        <v>46969777.218645461</v>
      </c>
      <c r="E511" s="125">
        <v>73677677.020258009</v>
      </c>
      <c r="F511" s="123">
        <v>158076571.41606009</v>
      </c>
      <c r="G511" s="125">
        <v>0</v>
      </c>
      <c r="H511" s="125">
        <v>1580.1027132456597</v>
      </c>
      <c r="I511" s="125">
        <v>923.31052932845455</v>
      </c>
      <c r="J511" s="125">
        <v>551.20889682513155</v>
      </c>
      <c r="K511" s="125">
        <v>1085.9179400218798</v>
      </c>
      <c r="L511" s="164">
        <v>2560.4373661754662</v>
      </c>
      <c r="M511" s="125">
        <v>0</v>
      </c>
      <c r="N511" s="115">
        <v>14050</v>
      </c>
      <c r="P511" s="125">
        <v>-33851.100605439999</v>
      </c>
      <c r="Q511" s="125">
        <v>-56.346401</v>
      </c>
      <c r="S511" s="125">
        <v>-2422617.5000016401</v>
      </c>
      <c r="T511" s="125">
        <v>0</v>
      </c>
      <c r="V511" s="125"/>
      <c r="W511" s="125"/>
    </row>
    <row r="512" spans="1:23">
      <c r="A512" s="121">
        <v>43719</v>
      </c>
      <c r="B512" s="125">
        <v>163596789.10649446</v>
      </c>
      <c r="C512" s="125">
        <v>37615310.35158816</v>
      </c>
      <c r="D512" s="125">
        <v>46825561.215240136</v>
      </c>
      <c r="E512" s="125">
        <v>74076417.214839816</v>
      </c>
      <c r="F512" s="123">
        <v>158517288.78166813</v>
      </c>
      <c r="G512" s="125">
        <v>0</v>
      </c>
      <c r="H512" s="125">
        <v>1605.7336993618553</v>
      </c>
      <c r="I512" s="125">
        <v>919.18208256931916</v>
      </c>
      <c r="J512" s="125">
        <v>554.265129161814</v>
      </c>
      <c r="K512" s="125">
        <v>1092.2297752077097</v>
      </c>
      <c r="L512" s="164">
        <v>2565.6769869388427</v>
      </c>
      <c r="M512" s="125">
        <v>0</v>
      </c>
      <c r="N512" s="115">
        <v>14060</v>
      </c>
      <c r="P512" s="125">
        <v>-34357.498894159995</v>
      </c>
      <c r="Q512" s="125">
        <v>-62.030470399999999</v>
      </c>
      <c r="S512" s="125">
        <v>-4529636.7000016393</v>
      </c>
      <c r="T512" s="125">
        <v>0</v>
      </c>
      <c r="V512" s="125"/>
      <c r="W512" s="125"/>
    </row>
    <row r="513" spans="1:23">
      <c r="A513" s="121">
        <v>43720</v>
      </c>
      <c r="B513" s="125">
        <v>163485130.83356014</v>
      </c>
      <c r="C513" s="125">
        <v>37045576.312071614</v>
      </c>
      <c r="D513" s="125">
        <v>46957868.198863901</v>
      </c>
      <c r="E513" s="125">
        <v>73736584.877909079</v>
      </c>
      <c r="F513" s="123">
        <v>157740029.38884461</v>
      </c>
      <c r="G513" s="125">
        <v>0</v>
      </c>
      <c r="H513" s="125">
        <v>1605.185244472365</v>
      </c>
      <c r="I513" s="125">
        <v>915.50133726489423</v>
      </c>
      <c r="J513" s="125">
        <v>554.94904347936858</v>
      </c>
      <c r="K513" s="125">
        <v>1086.8289213621008</v>
      </c>
      <c r="L513" s="164">
        <v>2557.2793021063635</v>
      </c>
      <c r="M513" s="125">
        <v>0</v>
      </c>
      <c r="N513" s="115">
        <v>13990</v>
      </c>
      <c r="P513" s="125">
        <v>-34869.248402750003</v>
      </c>
      <c r="Q513" s="125">
        <v>-67.337507400000007</v>
      </c>
      <c r="S513" s="125">
        <v>-4529636.7000016393</v>
      </c>
      <c r="T513" s="125">
        <v>0</v>
      </c>
      <c r="V513" s="125"/>
      <c r="W513" s="125"/>
    </row>
    <row r="514" spans="1:23">
      <c r="A514" s="121">
        <v>43721</v>
      </c>
      <c r="B514" s="125">
        <v>163814756.77765736</v>
      </c>
      <c r="C514" s="125">
        <v>36717302.460858248</v>
      </c>
      <c r="D514" s="125">
        <v>46836697.692998365</v>
      </c>
      <c r="E514" s="125">
        <v>73900981.563787207</v>
      </c>
      <c r="F514" s="123">
        <v>157454981.7176438</v>
      </c>
      <c r="G514" s="125">
        <v>0</v>
      </c>
      <c r="H514" s="125">
        <v>1582.1185635898428</v>
      </c>
      <c r="I514" s="125">
        <v>912.11436514404306</v>
      </c>
      <c r="J514" s="125">
        <v>557.26138468968873</v>
      </c>
      <c r="K514" s="125">
        <v>1090.1862495620887</v>
      </c>
      <c r="L514" s="164">
        <v>2559.5619993958207</v>
      </c>
      <c r="M514" s="125">
        <v>0</v>
      </c>
      <c r="N514" s="115">
        <v>13965</v>
      </c>
      <c r="P514" s="125">
        <v>-35371.062797900006</v>
      </c>
      <c r="Q514" s="125">
        <v>-72.869509649999998</v>
      </c>
      <c r="S514" s="125">
        <v>-4529636.7000016393</v>
      </c>
      <c r="T514" s="125">
        <v>0</v>
      </c>
      <c r="V514" s="125"/>
      <c r="W514" s="125"/>
    </row>
    <row r="515" spans="1:23">
      <c r="A515" s="121">
        <v>43724</v>
      </c>
      <c r="B515" s="125">
        <v>164040342.82580376</v>
      </c>
      <c r="C515" s="125">
        <v>37205026.379467823</v>
      </c>
      <c r="D515" s="125">
        <v>46754684.996958882</v>
      </c>
      <c r="E515" s="125">
        <v>73089304.409084648</v>
      </c>
      <c r="F515" s="123">
        <v>157049015.78551134</v>
      </c>
      <c r="G515" s="125">
        <v>0</v>
      </c>
      <c r="H515" s="125">
        <v>1581.2427362608942</v>
      </c>
      <c r="I515" s="125">
        <v>909.43513863009866</v>
      </c>
      <c r="J515" s="125">
        <v>567.17941753448167</v>
      </c>
      <c r="K515" s="125">
        <v>1078.5358553774943</v>
      </c>
      <c r="L515" s="164">
        <v>2555.1504115420748</v>
      </c>
      <c r="M515" s="125">
        <v>0</v>
      </c>
      <c r="N515" s="115">
        <v>14040</v>
      </c>
      <c r="P515" s="125">
        <v>-36284.248556819999</v>
      </c>
      <c r="Q515" s="125">
        <v>-90.308790000000002</v>
      </c>
      <c r="S515" s="125">
        <v>-4529636.7000016393</v>
      </c>
      <c r="T515" s="125">
        <v>0</v>
      </c>
      <c r="V515" s="125"/>
      <c r="W515" s="125"/>
    </row>
    <row r="516" spans="1:23">
      <c r="A516" s="121">
        <v>43725</v>
      </c>
      <c r="B516" s="125">
        <v>163737968.90657857</v>
      </c>
      <c r="C516" s="125">
        <v>36833221.900618114</v>
      </c>
      <c r="D516" s="125">
        <v>46609910.126730293</v>
      </c>
      <c r="E516" s="125">
        <v>73043240.740507737</v>
      </c>
      <c r="F516" s="123">
        <v>156486372.76785612</v>
      </c>
      <c r="G516" s="125">
        <v>-860000</v>
      </c>
      <c r="H516" s="125">
        <v>1588.6907093869445</v>
      </c>
      <c r="I516" s="125">
        <v>926.14564731819689</v>
      </c>
      <c r="J516" s="125">
        <v>570.26369047426647</v>
      </c>
      <c r="K516" s="125">
        <v>1093.3109548461916</v>
      </c>
      <c r="L516" s="164">
        <v>2589.7202926386549</v>
      </c>
      <c r="M516" s="125">
        <v>0</v>
      </c>
      <c r="N516" s="115">
        <v>14095</v>
      </c>
      <c r="P516" s="125">
        <v>-36921.60334971</v>
      </c>
      <c r="Q516" s="125">
        <v>-96.367233099999993</v>
      </c>
      <c r="S516" s="125">
        <v>-4492943.7000013795</v>
      </c>
      <c r="T516" s="125">
        <v>0</v>
      </c>
      <c r="V516" s="125"/>
      <c r="W516" s="125"/>
    </row>
    <row r="517" spans="1:23">
      <c r="A517" s="121">
        <v>43726</v>
      </c>
      <c r="B517" s="125">
        <v>164188807.6819233</v>
      </c>
      <c r="C517" s="125">
        <v>36148355.078399949</v>
      </c>
      <c r="D517" s="125">
        <v>46683472.262736566</v>
      </c>
      <c r="E517" s="125">
        <v>74434086.655207545</v>
      </c>
      <c r="F517" s="123">
        <v>157265913.99634406</v>
      </c>
      <c r="G517" s="125">
        <v>-625000</v>
      </c>
      <c r="H517" s="125">
        <v>1583.9800252229063</v>
      </c>
      <c r="I517" s="125">
        <v>917.24300806979591</v>
      </c>
      <c r="J517" s="125">
        <v>566.105561812362</v>
      </c>
      <c r="K517" s="125">
        <v>1088.3795463081078</v>
      </c>
      <c r="L517" s="164">
        <v>2571.7281161902656</v>
      </c>
      <c r="M517" s="125">
        <v>0</v>
      </c>
      <c r="N517" s="115">
        <v>14060</v>
      </c>
      <c r="P517" s="125">
        <v>-37387.258303160001</v>
      </c>
      <c r="Q517" s="125">
        <v>-101.8187238</v>
      </c>
      <c r="S517" s="125">
        <v>-4492943.7000013795</v>
      </c>
      <c r="T517" s="125">
        <v>0</v>
      </c>
      <c r="V517" s="125"/>
      <c r="W517" s="125"/>
    </row>
    <row r="518" spans="1:23">
      <c r="A518" s="121">
        <v>43727</v>
      </c>
      <c r="B518" s="125">
        <v>164298105.48699415</v>
      </c>
      <c r="C518" s="125">
        <v>36353351.881459661</v>
      </c>
      <c r="D518" s="125">
        <v>46665782.009539023</v>
      </c>
      <c r="E518" s="125">
        <v>74021745.779522613</v>
      </c>
      <c r="F518" s="123">
        <v>157040879.67052132</v>
      </c>
      <c r="G518" s="125">
        <v>-500000</v>
      </c>
      <c r="H518" s="125">
        <v>1575.8444184943771</v>
      </c>
      <c r="I518" s="125">
        <v>904.52692493836548</v>
      </c>
      <c r="J518" s="125">
        <v>568.25824430537489</v>
      </c>
      <c r="K518" s="125">
        <v>1089.2981046932964</v>
      </c>
      <c r="L518" s="164">
        <v>2562.0832739370367</v>
      </c>
      <c r="M518" s="125">
        <v>0</v>
      </c>
      <c r="N518" s="115">
        <v>14060</v>
      </c>
      <c r="P518" s="125">
        <v>-37310.355563849997</v>
      </c>
      <c r="Q518" s="125">
        <v>-107.4518628</v>
      </c>
      <c r="S518" s="125">
        <v>-4492943.7000013795</v>
      </c>
      <c r="T518" s="125">
        <v>0</v>
      </c>
      <c r="V518" s="125"/>
      <c r="W518" s="125"/>
    </row>
    <row r="519" spans="1:23">
      <c r="A519" s="121">
        <v>43728</v>
      </c>
      <c r="B519" s="125">
        <v>163526720.10263667</v>
      </c>
      <c r="C519" s="125">
        <v>36779714.086043179</v>
      </c>
      <c r="D519" s="125">
        <v>46800209.526022814</v>
      </c>
      <c r="E519" s="125">
        <v>73909997.268948182</v>
      </c>
      <c r="F519" s="123">
        <v>157489920.88101417</v>
      </c>
      <c r="G519" s="125">
        <v>0</v>
      </c>
      <c r="H519" s="125">
        <v>1568.9621055371099</v>
      </c>
      <c r="I519" s="125">
        <v>890.09824915799697</v>
      </c>
      <c r="J519" s="125">
        <v>585.74319352176303</v>
      </c>
      <c r="K519" s="125">
        <v>1099.4535160829121</v>
      </c>
      <c r="L519" s="164">
        <v>2575.2949587626717</v>
      </c>
      <c r="M519" s="125">
        <v>0</v>
      </c>
      <c r="N519" s="115">
        <v>14055</v>
      </c>
      <c r="P519" s="125">
        <v>-37703.104909720001</v>
      </c>
      <c r="Q519" s="125">
        <v>-113.04464610000001</v>
      </c>
      <c r="S519" s="125">
        <v>-4492943.7000013795</v>
      </c>
      <c r="T519" s="125">
        <v>0</v>
      </c>
      <c r="V519" s="125"/>
      <c r="W519" s="125"/>
    </row>
    <row r="520" spans="1:23">
      <c r="A520" s="121">
        <v>43731</v>
      </c>
      <c r="B520" s="125">
        <v>164300387.55727148</v>
      </c>
      <c r="C520" s="125">
        <v>38629632.926875845</v>
      </c>
      <c r="D520" s="125">
        <v>46776644.084728956</v>
      </c>
      <c r="E520" s="125">
        <v>73484355.738195837</v>
      </c>
      <c r="F520" s="123">
        <v>158890632.74980062</v>
      </c>
      <c r="G520" s="125">
        <v>0</v>
      </c>
      <c r="H520" s="125">
        <v>1553.9202586396491</v>
      </c>
      <c r="I520" s="125">
        <v>875.79229595476977</v>
      </c>
      <c r="J520" s="125">
        <v>563.99165227446133</v>
      </c>
      <c r="K520" s="125">
        <v>1099.8068986029643</v>
      </c>
      <c r="L520" s="164">
        <v>2539.5908468321954</v>
      </c>
      <c r="M520" s="125">
        <v>0</v>
      </c>
      <c r="N520" s="115">
        <v>14085</v>
      </c>
      <c r="P520" s="125">
        <v>-39180.24379</v>
      </c>
      <c r="Q520" s="125">
        <v>-130.2144165</v>
      </c>
      <c r="S520" s="125">
        <v>-4492943.7000013795</v>
      </c>
      <c r="T520" s="125">
        <v>0</v>
      </c>
      <c r="V520" s="125"/>
      <c r="W520" s="125"/>
    </row>
    <row r="521" spans="1:23">
      <c r="A521" s="121">
        <v>43732</v>
      </c>
      <c r="B521" s="125">
        <v>164203460.25648177</v>
      </c>
      <c r="C521" s="125">
        <v>37841366.746168092</v>
      </c>
      <c r="D521" s="125">
        <v>46824043.897075713</v>
      </c>
      <c r="E521" s="125">
        <v>73648927.341040671</v>
      </c>
      <c r="F521" s="123">
        <v>158314337.98428446</v>
      </c>
      <c r="G521" s="125">
        <v>0</v>
      </c>
      <c r="H521" s="125">
        <v>1551.2865831119402</v>
      </c>
      <c r="I521" s="125">
        <v>887.02719590167032</v>
      </c>
      <c r="J521" s="125">
        <v>561.7090103219532</v>
      </c>
      <c r="K521" s="125">
        <v>1113.1249106729363</v>
      </c>
      <c r="L521" s="164">
        <v>2561.8611168965599</v>
      </c>
      <c r="M521" s="125">
        <v>0</v>
      </c>
      <c r="N521" s="115">
        <v>14112.5</v>
      </c>
      <c r="P521" s="125">
        <v>-39682.729839110005</v>
      </c>
      <c r="Q521" s="125">
        <v>-136.12268326999998</v>
      </c>
      <c r="S521" s="125">
        <v>-4492943.7000013795</v>
      </c>
      <c r="T521" s="125">
        <v>0</v>
      </c>
      <c r="V521" s="125"/>
      <c r="W521" s="125"/>
    </row>
    <row r="522" spans="1:23">
      <c r="A522" s="121">
        <v>43733</v>
      </c>
      <c r="B522" s="125">
        <v>164011464.36247936</v>
      </c>
      <c r="C522" s="125">
        <v>37794398.758377418</v>
      </c>
      <c r="D522" s="125">
        <v>47469539.90424253</v>
      </c>
      <c r="E522" s="125">
        <v>73184053.626146466</v>
      </c>
      <c r="F522" s="123">
        <v>158447992.28876641</v>
      </c>
      <c r="G522" s="125">
        <v>0</v>
      </c>
      <c r="H522" s="125">
        <v>1520.5582749882024</v>
      </c>
      <c r="I522" s="125">
        <v>841.65540343618886</v>
      </c>
      <c r="J522" s="125">
        <v>561.00728305292262</v>
      </c>
      <c r="K522" s="125">
        <v>1144.0017537951167</v>
      </c>
      <c r="L522" s="164">
        <v>2546.664440284228</v>
      </c>
      <c r="M522" s="125">
        <v>0</v>
      </c>
      <c r="N522" s="115">
        <v>14150</v>
      </c>
      <c r="P522" s="125">
        <v>-40181.54436611</v>
      </c>
      <c r="Q522" s="125">
        <v>-142.153447</v>
      </c>
      <c r="S522" s="125">
        <v>-4492943.7000013795</v>
      </c>
      <c r="T522" s="125">
        <v>0</v>
      </c>
      <c r="V522" s="125"/>
      <c r="W522" s="125"/>
    </row>
    <row r="523" spans="1:23">
      <c r="A523" s="121">
        <v>43734</v>
      </c>
      <c r="B523" s="125">
        <v>164090168.34751424</v>
      </c>
      <c r="C523" s="125">
        <v>37371192.279500529</v>
      </c>
      <c r="D523" s="125">
        <v>47510256.578484781</v>
      </c>
      <c r="E523" s="125">
        <v>73423158.877852827</v>
      </c>
      <c r="F523" s="123">
        <v>158304607.73583815</v>
      </c>
      <c r="G523" s="125">
        <v>0</v>
      </c>
      <c r="H523" s="125">
        <v>1529.9890523776426</v>
      </c>
      <c r="I523" s="125">
        <v>822.04706301887245</v>
      </c>
      <c r="J523" s="125">
        <v>564.48035630303877</v>
      </c>
      <c r="K523" s="125">
        <v>1149.8066780767251</v>
      </c>
      <c r="L523" s="164">
        <v>2536.334097398636</v>
      </c>
      <c r="M523" s="125">
        <v>0</v>
      </c>
      <c r="N523" s="115">
        <v>14177.5</v>
      </c>
      <c r="P523" s="125">
        <v>-40655.744810509997</v>
      </c>
      <c r="Q523" s="125">
        <v>-148.10950702000005</v>
      </c>
      <c r="S523" s="125">
        <v>-4492943.7000013795</v>
      </c>
      <c r="T523" s="125">
        <v>0</v>
      </c>
      <c r="V523" s="125"/>
      <c r="W523" s="125"/>
    </row>
    <row r="524" spans="1:23">
      <c r="A524" s="121">
        <v>43735</v>
      </c>
      <c r="B524" s="125">
        <v>164378473.57397088</v>
      </c>
      <c r="C524" s="125">
        <v>34908631.029258169</v>
      </c>
      <c r="D524" s="125">
        <v>48122800.543570891</v>
      </c>
      <c r="E524" s="125">
        <v>72860610.527930453</v>
      </c>
      <c r="F524" s="123">
        <v>155892042.10075951</v>
      </c>
      <c r="G524" s="125">
        <v>0</v>
      </c>
      <c r="H524" s="125">
        <v>1525.073034477334</v>
      </c>
      <c r="I524" s="125">
        <v>856.75839086891676</v>
      </c>
      <c r="J524" s="125">
        <v>562.22233149084195</v>
      </c>
      <c r="K524" s="125">
        <v>1157.3974818345528</v>
      </c>
      <c r="L524" s="164">
        <v>2576.3782041943114</v>
      </c>
      <c r="M524" s="125">
        <v>0</v>
      </c>
      <c r="N524" s="115">
        <v>14165</v>
      </c>
      <c r="P524" s="125">
        <v>-41121.769064560001</v>
      </c>
      <c r="Q524" s="125">
        <v>-153.65384595</v>
      </c>
      <c r="S524" s="125">
        <v>-4492943.7000013795</v>
      </c>
      <c r="T524" s="125">
        <v>0</v>
      </c>
      <c r="V524" s="125"/>
      <c r="W524" s="125"/>
    </row>
    <row r="525" spans="1:23">
      <c r="A525" s="121">
        <v>43738</v>
      </c>
      <c r="B525" s="125">
        <v>166421768.88529015</v>
      </c>
      <c r="C525" s="125">
        <v>34316812.473315232</v>
      </c>
      <c r="D525" s="125">
        <v>48395112.788416088</v>
      </c>
      <c r="E525" s="125">
        <v>71802256.323725089</v>
      </c>
      <c r="F525" s="123">
        <v>154514181.58545643</v>
      </c>
      <c r="G525" s="125">
        <v>-1385000</v>
      </c>
      <c r="H525" s="125">
        <v>1523.7328425091557</v>
      </c>
      <c r="I525" s="125">
        <v>830.16630753409754</v>
      </c>
      <c r="J525" s="125">
        <v>565.75297992970832</v>
      </c>
      <c r="K525" s="125">
        <v>1154.2788921617698</v>
      </c>
      <c r="L525" s="164">
        <v>2550.1981796255759</v>
      </c>
      <c r="M525" s="125">
        <v>0</v>
      </c>
      <c r="N525" s="115">
        <v>14195</v>
      </c>
      <c r="O525" s="116">
        <v>3387.83</v>
      </c>
      <c r="P525" s="125">
        <v>-41990.552790560003</v>
      </c>
      <c r="Q525" s="125">
        <v>0</v>
      </c>
      <c r="S525" s="125">
        <v>-4492943.7000013795</v>
      </c>
      <c r="T525" s="125">
        <v>0</v>
      </c>
      <c r="V525" s="125"/>
      <c r="W525" s="125"/>
    </row>
    <row r="526" spans="1:23">
      <c r="A526" s="121">
        <v>43739</v>
      </c>
      <c r="B526" s="125">
        <v>165359646.90226659</v>
      </c>
      <c r="C526" s="125">
        <v>34774194.022404604</v>
      </c>
      <c r="D526" s="125">
        <v>48555425.188960709</v>
      </c>
      <c r="E526" s="125">
        <v>71991741.672158033</v>
      </c>
      <c r="F526" s="123">
        <v>155321360.88352334</v>
      </c>
      <c r="G526" s="125">
        <v>-885000</v>
      </c>
      <c r="H526" s="125">
        <v>1523.6858666814751</v>
      </c>
      <c r="I526" s="125">
        <v>820.17289875226845</v>
      </c>
      <c r="J526" s="125">
        <v>566.0333558138899</v>
      </c>
      <c r="K526" s="125">
        <v>1137.3421012815634</v>
      </c>
      <c r="L526" s="164">
        <v>2523.5483558477217</v>
      </c>
      <c r="M526" s="125">
        <v>0</v>
      </c>
      <c r="N526" s="115">
        <v>14212.5</v>
      </c>
      <c r="P526" s="125">
        <v>-35597.476980009997</v>
      </c>
      <c r="Q526" s="125">
        <v>-5.7236580099999994</v>
      </c>
      <c r="S526" s="125">
        <v>-5546251.1000013798</v>
      </c>
      <c r="T526" s="125">
        <v>0</v>
      </c>
      <c r="V526" s="125"/>
      <c r="W526" s="125"/>
    </row>
    <row r="527" spans="1:23">
      <c r="A527" s="121">
        <v>43740</v>
      </c>
      <c r="B527" s="125">
        <v>164888948.53884715</v>
      </c>
      <c r="C527" s="125">
        <v>35716352.012803346</v>
      </c>
      <c r="D527" s="125">
        <v>48391474.559297919</v>
      </c>
      <c r="E527" s="125">
        <v>73254957.013650402</v>
      </c>
      <c r="F527" s="123">
        <v>157362783.58575165</v>
      </c>
      <c r="G527" s="125">
        <v>-745000</v>
      </c>
      <c r="H527" s="125">
        <v>1506.9722199473777</v>
      </c>
      <c r="I527" s="125">
        <v>862.02304643978493</v>
      </c>
      <c r="J527" s="125">
        <v>565.70069977811909</v>
      </c>
      <c r="K527" s="125">
        <v>1135.835698100798</v>
      </c>
      <c r="L527" s="164">
        <v>2563.5594443187019</v>
      </c>
      <c r="M527" s="125">
        <v>0</v>
      </c>
      <c r="N527" s="115">
        <v>14195</v>
      </c>
      <c r="P527" s="125">
        <v>-24817.442767640001</v>
      </c>
      <c r="Q527" s="125">
        <v>-11.433362749999999</v>
      </c>
      <c r="S527" s="125">
        <v>-6564042.2500013495</v>
      </c>
      <c r="T527" s="125">
        <v>0</v>
      </c>
      <c r="V527" s="125"/>
      <c r="W527" s="125"/>
    </row>
    <row r="528" spans="1:23">
      <c r="A528" s="121">
        <v>43741</v>
      </c>
      <c r="B528" s="125">
        <v>164510219.17125925</v>
      </c>
      <c r="C528" s="125">
        <v>36099464.817812599</v>
      </c>
      <c r="D528" s="125">
        <v>48133346.498700581</v>
      </c>
      <c r="E528" s="125">
        <v>73531192.048453882</v>
      </c>
      <c r="F528" s="123">
        <v>157764003.36496705</v>
      </c>
      <c r="G528" s="125">
        <v>-745000</v>
      </c>
      <c r="H528" s="125">
        <v>1508.7169661659766</v>
      </c>
      <c r="I528" s="125">
        <v>860.22575553708566</v>
      </c>
      <c r="J528" s="125">
        <v>572.55359816253576</v>
      </c>
      <c r="K528" s="125">
        <v>1134.3244439888238</v>
      </c>
      <c r="L528" s="164">
        <v>2567.1037976884454</v>
      </c>
      <c r="M528" s="125">
        <v>0</v>
      </c>
      <c r="N528" s="115">
        <v>14172.5</v>
      </c>
      <c r="P528" s="125">
        <v>-25251.661599989999</v>
      </c>
      <c r="Q528" s="125">
        <v>-17.123072789999998</v>
      </c>
      <c r="S528" s="125">
        <v>-6564042.2500013495</v>
      </c>
      <c r="T528" s="125">
        <v>0</v>
      </c>
      <c r="V528" s="125"/>
      <c r="W528" s="125"/>
    </row>
    <row r="529" spans="1:23">
      <c r="A529" s="121">
        <v>43742</v>
      </c>
      <c r="B529" s="125">
        <v>164138349.16588739</v>
      </c>
      <c r="C529" s="125">
        <v>34695035.455670238</v>
      </c>
      <c r="D529" s="125">
        <v>48083599.262748301</v>
      </c>
      <c r="E529" s="125">
        <v>72653121.19060649</v>
      </c>
      <c r="F529" s="123">
        <v>155431755.90902501</v>
      </c>
      <c r="G529" s="125">
        <v>-745000</v>
      </c>
      <c r="H529" s="125">
        <v>1515.2053269890187</v>
      </c>
      <c r="I529" s="125">
        <v>863.20246065257061</v>
      </c>
      <c r="J529" s="125">
        <v>569.85696764340207</v>
      </c>
      <c r="K529" s="125">
        <v>1132.7751119257232</v>
      </c>
      <c r="L529" s="164">
        <v>2565.834540221696</v>
      </c>
      <c r="M529" s="125">
        <v>0</v>
      </c>
      <c r="N529" s="115">
        <v>14135</v>
      </c>
      <c r="P529" s="125">
        <v>-25683.37215648</v>
      </c>
      <c r="Q529" s="125">
        <v>-22.7700715</v>
      </c>
      <c r="S529" s="125">
        <v>-6564042.2500013495</v>
      </c>
      <c r="T529" s="125">
        <v>0</v>
      </c>
      <c r="V529" s="125"/>
      <c r="W529" s="125"/>
    </row>
    <row r="530" spans="1:23">
      <c r="A530" s="121">
        <v>43745</v>
      </c>
      <c r="B530" s="125">
        <v>163796840.46016282</v>
      </c>
      <c r="C530" s="125">
        <v>38747549.183292829</v>
      </c>
      <c r="D530" s="125">
        <v>47633826.977936156</v>
      </c>
      <c r="E530" s="125">
        <v>72415208.463064626</v>
      </c>
      <c r="F530" s="123">
        <v>158796584.62429363</v>
      </c>
      <c r="G530" s="125">
        <v>-745000</v>
      </c>
      <c r="H530" s="125">
        <v>1527.5413612559216</v>
      </c>
      <c r="I530" s="125">
        <v>847.15945597209839</v>
      </c>
      <c r="J530" s="125">
        <v>570.12506085444534</v>
      </c>
      <c r="K530" s="125">
        <v>1133.9802999876874</v>
      </c>
      <c r="L530" s="164">
        <v>2551.2648168142314</v>
      </c>
      <c r="M530" s="125">
        <v>0</v>
      </c>
      <c r="N530" s="115">
        <v>14162.5</v>
      </c>
      <c r="P530" s="125">
        <v>-11611.631047930001</v>
      </c>
      <c r="Q530" s="125">
        <v>-39.925220510000003</v>
      </c>
      <c r="S530" s="125">
        <v>-6564042.2500013495</v>
      </c>
      <c r="T530" s="125">
        <v>0</v>
      </c>
      <c r="V530" s="125"/>
      <c r="W530" s="125"/>
    </row>
    <row r="531" spans="1:23">
      <c r="A531" s="121">
        <v>43746</v>
      </c>
      <c r="B531" s="125">
        <v>164116948.09893072</v>
      </c>
      <c r="C531" s="125">
        <v>38234524.526821099</v>
      </c>
      <c r="D531" s="125">
        <v>47730222.278983094</v>
      </c>
      <c r="E531" s="125">
        <v>73002445.332760677</v>
      </c>
      <c r="F531" s="123">
        <v>158967192.13856488</v>
      </c>
      <c r="G531" s="125">
        <v>0</v>
      </c>
      <c r="H531" s="125">
        <v>1534.2463619855089</v>
      </c>
      <c r="I531" s="125">
        <v>859.82503986087522</v>
      </c>
      <c r="J531" s="125">
        <v>569.71235763887421</v>
      </c>
      <c r="K531" s="125">
        <v>1132.0165649588623</v>
      </c>
      <c r="L531" s="164">
        <v>2561.5539624586117</v>
      </c>
      <c r="M531" s="125">
        <v>0</v>
      </c>
      <c r="N531" s="115">
        <v>14155</v>
      </c>
      <c r="P531" s="125">
        <v>-10890.83189849</v>
      </c>
      <c r="Q531" s="125">
        <v>-45.604720550000003</v>
      </c>
      <c r="S531" s="125">
        <v>-6564042.2500013495</v>
      </c>
      <c r="T531" s="125">
        <v>0</v>
      </c>
      <c r="V531" s="125"/>
      <c r="W531" s="125"/>
    </row>
    <row r="532" spans="1:23">
      <c r="A532" s="121">
        <v>43747</v>
      </c>
      <c r="B532" s="125">
        <v>163819034.40173364</v>
      </c>
      <c r="C532" s="125">
        <v>36586141.910135843</v>
      </c>
      <c r="D532" s="125">
        <v>47688985.125937834</v>
      </c>
      <c r="E532" s="125">
        <v>72778254.609520093</v>
      </c>
      <c r="F532" s="123">
        <v>157053381.64559376</v>
      </c>
      <c r="G532" s="125">
        <v>0</v>
      </c>
      <c r="H532" s="125">
        <v>1531.2824078374715</v>
      </c>
      <c r="I532" s="125">
        <v>850.1418693669242</v>
      </c>
      <c r="J532" s="125">
        <v>569.68951757733907</v>
      </c>
      <c r="K532" s="125">
        <v>1134.1219154100461</v>
      </c>
      <c r="L532" s="164">
        <v>2553.953302354309</v>
      </c>
      <c r="M532" s="125">
        <v>0</v>
      </c>
      <c r="N532" s="115">
        <v>14170</v>
      </c>
      <c r="P532" s="125">
        <v>-6731.4950840700003</v>
      </c>
      <c r="Q532" s="125">
        <v>-51.359590099999991</v>
      </c>
      <c r="S532" s="125">
        <v>-4457023.0500013493</v>
      </c>
      <c r="T532" s="125">
        <v>0</v>
      </c>
      <c r="V532" s="125"/>
      <c r="W532" s="125"/>
    </row>
    <row r="533" spans="1:23">
      <c r="A533" s="121">
        <v>43748</v>
      </c>
      <c r="B533" s="125">
        <v>163882288.26374471</v>
      </c>
      <c r="C533" s="125">
        <v>36345301.557801276</v>
      </c>
      <c r="D533" s="125">
        <v>47777488.262305394</v>
      </c>
      <c r="E533" s="125">
        <v>72723845.322216451</v>
      </c>
      <c r="F533" s="123">
        <v>156846635.14232314</v>
      </c>
      <c r="G533" s="125">
        <v>0</v>
      </c>
      <c r="H533" s="125">
        <v>1506.4174507165128</v>
      </c>
      <c r="I533" s="125">
        <v>885.88656851749647</v>
      </c>
      <c r="J533" s="125">
        <v>565.09965900064662</v>
      </c>
      <c r="K533" s="125">
        <v>1148.4343276512357</v>
      </c>
      <c r="L533" s="164">
        <v>2599.4205551693785</v>
      </c>
      <c r="M533" s="125">
        <v>0</v>
      </c>
      <c r="N533" s="115">
        <v>14151.5</v>
      </c>
      <c r="P533" s="125">
        <v>-1525.6143903000002</v>
      </c>
      <c r="Q533" s="125">
        <v>-56.966580229999991</v>
      </c>
      <c r="S533" s="125">
        <v>-4457023.0500013493</v>
      </c>
      <c r="T533" s="125">
        <v>0</v>
      </c>
      <c r="V533" s="125"/>
      <c r="W533" s="125"/>
    </row>
    <row r="534" spans="1:23">
      <c r="A534" s="121">
        <v>43749</v>
      </c>
      <c r="B534" s="125">
        <v>163754612.87958881</v>
      </c>
      <c r="C534" s="125">
        <v>36722973.117304236</v>
      </c>
      <c r="D534" s="125">
        <v>47843918.391759932</v>
      </c>
      <c r="E534" s="125">
        <v>72545215.349309012</v>
      </c>
      <c r="F534" s="123">
        <v>157112106.85837317</v>
      </c>
      <c r="G534" s="125">
        <v>0</v>
      </c>
      <c r="H534" s="125">
        <v>1509.3309758641353</v>
      </c>
      <c r="I534" s="125">
        <v>871.30017266060304</v>
      </c>
      <c r="J534" s="125">
        <v>564.07321508888663</v>
      </c>
      <c r="K534" s="125">
        <v>1146.1551199216096</v>
      </c>
      <c r="L534" s="164">
        <v>2581.5285076710993</v>
      </c>
      <c r="M534" s="125">
        <v>0</v>
      </c>
      <c r="N534" s="115">
        <v>14128</v>
      </c>
      <c r="P534" s="125">
        <v>-1599.9930815399998</v>
      </c>
      <c r="Q534" s="125">
        <v>-62.536179200000007</v>
      </c>
      <c r="S534" s="125">
        <v>-4457023.0500013493</v>
      </c>
      <c r="T534" s="125">
        <v>0</v>
      </c>
      <c r="V534" s="125"/>
      <c r="W534" s="125"/>
    </row>
    <row r="535" spans="1:23">
      <c r="A535" s="121">
        <v>43752</v>
      </c>
      <c r="B535" s="125">
        <v>164325155.49085063</v>
      </c>
      <c r="C535" s="125">
        <v>38508070.197140746</v>
      </c>
      <c r="D535" s="125">
        <v>47726893.694533132</v>
      </c>
      <c r="E535" s="125">
        <v>72228778.075687468</v>
      </c>
      <c r="F535" s="123">
        <v>158463741.96736133</v>
      </c>
      <c r="G535" s="125">
        <v>0</v>
      </c>
      <c r="H535" s="125">
        <v>1508.4552633306664</v>
      </c>
      <c r="I535" s="125">
        <v>892.79355457573308</v>
      </c>
      <c r="J535" s="125">
        <v>564.53441853996014</v>
      </c>
      <c r="K535" s="125">
        <v>1122.6409644305199</v>
      </c>
      <c r="L535" s="164">
        <v>2579.9689375462131</v>
      </c>
      <c r="M535" s="125">
        <v>0</v>
      </c>
      <c r="N535" s="115">
        <v>14139</v>
      </c>
      <c r="P535" s="125">
        <v>-1842.0064954599998</v>
      </c>
      <c r="Q535" s="125">
        <v>-79.591541579999998</v>
      </c>
      <c r="S535" s="125">
        <v>-4457023.0500013493</v>
      </c>
      <c r="T535" s="125">
        <v>0</v>
      </c>
      <c r="V535" s="125"/>
      <c r="W535" s="125"/>
    </row>
    <row r="536" spans="1:23">
      <c r="A536" s="121">
        <v>43753</v>
      </c>
      <c r="B536" s="125">
        <v>164302913.63669476</v>
      </c>
      <c r="C536" s="125">
        <v>38345190.458854295</v>
      </c>
      <c r="D536" s="125">
        <v>47799909.926091135</v>
      </c>
      <c r="E536" s="125">
        <v>72018805.814406499</v>
      </c>
      <c r="F536" s="123">
        <v>158163906.19935191</v>
      </c>
      <c r="G536" s="125">
        <v>0</v>
      </c>
      <c r="H536" s="125">
        <v>1535.7041702324077</v>
      </c>
      <c r="I536" s="125">
        <v>919.42642843581666</v>
      </c>
      <c r="J536" s="125">
        <v>564.1021107994635</v>
      </c>
      <c r="K536" s="125">
        <v>1127.7062574412689</v>
      </c>
      <c r="L536" s="164">
        <v>2611.2347966765492</v>
      </c>
      <c r="M536" s="125">
        <v>0</v>
      </c>
      <c r="N536" s="115">
        <v>14165</v>
      </c>
      <c r="P536" s="125">
        <v>-1929.9328031000005</v>
      </c>
      <c r="Q536" s="125">
        <v>-85.417074749999983</v>
      </c>
      <c r="S536" s="125">
        <v>-3023714.5500013502</v>
      </c>
      <c r="T536" s="125">
        <v>0</v>
      </c>
      <c r="V536" s="125"/>
      <c r="W536" s="125"/>
    </row>
    <row r="537" spans="1:23">
      <c r="A537" s="121">
        <v>43754</v>
      </c>
      <c r="B537" s="125">
        <v>163748772.24992916</v>
      </c>
      <c r="C537" s="125">
        <v>38142677.039887801</v>
      </c>
      <c r="D537" s="125">
        <v>47987149.697536103</v>
      </c>
      <c r="E537" s="125">
        <v>72809815.81438455</v>
      </c>
      <c r="F537" s="123">
        <v>158939642.55180845</v>
      </c>
      <c r="G537" s="125">
        <v>0</v>
      </c>
      <c r="H537" s="125">
        <v>1538.5950652081392</v>
      </c>
      <c r="I537" s="125">
        <v>930.66886890319961</v>
      </c>
      <c r="J537" s="125">
        <v>564.07130920639383</v>
      </c>
      <c r="K537" s="125">
        <v>1214.0134111412383</v>
      </c>
      <c r="L537" s="164">
        <v>2708.7535892508317</v>
      </c>
      <c r="M537" s="125">
        <v>0</v>
      </c>
      <c r="N537" s="115">
        <v>14169</v>
      </c>
      <c r="P537" s="125">
        <v>-1436.9865031200002</v>
      </c>
      <c r="Q537" s="125">
        <v>-91.12197252</v>
      </c>
      <c r="S537" s="125">
        <v>-3023714.5500013502</v>
      </c>
      <c r="T537" s="125">
        <v>0</v>
      </c>
      <c r="V537" s="125"/>
      <c r="W537" s="125"/>
    </row>
    <row r="538" spans="1:23">
      <c r="A538" s="121">
        <v>43755</v>
      </c>
      <c r="B538" s="125">
        <v>163696820.86103964</v>
      </c>
      <c r="C538" s="125">
        <v>38471859.223643228</v>
      </c>
      <c r="D538" s="125">
        <v>48055104.892038606</v>
      </c>
      <c r="E538" s="125">
        <v>72561658.214268148</v>
      </c>
      <c r="F538" s="123">
        <v>159088622.32994998</v>
      </c>
      <c r="G538" s="125">
        <v>0</v>
      </c>
      <c r="H538" s="125">
        <v>1506.5714995559667</v>
      </c>
      <c r="I538" s="125">
        <v>959.03227496132558</v>
      </c>
      <c r="J538" s="125">
        <v>565.34959795713462</v>
      </c>
      <c r="K538" s="125">
        <v>1211.1073667424248</v>
      </c>
      <c r="L538" s="164">
        <v>2735.4892396608848</v>
      </c>
      <c r="M538" s="125">
        <v>0</v>
      </c>
      <c r="N538" s="115">
        <v>14148</v>
      </c>
      <c r="P538" s="125">
        <v>-1502.9071887299997</v>
      </c>
      <c r="Q538" s="125">
        <v>-96.659277480000014</v>
      </c>
      <c r="S538" s="125">
        <v>-3023714.5500013502</v>
      </c>
      <c r="T538" s="125">
        <v>0</v>
      </c>
      <c r="V538" s="125"/>
      <c r="W538" s="125"/>
    </row>
    <row r="539" spans="1:23">
      <c r="A539" s="121">
        <v>43756</v>
      </c>
      <c r="B539" s="125">
        <v>163694684.5032953</v>
      </c>
      <c r="C539" s="125">
        <v>38289658.237356566</v>
      </c>
      <c r="D539" s="125">
        <v>48172064.400254592</v>
      </c>
      <c r="E539" s="125">
        <v>72830971.648499355</v>
      </c>
      <c r="F539" s="123">
        <v>159292694.28611052</v>
      </c>
      <c r="G539" s="125">
        <v>0</v>
      </c>
      <c r="H539" s="125">
        <v>1503.2802256390473</v>
      </c>
      <c r="I539" s="125">
        <v>935.46620267663502</v>
      </c>
      <c r="J539" s="125">
        <v>559.74761580022357</v>
      </c>
      <c r="K539" s="125">
        <v>1211.8624646721714</v>
      </c>
      <c r="L539" s="164">
        <v>2707.0762831490301</v>
      </c>
      <c r="M539" s="125">
        <v>0</v>
      </c>
      <c r="N539" s="115">
        <v>14144.5</v>
      </c>
      <c r="P539" s="125">
        <v>-1564.6915381899998</v>
      </c>
      <c r="Q539" s="125">
        <v>-102.29811603</v>
      </c>
      <c r="S539" s="125">
        <v>-3023714.5500013502</v>
      </c>
      <c r="T539" s="125">
        <v>0</v>
      </c>
      <c r="V539" s="125"/>
      <c r="W539" s="125"/>
    </row>
    <row r="540" spans="1:23">
      <c r="A540" s="121">
        <v>43759</v>
      </c>
      <c r="B540" s="125">
        <v>164421000.88882545</v>
      </c>
      <c r="C540" s="125">
        <v>39768743.32339903</v>
      </c>
      <c r="D540" s="125">
        <v>48000840.605295613</v>
      </c>
      <c r="E540" s="125">
        <v>72404208.361658469</v>
      </c>
      <c r="F540" s="123">
        <v>160173792.29035312</v>
      </c>
      <c r="G540" s="125">
        <v>0</v>
      </c>
      <c r="H540" s="125">
        <v>1503.2746042297595</v>
      </c>
      <c r="I540" s="125">
        <v>909.69674148925003</v>
      </c>
      <c r="J540" s="125">
        <v>568.12128636111572</v>
      </c>
      <c r="K540" s="125">
        <v>1201.7124837007843</v>
      </c>
      <c r="L540" s="164">
        <v>2679.5305115511501</v>
      </c>
      <c r="M540" s="125">
        <v>0</v>
      </c>
      <c r="N540" s="115">
        <v>14078</v>
      </c>
      <c r="P540" s="125">
        <v>-1121.54733822</v>
      </c>
      <c r="Q540" s="125">
        <v>-118.74891546000001</v>
      </c>
      <c r="S540" s="125">
        <v>-3023714.5500013502</v>
      </c>
      <c r="T540" s="125">
        <v>0</v>
      </c>
      <c r="V540" s="125"/>
      <c r="W540" s="125"/>
    </row>
    <row r="541" spans="1:23">
      <c r="A541" s="121">
        <v>43760</v>
      </c>
      <c r="B541" s="125">
        <v>164580402.34083235</v>
      </c>
      <c r="C541" s="125">
        <v>39007863.493772462</v>
      </c>
      <c r="D541" s="125">
        <v>47927038.243534699</v>
      </c>
      <c r="E541" s="125">
        <v>73126838.49313207</v>
      </c>
      <c r="F541" s="123">
        <v>160061740.23043925</v>
      </c>
      <c r="G541" s="125">
        <v>0</v>
      </c>
      <c r="H541" s="125">
        <v>1515.7498115269614</v>
      </c>
      <c r="I541" s="125">
        <v>926.51223628282571</v>
      </c>
      <c r="J541" s="125">
        <v>569.01658696569586</v>
      </c>
      <c r="K541" s="125">
        <v>1202.0850051962916</v>
      </c>
      <c r="L541" s="164">
        <v>2697.6138284448134</v>
      </c>
      <c r="M541" s="125">
        <v>0</v>
      </c>
      <c r="N541" s="115">
        <v>14040</v>
      </c>
      <c r="P541" s="125">
        <v>-1161.4863321</v>
      </c>
      <c r="Q541" s="125">
        <v>-124.05701880000001</v>
      </c>
      <c r="S541" s="125">
        <v>-3023714.5500013502</v>
      </c>
      <c r="T541" s="125">
        <v>0</v>
      </c>
      <c r="V541" s="125"/>
      <c r="W541" s="125"/>
    </row>
    <row r="542" spans="1:23">
      <c r="A542" s="121">
        <v>43761</v>
      </c>
      <c r="B542" s="125">
        <v>163932125.90075028</v>
      </c>
      <c r="C542" s="125">
        <v>38940319.206898183</v>
      </c>
      <c r="D542" s="125">
        <v>48190454.434443966</v>
      </c>
      <c r="E542" s="125">
        <v>73390452.726407304</v>
      </c>
      <c r="F542" s="123">
        <v>160521226.36774945</v>
      </c>
      <c r="G542" s="125">
        <v>0</v>
      </c>
      <c r="H542" s="125">
        <v>1504.1371205275975</v>
      </c>
      <c r="I542" s="125">
        <v>916.96373002307064</v>
      </c>
      <c r="J542" s="125">
        <v>568.14868645739693</v>
      </c>
      <c r="K542" s="125">
        <v>1197.1174526923926</v>
      </c>
      <c r="L542" s="164">
        <v>2682.2298691728602</v>
      </c>
      <c r="M542" s="125">
        <v>0</v>
      </c>
      <c r="N542" s="115">
        <v>14030</v>
      </c>
      <c r="P542" s="125">
        <v>-1205.4801524599998</v>
      </c>
      <c r="Q542" s="125">
        <v>-129.5931458</v>
      </c>
      <c r="S542" s="125">
        <v>-4470505.0500013493</v>
      </c>
      <c r="T542" s="125">
        <v>0</v>
      </c>
      <c r="V542" s="125"/>
      <c r="W542" s="125"/>
    </row>
    <row r="543" spans="1:23">
      <c r="A543" s="121">
        <v>43762</v>
      </c>
      <c r="B543" s="125">
        <v>164037554.48230878</v>
      </c>
      <c r="C543" s="125">
        <v>38027618.430878729</v>
      </c>
      <c r="D543" s="125">
        <v>48319042.485299759</v>
      </c>
      <c r="E543" s="125">
        <v>73428069.778108165</v>
      </c>
      <c r="F543" s="123">
        <v>159774730.69428664</v>
      </c>
      <c r="G543" s="125">
        <v>0</v>
      </c>
      <c r="H543" s="125">
        <v>1502.6533348162636</v>
      </c>
      <c r="I543" s="125">
        <v>918.02841455621797</v>
      </c>
      <c r="J543" s="125">
        <v>571.61437409503151</v>
      </c>
      <c r="K543" s="125">
        <v>1206.5382648396194</v>
      </c>
      <c r="L543" s="164">
        <v>2696.1810534908691</v>
      </c>
      <c r="M543" s="125">
        <v>0</v>
      </c>
      <c r="N543" s="115">
        <v>14059</v>
      </c>
      <c r="P543" s="125">
        <v>-1248.9379052099998</v>
      </c>
      <c r="Q543" s="125">
        <v>-135.49740843000001</v>
      </c>
      <c r="S543" s="125">
        <v>-4470505.0500013493</v>
      </c>
      <c r="T543" s="125">
        <v>0</v>
      </c>
      <c r="V543" s="125"/>
      <c r="W543" s="125"/>
    </row>
    <row r="544" spans="1:23">
      <c r="A544" s="121">
        <v>43763</v>
      </c>
      <c r="B544" s="125">
        <v>163938155.89279929</v>
      </c>
      <c r="C544" s="125">
        <v>36227246.305304438</v>
      </c>
      <c r="D544" s="125">
        <v>49299419.683474459</v>
      </c>
      <c r="E544" s="125">
        <v>73304610.704212517</v>
      </c>
      <c r="F544" s="123">
        <v>158831276.69299141</v>
      </c>
      <c r="G544" s="125">
        <v>0</v>
      </c>
      <c r="H544" s="125">
        <v>1500.51856950058</v>
      </c>
      <c r="I544" s="125">
        <v>906.57718829354644</v>
      </c>
      <c r="J544" s="125">
        <v>573.53141068131902</v>
      </c>
      <c r="K544" s="125">
        <v>1205.3991677602839</v>
      </c>
      <c r="L544" s="164">
        <v>2685.5077667351493</v>
      </c>
      <c r="M544" s="125">
        <v>0</v>
      </c>
      <c r="N544" s="115">
        <v>14035</v>
      </c>
      <c r="P544" s="125">
        <v>-1289.2449378100005</v>
      </c>
      <c r="Q544" s="125">
        <v>-140.89273344999998</v>
      </c>
      <c r="S544" s="125">
        <v>-4470505.0500013493</v>
      </c>
      <c r="T544" s="125">
        <v>0</v>
      </c>
      <c r="V544" s="125"/>
      <c r="W544" s="125"/>
    </row>
    <row r="545" spans="1:27">
      <c r="A545" s="121">
        <v>43766</v>
      </c>
      <c r="B545" s="125">
        <v>163719888.01320437</v>
      </c>
      <c r="C545" s="125">
        <v>38248758.4483492</v>
      </c>
      <c r="D545" s="125">
        <v>49538970.611004792</v>
      </c>
      <c r="E545" s="125">
        <v>72710781.323570967</v>
      </c>
      <c r="F545" s="123">
        <v>160498510.38292497</v>
      </c>
      <c r="G545" s="125">
        <v>0</v>
      </c>
      <c r="H545" s="125">
        <v>1512.7787216830397</v>
      </c>
      <c r="I545" s="125">
        <v>911.09243040266824</v>
      </c>
      <c r="J545" s="125">
        <v>576.56656313217741</v>
      </c>
      <c r="K545" s="125">
        <v>1193.4165129072705</v>
      </c>
      <c r="L545" s="164">
        <v>2681.0755064421164</v>
      </c>
      <c r="M545" s="125">
        <v>0</v>
      </c>
      <c r="N545" s="115">
        <v>14025</v>
      </c>
      <c r="P545" s="125">
        <v>-1370.5481612900003</v>
      </c>
      <c r="Q545" s="125">
        <v>-157.66021425</v>
      </c>
      <c r="S545" s="125">
        <v>-4470505.0500013493</v>
      </c>
      <c r="T545" s="125">
        <v>0</v>
      </c>
      <c r="V545" s="125"/>
      <c r="W545" s="125"/>
    </row>
    <row r="546" spans="1:27">
      <c r="A546" s="121">
        <v>43767</v>
      </c>
      <c r="B546" s="125">
        <v>163781526.46331427</v>
      </c>
      <c r="C546" s="125">
        <v>38070509.892161809</v>
      </c>
      <c r="D546" s="125">
        <v>49412628.464744665</v>
      </c>
      <c r="E546" s="125">
        <v>73099197.971310422</v>
      </c>
      <c r="F546" s="123">
        <v>160582336.32821691</v>
      </c>
      <c r="G546" s="125">
        <v>0</v>
      </c>
      <c r="H546" s="125">
        <v>1513.3165023210304</v>
      </c>
      <c r="I546" s="125">
        <v>892.1825526627623</v>
      </c>
      <c r="J546" s="125">
        <v>578.21124484421466</v>
      </c>
      <c r="K546" s="125">
        <v>1207.3191396864484</v>
      </c>
      <c r="L546" s="164">
        <v>2677.7129371934252</v>
      </c>
      <c r="M546" s="125">
        <v>-15</v>
      </c>
      <c r="N546" s="115">
        <v>14025</v>
      </c>
      <c r="P546" s="125">
        <v>-1385.3086704099999</v>
      </c>
      <c r="Q546" s="125">
        <v>-173.56793024999999</v>
      </c>
      <c r="S546" s="125">
        <v>-2464581.6500013503</v>
      </c>
      <c r="T546" s="125">
        <v>0</v>
      </c>
      <c r="V546" s="125"/>
      <c r="W546" s="125"/>
    </row>
    <row r="547" spans="1:27">
      <c r="A547" s="121">
        <v>43768</v>
      </c>
      <c r="B547" s="125">
        <v>163761379.30261126</v>
      </c>
      <c r="C547" s="125">
        <v>37146784.150774464</v>
      </c>
      <c r="D547" s="125">
        <v>49686867.667446204</v>
      </c>
      <c r="E547" s="125">
        <v>73797645.769064501</v>
      </c>
      <c r="F547" s="123">
        <v>160631297.58728516</v>
      </c>
      <c r="G547" s="125">
        <v>0</v>
      </c>
      <c r="H547" s="125">
        <v>1513.116206402018</v>
      </c>
      <c r="I547" s="125">
        <v>860.35658498308817</v>
      </c>
      <c r="J547" s="125">
        <v>566.99109008844152</v>
      </c>
      <c r="K547" s="125">
        <v>1210.9119672885934</v>
      </c>
      <c r="L547" s="164">
        <v>2638.2596423601231</v>
      </c>
      <c r="M547" s="125">
        <v>0</v>
      </c>
      <c r="N547" s="115">
        <v>14027</v>
      </c>
      <c r="P547" s="125">
        <v>-1429.6229193600002</v>
      </c>
      <c r="Q547" s="125">
        <v>-168.98509250999999</v>
      </c>
      <c r="S547" s="125">
        <v>-2446587.50000135</v>
      </c>
      <c r="T547" s="125">
        <v>0</v>
      </c>
      <c r="V547" s="125"/>
      <c r="W547" s="125"/>
    </row>
    <row r="548" spans="1:27">
      <c r="A548" s="121">
        <v>43769</v>
      </c>
      <c r="B548" s="125">
        <v>164919982.7874946</v>
      </c>
      <c r="C548" s="125">
        <v>35098622.740404308</v>
      </c>
      <c r="D548" s="125">
        <v>50164151.460231192</v>
      </c>
      <c r="E548" s="125">
        <v>74184293.314419463</v>
      </c>
      <c r="F548" s="123">
        <v>159447067.51505494</v>
      </c>
      <c r="G548" s="125">
        <v>0</v>
      </c>
      <c r="H548" s="125">
        <v>1543.0044578225009</v>
      </c>
      <c r="I548" s="125">
        <v>854.27816035854778</v>
      </c>
      <c r="J548" s="125">
        <v>565.17945892895989</v>
      </c>
      <c r="K548" s="125">
        <v>1219.5493192986335</v>
      </c>
      <c r="L548" s="164">
        <v>2639.0069385861411</v>
      </c>
      <c r="M548" s="125">
        <v>0</v>
      </c>
      <c r="N548" s="115">
        <v>14037</v>
      </c>
      <c r="O548" s="116">
        <v>3363.3649999999998</v>
      </c>
      <c r="P548" s="125">
        <v>-664.40413052999986</v>
      </c>
      <c r="Q548" s="125">
        <v>0</v>
      </c>
      <c r="S548" s="125">
        <v>-2446587.50000135</v>
      </c>
      <c r="T548" s="125">
        <v>0</v>
      </c>
      <c r="V548" s="125"/>
      <c r="W548" s="125"/>
    </row>
    <row r="549" spans="1:27">
      <c r="A549" s="121">
        <v>43770</v>
      </c>
      <c r="B549" s="125">
        <v>163914396.71951041</v>
      </c>
      <c r="C549" s="125">
        <v>35154835.22432331</v>
      </c>
      <c r="D549" s="125">
        <v>51702258.47748293</v>
      </c>
      <c r="E549" s="125">
        <v>73790527.922872335</v>
      </c>
      <c r="F549" s="123">
        <v>160647621.62467858</v>
      </c>
      <c r="G549" s="125">
        <v>0</v>
      </c>
      <c r="H549" s="125">
        <v>1530.7934282003059</v>
      </c>
      <c r="I549" s="125">
        <v>843.28798427372283</v>
      </c>
      <c r="J549" s="125">
        <v>562.66440425060375</v>
      </c>
      <c r="K549" s="125">
        <v>1370.3145544241406</v>
      </c>
      <c r="L549" s="164">
        <v>2776.2669429484672</v>
      </c>
      <c r="M549" s="125">
        <v>0</v>
      </c>
      <c r="N549" s="115">
        <v>14035</v>
      </c>
      <c r="P549" s="125">
        <v>-718.54863534000003</v>
      </c>
      <c r="Q549" s="125">
        <v>-5.6504909999999997</v>
      </c>
      <c r="S549" s="125">
        <v>-3510305.9000013503</v>
      </c>
      <c r="T549" s="125">
        <v>0</v>
      </c>
      <c r="V549" s="125"/>
      <c r="W549" s="125"/>
      <c r="Z549" s="128"/>
      <c r="AA549" s="135"/>
    </row>
    <row r="550" spans="1:27">
      <c r="A550" s="121">
        <v>43773</v>
      </c>
      <c r="B550" s="125">
        <v>163459372.9145689</v>
      </c>
      <c r="C550" s="125">
        <v>38381521.818520375</v>
      </c>
      <c r="D550" s="125">
        <v>49836313.482595578</v>
      </c>
      <c r="E550" s="125">
        <v>74738371.349634051</v>
      </c>
      <c r="F550" s="123">
        <v>162956206.65075001</v>
      </c>
      <c r="G550" s="125">
        <v>0</v>
      </c>
      <c r="H550" s="125">
        <v>1531.3060740301557</v>
      </c>
      <c r="I550" s="125">
        <v>869.91827114624311</v>
      </c>
      <c r="J550" s="125">
        <v>562.37195969073321</v>
      </c>
      <c r="K550" s="125">
        <v>1360.1818473024721</v>
      </c>
      <c r="L550" s="164">
        <v>2792.4720781394481</v>
      </c>
      <c r="M550" s="125">
        <v>0</v>
      </c>
      <c r="N550" s="115">
        <v>14015</v>
      </c>
      <c r="P550" s="125">
        <v>-757.22824901000013</v>
      </c>
      <c r="Q550" s="125">
        <v>-22.569755999999995</v>
      </c>
      <c r="S550" s="125">
        <v>-3510305.9000013503</v>
      </c>
      <c r="T550" s="125">
        <v>0</v>
      </c>
      <c r="V550" s="125"/>
      <c r="W550" s="125"/>
      <c r="Z550" s="128"/>
      <c r="AA550" s="135"/>
    </row>
    <row r="551" spans="1:27">
      <c r="A551" s="121">
        <v>43774</v>
      </c>
      <c r="B551" s="125">
        <v>163140267.29908922</v>
      </c>
      <c r="C551" s="125">
        <v>37562802.055298783</v>
      </c>
      <c r="D551" s="125">
        <v>49599921.779340222</v>
      </c>
      <c r="E551" s="125">
        <v>75688127.29215844</v>
      </c>
      <c r="F551" s="123">
        <v>162850851.12679744</v>
      </c>
      <c r="G551" s="125">
        <v>0</v>
      </c>
      <c r="H551" s="125">
        <v>1530.3734007544049</v>
      </c>
      <c r="I551" s="125">
        <v>889.05003760936984</v>
      </c>
      <c r="J551" s="125">
        <v>564.05599105739543</v>
      </c>
      <c r="K551" s="125">
        <v>1378.3086179513084</v>
      </c>
      <c r="L551" s="164">
        <v>2831.4146466180737</v>
      </c>
      <c r="M551" s="125">
        <v>0</v>
      </c>
      <c r="N551" s="115">
        <v>13967.5</v>
      </c>
      <c r="P551" s="125">
        <v>-551.95457721999969</v>
      </c>
      <c r="Q551" s="125">
        <v>-28.116577510000003</v>
      </c>
      <c r="S551" s="125">
        <v>-3510305.9000013503</v>
      </c>
      <c r="T551" s="125">
        <v>0</v>
      </c>
      <c r="V551" s="125"/>
      <c r="W551" s="125"/>
      <c r="Z551" s="128"/>
      <c r="AA551" s="135"/>
    </row>
    <row r="552" spans="1:27">
      <c r="A552" s="121">
        <v>43775</v>
      </c>
      <c r="B552" s="125">
        <v>162977109.81221089</v>
      </c>
      <c r="C552" s="125">
        <v>37782924.427885689</v>
      </c>
      <c r="D552" s="125">
        <v>49490504.877418339</v>
      </c>
      <c r="E552" s="125">
        <v>75899530.581424728</v>
      </c>
      <c r="F552" s="123">
        <v>163172959.88672876</v>
      </c>
      <c r="G552" s="125">
        <v>0</v>
      </c>
      <c r="H552" s="125">
        <v>1530.8328767041892</v>
      </c>
      <c r="I552" s="125">
        <v>882.47779108510861</v>
      </c>
      <c r="J552" s="125">
        <v>560.90296233725087</v>
      </c>
      <c r="K552" s="125">
        <v>1386.8183520429318</v>
      </c>
      <c r="L552" s="164">
        <v>2830.1991054652913</v>
      </c>
      <c r="M552" s="125">
        <v>0</v>
      </c>
      <c r="N552" s="115">
        <v>14015</v>
      </c>
      <c r="P552" s="125">
        <v>-604.52980727000011</v>
      </c>
      <c r="Q552" s="125">
        <v>-33.854774149999997</v>
      </c>
      <c r="S552" s="125">
        <v>-3510305.9000013503</v>
      </c>
      <c r="T552" s="125">
        <v>0</v>
      </c>
      <c r="V552" s="125"/>
      <c r="W552" s="125"/>
      <c r="Z552" s="128"/>
      <c r="AA552" s="135"/>
    </row>
    <row r="553" spans="1:27">
      <c r="A553" s="121">
        <v>43776</v>
      </c>
      <c r="B553" s="125">
        <v>162865576.17222324</v>
      </c>
      <c r="C553" s="125">
        <v>38611586.934084415</v>
      </c>
      <c r="D553" s="125">
        <v>49531091.228771329</v>
      </c>
      <c r="E553" s="125">
        <v>75811908.304216161</v>
      </c>
      <c r="F553" s="123">
        <v>163954586.46707189</v>
      </c>
      <c r="G553" s="125">
        <v>0</v>
      </c>
      <c r="H553" s="125">
        <v>1529.6871752461652</v>
      </c>
      <c r="I553" s="125">
        <v>919.35796177401028</v>
      </c>
      <c r="J553" s="125">
        <v>572.32948761280011</v>
      </c>
      <c r="K553" s="125">
        <v>1376.5891851688964</v>
      </c>
      <c r="L553" s="164">
        <v>2868.2766345557066</v>
      </c>
      <c r="M553" s="125">
        <v>0</v>
      </c>
      <c r="N553" s="115">
        <v>13994.5</v>
      </c>
      <c r="P553" s="125">
        <v>-657.21929841000019</v>
      </c>
      <c r="Q553" s="125">
        <v>-39.439299910000003</v>
      </c>
      <c r="S553" s="125">
        <v>-3510305.9000013503</v>
      </c>
      <c r="T553" s="125">
        <v>0</v>
      </c>
      <c r="V553" s="125"/>
      <c r="W553" s="125"/>
      <c r="Z553" s="128"/>
      <c r="AA553" s="135"/>
    </row>
    <row r="554" spans="1:27">
      <c r="A554" s="121">
        <v>43777</v>
      </c>
      <c r="B554" s="125">
        <v>162924765.35032862</v>
      </c>
      <c r="C554" s="125">
        <v>36639264.953840047</v>
      </c>
      <c r="D554" s="125">
        <v>49858328.841813296</v>
      </c>
      <c r="E554" s="125">
        <v>75841144.616709724</v>
      </c>
      <c r="F554" s="123">
        <v>162338738.41236305</v>
      </c>
      <c r="G554" s="125">
        <v>0</v>
      </c>
      <c r="H554" s="125">
        <v>1526.9757612063365</v>
      </c>
      <c r="I554" s="125">
        <v>922.97342104510983</v>
      </c>
      <c r="J554" s="125">
        <v>571.08119395879476</v>
      </c>
      <c r="K554" s="125">
        <v>1379.3735913638654</v>
      </c>
      <c r="L554" s="164">
        <v>2873.4282063677701</v>
      </c>
      <c r="M554" s="125">
        <v>0</v>
      </c>
      <c r="N554" s="115">
        <v>14014</v>
      </c>
      <c r="P554" s="125">
        <v>-703.6021064400004</v>
      </c>
      <c r="Q554" s="125">
        <v>-45.136291200000002</v>
      </c>
      <c r="S554" s="125">
        <v>-3510305.9000013503</v>
      </c>
      <c r="T554" s="125">
        <v>0</v>
      </c>
      <c r="V554" s="125"/>
      <c r="W554" s="125"/>
      <c r="Z554" s="128"/>
      <c r="AA554" s="135"/>
    </row>
    <row r="555" spans="1:27">
      <c r="A555" s="121">
        <v>43780</v>
      </c>
      <c r="B555" s="125">
        <v>162233461.57751682</v>
      </c>
      <c r="C555" s="125">
        <v>37099660.870790169</v>
      </c>
      <c r="D555" s="125">
        <v>49651149.332097836</v>
      </c>
      <c r="E555" s="125">
        <v>75169621.205938727</v>
      </c>
      <c r="F555" s="123">
        <v>161920431.40882674</v>
      </c>
      <c r="G555" s="125">
        <v>0</v>
      </c>
      <c r="H555" s="125">
        <v>1527.2701357941878</v>
      </c>
      <c r="I555" s="125">
        <v>907.33944840047184</v>
      </c>
      <c r="J555" s="125">
        <v>558.53027287424754</v>
      </c>
      <c r="K555" s="125">
        <v>1389.5128495524748</v>
      </c>
      <c r="L555" s="164">
        <v>2855.3825708271943</v>
      </c>
      <c r="M555" s="125">
        <v>0</v>
      </c>
      <c r="N555" s="115">
        <v>14063</v>
      </c>
      <c r="P555" s="125">
        <v>-855.40044447999981</v>
      </c>
      <c r="Q555" s="125">
        <v>-62.279261170000005</v>
      </c>
      <c r="S555" s="125">
        <v>-3510305.9000013503</v>
      </c>
      <c r="T555" s="125">
        <v>0</v>
      </c>
      <c r="V555" s="125"/>
      <c r="W555" s="125"/>
      <c r="Z555" s="128"/>
      <c r="AA555" s="135"/>
    </row>
    <row r="556" spans="1:27">
      <c r="A556" s="121">
        <v>43781</v>
      </c>
      <c r="B556" s="125">
        <v>161981265.22571498</v>
      </c>
      <c r="C556" s="125">
        <v>36377779.068507768</v>
      </c>
      <c r="D556" s="125">
        <v>49489543.90743503</v>
      </c>
      <c r="E556" s="125">
        <v>75261975.494731709</v>
      </c>
      <c r="F556" s="123">
        <v>161129298.47067451</v>
      </c>
      <c r="G556" s="125">
        <v>0</v>
      </c>
      <c r="H556" s="125">
        <v>1533.5861329989082</v>
      </c>
      <c r="I556" s="125">
        <v>924.12278038321892</v>
      </c>
      <c r="J556" s="125">
        <v>557.60378476499034</v>
      </c>
      <c r="K556" s="125">
        <v>1391.1644265770435</v>
      </c>
      <c r="L556" s="164">
        <v>2872.8909917252531</v>
      </c>
      <c r="M556" s="125">
        <v>0</v>
      </c>
      <c r="N556" s="115">
        <v>14055</v>
      </c>
      <c r="P556" s="125">
        <v>-914.6515158499999</v>
      </c>
      <c r="Q556" s="125">
        <v>-67.87342215000001</v>
      </c>
      <c r="S556" s="125">
        <v>-3510305.9000013503</v>
      </c>
      <c r="T556" s="125">
        <v>0</v>
      </c>
      <c r="V556" s="125"/>
      <c r="W556" s="125"/>
      <c r="Z556" s="128"/>
      <c r="AA556" s="135"/>
    </row>
    <row r="557" spans="1:27">
      <c r="A557" s="121">
        <v>43782</v>
      </c>
      <c r="B557" s="125">
        <v>161781226.63094401</v>
      </c>
      <c r="C557" s="125">
        <v>37360460.375965364</v>
      </c>
      <c r="D557" s="125">
        <v>49361649.49309887</v>
      </c>
      <c r="E557" s="125">
        <v>75246932.26754342</v>
      </c>
      <c r="F557" s="123">
        <v>161969042.13660765</v>
      </c>
      <c r="G557" s="125">
        <v>0</v>
      </c>
      <c r="H557" s="125">
        <v>1531.7569734024532</v>
      </c>
      <c r="I557" s="125">
        <v>909.45875939638654</v>
      </c>
      <c r="J557" s="125">
        <v>548.62287071498247</v>
      </c>
      <c r="K557" s="125">
        <v>1396.6493725164189</v>
      </c>
      <c r="L557" s="164">
        <v>2854.7310026277883</v>
      </c>
      <c r="M557" s="125">
        <v>-4</v>
      </c>
      <c r="N557" s="115">
        <v>14075</v>
      </c>
      <c r="P557" s="125">
        <v>-968.3271617800001</v>
      </c>
      <c r="Q557" s="125">
        <v>-75.953485499999999</v>
      </c>
      <c r="S557" s="125">
        <v>-3510305.9000013503</v>
      </c>
      <c r="T557" s="125">
        <v>0</v>
      </c>
      <c r="V557" s="125"/>
      <c r="W557" s="125"/>
      <c r="Z557" s="128"/>
      <c r="AA557" s="135"/>
    </row>
    <row r="558" spans="1:27">
      <c r="A558" s="121">
        <v>43783</v>
      </c>
      <c r="B558" s="125">
        <v>162226422.15374863</v>
      </c>
      <c r="C558" s="125">
        <v>37829985.571735241</v>
      </c>
      <c r="D558" s="125">
        <v>49568074.403046399</v>
      </c>
      <c r="E558" s="125">
        <v>74555309.912521809</v>
      </c>
      <c r="F558" s="123">
        <v>161953369.88730344</v>
      </c>
      <c r="G558" s="125">
        <v>0</v>
      </c>
      <c r="H558" s="125">
        <v>1537.7785819026185</v>
      </c>
      <c r="I558" s="125">
        <v>956.57637573432578</v>
      </c>
      <c r="J558" s="125">
        <v>549.60752240344129</v>
      </c>
      <c r="K558" s="125">
        <v>1380.8730275593894</v>
      </c>
      <c r="L558" s="164">
        <v>2887.0569256971567</v>
      </c>
      <c r="M558" s="125">
        <v>0</v>
      </c>
      <c r="N558" s="115">
        <v>14085</v>
      </c>
      <c r="P558" s="125">
        <v>-1024.9901048199999</v>
      </c>
      <c r="Q558" s="125">
        <v>-79.301648700000001</v>
      </c>
      <c r="S558" s="125">
        <v>-3510305.9000013503</v>
      </c>
      <c r="T558" s="125">
        <v>0</v>
      </c>
      <c r="V558" s="125"/>
      <c r="W558" s="125"/>
      <c r="Z558" s="128"/>
      <c r="AA558" s="135"/>
    </row>
    <row r="559" spans="1:27">
      <c r="A559" s="121">
        <v>43784</v>
      </c>
      <c r="B559" s="125">
        <v>163340066.2387673</v>
      </c>
      <c r="C559" s="125">
        <v>38041448.219660476</v>
      </c>
      <c r="D559" s="125">
        <v>49674239.061493181</v>
      </c>
      <c r="E559" s="125">
        <v>75050219.987720057</v>
      </c>
      <c r="F559" s="123">
        <v>162765907.26887369</v>
      </c>
      <c r="G559" s="125">
        <v>0</v>
      </c>
      <c r="H559" s="125">
        <v>1542.3080571749188</v>
      </c>
      <c r="I559" s="125">
        <v>1063.1688538632986</v>
      </c>
      <c r="J559" s="125">
        <v>549.30794720403469</v>
      </c>
      <c r="K559" s="125">
        <v>1223.8998004701982</v>
      </c>
      <c r="L559" s="164">
        <v>2836.3766015375313</v>
      </c>
      <c r="M559" s="125">
        <v>0</v>
      </c>
      <c r="N559" s="115">
        <v>14073</v>
      </c>
      <c r="P559" s="125">
        <v>-1087.6173770899998</v>
      </c>
      <c r="Q559" s="125">
        <v>-84.870181829999993</v>
      </c>
      <c r="S559" s="125">
        <v>-3510305.9000013503</v>
      </c>
      <c r="T559" s="125">
        <v>0</v>
      </c>
      <c r="V559" s="125"/>
      <c r="W559" s="125"/>
      <c r="Z559" s="128"/>
      <c r="AA559" s="135"/>
    </row>
    <row r="560" spans="1:27">
      <c r="A560" s="121">
        <v>43787</v>
      </c>
      <c r="B560" s="125">
        <v>163980299.06654257</v>
      </c>
      <c r="C560" s="125">
        <v>39572320.738309942</v>
      </c>
      <c r="D560" s="125">
        <v>49456576.799773246</v>
      </c>
      <c r="E560" s="125">
        <v>74330215.161665484</v>
      </c>
      <c r="F560" s="123">
        <v>163359112.69974869</v>
      </c>
      <c r="G560" s="125">
        <v>-245000</v>
      </c>
      <c r="H560" s="125">
        <v>1533.9210449439274</v>
      </c>
      <c r="I560" s="125">
        <v>1019.0062124417917</v>
      </c>
      <c r="J560" s="125">
        <v>559.92422234649143</v>
      </c>
      <c r="K560" s="125">
        <v>1194.0382552270739</v>
      </c>
      <c r="L560" s="164">
        <v>2772.968690015357</v>
      </c>
      <c r="M560" s="125">
        <v>-47</v>
      </c>
      <c r="N560" s="115">
        <v>14076.5</v>
      </c>
      <c r="P560" s="125">
        <v>-1245.6451841700002</v>
      </c>
      <c r="Q560" s="125">
        <v>-129.12387527999999</v>
      </c>
      <c r="S560" s="125">
        <v>-3510305.9000013503</v>
      </c>
      <c r="T560" s="125">
        <v>0</v>
      </c>
      <c r="V560" s="125"/>
      <c r="W560" s="125"/>
      <c r="Z560" s="128"/>
      <c r="AA560" s="135"/>
    </row>
    <row r="561" spans="1:28">
      <c r="A561" s="121">
        <v>43788</v>
      </c>
      <c r="B561" s="125">
        <v>163949515.26370922</v>
      </c>
      <c r="C561" s="125">
        <v>40079465.503273927</v>
      </c>
      <c r="D561" s="125">
        <v>49335430.931518614</v>
      </c>
      <c r="E561" s="125">
        <v>74176256.508651838</v>
      </c>
      <c r="F561" s="123">
        <v>163591152.94344437</v>
      </c>
      <c r="G561" s="125">
        <v>0</v>
      </c>
      <c r="H561" s="125">
        <v>1520.0451780225139</v>
      </c>
      <c r="I561" s="125">
        <v>1023.0893162434202</v>
      </c>
      <c r="J561" s="125">
        <v>561.6312764624231</v>
      </c>
      <c r="K561" s="125">
        <v>1194.6820382544881</v>
      </c>
      <c r="L561" s="164">
        <v>2779.4026309603314</v>
      </c>
      <c r="M561" s="125">
        <v>0</v>
      </c>
      <c r="N561" s="115">
        <v>14090</v>
      </c>
      <c r="P561" s="125">
        <v>-1272.7200677300002</v>
      </c>
      <c r="Q561" s="125">
        <v>-107.6147703</v>
      </c>
      <c r="S561" s="125">
        <v>-4678498.5000013495</v>
      </c>
      <c r="T561" s="125">
        <v>0</v>
      </c>
      <c r="V561" s="125"/>
      <c r="W561" s="125"/>
      <c r="Z561" s="128"/>
      <c r="AA561" s="135"/>
    </row>
    <row r="562" spans="1:28">
      <c r="A562" s="121">
        <v>43789</v>
      </c>
      <c r="B562" s="125">
        <v>163909928.17815483</v>
      </c>
      <c r="C562" s="125">
        <v>40735129.64312996</v>
      </c>
      <c r="D562" s="125">
        <v>49536980.885980025</v>
      </c>
      <c r="E562" s="125">
        <v>73771472.661376446</v>
      </c>
      <c r="F562" s="123">
        <v>164043583.19048643</v>
      </c>
      <c r="G562" s="125">
        <v>0</v>
      </c>
      <c r="H562" s="125">
        <v>1497.9163582466431</v>
      </c>
      <c r="I562" s="125">
        <v>1014.6225908266053</v>
      </c>
      <c r="J562" s="125">
        <v>562.06230443151105</v>
      </c>
      <c r="K562" s="125">
        <v>1193.2863046631337</v>
      </c>
      <c r="L562" s="164">
        <v>2769.97119992125</v>
      </c>
      <c r="M562" s="125">
        <v>0</v>
      </c>
      <c r="N562" s="115">
        <v>14094.5</v>
      </c>
      <c r="P562" s="125">
        <v>-1334.69125934</v>
      </c>
      <c r="Q562" s="125">
        <v>-113.32922332000001</v>
      </c>
      <c r="S562" s="125">
        <v>-3991887.00000135</v>
      </c>
      <c r="T562" s="125">
        <v>0</v>
      </c>
      <c r="V562" s="125"/>
      <c r="W562" s="125"/>
      <c r="Z562" s="128"/>
      <c r="AA562" s="135"/>
    </row>
    <row r="563" spans="1:28">
      <c r="A563" s="121">
        <v>43790</v>
      </c>
      <c r="B563" s="125">
        <v>164046239.1531207</v>
      </c>
      <c r="C563" s="125">
        <v>40981209.148727447</v>
      </c>
      <c r="D563" s="125">
        <v>49709977.495590866</v>
      </c>
      <c r="E563" s="125">
        <v>74622722.65415296</v>
      </c>
      <c r="F563" s="123">
        <v>165313909.29847127</v>
      </c>
      <c r="G563" s="125">
        <v>0</v>
      </c>
      <c r="H563" s="125">
        <v>1499.1358326925472</v>
      </c>
      <c r="I563" s="125">
        <v>1019.0086461456864</v>
      </c>
      <c r="J563" s="125">
        <v>570.87844898731407</v>
      </c>
      <c r="K563" s="125">
        <v>1196.3203540767686</v>
      </c>
      <c r="L563" s="164">
        <v>2786.207449209769</v>
      </c>
      <c r="M563" s="125">
        <v>0</v>
      </c>
      <c r="N563" s="115">
        <v>14087.5</v>
      </c>
      <c r="P563" s="125">
        <v>-1382.2626480200001</v>
      </c>
      <c r="Q563" s="125">
        <v>-118.95062375999998</v>
      </c>
      <c r="S563" s="125">
        <v>-3991887.00000135</v>
      </c>
      <c r="T563" s="125">
        <v>0</v>
      </c>
      <c r="V563" s="125"/>
      <c r="W563" s="125"/>
      <c r="Z563" s="128"/>
      <c r="AA563" s="135"/>
    </row>
    <row r="564" spans="1:28">
      <c r="A564" s="121">
        <v>43791</v>
      </c>
      <c r="B564" s="125">
        <v>164064256.1108048</v>
      </c>
      <c r="C564" s="125">
        <v>41314334.998871371</v>
      </c>
      <c r="D564" s="125">
        <v>50008122.377310649</v>
      </c>
      <c r="E564" s="125">
        <v>73890069.35827744</v>
      </c>
      <c r="F564" s="123">
        <v>165212526.73445946</v>
      </c>
      <c r="G564" s="125">
        <v>0</v>
      </c>
      <c r="H564" s="125">
        <v>1500.9364350271169</v>
      </c>
      <c r="I564" s="125">
        <v>996.63010362881505</v>
      </c>
      <c r="J564" s="125">
        <v>568.54150187453729</v>
      </c>
      <c r="K564" s="125">
        <v>1176.649601576989</v>
      </c>
      <c r="L564" s="164">
        <v>2741.8212070803411</v>
      </c>
      <c r="M564" s="125">
        <v>0</v>
      </c>
      <c r="N564" s="115">
        <v>14085</v>
      </c>
      <c r="P564" s="125">
        <v>-1451.0844538800004</v>
      </c>
      <c r="Q564" s="125">
        <v>-124.6060512</v>
      </c>
      <c r="S564" s="125">
        <v>-3991887.00000135</v>
      </c>
      <c r="T564" s="125">
        <v>0</v>
      </c>
      <c r="V564" s="125"/>
      <c r="W564" s="125"/>
      <c r="Z564" s="128"/>
      <c r="AA564" s="135"/>
    </row>
    <row r="565" spans="1:28">
      <c r="A565" s="121">
        <v>43794</v>
      </c>
      <c r="B565" s="125">
        <v>163817680.31701458</v>
      </c>
      <c r="C565" s="125">
        <v>42012972.149905547</v>
      </c>
      <c r="D565" s="125">
        <v>50358607.684016556</v>
      </c>
      <c r="E565" s="125">
        <v>73229128.095720813</v>
      </c>
      <c r="F565" s="123">
        <v>165600707.92964292</v>
      </c>
      <c r="G565" s="125">
        <v>-425000</v>
      </c>
      <c r="H565" s="125">
        <v>1515.3670510665427</v>
      </c>
      <c r="I565" s="125">
        <v>1011.419068659958</v>
      </c>
      <c r="J565" s="125">
        <v>558.63143142774368</v>
      </c>
      <c r="K565" s="125">
        <v>1165.1794236772539</v>
      </c>
      <c r="L565" s="164">
        <v>2735.2299237649559</v>
      </c>
      <c r="M565" s="125">
        <v>0</v>
      </c>
      <c r="N565" s="115">
        <v>14080</v>
      </c>
      <c r="P565" s="125">
        <v>-1706.4386279499995</v>
      </c>
      <c r="Q565" s="125">
        <v>-141.5846784</v>
      </c>
      <c r="S565" s="125">
        <v>-3991887.00000135</v>
      </c>
      <c r="T565" s="125">
        <v>0</v>
      </c>
      <c r="V565" s="125"/>
      <c r="W565" s="125"/>
      <c r="Z565" s="128"/>
      <c r="AA565" s="135"/>
    </row>
    <row r="566" spans="1:28">
      <c r="A566" s="121">
        <v>43795</v>
      </c>
      <c r="B566" s="125">
        <v>163916414.58077851</v>
      </c>
      <c r="C566" s="125">
        <v>41961070.3488103</v>
      </c>
      <c r="D566" s="125">
        <v>50358229.230412185</v>
      </c>
      <c r="E566" s="125">
        <v>73964740.561324254</v>
      </c>
      <c r="F566" s="123">
        <v>166284040.14054674</v>
      </c>
      <c r="G566" s="125">
        <v>-425000</v>
      </c>
      <c r="H566" s="125">
        <v>1527.0453053538695</v>
      </c>
      <c r="I566" s="125">
        <v>996.34996196513191</v>
      </c>
      <c r="J566" s="125">
        <v>557.76650609461421</v>
      </c>
      <c r="K566" s="125">
        <v>1157.3560308603167</v>
      </c>
      <c r="L566" s="164">
        <v>2711.4724989200631</v>
      </c>
      <c r="M566" s="125">
        <v>0</v>
      </c>
      <c r="N566" s="115">
        <v>14085</v>
      </c>
      <c r="P566" s="125">
        <v>-1817.4956075999999</v>
      </c>
      <c r="Q566" s="125">
        <v>-147.31121204999999</v>
      </c>
      <c r="S566" s="125">
        <v>-4934831.0000016401</v>
      </c>
      <c r="T566" s="125">
        <v>0</v>
      </c>
      <c r="V566" s="125"/>
      <c r="W566" s="125"/>
      <c r="Z566" s="128"/>
      <c r="AA566" s="135"/>
    </row>
    <row r="567" spans="1:28">
      <c r="A567" s="121">
        <v>43796</v>
      </c>
      <c r="B567" s="125">
        <v>164090902.34865332</v>
      </c>
      <c r="C567" s="125">
        <v>42650812.023682781</v>
      </c>
      <c r="D567" s="125">
        <v>50455543.769428991</v>
      </c>
      <c r="E567" s="125">
        <v>74352238.513981611</v>
      </c>
      <c r="F567" s="123">
        <v>167458594.30709338</v>
      </c>
      <c r="G567" s="125">
        <v>0</v>
      </c>
      <c r="H567" s="125">
        <v>1511.2860886347296</v>
      </c>
      <c r="I567" s="125">
        <v>977.91721308562774</v>
      </c>
      <c r="J567" s="125">
        <v>558.25727219031717</v>
      </c>
      <c r="K567" s="125">
        <v>1149.0811439444801</v>
      </c>
      <c r="L567" s="164">
        <v>2685.2556292204249</v>
      </c>
      <c r="M567" s="125">
        <v>0</v>
      </c>
      <c r="N567" s="115">
        <v>14095</v>
      </c>
      <c r="P567" s="125">
        <v>-1731.2022887099999</v>
      </c>
      <c r="Q567" s="125">
        <v>-153.09636624999999</v>
      </c>
      <c r="S567" s="125">
        <v>-3935034.0000016401</v>
      </c>
      <c r="T567" s="125">
        <v>0</v>
      </c>
      <c r="V567" s="125"/>
      <c r="W567" s="125"/>
      <c r="Z567" s="128"/>
      <c r="AA567" s="135"/>
    </row>
    <row r="568" spans="1:28">
      <c r="A568" s="121">
        <v>43797</v>
      </c>
      <c r="B568" s="125">
        <v>164427215.12542677</v>
      </c>
      <c r="C568" s="125">
        <v>40089153.196310349</v>
      </c>
      <c r="D568" s="125">
        <v>50726231.483774476</v>
      </c>
      <c r="E568" s="125">
        <v>75430694.877330288</v>
      </c>
      <c r="F568" s="123">
        <v>166246079.55741513</v>
      </c>
      <c r="G568" s="125">
        <v>0</v>
      </c>
      <c r="H568" s="125">
        <v>1508.7057054874115</v>
      </c>
      <c r="I568" s="125">
        <v>937.77502137169552</v>
      </c>
      <c r="J568" s="125">
        <v>555.7558239345193</v>
      </c>
      <c r="K568" s="125">
        <v>1150.3353389121939</v>
      </c>
      <c r="L568" s="164">
        <v>2643.8661842184088</v>
      </c>
      <c r="M568" s="125">
        <v>0</v>
      </c>
      <c r="N568" s="115">
        <v>14090</v>
      </c>
      <c r="P568" s="125">
        <v>-1794.8992152199999</v>
      </c>
      <c r="Q568" s="125">
        <v>-158.75343899999999</v>
      </c>
      <c r="S568" s="125">
        <v>-3935034.0000016401</v>
      </c>
      <c r="T568" s="125">
        <v>0</v>
      </c>
      <c r="V568" s="125"/>
      <c r="W568" s="125"/>
      <c r="Z568" s="128"/>
      <c r="AA568" s="135"/>
    </row>
    <row r="569" spans="1:28">
      <c r="A569" s="121">
        <v>43798</v>
      </c>
      <c r="B569" s="125">
        <v>163623106.27839497</v>
      </c>
      <c r="C569" s="125">
        <v>37813114.097436585</v>
      </c>
      <c r="D569" s="125">
        <v>50982149.686553836</v>
      </c>
      <c r="E569" s="125">
        <v>76146173.363872886</v>
      </c>
      <c r="F569" s="123">
        <v>164941437.1478633</v>
      </c>
      <c r="G569" s="125">
        <v>0</v>
      </c>
      <c r="H569" s="125">
        <v>1570.8713955272983</v>
      </c>
      <c r="I569" s="125">
        <v>959.51355440093562</v>
      </c>
      <c r="J569" s="125">
        <v>560.00646673097526</v>
      </c>
      <c r="K569" s="125">
        <v>1146.5183605894713</v>
      </c>
      <c r="L569" s="164">
        <v>2666.0383817213824</v>
      </c>
      <c r="M569" s="125">
        <v>0</v>
      </c>
      <c r="N569" s="115">
        <v>14105</v>
      </c>
      <c r="P569" s="125">
        <v>-1829.0490869900004</v>
      </c>
      <c r="Q569" s="125">
        <v>-164.65824375</v>
      </c>
      <c r="S569" s="125">
        <v>-2871315.6000016402</v>
      </c>
      <c r="T569" s="125">
        <v>0</v>
      </c>
      <c r="V569" s="125"/>
      <c r="W569" s="125"/>
      <c r="Z569" s="128"/>
      <c r="AA569" s="135"/>
    </row>
    <row r="570" spans="1:28">
      <c r="A570" s="121">
        <v>43799</v>
      </c>
      <c r="B570" s="125">
        <v>163623106.27839497</v>
      </c>
      <c r="C570" s="125">
        <v>37813114.097436585</v>
      </c>
      <c r="D570" s="125">
        <v>50982149.686553836</v>
      </c>
      <c r="E570" s="125">
        <v>76146173.363872886</v>
      </c>
      <c r="F570" s="123">
        <v>164941437.1478633</v>
      </c>
      <c r="G570" s="125">
        <v>0</v>
      </c>
      <c r="H570" s="125">
        <v>1570.8713955272983</v>
      </c>
      <c r="I570" s="125">
        <v>959.51355440093562</v>
      </c>
      <c r="J570" s="125">
        <v>560.00646673097526</v>
      </c>
      <c r="K570" s="125">
        <v>1146.5183605894713</v>
      </c>
      <c r="L570" s="164">
        <v>2666.0383817213824</v>
      </c>
      <c r="M570" s="125">
        <v>0</v>
      </c>
      <c r="N570" s="115">
        <v>14105</v>
      </c>
      <c r="O570" s="116">
        <v>3377.6349893196002</v>
      </c>
      <c r="P570" s="125">
        <v>-1829.0490869900004</v>
      </c>
      <c r="Q570" s="125">
        <v>-164.65824375</v>
      </c>
      <c r="S570" s="125">
        <v>-2871315.6000016402</v>
      </c>
      <c r="T570" s="125">
        <v>0</v>
      </c>
      <c r="V570" s="125"/>
      <c r="W570" s="125"/>
      <c r="Z570" s="128"/>
      <c r="AA570" s="135"/>
      <c r="AB570" s="128" t="e">
        <f>+AVERAGE(AA549:AA570)</f>
        <v>#DIV/0!</v>
      </c>
    </row>
    <row r="571" spans="1:28">
      <c r="A571" s="121">
        <v>43801</v>
      </c>
      <c r="B571" s="125">
        <v>162889281.03616709</v>
      </c>
      <c r="C571" s="125">
        <v>41250856.115387209</v>
      </c>
      <c r="D571" s="125">
        <v>50525075.597884409</v>
      </c>
      <c r="E571" s="125">
        <v>76227886.370685026</v>
      </c>
      <c r="F571" s="123">
        <v>168003818.08395666</v>
      </c>
      <c r="G571" s="125">
        <v>0</v>
      </c>
      <c r="H571" s="125">
        <v>1566.4007973621481</v>
      </c>
      <c r="I571" s="125">
        <v>1094.2144756679631</v>
      </c>
      <c r="J571" s="125">
        <v>560.05893813854652</v>
      </c>
      <c r="K571" s="125">
        <v>1110.786581814177</v>
      </c>
      <c r="L571" s="164">
        <v>2765.059995620687</v>
      </c>
      <c r="M571" s="125">
        <v>0</v>
      </c>
      <c r="N571" s="115">
        <v>14125</v>
      </c>
      <c r="P571" s="125">
        <v>-819.89550714999984</v>
      </c>
      <c r="Q571" s="125">
        <v>-11.40297125</v>
      </c>
      <c r="S571" s="125">
        <v>-2871315.6000016402</v>
      </c>
      <c r="T571" s="125">
        <v>0</v>
      </c>
      <c r="V571" s="125"/>
      <c r="W571" s="125"/>
      <c r="Z571" s="128"/>
      <c r="AA571" s="135"/>
    </row>
    <row r="572" spans="1:28">
      <c r="A572" s="121">
        <v>43802</v>
      </c>
      <c r="B572" s="125">
        <v>162998867.75195751</v>
      </c>
      <c r="C572" s="125">
        <v>40021965.747160524</v>
      </c>
      <c r="D572" s="125">
        <v>50525776.292472832</v>
      </c>
      <c r="E572" s="125">
        <v>76116926.56516403</v>
      </c>
      <c r="F572" s="123">
        <v>166664668.60479739</v>
      </c>
      <c r="G572" s="125">
        <v>0</v>
      </c>
      <c r="H572" s="125">
        <v>1591.2745662634088</v>
      </c>
      <c r="I572" s="125">
        <v>1087.1484849245769</v>
      </c>
      <c r="J572" s="125">
        <v>560.54970972217598</v>
      </c>
      <c r="K572" s="125">
        <v>1140.7766985111828</v>
      </c>
      <c r="L572" s="164">
        <v>2788.4748931579356</v>
      </c>
      <c r="M572" s="125">
        <v>-15</v>
      </c>
      <c r="N572" s="115">
        <v>14105</v>
      </c>
      <c r="P572" s="125">
        <v>-885.07741608999982</v>
      </c>
      <c r="Q572" s="125">
        <v>-25.85234925</v>
      </c>
      <c r="S572" s="125">
        <v>-2871315.6000016402</v>
      </c>
      <c r="T572" s="125">
        <v>0</v>
      </c>
      <c r="V572" s="125"/>
      <c r="W572" s="125"/>
      <c r="Z572" s="128"/>
      <c r="AA572" s="135"/>
    </row>
    <row r="573" spans="1:28">
      <c r="A573" s="121">
        <v>43803</v>
      </c>
      <c r="B573" s="125">
        <v>162552439.9748593</v>
      </c>
      <c r="C573" s="125">
        <v>40469323.829609223</v>
      </c>
      <c r="D573" s="125">
        <v>50868098.094707318</v>
      </c>
      <c r="E573" s="125">
        <v>76587492.543592051</v>
      </c>
      <c r="F573" s="123">
        <v>167924914.46790859</v>
      </c>
      <c r="G573" s="125">
        <v>0</v>
      </c>
      <c r="H573" s="125">
        <v>1604.7941839038358</v>
      </c>
      <c r="I573" s="125">
        <v>1070.8893340685759</v>
      </c>
      <c r="J573" s="125">
        <v>561.09011237766549</v>
      </c>
      <c r="K573" s="125">
        <v>1140.2731924916895</v>
      </c>
      <c r="L573" s="164">
        <v>2772.2526389379309</v>
      </c>
      <c r="M573" s="125">
        <v>0</v>
      </c>
      <c r="N573" s="115">
        <v>14105</v>
      </c>
      <c r="P573" s="125">
        <v>-904.93636391000018</v>
      </c>
      <c r="Q573" s="125">
        <v>-22.686623050000001</v>
      </c>
      <c r="S573" s="125">
        <v>-2871315.6000016402</v>
      </c>
      <c r="T573" s="125">
        <v>0</v>
      </c>
      <c r="V573" s="125"/>
      <c r="W573" s="125"/>
      <c r="Z573" s="128"/>
      <c r="AA573" s="135"/>
    </row>
    <row r="574" spans="1:28">
      <c r="A574" s="121">
        <v>43804</v>
      </c>
      <c r="B574" s="125">
        <v>162681440.5176369</v>
      </c>
      <c r="C574" s="125">
        <v>41270336.773552552</v>
      </c>
      <c r="D574" s="125">
        <v>50825294.080329776</v>
      </c>
      <c r="E574" s="125">
        <v>76240385.288056821</v>
      </c>
      <c r="F574" s="123">
        <v>168336016.14193916</v>
      </c>
      <c r="G574" s="125">
        <v>0</v>
      </c>
      <c r="H574" s="125">
        <v>1606.2526514773053</v>
      </c>
      <c r="I574" s="125">
        <v>1115.4099990522202</v>
      </c>
      <c r="J574" s="125">
        <v>570.55599672543076</v>
      </c>
      <c r="K574" s="125">
        <v>1131.6555718528671</v>
      </c>
      <c r="L574" s="164">
        <v>2817.6215676305183</v>
      </c>
      <c r="M574" s="125">
        <v>0</v>
      </c>
      <c r="N574" s="115">
        <v>14065</v>
      </c>
      <c r="P574" s="125">
        <v>-718.72067116999995</v>
      </c>
      <c r="Q574" s="125">
        <v>-28.255319149999998</v>
      </c>
      <c r="S574" s="125">
        <v>-2871315.6000016402</v>
      </c>
      <c r="T574" s="125">
        <v>0</v>
      </c>
      <c r="V574" s="125"/>
      <c r="W574" s="125"/>
      <c r="Z574" s="128"/>
      <c r="AA574" s="135"/>
    </row>
    <row r="575" spans="1:28">
      <c r="A575" s="121">
        <v>43805</v>
      </c>
      <c r="B575" s="125">
        <v>162967239.06207073</v>
      </c>
      <c r="C575" s="125">
        <v>41356706.949020252</v>
      </c>
      <c r="D575" s="125">
        <v>50511398.673565947</v>
      </c>
      <c r="E575" s="125">
        <v>74483568.330972269</v>
      </c>
      <c r="F575" s="123">
        <v>166351673.95355844</v>
      </c>
      <c r="G575" s="125">
        <v>0</v>
      </c>
      <c r="H575" s="125">
        <v>1592.7825046083076</v>
      </c>
      <c r="I575" s="125">
        <v>1092.6395663156445</v>
      </c>
      <c r="J575" s="125">
        <v>567.88629247141853</v>
      </c>
      <c r="K575" s="125">
        <v>1121.7406806468939</v>
      </c>
      <c r="L575" s="164">
        <v>2782.266539433957</v>
      </c>
      <c r="M575" s="125">
        <v>0</v>
      </c>
      <c r="N575" s="115">
        <v>14037.5</v>
      </c>
      <c r="P575" s="125">
        <v>-789.12151513000003</v>
      </c>
      <c r="Q575" s="125">
        <v>-33.822373630000001</v>
      </c>
      <c r="S575" s="125">
        <v>-2871315.6000016402</v>
      </c>
      <c r="T575" s="125">
        <v>0</v>
      </c>
      <c r="V575" s="125"/>
      <c r="W575" s="125"/>
      <c r="Z575" s="128"/>
      <c r="AA575" s="135"/>
    </row>
    <row r="576" spans="1:28">
      <c r="A576" s="121">
        <v>43808</v>
      </c>
      <c r="B576" s="125">
        <v>163084911.71783993</v>
      </c>
      <c r="C576" s="125">
        <v>43294887.146984398</v>
      </c>
      <c r="D576" s="125">
        <v>50351482.416336633</v>
      </c>
      <c r="E576" s="125">
        <v>74356950.605335787</v>
      </c>
      <c r="F576" s="123">
        <v>168003320.16865683</v>
      </c>
      <c r="G576" s="125">
        <v>0</v>
      </c>
      <c r="H576" s="125">
        <v>1596.2822299276843</v>
      </c>
      <c r="I576" s="125">
        <v>1095.8178171847446</v>
      </c>
      <c r="J576" s="125">
        <v>566.90726970095784</v>
      </c>
      <c r="K576" s="125">
        <v>1117.5330348027787</v>
      </c>
      <c r="L576" s="164">
        <v>2780.258121688481</v>
      </c>
      <c r="M576" s="125">
        <v>0</v>
      </c>
      <c r="N576" s="115">
        <v>14015</v>
      </c>
      <c r="P576" s="125">
        <v>-989.85688266000011</v>
      </c>
      <c r="Q576" s="125">
        <v>-50.601437799999992</v>
      </c>
      <c r="S576" s="125">
        <v>-2871315.6000016402</v>
      </c>
      <c r="T576" s="125">
        <v>0</v>
      </c>
      <c r="V576" s="125"/>
      <c r="W576" s="125"/>
      <c r="Z576" s="128"/>
      <c r="AA576" s="135"/>
    </row>
    <row r="577" spans="1:28">
      <c r="A577" s="121">
        <v>43809</v>
      </c>
      <c r="B577" s="125">
        <v>162923240.62647396</v>
      </c>
      <c r="C577" s="125">
        <v>42626678.238123648</v>
      </c>
      <c r="D577" s="125">
        <v>50249965.127232075</v>
      </c>
      <c r="E577" s="125">
        <v>73928094.548540294</v>
      </c>
      <c r="F577" s="123">
        <v>166804737.91389602</v>
      </c>
      <c r="G577" s="125">
        <v>0</v>
      </c>
      <c r="H577" s="125">
        <v>1594.1762584167432</v>
      </c>
      <c r="I577" s="125">
        <v>1111.0636775682574</v>
      </c>
      <c r="J577" s="125">
        <v>567.30318006622952</v>
      </c>
      <c r="K577" s="125">
        <v>1116.4240946933685</v>
      </c>
      <c r="L577" s="164">
        <v>2794.7909523278554</v>
      </c>
      <c r="M577" s="125">
        <v>0</v>
      </c>
      <c r="N577" s="115">
        <v>14010</v>
      </c>
      <c r="P577" s="125">
        <v>-1051.4506867599998</v>
      </c>
      <c r="Q577" s="125">
        <v>-56.188786199999996</v>
      </c>
      <c r="S577" s="125">
        <v>-2871315.6000016402</v>
      </c>
      <c r="T577" s="125">
        <v>0</v>
      </c>
      <c r="V577" s="125"/>
      <c r="W577" s="125"/>
      <c r="Z577" s="128"/>
      <c r="AA577" s="135"/>
    </row>
    <row r="578" spans="1:28">
      <c r="A578" s="121">
        <v>43810</v>
      </c>
      <c r="B578" s="125">
        <v>162748611.03957817</v>
      </c>
      <c r="C578" s="125">
        <v>43165635.886485688</v>
      </c>
      <c r="D578" s="125">
        <v>50315044.365761325</v>
      </c>
      <c r="E578" s="125">
        <v>73607859.06379205</v>
      </c>
      <c r="F578" s="123">
        <v>167088539.31603906</v>
      </c>
      <c r="G578" s="125">
        <v>0</v>
      </c>
      <c r="H578" s="125">
        <v>1596.5160805459202</v>
      </c>
      <c r="I578" s="125">
        <v>1070.6857091478539</v>
      </c>
      <c r="J578" s="125">
        <v>558.93887742654363</v>
      </c>
      <c r="K578" s="125">
        <v>1125.8827305984871</v>
      </c>
      <c r="L578" s="164">
        <v>2755.5073171728845</v>
      </c>
      <c r="M578" s="125">
        <v>0</v>
      </c>
      <c r="N578" s="115">
        <v>14035</v>
      </c>
      <c r="P578" s="125">
        <v>-1114.6979428000004</v>
      </c>
      <c r="Q578" s="125">
        <v>-61.904174499999989</v>
      </c>
      <c r="S578" s="125">
        <v>-2871315.6000016402</v>
      </c>
      <c r="T578" s="125">
        <v>0</v>
      </c>
      <c r="V578" s="125"/>
      <c r="W578" s="125"/>
      <c r="Z578" s="128"/>
      <c r="AA578" s="135"/>
    </row>
    <row r="579" spans="1:28">
      <c r="A579" s="121">
        <v>43811</v>
      </c>
      <c r="B579" s="125">
        <v>163501060.91620257</v>
      </c>
      <c r="C579" s="125">
        <v>43631440.868486688</v>
      </c>
      <c r="D579" s="125">
        <v>50426301.098612487</v>
      </c>
      <c r="E579" s="125">
        <v>73304459.00810492</v>
      </c>
      <c r="F579" s="123">
        <v>167362200.97520411</v>
      </c>
      <c r="G579" s="125">
        <v>0</v>
      </c>
      <c r="H579" s="125">
        <v>1589.4176059755107</v>
      </c>
      <c r="I579" s="125">
        <v>971.00934184087293</v>
      </c>
      <c r="J579" s="125">
        <v>585.52322337767782</v>
      </c>
      <c r="K579" s="125">
        <v>1164.4146587256387</v>
      </c>
      <c r="L579" s="164">
        <v>2720.9472239441893</v>
      </c>
      <c r="M579" s="125">
        <v>0</v>
      </c>
      <c r="N579" s="115">
        <v>14025</v>
      </c>
      <c r="P579" s="125">
        <v>-1184.0335393299997</v>
      </c>
      <c r="Q579" s="125">
        <v>-67.471329749999995</v>
      </c>
      <c r="S579" s="125">
        <v>-2871315.6000016402</v>
      </c>
      <c r="T579" s="125">
        <v>0</v>
      </c>
      <c r="V579" s="125"/>
      <c r="W579" s="125"/>
      <c r="Z579" s="128"/>
      <c r="AA579" s="135"/>
    </row>
    <row r="580" spans="1:28">
      <c r="A580" s="121">
        <v>43812</v>
      </c>
      <c r="B580" s="125">
        <v>163619752.01667273</v>
      </c>
      <c r="C580" s="125">
        <v>42966825.631067581</v>
      </c>
      <c r="D580" s="125">
        <v>50250321.053151093</v>
      </c>
      <c r="E580" s="125">
        <v>72733106.516372293</v>
      </c>
      <c r="F580" s="123">
        <v>165950253.20059097</v>
      </c>
      <c r="G580" s="125">
        <v>0</v>
      </c>
      <c r="H580" s="125">
        <v>1582.3034126055716</v>
      </c>
      <c r="I580" s="125">
        <v>966.31424819748668</v>
      </c>
      <c r="J580" s="125">
        <v>582.67866179727105</v>
      </c>
      <c r="K580" s="125">
        <v>1170.0056531697985</v>
      </c>
      <c r="L580" s="164">
        <v>2718.9985631645559</v>
      </c>
      <c r="M580" s="125">
        <v>0</v>
      </c>
      <c r="N580" s="115">
        <v>13990</v>
      </c>
      <c r="P580" s="125">
        <v>-1251.2554506499996</v>
      </c>
      <c r="Q580" s="125">
        <v>-72.900211199999987</v>
      </c>
      <c r="S580" s="125">
        <v>-2871315.6000016402</v>
      </c>
      <c r="T580" s="125">
        <v>0</v>
      </c>
      <c r="V580" s="125"/>
      <c r="W580" s="125"/>
      <c r="Z580" s="128"/>
      <c r="AA580" s="135"/>
    </row>
    <row r="581" spans="1:28">
      <c r="A581" s="121">
        <v>43815</v>
      </c>
      <c r="B581" s="125">
        <v>163931067.10919958</v>
      </c>
      <c r="C581" s="125">
        <v>43897608.283131771</v>
      </c>
      <c r="D581" s="125">
        <v>50216894.503768653</v>
      </c>
      <c r="E581" s="125">
        <v>71896106.350119457</v>
      </c>
      <c r="F581" s="123">
        <v>166010609.13701987</v>
      </c>
      <c r="G581" s="125">
        <v>0</v>
      </c>
      <c r="H581" s="125">
        <v>1552.9059921464318</v>
      </c>
      <c r="I581" s="125">
        <v>970.0392490666211</v>
      </c>
      <c r="J581" s="125">
        <v>587.02464351835147</v>
      </c>
      <c r="K581" s="125">
        <v>1110.4549357275375</v>
      </c>
      <c r="L581" s="164">
        <v>2667.5188283125099</v>
      </c>
      <c r="M581" s="125">
        <v>0</v>
      </c>
      <c r="N581" s="115">
        <v>14007.5</v>
      </c>
      <c r="P581" s="125">
        <v>-1459.3682791700001</v>
      </c>
      <c r="Q581" s="125">
        <v>-89.803763410000002</v>
      </c>
      <c r="S581" s="125">
        <v>-2871315.6000016402</v>
      </c>
      <c r="T581" s="125">
        <v>0</v>
      </c>
      <c r="V581" s="125"/>
      <c r="W581" s="125"/>
      <c r="Z581" s="128"/>
      <c r="AA581" s="135"/>
    </row>
    <row r="582" spans="1:28">
      <c r="A582" s="121">
        <v>43816</v>
      </c>
      <c r="B582" s="125">
        <v>164394168.34895417</v>
      </c>
      <c r="C582" s="125">
        <v>42031111.243267536</v>
      </c>
      <c r="D582" s="125">
        <v>50419123.413765758</v>
      </c>
      <c r="E582" s="125">
        <v>72660228.683932066</v>
      </c>
      <c r="F582" s="123">
        <v>165110463.34096536</v>
      </c>
      <c r="G582" s="125">
        <v>0</v>
      </c>
      <c r="H582" s="125">
        <v>1543.3386456469154</v>
      </c>
      <c r="I582" s="125">
        <v>983.48918649450025</v>
      </c>
      <c r="J582" s="125">
        <v>587.74987523586628</v>
      </c>
      <c r="K582" s="125">
        <v>1110.5143307844094</v>
      </c>
      <c r="L582" s="164">
        <v>2681.7533925147759</v>
      </c>
      <c r="M582" s="125">
        <v>0</v>
      </c>
      <c r="N582" s="115">
        <v>13990</v>
      </c>
      <c r="P582" s="125">
        <v>-1527.3260675500001</v>
      </c>
      <c r="Q582" s="125">
        <v>-95.288687999999979</v>
      </c>
      <c r="S582" s="125">
        <v>-1703123.0000016398</v>
      </c>
      <c r="T582" s="125">
        <v>0</v>
      </c>
      <c r="V582" s="125"/>
      <c r="W582" s="125"/>
      <c r="Z582" s="128"/>
      <c r="AA582" s="135"/>
    </row>
    <row r="583" spans="1:28">
      <c r="A583" s="121">
        <v>43817</v>
      </c>
      <c r="B583" s="125">
        <v>164696997.71123084</v>
      </c>
      <c r="C583" s="125">
        <v>42906661.818498105</v>
      </c>
      <c r="D583" s="125">
        <v>50647889.052795693</v>
      </c>
      <c r="E583" s="125">
        <v>72458875.429079816</v>
      </c>
      <c r="F583" s="123">
        <v>166013426.30037361</v>
      </c>
      <c r="G583" s="125">
        <v>0</v>
      </c>
      <c r="H583" s="125">
        <v>1572.8953560516763</v>
      </c>
      <c r="I583" s="125">
        <v>962.94670279844343</v>
      </c>
      <c r="J583" s="125">
        <v>561.57382292345687</v>
      </c>
      <c r="K583" s="125">
        <v>1123.7133774183155</v>
      </c>
      <c r="L583" s="164">
        <v>2648.2339031402162</v>
      </c>
      <c r="M583" s="125">
        <v>0</v>
      </c>
      <c r="N583" s="115">
        <v>13975</v>
      </c>
      <c r="P583" s="125">
        <v>-1534.7481327400001</v>
      </c>
      <c r="Q583" s="125">
        <v>-100.77777775</v>
      </c>
      <c r="S583" s="125">
        <v>-942944.00000164006</v>
      </c>
      <c r="T583" s="125">
        <v>0</v>
      </c>
      <c r="V583" s="125"/>
      <c r="W583" s="125"/>
      <c r="Z583" s="128"/>
      <c r="AA583" s="135"/>
    </row>
    <row r="584" spans="1:28">
      <c r="A584" s="121">
        <v>43818</v>
      </c>
      <c r="B584" s="125">
        <v>164903411.29232544</v>
      </c>
      <c r="C584" s="125">
        <v>43477542.304901071</v>
      </c>
      <c r="D584" s="125">
        <v>51070817.807296082</v>
      </c>
      <c r="E584" s="125">
        <v>71863905.623513758</v>
      </c>
      <c r="F584" s="123">
        <v>166412265.73571092</v>
      </c>
      <c r="G584" s="125">
        <v>0</v>
      </c>
      <c r="H584" s="125">
        <v>1575.6593690350753</v>
      </c>
      <c r="I584" s="125">
        <v>1012.7817521715441</v>
      </c>
      <c r="J584" s="125">
        <v>557.91578113494847</v>
      </c>
      <c r="K584" s="125">
        <v>1124.7761858889712</v>
      </c>
      <c r="L584" s="164">
        <v>2695.4737191954637</v>
      </c>
      <c r="M584" s="125">
        <v>0</v>
      </c>
      <c r="N584" s="115">
        <v>13985</v>
      </c>
      <c r="P584" s="125">
        <v>-1591.2994105299999</v>
      </c>
      <c r="Q584" s="125">
        <v>-106.4451493</v>
      </c>
      <c r="S584" s="125">
        <v>-942944.00000164006</v>
      </c>
      <c r="T584" s="125">
        <v>0</v>
      </c>
      <c r="V584" s="125"/>
      <c r="W584" s="125"/>
      <c r="Z584" s="128"/>
      <c r="AA584" s="135"/>
    </row>
    <row r="585" spans="1:28">
      <c r="A585" s="121">
        <v>43819</v>
      </c>
      <c r="B585" s="125">
        <v>165155862.62082937</v>
      </c>
      <c r="C585" s="125">
        <v>41916941.677864388</v>
      </c>
      <c r="D585" s="125">
        <v>51501870.118297301</v>
      </c>
      <c r="E585" s="125">
        <v>71159358.602329433</v>
      </c>
      <c r="F585" s="123">
        <v>164578170.39849111</v>
      </c>
      <c r="G585" s="125">
        <v>0</v>
      </c>
      <c r="H585" s="125">
        <v>1570.5038211170254</v>
      </c>
      <c r="I585" s="125">
        <v>952.13757707004856</v>
      </c>
      <c r="J585" s="125">
        <v>556.5610613634351</v>
      </c>
      <c r="K585" s="125">
        <v>1080.9777072446275</v>
      </c>
      <c r="L585" s="164">
        <v>2589.6763456781109</v>
      </c>
      <c r="M585" s="125">
        <v>0</v>
      </c>
      <c r="N585" s="115">
        <v>13977.5</v>
      </c>
      <c r="P585" s="125">
        <v>-1655.14169077</v>
      </c>
      <c r="Q585" s="125">
        <v>-111.98018216</v>
      </c>
      <c r="S585" s="125">
        <v>-942944.00000164006</v>
      </c>
      <c r="T585" s="125">
        <v>0</v>
      </c>
      <c r="V585" s="125"/>
      <c r="W585" s="125"/>
      <c r="Z585" s="128"/>
      <c r="AA585" s="135"/>
    </row>
    <row r="586" spans="1:28">
      <c r="A586" s="121">
        <v>43822</v>
      </c>
      <c r="B586" s="125">
        <v>165350726.18947682</v>
      </c>
      <c r="C586" s="125">
        <v>40647527.643815421</v>
      </c>
      <c r="D586" s="125">
        <v>51613775.970282502</v>
      </c>
      <c r="E586" s="125">
        <v>71164391.15479894</v>
      </c>
      <c r="F586" s="123">
        <v>163425694.76889688</v>
      </c>
      <c r="G586" s="125">
        <v>-646000</v>
      </c>
      <c r="H586" s="125">
        <v>1565.332135057218</v>
      </c>
      <c r="I586" s="125">
        <v>942.46472415007315</v>
      </c>
      <c r="J586" s="125">
        <v>559.82521385941482</v>
      </c>
      <c r="K586" s="125">
        <v>1072.0488071876914</v>
      </c>
      <c r="L586" s="164">
        <v>2574.3387451971794</v>
      </c>
      <c r="M586" s="125">
        <v>0</v>
      </c>
      <c r="N586" s="115">
        <v>13975</v>
      </c>
      <c r="P586" s="125">
        <v>-1641.4012836699999</v>
      </c>
      <c r="Q586" s="125">
        <v>-128.66455943</v>
      </c>
      <c r="S586" s="125">
        <v>-3022776.8000016403</v>
      </c>
      <c r="T586" s="125">
        <v>0</v>
      </c>
      <c r="V586" s="125"/>
      <c r="W586" s="125"/>
      <c r="Z586" s="128"/>
      <c r="AA586" s="135"/>
    </row>
    <row r="587" spans="1:28">
      <c r="A587" s="121">
        <v>43825</v>
      </c>
      <c r="B587" s="125">
        <v>166104078.83046335</v>
      </c>
      <c r="C587" s="125">
        <v>41309569.831918009</v>
      </c>
      <c r="D587" s="125">
        <v>51467343.263288721</v>
      </c>
      <c r="E587" s="125">
        <v>70924431.82771045</v>
      </c>
      <c r="F587" s="123">
        <v>163701344.92291719</v>
      </c>
      <c r="G587" s="125">
        <v>-1785000</v>
      </c>
      <c r="H587" s="125">
        <v>1561.5264013722024</v>
      </c>
      <c r="I587" s="125">
        <v>955.04647315123634</v>
      </c>
      <c r="J587" s="125">
        <v>559.99297271992918</v>
      </c>
      <c r="K587" s="125">
        <v>1101.5797899201079</v>
      </c>
      <c r="L587" s="164">
        <v>2616.6192357912732</v>
      </c>
      <c r="M587" s="125">
        <v>0</v>
      </c>
      <c r="N587" s="115">
        <v>13955</v>
      </c>
      <c r="P587" s="125">
        <v>-1928.6707982299999</v>
      </c>
      <c r="Q587" s="125">
        <v>-152.55619954999997</v>
      </c>
      <c r="S587" s="125">
        <v>-3022776.8000016403</v>
      </c>
      <c r="T587" s="125">
        <v>0</v>
      </c>
      <c r="V587" s="125"/>
      <c r="W587" s="125"/>
      <c r="Z587" s="128"/>
      <c r="AA587" s="135"/>
    </row>
    <row r="588" spans="1:28">
      <c r="A588" s="121">
        <v>43826</v>
      </c>
      <c r="B588" s="125">
        <v>165737851.92220226</v>
      </c>
      <c r="C588" s="125">
        <v>40399292.151461177</v>
      </c>
      <c r="D588" s="125">
        <v>51690593.769055352</v>
      </c>
      <c r="E588" s="125">
        <v>70193973.877188787</v>
      </c>
      <c r="F588" s="123">
        <v>162283859.79770529</v>
      </c>
      <c r="G588" s="125">
        <v>-2320000</v>
      </c>
      <c r="H588" s="125">
        <v>1567.4393750081958</v>
      </c>
      <c r="I588" s="125">
        <v>941.78234213416272</v>
      </c>
      <c r="J588" s="125">
        <v>562.25092032937062</v>
      </c>
      <c r="K588" s="125">
        <v>1129.3987775044832</v>
      </c>
      <c r="L588" s="164">
        <v>2633.4320399680164</v>
      </c>
      <c r="M588" s="125">
        <v>0</v>
      </c>
      <c r="N588" s="115">
        <v>13950</v>
      </c>
      <c r="P588" s="125">
        <v>-2095.19845261</v>
      </c>
      <c r="Q588" s="125">
        <v>-205.0386345</v>
      </c>
      <c r="S588" s="125">
        <v>-3022776.8000016403</v>
      </c>
      <c r="T588" s="125">
        <v>0</v>
      </c>
      <c r="V588" s="125"/>
      <c r="W588" s="125"/>
      <c r="Z588" s="128"/>
      <c r="AA588" s="135"/>
    </row>
    <row r="589" spans="1:28">
      <c r="A589" s="121">
        <v>43829</v>
      </c>
      <c r="B589" s="125">
        <v>165797506.75993207</v>
      </c>
      <c r="C589" s="125">
        <v>37954975.845491119</v>
      </c>
      <c r="D589" s="125">
        <v>51345348.073561721</v>
      </c>
      <c r="E589" s="125">
        <v>69921607.209477603</v>
      </c>
      <c r="F589" s="123">
        <v>159221931.12853044</v>
      </c>
      <c r="G589" s="125">
        <v>-1514000</v>
      </c>
      <c r="H589" s="125">
        <v>1569.4997189792728</v>
      </c>
      <c r="I589" s="125">
        <v>928.87221316826822</v>
      </c>
      <c r="J589" s="125">
        <v>562.35472214751928</v>
      </c>
      <c r="K589" s="125">
        <v>1116.5637386796802</v>
      </c>
      <c r="L589" s="164">
        <v>2607.7906739954678</v>
      </c>
      <c r="M589" s="125">
        <v>0</v>
      </c>
      <c r="N589" s="115">
        <v>13924.5</v>
      </c>
      <c r="P589" s="125">
        <v>-2220.5033550399999</v>
      </c>
      <c r="Q589" s="125">
        <v>-362.02599965000002</v>
      </c>
      <c r="S589" s="125">
        <v>-3022776.8000016403</v>
      </c>
      <c r="T589" s="125">
        <v>0</v>
      </c>
      <c r="V589" s="125"/>
      <c r="W589" s="125"/>
      <c r="Z589" s="128"/>
      <c r="AA589" s="135"/>
    </row>
    <row r="590" spans="1:28">
      <c r="A590" s="121">
        <v>43830</v>
      </c>
      <c r="B590" s="125">
        <v>168611090.23589775</v>
      </c>
      <c r="C590" s="125">
        <v>36389595.055737853</v>
      </c>
      <c r="D590" s="125">
        <v>51508206.502279505</v>
      </c>
      <c r="E590" s="125">
        <v>70961430.826248884</v>
      </c>
      <c r="F590" s="123">
        <v>158859232.38426626</v>
      </c>
      <c r="G590" s="125">
        <v>0</v>
      </c>
      <c r="H590" s="125">
        <v>1561.4001696953706</v>
      </c>
      <c r="I590" s="125">
        <v>919.41197813165581</v>
      </c>
      <c r="J590" s="125">
        <v>562.71113848622474</v>
      </c>
      <c r="K590" s="125">
        <v>1182.781112510861</v>
      </c>
      <c r="L590" s="164">
        <v>2664.9042291287415</v>
      </c>
      <c r="M590" s="125">
        <v>0</v>
      </c>
      <c r="N590" s="115">
        <v>13882.5</v>
      </c>
      <c r="O590" s="116">
        <v>3391.77</v>
      </c>
      <c r="P590" s="125">
        <v>-1001.0793231600003</v>
      </c>
      <c r="Q590" s="125">
        <v>-240.86373503000002</v>
      </c>
      <c r="S590" s="125">
        <v>-10036606.900001628</v>
      </c>
      <c r="T590" s="125">
        <v>0</v>
      </c>
      <c r="V590" s="125"/>
      <c r="W590" s="125"/>
      <c r="Z590" s="128"/>
      <c r="AA590" s="135"/>
      <c r="AB590" s="128" t="e">
        <f>+AVERAGE(AA571:AA590)</f>
        <v>#DIV/0!</v>
      </c>
    </row>
    <row r="591" spans="1:28">
      <c r="A591" s="121">
        <v>43832</v>
      </c>
      <c r="B591" s="125">
        <v>167332419.45908746</v>
      </c>
      <c r="C591" s="125">
        <v>37592291.704036459</v>
      </c>
      <c r="D591" s="125">
        <v>51557903.10660968</v>
      </c>
      <c r="E591" s="125">
        <v>71050980.317146614</v>
      </c>
      <c r="F591" s="123">
        <v>160201175.12779278</v>
      </c>
      <c r="G591" s="125">
        <v>0</v>
      </c>
      <c r="H591" s="125">
        <v>1554.7227179816859</v>
      </c>
      <c r="I591" s="125">
        <v>927.9523753184676</v>
      </c>
      <c r="J591" s="125">
        <v>563.26063890703733</v>
      </c>
      <c r="K591" s="125">
        <v>1178.5330973347034</v>
      </c>
      <c r="L591" s="164">
        <v>2669.7461115602082</v>
      </c>
      <c r="M591" s="125">
        <v>0</v>
      </c>
      <c r="N591" s="115">
        <v>13889</v>
      </c>
      <c r="P591" s="125">
        <v>-1109.6412249800001</v>
      </c>
      <c r="Q591" s="125">
        <v>-345.67512648999997</v>
      </c>
      <c r="S591" s="125">
        <v>-10036606.900001628</v>
      </c>
      <c r="T591" s="125">
        <v>0</v>
      </c>
      <c r="V591" s="125"/>
      <c r="W591" s="125"/>
      <c r="AB591" s="128" t="e">
        <f>+AB590-AB570</f>
        <v>#DIV/0!</v>
      </c>
    </row>
    <row r="592" spans="1:28">
      <c r="A592" s="121">
        <v>43833</v>
      </c>
      <c r="B592" s="125">
        <v>166910516.12328932</v>
      </c>
      <c r="C592" s="125">
        <v>42359053.913636491</v>
      </c>
      <c r="D592" s="125">
        <v>51666781.268341959</v>
      </c>
      <c r="E592" s="125">
        <v>71264764.701764122</v>
      </c>
      <c r="F592" s="123">
        <v>165290599.88374257</v>
      </c>
      <c r="G592" s="125">
        <v>0</v>
      </c>
      <c r="H592" s="125">
        <v>1544.000266007273</v>
      </c>
      <c r="I592" s="125">
        <v>925.85445978156952</v>
      </c>
      <c r="J592" s="125">
        <v>564.53179188344598</v>
      </c>
      <c r="K592" s="125">
        <v>1194.8202827002326</v>
      </c>
      <c r="L592" s="164">
        <v>2685.2065343652484</v>
      </c>
      <c r="M592" s="125">
        <v>0</v>
      </c>
      <c r="N592" s="115">
        <v>13889</v>
      </c>
      <c r="P592" s="125">
        <v>-1224.2843934000002</v>
      </c>
      <c r="Q592" s="125">
        <v>-399.05554825000002</v>
      </c>
      <c r="S592" s="125">
        <v>-10036606.900001628</v>
      </c>
      <c r="T592" s="125">
        <v>0</v>
      </c>
      <c r="V592" s="125"/>
      <c r="W592" s="125"/>
    </row>
    <row r="593" spans="1:23">
      <c r="A593" s="121">
        <v>43836</v>
      </c>
      <c r="B593" s="125">
        <v>166079313.60528204</v>
      </c>
      <c r="C593" s="125">
        <v>41817354.359743878</v>
      </c>
      <c r="D593" s="125">
        <v>51350807.232550792</v>
      </c>
      <c r="E593" s="125">
        <v>71107787.524577558</v>
      </c>
      <c r="F593" s="123">
        <v>164275949.11687222</v>
      </c>
      <c r="G593" s="125">
        <v>0</v>
      </c>
      <c r="H593" s="125">
        <v>1542.6731941912778</v>
      </c>
      <c r="I593" s="125">
        <v>928.11788002964943</v>
      </c>
      <c r="J593" s="125">
        <v>563.13399823690429</v>
      </c>
      <c r="K593" s="125">
        <v>1202.8824519543089</v>
      </c>
      <c r="L593" s="164">
        <v>2694.1343302208625</v>
      </c>
      <c r="M593" s="125">
        <v>0</v>
      </c>
      <c r="N593" s="115">
        <v>13940</v>
      </c>
      <c r="P593" s="125">
        <v>-1455.2508937600001</v>
      </c>
      <c r="Q593" s="125">
        <v>-557.10847560000002</v>
      </c>
      <c r="S593" s="125">
        <v>-10036606.900001628</v>
      </c>
      <c r="T593" s="125">
        <v>0</v>
      </c>
      <c r="V593" s="125"/>
      <c r="W593" s="125"/>
    </row>
    <row r="594" spans="1:23">
      <c r="A594" s="121">
        <v>43837</v>
      </c>
      <c r="B594" s="125">
        <v>165701924.50109208</v>
      </c>
      <c r="C594" s="125">
        <v>42869500.106303997</v>
      </c>
      <c r="D594" s="125">
        <v>51107144.742970005</v>
      </c>
      <c r="E594" s="125">
        <v>70431419.159840003</v>
      </c>
      <c r="F594" s="123">
        <v>164408064.00911403</v>
      </c>
      <c r="G594" s="125">
        <v>0</v>
      </c>
      <c r="H594" s="125">
        <v>1523.7385036982346</v>
      </c>
      <c r="I594" s="125">
        <v>932.68910685398191</v>
      </c>
      <c r="J594" s="125">
        <v>562.19290889974775</v>
      </c>
      <c r="K594" s="125">
        <v>1204.7351804307027</v>
      </c>
      <c r="L594" s="164">
        <v>2699.6171961844325</v>
      </c>
      <c r="M594" s="125">
        <v>0</v>
      </c>
      <c r="N594" s="115">
        <v>13875</v>
      </c>
      <c r="P594" s="125">
        <v>-1568.9641980000001</v>
      </c>
      <c r="Q594" s="125">
        <v>-606.80661499999997</v>
      </c>
      <c r="S594" s="125">
        <v>-7932538.7500019995</v>
      </c>
      <c r="T594" s="125">
        <v>0</v>
      </c>
      <c r="V594" s="125"/>
      <c r="W594" s="125"/>
    </row>
    <row r="595" spans="1:23">
      <c r="A595" s="121">
        <v>43838</v>
      </c>
      <c r="B595" s="125">
        <v>165777158.34421822</v>
      </c>
      <c r="C595" s="125">
        <v>42789483.467179395</v>
      </c>
      <c r="D595" s="125">
        <v>51062478.419158392</v>
      </c>
      <c r="E595" s="125">
        <v>70056578.05518274</v>
      </c>
      <c r="F595" s="123">
        <v>163908539.94152051</v>
      </c>
      <c r="G595" s="125">
        <v>0</v>
      </c>
      <c r="H595" s="125">
        <v>1522.9177120183947</v>
      </c>
      <c r="I595" s="125">
        <v>928.77416585613094</v>
      </c>
      <c r="J595" s="125">
        <v>561.87847173068076</v>
      </c>
      <c r="K595" s="125">
        <v>1209.5611900773799</v>
      </c>
      <c r="L595" s="164">
        <v>2700.2138276641917</v>
      </c>
      <c r="M595" s="125">
        <v>0</v>
      </c>
      <c r="N595" s="115">
        <v>13892.5</v>
      </c>
      <c r="P595" s="125">
        <v>-1677.1214890600002</v>
      </c>
      <c r="Q595" s="125">
        <v>-660.00832273000003</v>
      </c>
      <c r="S595" s="125">
        <v>-7932538.7500016401</v>
      </c>
      <c r="T595" s="125">
        <v>0</v>
      </c>
      <c r="V595" s="125"/>
      <c r="W595" s="125"/>
    </row>
    <row r="596" spans="1:23">
      <c r="A596" s="121">
        <v>43839</v>
      </c>
      <c r="B596" s="125">
        <v>165717848.8225545</v>
      </c>
      <c r="C596" s="125">
        <v>40357039.797429152</v>
      </c>
      <c r="D596" s="125">
        <v>51010184.826018892</v>
      </c>
      <c r="E596" s="125">
        <v>71058998.358303756</v>
      </c>
      <c r="F596" s="123">
        <v>162426222.9817518</v>
      </c>
      <c r="G596" s="125">
        <v>0</v>
      </c>
      <c r="H596" s="125">
        <v>1523.2497570052278</v>
      </c>
      <c r="I596" s="125">
        <v>931.63930448423912</v>
      </c>
      <c r="J596" s="125">
        <v>565.23582129820284</v>
      </c>
      <c r="K596" s="125">
        <v>1210.3598322867156</v>
      </c>
      <c r="L596" s="164">
        <v>2707.2349580691575</v>
      </c>
      <c r="M596" s="125">
        <v>0</v>
      </c>
      <c r="N596" s="115">
        <v>13850</v>
      </c>
      <c r="P596" s="125">
        <v>-1786.89444525</v>
      </c>
      <c r="Q596" s="125">
        <v>-710.11706150000009</v>
      </c>
      <c r="S596" s="125">
        <v>-7932538.7500016401</v>
      </c>
      <c r="T596" s="125">
        <v>0</v>
      </c>
      <c r="V596" s="125"/>
      <c r="W596" s="125"/>
    </row>
    <row r="597" spans="1:23">
      <c r="A597" s="121">
        <v>43840</v>
      </c>
      <c r="B597" s="125">
        <v>165784499.76653692</v>
      </c>
      <c r="C597" s="125">
        <v>38640690.994674079</v>
      </c>
      <c r="D597" s="125">
        <v>50936447.024428234</v>
      </c>
      <c r="E597" s="125">
        <v>71301340.569283172</v>
      </c>
      <c r="F597" s="123">
        <v>160878478.58838546</v>
      </c>
      <c r="G597" s="125">
        <v>0</v>
      </c>
      <c r="H597" s="125">
        <v>1504.3624343877366</v>
      </c>
      <c r="I597" s="125">
        <v>946.54175410693585</v>
      </c>
      <c r="J597" s="125">
        <v>568.96481678389046</v>
      </c>
      <c r="K597" s="125">
        <v>1206.7140285906776</v>
      </c>
      <c r="L597" s="164">
        <v>2722.220599481504</v>
      </c>
      <c r="M597" s="125">
        <v>0</v>
      </c>
      <c r="N597" s="115">
        <v>13762.5</v>
      </c>
      <c r="P597" s="125">
        <v>-1891.9804638100002</v>
      </c>
      <c r="Q597" s="125">
        <v>-757.50272589000008</v>
      </c>
      <c r="S597" s="125">
        <v>-7932538.7500016401</v>
      </c>
      <c r="T597" s="125">
        <v>0</v>
      </c>
      <c r="V597" s="125"/>
      <c r="W597" s="125"/>
    </row>
    <row r="598" spans="1:23">
      <c r="A598" s="121">
        <v>43843</v>
      </c>
      <c r="B598" s="125">
        <v>165784519.55418438</v>
      </c>
      <c r="C598" s="125">
        <v>40223317.22044152</v>
      </c>
      <c r="D598" s="125">
        <v>50977505.634798832</v>
      </c>
      <c r="E598" s="125">
        <v>72196504.362696856</v>
      </c>
      <c r="F598" s="123">
        <v>163397327.2179372</v>
      </c>
      <c r="G598" s="125">
        <v>0</v>
      </c>
      <c r="H598" s="125">
        <v>1505.1526964065094</v>
      </c>
      <c r="I598" s="125">
        <v>942.07941727834259</v>
      </c>
      <c r="J598" s="125">
        <v>581.67389079886334</v>
      </c>
      <c r="K598" s="125">
        <v>1223.1389937107813</v>
      </c>
      <c r="L598" s="164">
        <v>2746.892301787987</v>
      </c>
      <c r="M598" s="125">
        <v>0</v>
      </c>
      <c r="N598" s="115">
        <v>13668</v>
      </c>
      <c r="P598" s="125">
        <v>-2226.5952257100002</v>
      </c>
      <c r="Q598" s="125">
        <v>-906.8485644000001</v>
      </c>
      <c r="S598" s="125">
        <v>-7932538.7500016401</v>
      </c>
      <c r="T598" s="125">
        <v>0</v>
      </c>
      <c r="V598" s="125"/>
      <c r="W598" s="125"/>
    </row>
    <row r="599" spans="1:23">
      <c r="A599" s="121">
        <v>43844</v>
      </c>
      <c r="B599" s="125">
        <v>166033847.09940687</v>
      </c>
      <c r="C599" s="125">
        <v>41701899.735179462</v>
      </c>
      <c r="D599" s="125">
        <v>51034703.745349638</v>
      </c>
      <c r="E599" s="125">
        <v>72642535.064684719</v>
      </c>
      <c r="F599" s="123">
        <v>165379138.54521382</v>
      </c>
      <c r="G599" s="125">
        <v>0</v>
      </c>
      <c r="H599" s="125">
        <v>1472.6330934618256</v>
      </c>
      <c r="I599" s="125">
        <v>941.25838323126925</v>
      </c>
      <c r="J599" s="125">
        <v>582.65545155150369</v>
      </c>
      <c r="K599" s="125">
        <v>1221.8201413966144</v>
      </c>
      <c r="L599" s="164">
        <v>2745.7339761793874</v>
      </c>
      <c r="M599" s="125">
        <v>0</v>
      </c>
      <c r="N599" s="115">
        <v>13670</v>
      </c>
      <c r="P599" s="125">
        <v>-2337.1394933799997</v>
      </c>
      <c r="Q599" s="125">
        <v>-958.50458459999993</v>
      </c>
      <c r="S599" s="125">
        <v>-7932538.7500016401</v>
      </c>
      <c r="T599" s="125">
        <v>0</v>
      </c>
      <c r="V599" s="125"/>
      <c r="W599" s="125"/>
    </row>
    <row r="600" spans="1:23">
      <c r="A600" s="121">
        <v>43845</v>
      </c>
      <c r="B600" s="125">
        <v>166123070.73689014</v>
      </c>
      <c r="C600" s="125">
        <v>40739206.765127845</v>
      </c>
      <c r="D600" s="125">
        <v>50968277.394763969</v>
      </c>
      <c r="E600" s="125">
        <v>73419026.794909194</v>
      </c>
      <c r="F600" s="123">
        <v>165126510.95480102</v>
      </c>
      <c r="G600" s="125">
        <v>0</v>
      </c>
      <c r="H600" s="125">
        <v>1470.3806343465903</v>
      </c>
      <c r="I600" s="125">
        <v>939.74487746780562</v>
      </c>
      <c r="J600" s="125">
        <v>588.71060409173697</v>
      </c>
      <c r="K600" s="125">
        <v>1217.2781706881092</v>
      </c>
      <c r="L600" s="164">
        <v>2745.7336522476517</v>
      </c>
      <c r="M600" s="125">
        <v>0</v>
      </c>
      <c r="N600" s="115">
        <v>13665</v>
      </c>
      <c r="P600" s="125">
        <v>-2453.4194762699999</v>
      </c>
      <c r="Q600" s="125">
        <v>-1009.63018935</v>
      </c>
      <c r="S600" s="125">
        <v>-7932538.7500016401</v>
      </c>
      <c r="T600" s="125">
        <v>0</v>
      </c>
      <c r="V600" s="125"/>
      <c r="W600" s="125"/>
    </row>
    <row r="601" spans="1:23">
      <c r="A601" s="121">
        <v>43846</v>
      </c>
      <c r="B601" s="125">
        <v>166112819.09395468</v>
      </c>
      <c r="C601" s="125">
        <v>40804921.08339037</v>
      </c>
      <c r="D601" s="125">
        <v>50952844.431107759</v>
      </c>
      <c r="E601" s="125">
        <v>73619474.453084439</v>
      </c>
      <c r="F601" s="123">
        <v>165377239.96758258</v>
      </c>
      <c r="G601" s="125">
        <v>0</v>
      </c>
      <c r="H601" s="125">
        <v>1492.521812066276</v>
      </c>
      <c r="I601" s="125">
        <v>964.75317263354884</v>
      </c>
      <c r="J601" s="125">
        <v>592.66532371577716</v>
      </c>
      <c r="K601" s="125">
        <v>1215.9147772864078</v>
      </c>
      <c r="L601" s="164">
        <v>2773.3332736357338</v>
      </c>
      <c r="M601" s="125">
        <v>0</v>
      </c>
      <c r="N601" s="115">
        <v>13630</v>
      </c>
      <c r="P601" s="125">
        <v>-2568.7127936399997</v>
      </c>
      <c r="Q601" s="125">
        <v>-1058.3888546000001</v>
      </c>
      <c r="S601" s="125">
        <v>-7932538.7500016401</v>
      </c>
      <c r="T601" s="125">
        <v>0</v>
      </c>
      <c r="V601" s="125"/>
      <c r="W601" s="125"/>
    </row>
    <row r="602" spans="1:23">
      <c r="A602" s="121">
        <v>43847</v>
      </c>
      <c r="B602" s="125">
        <v>166079350.8909353</v>
      </c>
      <c r="C602" s="125">
        <v>40030886.49147822</v>
      </c>
      <c r="D602" s="125">
        <v>50892927.097256862</v>
      </c>
      <c r="E602" s="125">
        <v>73365913.308908805</v>
      </c>
      <c r="F602" s="123">
        <v>164289726.89764386</v>
      </c>
      <c r="G602" s="125">
        <v>0</v>
      </c>
      <c r="H602" s="125">
        <v>1530.7133812204147</v>
      </c>
      <c r="I602" s="125">
        <v>954.37087751959689</v>
      </c>
      <c r="J602" s="125">
        <v>596.26685290453759</v>
      </c>
      <c r="K602" s="125">
        <v>1219.7606710537616</v>
      </c>
      <c r="L602" s="164">
        <v>2770.3984014778962</v>
      </c>
      <c r="M602" s="125">
        <v>0</v>
      </c>
      <c r="N602" s="115">
        <v>13637.5</v>
      </c>
      <c r="P602" s="125">
        <v>-2680.1248545600001</v>
      </c>
      <c r="Q602" s="125">
        <v>-1110.3437027699999</v>
      </c>
      <c r="S602" s="125">
        <v>-7932538.7500016401</v>
      </c>
      <c r="T602" s="125">
        <v>0</v>
      </c>
      <c r="V602" s="125"/>
      <c r="W602" s="125"/>
    </row>
    <row r="603" spans="1:23">
      <c r="A603" s="121">
        <v>43850</v>
      </c>
      <c r="B603" s="125">
        <v>166193193.06586707</v>
      </c>
      <c r="C603" s="125">
        <v>41381371.523926668</v>
      </c>
      <c r="D603" s="125">
        <v>50870582.928172618</v>
      </c>
      <c r="E603" s="125">
        <v>72940608.016336948</v>
      </c>
      <c r="F603" s="123">
        <v>165192562.46843624</v>
      </c>
      <c r="G603" s="125">
        <v>0</v>
      </c>
      <c r="H603" s="125">
        <v>1531.6965435250675</v>
      </c>
      <c r="I603" s="125">
        <v>970.5756279251251</v>
      </c>
      <c r="J603" s="125">
        <v>624.79341876408375</v>
      </c>
      <c r="K603" s="125">
        <v>1171.289975309159</v>
      </c>
      <c r="L603" s="164">
        <v>2766.6590219983682</v>
      </c>
      <c r="M603" s="125">
        <v>0</v>
      </c>
      <c r="N603" s="115">
        <v>13632.5</v>
      </c>
      <c r="P603" s="125">
        <v>-2936.54709452</v>
      </c>
      <c r="Q603" s="125">
        <v>-1263.9981747900001</v>
      </c>
      <c r="S603" s="125">
        <v>-4909761.9500016393</v>
      </c>
      <c r="T603" s="125">
        <v>0</v>
      </c>
      <c r="V603" s="125"/>
      <c r="W603" s="125"/>
    </row>
    <row r="604" spans="1:23">
      <c r="A604" s="121">
        <v>43851</v>
      </c>
      <c r="B604" s="125">
        <v>166319405.84026363</v>
      </c>
      <c r="C604" s="125">
        <v>40987620.118752688</v>
      </c>
      <c r="D604" s="125">
        <v>50943446.695964873</v>
      </c>
      <c r="E604" s="125">
        <v>73783367.204959422</v>
      </c>
      <c r="F604" s="123">
        <v>165714434.01967698</v>
      </c>
      <c r="G604" s="125">
        <v>0</v>
      </c>
      <c r="H604" s="125">
        <v>1519.1988655737077</v>
      </c>
      <c r="I604" s="125">
        <v>976.54739880832267</v>
      </c>
      <c r="J604" s="125">
        <v>627.46700406560751</v>
      </c>
      <c r="K604" s="125">
        <v>1176.7080328621548</v>
      </c>
      <c r="L604" s="164">
        <v>2780.7224357360847</v>
      </c>
      <c r="M604" s="125">
        <v>0</v>
      </c>
      <c r="N604" s="115">
        <v>13657.5</v>
      </c>
      <c r="P604" s="125">
        <v>-3026.02339299</v>
      </c>
      <c r="Q604" s="125">
        <v>-1317.76396404</v>
      </c>
      <c r="S604" s="125">
        <v>-4909761.9500016393</v>
      </c>
      <c r="T604" s="125">
        <v>0</v>
      </c>
      <c r="V604" s="125"/>
      <c r="W604" s="125"/>
    </row>
    <row r="605" spans="1:23">
      <c r="A605" s="121">
        <v>43852</v>
      </c>
      <c r="B605" s="125">
        <v>166365856.31332251</v>
      </c>
      <c r="C605" s="125">
        <v>41542748.39231956</v>
      </c>
      <c r="D605" s="125">
        <v>50821243.295261025</v>
      </c>
      <c r="E605" s="125">
        <v>73675056.754304349</v>
      </c>
      <c r="F605" s="123">
        <v>166039048.44188493</v>
      </c>
      <c r="G605" s="125">
        <v>0</v>
      </c>
      <c r="H605" s="125">
        <v>1515.4707442556489</v>
      </c>
      <c r="I605" s="125">
        <v>971.32639966888723</v>
      </c>
      <c r="J605" s="125">
        <v>618.95549956627997</v>
      </c>
      <c r="K605" s="125">
        <v>1181.3133470044677</v>
      </c>
      <c r="L605" s="164">
        <v>2771.5952462396349</v>
      </c>
      <c r="M605" s="125">
        <v>0</v>
      </c>
      <c r="N605" s="115">
        <v>13664.5</v>
      </c>
      <c r="P605" s="125">
        <v>-3135.641122</v>
      </c>
      <c r="Q605" s="125">
        <v>-1367.9088807600001</v>
      </c>
      <c r="S605" s="125">
        <v>-4909761.9500016393</v>
      </c>
      <c r="T605" s="125">
        <v>0</v>
      </c>
      <c r="V605" s="125"/>
      <c r="W605" s="125"/>
    </row>
    <row r="606" spans="1:23">
      <c r="A606" s="121">
        <v>43853</v>
      </c>
      <c r="B606" s="125">
        <v>166690418.39935875</v>
      </c>
      <c r="C606" s="125">
        <v>41525285.925983891</v>
      </c>
      <c r="D606" s="125">
        <v>51007261.766821899</v>
      </c>
      <c r="E606" s="125">
        <v>73949438.856075138</v>
      </c>
      <c r="F606" s="123">
        <v>166481986.54888093</v>
      </c>
      <c r="G606" s="125">
        <v>0</v>
      </c>
      <c r="H606" s="125">
        <v>1530.944368126208</v>
      </c>
      <c r="I606" s="125">
        <v>972.55539764081288</v>
      </c>
      <c r="J606" s="125">
        <v>616.90120573146248</v>
      </c>
      <c r="K606" s="125">
        <v>1193.9564671833998</v>
      </c>
      <c r="L606" s="164">
        <v>2783.4130705556754</v>
      </c>
      <c r="M606" s="125">
        <v>0</v>
      </c>
      <c r="N606" s="115">
        <v>13630</v>
      </c>
      <c r="P606" s="125">
        <v>-2981.6435381199999</v>
      </c>
      <c r="Q606" s="125">
        <v>-1417.7995513000001</v>
      </c>
      <c r="S606" s="125">
        <v>-4909761.9500016393</v>
      </c>
      <c r="T606" s="125">
        <v>0</v>
      </c>
      <c r="V606" s="125"/>
      <c r="W606" s="125"/>
    </row>
    <row r="607" spans="1:23">
      <c r="A607" s="121">
        <v>43854</v>
      </c>
      <c r="B607" s="125">
        <v>166773955.15049851</v>
      </c>
      <c r="C607" s="125">
        <v>41685348.867341243</v>
      </c>
      <c r="D607" s="125">
        <v>51890149.248884656</v>
      </c>
      <c r="E607" s="125">
        <v>73974286.438666403</v>
      </c>
      <c r="F607" s="123">
        <v>167549784.5548923</v>
      </c>
      <c r="G607" s="125">
        <v>0</v>
      </c>
      <c r="H607" s="125">
        <v>1527.5943595202591</v>
      </c>
      <c r="I607" s="125">
        <v>975.08862973423936</v>
      </c>
      <c r="J607" s="125">
        <v>619.02076090424873</v>
      </c>
      <c r="K607" s="125">
        <v>1199.5585369826078</v>
      </c>
      <c r="L607" s="164">
        <v>2793.6679276210962</v>
      </c>
      <c r="M607" s="125">
        <v>0</v>
      </c>
      <c r="N607" s="115">
        <v>13572.5</v>
      </c>
      <c r="P607" s="125">
        <v>-3084.7724315699998</v>
      </c>
      <c r="Q607" s="125">
        <v>-1462.94625094</v>
      </c>
      <c r="S607" s="125">
        <v>-4909761.9500016393</v>
      </c>
      <c r="T607" s="125">
        <v>0</v>
      </c>
      <c r="V607" s="125"/>
      <c r="W607" s="125"/>
    </row>
    <row r="608" spans="1:23">
      <c r="A608" s="121">
        <v>43857</v>
      </c>
      <c r="B608" s="125">
        <v>166715164.90932411</v>
      </c>
      <c r="C608" s="125">
        <v>42398976.349697873</v>
      </c>
      <c r="D608" s="125">
        <v>51790866.508553192</v>
      </c>
      <c r="E608" s="125">
        <v>73205723.205595627</v>
      </c>
      <c r="F608" s="123">
        <v>167395566.06384671</v>
      </c>
      <c r="G608" s="125">
        <v>0</v>
      </c>
      <c r="H608" s="125">
        <v>1514.1515834696843</v>
      </c>
      <c r="I608" s="125">
        <v>980.29571162014008</v>
      </c>
      <c r="J608" s="125">
        <v>623.37253422010701</v>
      </c>
      <c r="K608" s="125">
        <v>1184.4116602080544</v>
      </c>
      <c r="L608" s="164">
        <v>2788.0799060483014</v>
      </c>
      <c r="M608" s="125">
        <v>0</v>
      </c>
      <c r="N608" s="115">
        <v>13605</v>
      </c>
      <c r="P608" s="125">
        <v>-3208.0416583599999</v>
      </c>
      <c r="Q608" s="125">
        <v>-1620.19455285</v>
      </c>
      <c r="S608" s="125">
        <v>-4909761.9500016393</v>
      </c>
      <c r="T608" s="125">
        <v>0</v>
      </c>
      <c r="V608" s="125"/>
      <c r="W608" s="125"/>
    </row>
    <row r="609" spans="1:23">
      <c r="A609" s="121">
        <v>43858</v>
      </c>
      <c r="B609" s="125">
        <v>166900245.27462155</v>
      </c>
      <c r="C609" s="125">
        <v>41561748.377506062</v>
      </c>
      <c r="D609" s="125">
        <v>52057403.273252942</v>
      </c>
      <c r="E609" s="125">
        <v>73078932.799834996</v>
      </c>
      <c r="F609" s="123">
        <v>166698084.45059401</v>
      </c>
      <c r="G609" s="125">
        <v>0</v>
      </c>
      <c r="H609" s="125">
        <v>1518.2212599358006</v>
      </c>
      <c r="I609" s="125">
        <v>984.04762354998752</v>
      </c>
      <c r="J609" s="125">
        <v>601.90040339905818</v>
      </c>
      <c r="K609" s="125">
        <v>1236.2220509291935</v>
      </c>
      <c r="L609" s="164">
        <v>2822.1700778782392</v>
      </c>
      <c r="M609" s="125">
        <v>0</v>
      </c>
      <c r="N609" s="115">
        <v>13637.5</v>
      </c>
      <c r="P609" s="125">
        <v>-3304.7853536000002</v>
      </c>
      <c r="Q609" s="125">
        <v>-1675.4128333900001</v>
      </c>
      <c r="S609" s="125">
        <v>-1.64E-6</v>
      </c>
      <c r="T609" s="125">
        <v>0</v>
      </c>
      <c r="V609" s="125"/>
      <c r="W609" s="125"/>
    </row>
    <row r="610" spans="1:23">
      <c r="A610" s="121">
        <v>43859</v>
      </c>
      <c r="B610" s="125">
        <v>165475272.5335044</v>
      </c>
      <c r="C610" s="125">
        <v>42086161.796327569</v>
      </c>
      <c r="D610" s="125">
        <v>52136182.973287083</v>
      </c>
      <c r="E610" s="125">
        <v>73154507.190566257</v>
      </c>
      <c r="F610" s="123">
        <v>167376851.96018091</v>
      </c>
      <c r="G610" s="125">
        <v>0</v>
      </c>
      <c r="H610" s="125">
        <v>1522.2718690417207</v>
      </c>
      <c r="I610" s="125">
        <v>989.06064496800536</v>
      </c>
      <c r="J610" s="125">
        <v>599.03983256512447</v>
      </c>
      <c r="K610" s="125">
        <v>1235.0135411235728</v>
      </c>
      <c r="L610" s="164">
        <v>2823.1140186567027</v>
      </c>
      <c r="M610" s="125">
        <v>0</v>
      </c>
      <c r="N610" s="115">
        <v>13627.5</v>
      </c>
      <c r="P610" s="125">
        <v>-3368.9989249800001</v>
      </c>
      <c r="Q610" s="125">
        <v>-1725.4888391300001</v>
      </c>
      <c r="S610" s="125">
        <v>-1.64E-6</v>
      </c>
      <c r="T610" s="125">
        <v>0</v>
      </c>
      <c r="V610" s="125"/>
      <c r="W610" s="125"/>
    </row>
    <row r="611" spans="1:23">
      <c r="A611" s="121">
        <v>43860</v>
      </c>
      <c r="B611" s="125">
        <v>165518429.54205698</v>
      </c>
      <c r="C611" s="125">
        <v>40898309.797816642</v>
      </c>
      <c r="D611" s="125">
        <v>52282237.185702771</v>
      </c>
      <c r="E611" s="125">
        <v>73470148.743050069</v>
      </c>
      <c r="F611" s="123">
        <v>166650695.72656947</v>
      </c>
      <c r="G611" s="125">
        <v>0</v>
      </c>
      <c r="H611" s="125">
        <v>1519.0279104978806</v>
      </c>
      <c r="I611" s="125">
        <v>946.44982352715806</v>
      </c>
      <c r="J611" s="125">
        <v>599.30664994272411</v>
      </c>
      <c r="K611" s="125">
        <v>1187.2175506475967</v>
      </c>
      <c r="L611" s="164">
        <v>2732.9740241174786</v>
      </c>
      <c r="M611" s="125">
        <v>0</v>
      </c>
      <c r="N611" s="115">
        <v>13645</v>
      </c>
      <c r="P611" s="125">
        <v>-3360.8738303999999</v>
      </c>
      <c r="Q611" s="125">
        <v>-1779.1094652500001</v>
      </c>
      <c r="S611" s="125">
        <v>-1.64E-6</v>
      </c>
      <c r="T611" s="125">
        <v>0</v>
      </c>
      <c r="V611" s="125"/>
      <c r="W611" s="125"/>
    </row>
    <row r="612" spans="1:23">
      <c r="A612" s="121">
        <v>43861</v>
      </c>
      <c r="B612" s="125">
        <v>166010586.68914527</v>
      </c>
      <c r="C612" s="125">
        <v>38595957.063341551</v>
      </c>
      <c r="D612" s="125">
        <v>52797623.163454063</v>
      </c>
      <c r="E612" s="125">
        <v>73547601.045812309</v>
      </c>
      <c r="F612" s="123">
        <v>164941181.27260792</v>
      </c>
      <c r="G612" s="125">
        <v>-745000</v>
      </c>
      <c r="H612" s="125">
        <v>1518.0633382702192</v>
      </c>
      <c r="I612" s="125">
        <v>970.55961119624351</v>
      </c>
      <c r="J612" s="125">
        <v>592.27020955349269</v>
      </c>
      <c r="K612" s="125">
        <v>1193.2574544734246</v>
      </c>
      <c r="L612" s="164">
        <v>2756.0872752231608</v>
      </c>
      <c r="M612" s="125">
        <v>0</v>
      </c>
      <c r="N612" s="115">
        <v>13655</v>
      </c>
      <c r="O612" s="116">
        <v>3335.78</v>
      </c>
      <c r="P612" s="125">
        <v>-2672.6004809700003</v>
      </c>
      <c r="Q612" s="125">
        <v>-1661.7717157</v>
      </c>
      <c r="S612" s="125">
        <v>-1.64E-6</v>
      </c>
      <c r="T612" s="125">
        <v>0</v>
      </c>
      <c r="V612" s="125"/>
      <c r="W612" s="125"/>
    </row>
    <row r="613" spans="1:23">
      <c r="A613" s="121">
        <v>43864</v>
      </c>
      <c r="B613" s="125">
        <v>165497110.49190125</v>
      </c>
      <c r="C613" s="125">
        <v>40226158.995091669</v>
      </c>
      <c r="D613" s="125">
        <v>52461370.873461045</v>
      </c>
      <c r="E613" s="125">
        <v>72834176.964083716</v>
      </c>
      <c r="F613" s="123">
        <v>165521706.83263642</v>
      </c>
      <c r="G613" s="125">
        <v>-605000</v>
      </c>
      <c r="H613" s="125">
        <v>1516.336757072316</v>
      </c>
      <c r="I613" s="125">
        <v>1043.0379301868197</v>
      </c>
      <c r="J613" s="125">
        <v>589.95286936545892</v>
      </c>
      <c r="K613" s="125">
        <v>1167.2570753945718</v>
      </c>
      <c r="L613" s="164">
        <v>2800.2478749468501</v>
      </c>
      <c r="M613" s="125">
        <v>0</v>
      </c>
      <c r="N613" s="115">
        <v>13742.5</v>
      </c>
      <c r="P613" s="125">
        <v>-540.73891776000005</v>
      </c>
      <c r="Q613" s="125">
        <v>-16.47382189</v>
      </c>
      <c r="S613" s="125">
        <v>-1.64E-6</v>
      </c>
      <c r="T613" s="125">
        <v>0</v>
      </c>
      <c r="V613" s="125"/>
      <c r="W613" s="125"/>
    </row>
    <row r="614" spans="1:23">
      <c r="A614" s="121">
        <v>43865</v>
      </c>
      <c r="B614" s="125">
        <v>165203650.28291321</v>
      </c>
      <c r="C614" s="125">
        <v>40971992.99736239</v>
      </c>
      <c r="D614" s="125">
        <v>51982538.497071229</v>
      </c>
      <c r="E614" s="125">
        <v>73037562.329322159</v>
      </c>
      <c r="F614" s="123">
        <v>165992093.82375577</v>
      </c>
      <c r="G614" s="125">
        <v>0</v>
      </c>
      <c r="H614" s="125">
        <v>1491.3397857872051</v>
      </c>
      <c r="I614" s="125">
        <v>1313.837978602149</v>
      </c>
      <c r="J614" s="125">
        <v>591.32926501255599</v>
      </c>
      <c r="K614" s="125">
        <v>1165.9036238496496</v>
      </c>
      <c r="L614" s="164">
        <v>3071.0708674643547</v>
      </c>
      <c r="M614" s="125">
        <v>0</v>
      </c>
      <c r="N614" s="115">
        <v>13712.5</v>
      </c>
      <c r="P614" s="125">
        <v>-500.20046090999989</v>
      </c>
      <c r="Q614" s="125">
        <v>-21.91614027</v>
      </c>
      <c r="S614" s="125">
        <v>-1.64E-6</v>
      </c>
      <c r="T614" s="125">
        <v>0</v>
      </c>
      <c r="V614" s="125"/>
      <c r="W614" s="125"/>
    </row>
    <row r="615" spans="1:23">
      <c r="A615" s="121">
        <v>43866</v>
      </c>
      <c r="B615" s="125">
        <v>164820929.18180087</v>
      </c>
      <c r="C615" s="125">
        <v>40717764.396111384</v>
      </c>
      <c r="D615" s="125">
        <v>51858118.235139839</v>
      </c>
      <c r="E615" s="125">
        <v>72785053.068817824</v>
      </c>
      <c r="F615" s="123">
        <v>165360935.70006904</v>
      </c>
      <c r="G615" s="125">
        <v>0</v>
      </c>
      <c r="H615" s="125">
        <v>1496.2856859709004</v>
      </c>
      <c r="I615" s="125">
        <v>799.37009616327816</v>
      </c>
      <c r="J615" s="125">
        <v>588.70198170778076</v>
      </c>
      <c r="K615" s="125">
        <v>1164.9628314297022</v>
      </c>
      <c r="L615" s="164">
        <v>2553.0349093007608</v>
      </c>
      <c r="M615" s="125">
        <v>0</v>
      </c>
      <c r="N615" s="115">
        <v>13675</v>
      </c>
      <c r="P615" s="125">
        <v>-536.54192076999993</v>
      </c>
      <c r="Q615" s="125">
        <v>-27.319368000000001</v>
      </c>
      <c r="S615" s="125">
        <v>-1.64E-6</v>
      </c>
      <c r="T615" s="125">
        <v>0</v>
      </c>
      <c r="V615" s="125"/>
      <c r="W615" s="125"/>
    </row>
    <row r="616" spans="1:23">
      <c r="A616" s="121">
        <v>43867</v>
      </c>
      <c r="B616" s="125">
        <v>164665965.56492928</v>
      </c>
      <c r="C616" s="125">
        <v>40670085.752238706</v>
      </c>
      <c r="D616" s="125">
        <v>51994465.623614088</v>
      </c>
      <c r="E616" s="125">
        <v>73129715.094772756</v>
      </c>
      <c r="F616" s="123">
        <v>165794266.47062555</v>
      </c>
      <c r="G616" s="125">
        <v>0</v>
      </c>
      <c r="H616" s="125">
        <v>1505.896908491042</v>
      </c>
      <c r="I616" s="125">
        <v>815.64449482375812</v>
      </c>
      <c r="J616" s="125">
        <v>591.31663164381177</v>
      </c>
      <c r="K616" s="125">
        <v>1178.6727880809524</v>
      </c>
      <c r="L616" s="164">
        <v>2585.6339145485226</v>
      </c>
      <c r="M616" s="125">
        <v>0</v>
      </c>
      <c r="N616" s="115">
        <v>13631.5</v>
      </c>
      <c r="P616" s="125">
        <v>-582.62205241999993</v>
      </c>
      <c r="Q616" s="125">
        <v>-32.679067580000002</v>
      </c>
      <c r="S616" s="125">
        <v>-1.64E-6</v>
      </c>
      <c r="T616" s="125">
        <v>0</v>
      </c>
      <c r="V616" s="125"/>
      <c r="W616" s="125"/>
    </row>
    <row r="617" spans="1:23">
      <c r="A617" s="121">
        <v>43868</v>
      </c>
      <c r="B617" s="125">
        <v>163858227.60657626</v>
      </c>
      <c r="C617" s="125">
        <v>40798937.889640853</v>
      </c>
      <c r="D617" s="125">
        <v>51870020.292275622</v>
      </c>
      <c r="E617" s="125">
        <v>73132724.341889888</v>
      </c>
      <c r="F617" s="123">
        <v>165801682.52380636</v>
      </c>
      <c r="G617" s="125">
        <v>0</v>
      </c>
      <c r="H617" s="125">
        <v>1495.9646966206003</v>
      </c>
      <c r="I617" s="125">
        <v>1108.8905624824831</v>
      </c>
      <c r="J617" s="125">
        <v>593.63649068497546</v>
      </c>
      <c r="K617" s="125">
        <v>1177.0190741242948</v>
      </c>
      <c r="L617" s="164">
        <v>2879.5461272917537</v>
      </c>
      <c r="M617" s="125">
        <v>0</v>
      </c>
      <c r="N617" s="115">
        <v>13675</v>
      </c>
      <c r="P617" s="125">
        <v>-621.81826604000025</v>
      </c>
      <c r="Q617" s="125">
        <v>-38.243641750000002</v>
      </c>
      <c r="S617" s="125">
        <v>-1.64E-6</v>
      </c>
      <c r="T617" s="125">
        <v>0</v>
      </c>
      <c r="V617" s="125"/>
      <c r="W617" s="125"/>
    </row>
    <row r="618" spans="1:23">
      <c r="A618" s="121">
        <v>43871</v>
      </c>
      <c r="B618" s="125">
        <v>163425178.32418263</v>
      </c>
      <c r="C618" s="125">
        <v>40251214.325035997</v>
      </c>
      <c r="D618" s="125">
        <v>51547820.456594072</v>
      </c>
      <c r="E618" s="125">
        <v>72937006.691145152</v>
      </c>
      <c r="F618" s="123">
        <v>164736041.47277522</v>
      </c>
      <c r="G618" s="125">
        <v>0</v>
      </c>
      <c r="H618" s="125">
        <v>1516.1455973014847</v>
      </c>
      <c r="I618" s="125">
        <v>1135.5638420073078</v>
      </c>
      <c r="J618" s="125">
        <v>596.56365607029329</v>
      </c>
      <c r="K618" s="125">
        <v>1140.0091793697841</v>
      </c>
      <c r="L618" s="164">
        <v>2872.1366774473854</v>
      </c>
      <c r="M618" s="125">
        <v>0</v>
      </c>
      <c r="N618" s="115">
        <v>13695</v>
      </c>
      <c r="P618" s="125">
        <v>-730.20625264999967</v>
      </c>
      <c r="Q618" s="125">
        <v>-54.705773100000002</v>
      </c>
      <c r="S618" s="125">
        <v>-1.64E-6</v>
      </c>
      <c r="T618" s="125">
        <v>0</v>
      </c>
      <c r="V618" s="125"/>
      <c r="W618" s="125"/>
    </row>
    <row r="619" spans="1:23">
      <c r="A619" s="121">
        <v>43872</v>
      </c>
      <c r="B619" s="125">
        <v>163471038.27649799</v>
      </c>
      <c r="C619" s="125">
        <v>40739031.983750507</v>
      </c>
      <c r="D619" s="125">
        <v>51421780.61937727</v>
      </c>
      <c r="E619" s="125">
        <v>73455314.4386217</v>
      </c>
      <c r="F619" s="123">
        <v>165616127.04174948</v>
      </c>
      <c r="G619" s="125">
        <v>0</v>
      </c>
      <c r="H619" s="125">
        <v>1519.515089271237</v>
      </c>
      <c r="I619" s="125">
        <v>1083.8785542860876</v>
      </c>
      <c r="J619" s="125">
        <v>596.24423108844849</v>
      </c>
      <c r="K619" s="125">
        <v>1140.4252135872136</v>
      </c>
      <c r="L619" s="164">
        <v>2820.5479989617497</v>
      </c>
      <c r="M619" s="125">
        <v>0</v>
      </c>
      <c r="N619" s="115">
        <v>13665</v>
      </c>
      <c r="P619" s="125">
        <v>-768.18114356000012</v>
      </c>
      <c r="Q619" s="125">
        <v>-60.059041500000006</v>
      </c>
      <c r="S619" s="125">
        <v>-1.64E-6</v>
      </c>
      <c r="T619" s="125">
        <v>0</v>
      </c>
      <c r="V619" s="125"/>
      <c r="W619" s="125"/>
    </row>
    <row r="620" spans="1:23">
      <c r="A620" s="121">
        <v>43873</v>
      </c>
      <c r="B620" s="125">
        <v>163550827.1926178</v>
      </c>
      <c r="C620" s="125">
        <v>40158616.215691552</v>
      </c>
      <c r="D620" s="125">
        <v>51518372.511481203</v>
      </c>
      <c r="E620" s="125">
        <v>73146074.911947086</v>
      </c>
      <c r="F620" s="123">
        <v>164823063.63911986</v>
      </c>
      <c r="G620" s="125">
        <v>0</v>
      </c>
      <c r="H620" s="125">
        <v>1516.2932091016369</v>
      </c>
      <c r="I620" s="125">
        <v>1118.9472392526363</v>
      </c>
      <c r="J620" s="125">
        <v>598.0993292739555</v>
      </c>
      <c r="K620" s="125">
        <v>1137.8251260704426</v>
      </c>
      <c r="L620" s="164">
        <v>2854.8716945970345</v>
      </c>
      <c r="M620" s="125">
        <v>0</v>
      </c>
      <c r="N620" s="115">
        <v>13660</v>
      </c>
      <c r="P620" s="125">
        <v>-807.1663560400001</v>
      </c>
      <c r="Q620" s="125">
        <v>-65.508442400000007</v>
      </c>
      <c r="S620" s="125">
        <v>-1.64E-6</v>
      </c>
      <c r="T620" s="125">
        <v>0</v>
      </c>
      <c r="V620" s="125"/>
      <c r="W620" s="125"/>
    </row>
    <row r="621" spans="1:23">
      <c r="A621" s="121">
        <v>43874</v>
      </c>
      <c r="B621" s="125">
        <v>163779483.9958016</v>
      </c>
      <c r="C621" s="125">
        <v>41139165.374901541</v>
      </c>
      <c r="D621" s="125">
        <v>51681636.365452871</v>
      </c>
      <c r="E621" s="125">
        <v>73418687.913746446</v>
      </c>
      <c r="F621" s="123">
        <v>166239489.65410087</v>
      </c>
      <c r="G621" s="125">
        <v>0</v>
      </c>
      <c r="H621" s="125">
        <v>1520.4277967350506</v>
      </c>
      <c r="I621" s="125">
        <v>1121.7339843439615</v>
      </c>
      <c r="J621" s="125">
        <v>607.63340836858492</v>
      </c>
      <c r="K621" s="125">
        <v>1109.684602194096</v>
      </c>
      <c r="L621" s="164">
        <v>2839.0519949066424</v>
      </c>
      <c r="M621" s="125">
        <v>0</v>
      </c>
      <c r="N621" s="115">
        <v>13680</v>
      </c>
      <c r="P621" s="125">
        <v>-843.71827291</v>
      </c>
      <c r="Q621" s="125">
        <v>-71.083879199999998</v>
      </c>
      <c r="S621" s="125">
        <v>-1.64E-6</v>
      </c>
      <c r="T621" s="125">
        <v>0</v>
      </c>
      <c r="V621" s="125"/>
      <c r="W621" s="125"/>
    </row>
    <row r="622" spans="1:23">
      <c r="A622" s="121">
        <v>43875</v>
      </c>
      <c r="B622" s="125">
        <v>164453032.32874078</v>
      </c>
      <c r="C622" s="125">
        <v>39820896.006977402</v>
      </c>
      <c r="D622" s="125">
        <v>51533834.404992692</v>
      </c>
      <c r="E622" s="125">
        <v>73768521.590273768</v>
      </c>
      <c r="F622" s="123">
        <v>165123252.00224388</v>
      </c>
      <c r="G622" s="125">
        <v>-1200000</v>
      </c>
      <c r="H622" s="125">
        <v>1476.9954790678</v>
      </c>
      <c r="I622" s="125">
        <v>1128.8805454529149</v>
      </c>
      <c r="J622" s="125">
        <v>606.99988760577037</v>
      </c>
      <c r="K622" s="125">
        <v>1116.9915806423971</v>
      </c>
      <c r="L622" s="164">
        <v>2852.8720137010823</v>
      </c>
      <c r="M622" s="125">
        <v>0</v>
      </c>
      <c r="N622" s="115">
        <v>13675</v>
      </c>
      <c r="P622" s="125">
        <v>-1041.6364136699999</v>
      </c>
      <c r="Q622" s="125">
        <v>-76.535419500000003</v>
      </c>
      <c r="S622" s="125">
        <v>-1.64E-6</v>
      </c>
      <c r="T622" s="125">
        <v>0</v>
      </c>
      <c r="V622" s="125"/>
      <c r="W622" s="125"/>
    </row>
    <row r="623" spans="1:23">
      <c r="A623" s="121">
        <v>43878</v>
      </c>
      <c r="B623" s="125">
        <v>164700757.49986824</v>
      </c>
      <c r="C623" s="125">
        <v>39598791.390245169</v>
      </c>
      <c r="D623" s="125">
        <v>51658593.882546626</v>
      </c>
      <c r="E623" s="125">
        <v>72888167.741784588</v>
      </c>
      <c r="F623" s="123">
        <v>164145553.01457638</v>
      </c>
      <c r="G623" s="125">
        <v>-875000</v>
      </c>
      <c r="H623" s="125">
        <v>1469.3639060804971</v>
      </c>
      <c r="I623" s="125">
        <v>1094.7235067395995</v>
      </c>
      <c r="J623" s="125">
        <v>608.21469869818895</v>
      </c>
      <c r="K623" s="125">
        <v>1109.6545707215532</v>
      </c>
      <c r="L623" s="164">
        <v>2812.5927761593416</v>
      </c>
      <c r="M623" s="125">
        <v>0</v>
      </c>
      <c r="N623" s="115">
        <v>13652.5</v>
      </c>
      <c r="P623" s="125">
        <v>-1120.7395086000001</v>
      </c>
      <c r="Q623" s="125">
        <v>-92.814473390000003</v>
      </c>
      <c r="S623" s="125">
        <v>-1.64E-6</v>
      </c>
      <c r="T623" s="125">
        <v>0</v>
      </c>
      <c r="V623" s="125"/>
      <c r="W623" s="125"/>
    </row>
    <row r="624" spans="1:23">
      <c r="A624" s="121">
        <v>43879</v>
      </c>
      <c r="B624" s="125">
        <v>164730043.45398515</v>
      </c>
      <c r="C624" s="125">
        <v>40187338.252457224</v>
      </c>
      <c r="D624" s="125">
        <v>51675369.994743988</v>
      </c>
      <c r="E624" s="125">
        <v>73295603.485332802</v>
      </c>
      <c r="F624" s="123">
        <v>165158311.73253399</v>
      </c>
      <c r="G624" s="125">
        <v>0</v>
      </c>
      <c r="H624" s="125">
        <v>1471.7429800342632</v>
      </c>
      <c r="I624" s="125">
        <v>1095.0729168503676</v>
      </c>
      <c r="J624" s="125">
        <v>608.78692681982136</v>
      </c>
      <c r="K624" s="125">
        <v>1112.0353919598576</v>
      </c>
      <c r="L624" s="164">
        <v>2815.895235630047</v>
      </c>
      <c r="M624" s="125">
        <v>0</v>
      </c>
      <c r="N624" s="115">
        <v>13665</v>
      </c>
      <c r="P624" s="125">
        <v>-1041.4864771799998</v>
      </c>
      <c r="Q624" s="125">
        <v>-98.366272649999999</v>
      </c>
      <c r="S624" s="125">
        <v>-1507423.5000016398</v>
      </c>
      <c r="T624" s="125">
        <v>0</v>
      </c>
      <c r="V624" s="125"/>
      <c r="W624" s="125"/>
    </row>
    <row r="625" spans="1:23">
      <c r="A625" s="121">
        <v>43880</v>
      </c>
      <c r="B625" s="125">
        <v>164999042.5106926</v>
      </c>
      <c r="C625" s="125">
        <v>41660319.517966799</v>
      </c>
      <c r="D625" s="125">
        <v>51650004.148011371</v>
      </c>
      <c r="E625" s="125">
        <v>73132025.744901657</v>
      </c>
      <c r="F625" s="123">
        <v>166442349.41087982</v>
      </c>
      <c r="G625" s="125">
        <v>0</v>
      </c>
      <c r="H625" s="125">
        <v>1463.6774027297959</v>
      </c>
      <c r="I625" s="125">
        <v>1095.156317578681</v>
      </c>
      <c r="J625" s="125">
        <v>612.75997020067621</v>
      </c>
      <c r="K625" s="125">
        <v>1112.8056444682884</v>
      </c>
      <c r="L625" s="164">
        <v>2820.7219322476458</v>
      </c>
      <c r="M625" s="125">
        <v>0</v>
      </c>
      <c r="N625" s="115">
        <v>13687.5</v>
      </c>
      <c r="P625" s="125">
        <v>-1073.44762154</v>
      </c>
      <c r="Q625" s="125">
        <v>-104.00433188999999</v>
      </c>
      <c r="S625" s="125">
        <v>-1507423.5000016398</v>
      </c>
      <c r="T625" s="125">
        <v>0</v>
      </c>
      <c r="V625" s="125"/>
      <c r="W625" s="125"/>
    </row>
    <row r="626" spans="1:23">
      <c r="A626" s="121">
        <v>43881</v>
      </c>
      <c r="B626" s="125">
        <v>164879004.35252735</v>
      </c>
      <c r="C626" s="125">
        <v>41096089.605445452</v>
      </c>
      <c r="D626" s="125">
        <v>51646218.222546376</v>
      </c>
      <c r="E626" s="125">
        <v>73032152.685918406</v>
      </c>
      <c r="F626" s="123">
        <v>165774460.51391023</v>
      </c>
      <c r="G626" s="125">
        <v>-25000</v>
      </c>
      <c r="H626" s="125">
        <v>1475.3430053334371</v>
      </c>
      <c r="I626" s="125">
        <v>1082.9120842290251</v>
      </c>
      <c r="J626" s="125">
        <v>621.55113227338609</v>
      </c>
      <c r="K626" s="125">
        <v>1128.1061055464374</v>
      </c>
      <c r="L626" s="164">
        <v>2832.5693220488488</v>
      </c>
      <c r="M626" s="125">
        <v>0</v>
      </c>
      <c r="N626" s="115">
        <v>13707.5</v>
      </c>
      <c r="P626" s="125">
        <v>-1109.8411034899998</v>
      </c>
      <c r="Q626" s="125">
        <v>-109.63971291</v>
      </c>
      <c r="S626" s="125">
        <v>-1507423.5000016398</v>
      </c>
      <c r="T626" s="125">
        <v>0</v>
      </c>
      <c r="V626" s="125"/>
      <c r="W626" s="125"/>
    </row>
    <row r="627" spans="1:23">
      <c r="A627" s="121">
        <v>43882</v>
      </c>
      <c r="B627" s="125">
        <v>164939161.21806276</v>
      </c>
      <c r="C627" s="125">
        <v>40952303.809998043</v>
      </c>
      <c r="D627" s="125">
        <v>51837587.594120286</v>
      </c>
      <c r="E627" s="125">
        <v>73033685.799596652</v>
      </c>
      <c r="F627" s="123">
        <v>165823577.20371497</v>
      </c>
      <c r="G627" s="125">
        <v>0</v>
      </c>
      <c r="H627" s="125">
        <v>1470.2155942571519</v>
      </c>
      <c r="I627" s="125">
        <v>1144.960175892769</v>
      </c>
      <c r="J627" s="125">
        <v>623.12285483084145</v>
      </c>
      <c r="K627" s="125">
        <v>1129.2775356071515</v>
      </c>
      <c r="L627" s="164">
        <v>2897.3605663307621</v>
      </c>
      <c r="M627" s="125">
        <v>0</v>
      </c>
      <c r="N627" s="115">
        <v>13765</v>
      </c>
      <c r="P627" s="125">
        <v>-1122.5521529900002</v>
      </c>
      <c r="Q627" s="125">
        <v>-115.6064537</v>
      </c>
      <c r="S627" s="125">
        <v>-1507423.5000016398</v>
      </c>
      <c r="T627" s="125">
        <v>0</v>
      </c>
      <c r="V627" s="125"/>
      <c r="W627" s="125"/>
    </row>
    <row r="628" spans="1:23">
      <c r="A628" s="121">
        <v>43885</v>
      </c>
      <c r="B628" s="125">
        <v>165356716.47747406</v>
      </c>
      <c r="C628" s="125">
        <v>42605547.679640941</v>
      </c>
      <c r="D628" s="125">
        <v>51747053.505382255</v>
      </c>
      <c r="E628" s="125">
        <v>72804638.412347049</v>
      </c>
      <c r="F628" s="123">
        <v>167157239.59737024</v>
      </c>
      <c r="G628" s="125">
        <v>0</v>
      </c>
      <c r="H628" s="125">
        <v>1483.7819429030963</v>
      </c>
      <c r="I628" s="125">
        <v>1163.9292098676442</v>
      </c>
      <c r="J628" s="125">
        <v>626.75645822643821</v>
      </c>
      <c r="K628" s="125">
        <v>1127.730677825122</v>
      </c>
      <c r="L628" s="164">
        <v>2918.4163459192041</v>
      </c>
      <c r="M628" s="125">
        <v>0</v>
      </c>
      <c r="N628" s="115">
        <v>13870</v>
      </c>
      <c r="P628" s="125">
        <v>-1229.5466999300002</v>
      </c>
      <c r="Q628" s="125">
        <v>-133.13466249999999</v>
      </c>
      <c r="S628" s="125">
        <v>-1507423.5000016398</v>
      </c>
      <c r="T628" s="125">
        <v>0</v>
      </c>
      <c r="V628" s="125"/>
      <c r="W628" s="125"/>
    </row>
    <row r="629" spans="1:23">
      <c r="A629" s="121">
        <v>43886</v>
      </c>
      <c r="B629" s="125">
        <v>165092966.41883206</v>
      </c>
      <c r="C629" s="125">
        <v>42225326.483950973</v>
      </c>
      <c r="D629" s="125">
        <v>52933898.997724965</v>
      </c>
      <c r="E629" s="125">
        <v>71928507.927909821</v>
      </c>
      <c r="F629" s="123">
        <v>167087733.40958577</v>
      </c>
      <c r="G629" s="125">
        <v>0</v>
      </c>
      <c r="H629" s="125">
        <v>1467.250586211524</v>
      </c>
      <c r="I629" s="125">
        <v>1176.4582403168502</v>
      </c>
      <c r="J629" s="125">
        <v>622.95001887037211</v>
      </c>
      <c r="K629" s="125">
        <v>1127.9585958076809</v>
      </c>
      <c r="L629" s="164">
        <v>2927.3668549949034</v>
      </c>
      <c r="M629" s="125">
        <v>0</v>
      </c>
      <c r="N629" s="115">
        <v>13882.5</v>
      </c>
      <c r="P629" s="125">
        <v>-1263.1931965700003</v>
      </c>
      <c r="Q629" s="125">
        <v>-138.80861866000001</v>
      </c>
      <c r="S629" s="125">
        <v>-1.64E-6</v>
      </c>
      <c r="T629" s="125">
        <v>0</v>
      </c>
      <c r="V629" s="125"/>
      <c r="W629" s="125"/>
    </row>
    <row r="630" spans="1:23">
      <c r="A630" s="121">
        <v>43887</v>
      </c>
      <c r="B630" s="125">
        <v>165166543.21262717</v>
      </c>
      <c r="C630" s="125">
        <v>43059905.083519459</v>
      </c>
      <c r="D630" s="125">
        <v>53134393.636578031</v>
      </c>
      <c r="E630" s="125">
        <v>70513405.059565485</v>
      </c>
      <c r="F630" s="123">
        <v>166707703.77966297</v>
      </c>
      <c r="G630" s="125">
        <v>0</v>
      </c>
      <c r="H630" s="125">
        <v>1460.0233095877882</v>
      </c>
      <c r="I630" s="125">
        <v>1140.0148353148882</v>
      </c>
      <c r="J630" s="125">
        <v>615.72898763144883</v>
      </c>
      <c r="K630" s="125">
        <v>1125.6469449608157</v>
      </c>
      <c r="L630" s="164">
        <v>2881.3907679071526</v>
      </c>
      <c r="M630" s="125">
        <v>0</v>
      </c>
      <c r="N630" s="115">
        <v>13932.5</v>
      </c>
      <c r="P630" s="125">
        <v>-1279.84558571</v>
      </c>
      <c r="Q630" s="125">
        <v>-144.88253494000003</v>
      </c>
      <c r="S630" s="125">
        <v>-1.64E-6</v>
      </c>
      <c r="T630" s="125">
        <v>0</v>
      </c>
      <c r="V630" s="125"/>
      <c r="W630" s="125"/>
    </row>
    <row r="631" spans="1:23">
      <c r="A631" s="121">
        <v>43888</v>
      </c>
      <c r="B631" s="125">
        <v>165277837.74538213</v>
      </c>
      <c r="C631" s="125">
        <v>41206083.305387363</v>
      </c>
      <c r="D631" s="125">
        <v>53592519.610970065</v>
      </c>
      <c r="E631" s="125">
        <v>70671852.016943887</v>
      </c>
      <c r="F631" s="123">
        <v>165470454.93330133</v>
      </c>
      <c r="G631" s="125">
        <v>-270000</v>
      </c>
      <c r="H631" s="125">
        <v>1459.5980082668445</v>
      </c>
      <c r="I631" s="125">
        <v>1132.2404236152522</v>
      </c>
      <c r="J631" s="125">
        <v>613.87249493952879</v>
      </c>
      <c r="K631" s="125">
        <v>1100.8274118703785</v>
      </c>
      <c r="L631" s="164">
        <v>2846.9403304251596</v>
      </c>
      <c r="M631" s="125">
        <v>0</v>
      </c>
      <c r="N631" s="115">
        <v>14035</v>
      </c>
      <c r="P631" s="125">
        <v>-1307.3818324599999</v>
      </c>
      <c r="Q631" s="125">
        <v>-151.59512270000002</v>
      </c>
      <c r="S631" s="125">
        <v>-1.64E-6</v>
      </c>
      <c r="T631" s="125">
        <v>0</v>
      </c>
      <c r="V631" s="125"/>
      <c r="W631" s="125"/>
    </row>
    <row r="632" spans="1:23">
      <c r="A632" s="121">
        <v>43889</v>
      </c>
      <c r="B632" s="125">
        <v>166285770.39059106</v>
      </c>
      <c r="C632" s="125">
        <v>39122357.781566314</v>
      </c>
      <c r="D632" s="125">
        <v>54358455.940094486</v>
      </c>
      <c r="E632" s="125">
        <v>70277381.961392224</v>
      </c>
      <c r="F632" s="123">
        <v>163758195.68305302</v>
      </c>
      <c r="G632" s="125">
        <v>0</v>
      </c>
      <c r="H632" s="125">
        <v>1457.9673085618012</v>
      </c>
      <c r="I632" s="125">
        <v>1103.4407060166689</v>
      </c>
      <c r="J632" s="125">
        <v>611.0787655797692</v>
      </c>
      <c r="K632" s="125">
        <v>1103.1123415258337</v>
      </c>
      <c r="L632" s="164">
        <v>2817.6318131222715</v>
      </c>
      <c r="M632" s="125">
        <v>0</v>
      </c>
      <c r="N632" s="115">
        <v>14347.5</v>
      </c>
      <c r="P632" s="125">
        <v>-1308.4668922700002</v>
      </c>
      <c r="Q632" s="125">
        <v>-160.71079523</v>
      </c>
      <c r="S632" s="125">
        <v>-1.64E-6</v>
      </c>
      <c r="T632" s="125">
        <v>0</v>
      </c>
      <c r="V632" s="125"/>
      <c r="W632" s="125"/>
    </row>
    <row r="633" spans="1:23">
      <c r="A633" s="121">
        <v>43890</v>
      </c>
      <c r="B633" s="125">
        <v>166285770.39059106</v>
      </c>
      <c r="C633" s="125">
        <v>39122357.781566314</v>
      </c>
      <c r="D633" s="125">
        <v>54358455.940094486</v>
      </c>
      <c r="E633" s="125">
        <v>70277381.961392224</v>
      </c>
      <c r="F633" s="123">
        <v>163758195.68305302</v>
      </c>
      <c r="G633" s="125">
        <v>0</v>
      </c>
      <c r="H633" s="125">
        <v>1457.9673085618012</v>
      </c>
      <c r="I633" s="125">
        <v>1103.4407060166689</v>
      </c>
      <c r="J633" s="125">
        <v>611.0787655797692</v>
      </c>
      <c r="K633" s="125">
        <v>1103.1123415258337</v>
      </c>
      <c r="L633" s="164">
        <v>2817.6318131222715</v>
      </c>
      <c r="M633" s="125">
        <v>0</v>
      </c>
      <c r="N633" s="115">
        <v>14347.5</v>
      </c>
      <c r="O633" s="116">
        <v>3402.2999713801</v>
      </c>
      <c r="P633" s="125">
        <v>-1308.4668922700002</v>
      </c>
      <c r="Q633" s="125">
        <v>-160.71079523</v>
      </c>
      <c r="S633" s="125">
        <v>-1.64E-6</v>
      </c>
      <c r="T633" s="125">
        <v>0</v>
      </c>
      <c r="V633" s="125"/>
      <c r="W633" s="125"/>
    </row>
    <row r="634" spans="1:23">
      <c r="A634" s="121">
        <v>43892</v>
      </c>
      <c r="B634" s="125">
        <v>165416974.34187552</v>
      </c>
      <c r="C634" s="125">
        <v>40990454.856277086</v>
      </c>
      <c r="D634" s="125">
        <v>53995206.831971511</v>
      </c>
      <c r="E634" s="125">
        <v>69942994.695629865</v>
      </c>
      <c r="F634" s="123">
        <v>164928656.38387847</v>
      </c>
      <c r="G634" s="125">
        <v>0</v>
      </c>
      <c r="H634" s="125">
        <v>1474.903852364773</v>
      </c>
      <c r="I634" s="125">
        <v>1120.3815743704786</v>
      </c>
      <c r="J634" s="125">
        <v>609.70360459244455</v>
      </c>
      <c r="K634" s="125">
        <v>1096.2330257489084</v>
      </c>
      <c r="L634" s="164">
        <v>2826.3182047118316</v>
      </c>
      <c r="M634" s="125">
        <v>0</v>
      </c>
      <c r="N634" s="115">
        <v>14265</v>
      </c>
      <c r="P634" s="125">
        <v>-374.26730636000025</v>
      </c>
      <c r="Q634" s="125">
        <v>-11.416136849999999</v>
      </c>
      <c r="S634" s="125">
        <v>-1.64E-6</v>
      </c>
      <c r="T634" s="125">
        <v>0</v>
      </c>
      <c r="V634" s="125"/>
      <c r="W634" s="125"/>
    </row>
    <row r="635" spans="1:23">
      <c r="A635" s="121">
        <v>43893</v>
      </c>
      <c r="B635" s="125">
        <v>165048370.25554901</v>
      </c>
      <c r="C635" s="125">
        <v>40580088.038481452</v>
      </c>
      <c r="D635" s="125">
        <v>53825022.694884144</v>
      </c>
      <c r="E635" s="125">
        <v>70409652.31828171</v>
      </c>
      <c r="F635" s="123">
        <v>164814763.05164731</v>
      </c>
      <c r="G635" s="125">
        <v>0</v>
      </c>
      <c r="H635" s="125">
        <v>1463.8093367600329</v>
      </c>
      <c r="I635" s="125">
        <v>1156.476875563437</v>
      </c>
      <c r="J635" s="125">
        <v>611.42453446637842</v>
      </c>
      <c r="K635" s="125">
        <v>1087.4514361822198</v>
      </c>
      <c r="L635" s="164">
        <v>2855.3528462120353</v>
      </c>
      <c r="M635" s="125">
        <v>0</v>
      </c>
      <c r="N635" s="115">
        <v>14281.5</v>
      </c>
      <c r="P635" s="125">
        <v>-417.88267709999997</v>
      </c>
      <c r="Q635" s="125">
        <v>-17.143512610000002</v>
      </c>
      <c r="S635" s="125">
        <v>-1.64E-6</v>
      </c>
      <c r="T635" s="125">
        <v>0</v>
      </c>
      <c r="V635" s="125"/>
      <c r="W635" s="125"/>
    </row>
    <row r="636" spans="1:23">
      <c r="A636" s="121">
        <v>43894</v>
      </c>
      <c r="B636" s="125">
        <v>164811905.81026402</v>
      </c>
      <c r="C636" s="125">
        <v>40856150.736988693</v>
      </c>
      <c r="D636" s="125">
        <v>53732220.041836239</v>
      </c>
      <c r="E636" s="125">
        <v>69282722.615436748</v>
      </c>
      <c r="F636" s="123">
        <v>163871093.39426166</v>
      </c>
      <c r="G636" s="125">
        <v>0</v>
      </c>
      <c r="H636" s="125">
        <v>1476.8434821254505</v>
      </c>
      <c r="I636" s="125">
        <v>1176.6937760383671</v>
      </c>
      <c r="J636" s="125">
        <v>612.91897249360488</v>
      </c>
      <c r="K636" s="125">
        <v>1060.6515793333449</v>
      </c>
      <c r="L636" s="164">
        <v>2850.2643278653168</v>
      </c>
      <c r="M636" s="125">
        <v>0</v>
      </c>
      <c r="N636" s="115">
        <v>14115</v>
      </c>
      <c r="P636" s="125">
        <v>-457.34866567000006</v>
      </c>
      <c r="Q636" s="125">
        <v>-22.5907752</v>
      </c>
      <c r="S636" s="125">
        <v>-1.64E-6</v>
      </c>
      <c r="T636" s="125">
        <v>0</v>
      </c>
      <c r="V636" s="125"/>
      <c r="W636" s="125"/>
    </row>
    <row r="637" spans="1:23">
      <c r="A637" s="121">
        <v>43895</v>
      </c>
      <c r="B637" s="125">
        <v>164856061.67057201</v>
      </c>
      <c r="C637" s="125">
        <v>41110601.395055987</v>
      </c>
      <c r="D637" s="125">
        <v>53889447.90490292</v>
      </c>
      <c r="E637" s="125">
        <v>68990370.533077508</v>
      </c>
      <c r="F637" s="123">
        <v>163990419.83303642</v>
      </c>
      <c r="G637" s="125">
        <v>0</v>
      </c>
      <c r="H637" s="125">
        <v>1476.7985159296181</v>
      </c>
      <c r="I637" s="125">
        <v>1170.9001800814933</v>
      </c>
      <c r="J637" s="125">
        <v>615.10624703464293</v>
      </c>
      <c r="K637" s="125">
        <v>1066.732317190513</v>
      </c>
      <c r="L637" s="164">
        <v>2852.7387443066491</v>
      </c>
      <c r="M637" s="125">
        <v>0</v>
      </c>
      <c r="N637" s="115">
        <v>14170</v>
      </c>
      <c r="P637" s="125">
        <v>-504.90128912</v>
      </c>
      <c r="Q637" s="125">
        <v>-28.349493899999999</v>
      </c>
      <c r="S637" s="125">
        <v>-1.64E-6</v>
      </c>
      <c r="T637" s="125">
        <v>0</v>
      </c>
      <c r="V637" s="125"/>
      <c r="W637" s="125"/>
    </row>
    <row r="638" spans="1:23">
      <c r="A638" s="121">
        <v>43896</v>
      </c>
      <c r="B638" s="125">
        <v>165663573.44116554</v>
      </c>
      <c r="C638" s="125">
        <v>43115743.136338495</v>
      </c>
      <c r="D638" s="125">
        <v>53868095.796099044</v>
      </c>
      <c r="E638" s="125">
        <v>68989372.626866907</v>
      </c>
      <c r="F638" s="123">
        <v>165973211.55930445</v>
      </c>
      <c r="G638" s="125">
        <v>0</v>
      </c>
      <c r="H638" s="125">
        <v>1467.8586848783941</v>
      </c>
      <c r="I638" s="125">
        <v>1170.2337294157312</v>
      </c>
      <c r="J638" s="125">
        <v>616.06425693002109</v>
      </c>
      <c r="K638" s="125">
        <v>1082.4150151010613</v>
      </c>
      <c r="L638" s="164">
        <v>2868.7130014468135</v>
      </c>
      <c r="M638" s="125">
        <v>0</v>
      </c>
      <c r="N638" s="115">
        <v>14230</v>
      </c>
      <c r="P638" s="125">
        <v>-544.61502543999995</v>
      </c>
      <c r="Q638" s="125">
        <v>-34.164237799999995</v>
      </c>
      <c r="S638" s="125">
        <v>-1.64E-6</v>
      </c>
      <c r="T638" s="125">
        <v>0</v>
      </c>
      <c r="V638" s="125"/>
      <c r="W638" s="125"/>
    </row>
    <row r="639" spans="1:23">
      <c r="A639" s="121">
        <v>43899</v>
      </c>
      <c r="B639" s="125">
        <v>165771418.07623819</v>
      </c>
      <c r="C639" s="125">
        <v>43728703.388858654</v>
      </c>
      <c r="D639" s="125">
        <v>53534095.761469021</v>
      </c>
      <c r="E639" s="125">
        <v>69272175.346664295</v>
      </c>
      <c r="F639" s="123">
        <v>166534974.49699199</v>
      </c>
      <c r="G639" s="125">
        <v>0</v>
      </c>
      <c r="H639" s="125">
        <v>1478.2333258587612</v>
      </c>
      <c r="I639" s="125">
        <v>1104.1075425102733</v>
      </c>
      <c r="J639" s="125">
        <v>617.53107747977185</v>
      </c>
      <c r="K639" s="125">
        <v>1084.3456745556489</v>
      </c>
      <c r="L639" s="164">
        <v>2805.984294545694</v>
      </c>
      <c r="M639" s="125">
        <v>0</v>
      </c>
      <c r="N639" s="115">
        <v>14392.5</v>
      </c>
      <c r="P639" s="125">
        <v>-663.6152886299999</v>
      </c>
      <c r="Q639" s="125">
        <v>-51.831278480000009</v>
      </c>
      <c r="S639" s="125">
        <v>-1.64E-6</v>
      </c>
      <c r="T639" s="125">
        <v>0</v>
      </c>
      <c r="V639" s="125"/>
      <c r="W639" s="125"/>
    </row>
    <row r="640" spans="1:23">
      <c r="A640" s="121">
        <v>43900</v>
      </c>
      <c r="B640" s="125">
        <v>165623109.08117792</v>
      </c>
      <c r="C640" s="125">
        <v>42861401.485250823</v>
      </c>
      <c r="D640" s="125">
        <v>53724545.573310517</v>
      </c>
      <c r="E640" s="125">
        <v>69025530.159855902</v>
      </c>
      <c r="F640" s="123">
        <v>165611477.21841723</v>
      </c>
      <c r="G640" s="125">
        <v>0</v>
      </c>
      <c r="H640" s="125">
        <v>1494.9258806510304</v>
      </c>
      <c r="I640" s="125">
        <v>1113.1868378526901</v>
      </c>
      <c r="J640" s="125">
        <v>614.89938290936061</v>
      </c>
      <c r="K640" s="125">
        <v>1086.4725924980207</v>
      </c>
      <c r="L640" s="164">
        <v>2814.5588132600715</v>
      </c>
      <c r="M640" s="125">
        <v>0</v>
      </c>
      <c r="N640" s="115">
        <v>14436</v>
      </c>
      <c r="P640" s="125">
        <v>-722.00084684000012</v>
      </c>
      <c r="Q640" s="125">
        <v>-57.403797479999994</v>
      </c>
      <c r="S640" s="125">
        <v>-1.64E-6</v>
      </c>
      <c r="T640" s="125">
        <v>0</v>
      </c>
      <c r="V640" s="125"/>
      <c r="W640" s="125"/>
    </row>
    <row r="641" spans="1:23">
      <c r="A641" s="121">
        <v>43901</v>
      </c>
      <c r="B641" s="125">
        <v>165793491.42023647</v>
      </c>
      <c r="C641" s="125">
        <v>45210562.635363057</v>
      </c>
      <c r="D641" s="125">
        <v>53582292.015463121</v>
      </c>
      <c r="E641" s="125">
        <v>68615433.054912046</v>
      </c>
      <c r="F641" s="123">
        <v>167408287.70573825</v>
      </c>
      <c r="G641" s="125">
        <v>0</v>
      </c>
      <c r="H641" s="125">
        <v>1504.9252312120011</v>
      </c>
      <c r="I641" s="125">
        <v>1048.6111092547774</v>
      </c>
      <c r="J641" s="125">
        <v>618.09407856228995</v>
      </c>
      <c r="K641" s="125">
        <v>1093.8255557423477</v>
      </c>
      <c r="L641" s="164">
        <v>2760.530743559415</v>
      </c>
      <c r="M641" s="125">
        <v>0</v>
      </c>
      <c r="N641" s="115">
        <v>14352.5</v>
      </c>
      <c r="P641" s="125">
        <v>-756.54864505</v>
      </c>
      <c r="Q641" s="125">
        <v>-63.171811149999996</v>
      </c>
      <c r="S641" s="125">
        <v>-1.64E-6</v>
      </c>
      <c r="T641" s="125">
        <v>0</v>
      </c>
      <c r="V641" s="125"/>
      <c r="W641" s="125"/>
    </row>
    <row r="642" spans="1:23">
      <c r="A642" s="121">
        <v>43902</v>
      </c>
      <c r="B642" s="125">
        <v>167232068.7605229</v>
      </c>
      <c r="C642" s="125">
        <v>43725878.784108117</v>
      </c>
      <c r="D642" s="125">
        <v>53587984.193620101</v>
      </c>
      <c r="E642" s="125">
        <v>68767419.509496331</v>
      </c>
      <c r="F642" s="123">
        <v>166081282.48722455</v>
      </c>
      <c r="G642" s="125">
        <v>0</v>
      </c>
      <c r="H642" s="125">
        <v>1513.8738766735928</v>
      </c>
      <c r="I642" s="125">
        <v>1062.0816107606443</v>
      </c>
      <c r="J642" s="125">
        <v>618.0012334321342</v>
      </c>
      <c r="K642" s="125">
        <v>1088.4694074963606</v>
      </c>
      <c r="L642" s="164">
        <v>2768.5522516891388</v>
      </c>
      <c r="M642" s="125">
        <v>0</v>
      </c>
      <c r="N642" s="115">
        <v>14521.5</v>
      </c>
      <c r="P642" s="125">
        <v>-797.59523796000008</v>
      </c>
      <c r="Q642" s="125">
        <v>-69.725563120000004</v>
      </c>
      <c r="S642" s="125">
        <v>-1.64E-6</v>
      </c>
      <c r="T642" s="125">
        <v>0</v>
      </c>
      <c r="V642" s="125"/>
      <c r="W642" s="125"/>
    </row>
    <row r="643" spans="1:23">
      <c r="A643" s="121">
        <v>43903</v>
      </c>
      <c r="B643" s="125">
        <v>167068478.60500765</v>
      </c>
      <c r="C643" s="125">
        <v>44333113.770301357</v>
      </c>
      <c r="D643" s="125">
        <v>53480359.284956522</v>
      </c>
      <c r="E643" s="125">
        <v>69193041.114990905</v>
      </c>
      <c r="F643" s="123">
        <v>167006514.17024881</v>
      </c>
      <c r="G643" s="125">
        <v>0</v>
      </c>
      <c r="H643" s="125">
        <v>1513.5813571716906</v>
      </c>
      <c r="I643" s="125">
        <v>1043.9412722948152</v>
      </c>
      <c r="J643" s="125">
        <v>592.66756783917037</v>
      </c>
      <c r="K643" s="125">
        <v>1073.2397205511236</v>
      </c>
      <c r="L643" s="164">
        <v>2709.8485606851091</v>
      </c>
      <c r="M643" s="125">
        <v>0</v>
      </c>
      <c r="N643" s="115">
        <v>14770</v>
      </c>
      <c r="P643" s="125">
        <v>-830.1495097799999</v>
      </c>
      <c r="Q643" s="125">
        <v>-76.827927399999993</v>
      </c>
      <c r="S643" s="125">
        <v>-1.64E-6</v>
      </c>
      <c r="T643" s="125">
        <v>0</v>
      </c>
      <c r="V643" s="125"/>
      <c r="W643" s="125"/>
    </row>
    <row r="644" spans="1:23">
      <c r="A644" s="121">
        <v>43906</v>
      </c>
      <c r="B644" s="125">
        <v>166842340.29751688</v>
      </c>
      <c r="C644" s="125">
        <v>46974522.123283684</v>
      </c>
      <c r="D644" s="125">
        <v>52957063.073671684</v>
      </c>
      <c r="E644" s="125">
        <v>68929327.985963732</v>
      </c>
      <c r="F644" s="123">
        <v>168860913.18291909</v>
      </c>
      <c r="G644" s="125">
        <v>0</v>
      </c>
      <c r="H644" s="125">
        <v>1501.7338847446338</v>
      </c>
      <c r="I644" s="125">
        <v>1047.0764836464134</v>
      </c>
      <c r="J644" s="125">
        <v>587.59375551363155</v>
      </c>
      <c r="K644" s="125">
        <v>1080.8049014903886</v>
      </c>
      <c r="L644" s="164">
        <v>2715.4751406504338</v>
      </c>
      <c r="M644" s="125">
        <v>0</v>
      </c>
      <c r="N644" s="115">
        <v>14925</v>
      </c>
      <c r="P644" s="125">
        <v>-942.56373351999991</v>
      </c>
      <c r="Q644" s="125">
        <v>-95.547909750000002</v>
      </c>
      <c r="S644" s="125">
        <v>-1.64E-6</v>
      </c>
      <c r="T644" s="125">
        <v>0</v>
      </c>
      <c r="V644" s="125"/>
      <c r="W644" s="125"/>
    </row>
    <row r="645" spans="1:23">
      <c r="A645" s="121">
        <v>43907</v>
      </c>
      <c r="B645" s="125">
        <v>166898381.28479984</v>
      </c>
      <c r="C645" s="125">
        <v>45329734.486474216</v>
      </c>
      <c r="D645" s="125">
        <v>53007868.097383544</v>
      </c>
      <c r="E645" s="125">
        <v>68993616.364328459</v>
      </c>
      <c r="F645" s="123">
        <v>167331218.94818622</v>
      </c>
      <c r="G645" s="125">
        <v>0</v>
      </c>
      <c r="H645" s="125">
        <v>1486.1727769926456</v>
      </c>
      <c r="I645" s="125">
        <v>1050.9184601772661</v>
      </c>
      <c r="J645" s="125">
        <v>580.19901883777732</v>
      </c>
      <c r="K645" s="125">
        <v>1077.4592110326407</v>
      </c>
      <c r="L645" s="164">
        <v>2708.5766900476842</v>
      </c>
      <c r="M645" s="125">
        <v>0</v>
      </c>
      <c r="N645" s="115">
        <v>15170</v>
      </c>
      <c r="P645" s="125">
        <v>-981.11798598000019</v>
      </c>
      <c r="Q645" s="125">
        <v>-103.18558149999998</v>
      </c>
      <c r="S645" s="125">
        <v>-1.64E-6</v>
      </c>
      <c r="T645" s="125">
        <v>0</v>
      </c>
      <c r="V645" s="125"/>
      <c r="W645" s="125"/>
    </row>
    <row r="646" spans="1:23">
      <c r="A646" s="121">
        <v>43908</v>
      </c>
      <c r="B646" s="125">
        <v>166454171.3383877</v>
      </c>
      <c r="C646" s="125">
        <v>45868414.93328283</v>
      </c>
      <c r="D646" s="125">
        <v>53256169.373868935</v>
      </c>
      <c r="E646" s="125">
        <v>67893372.021975204</v>
      </c>
      <c r="F646" s="123">
        <v>167017956.32912695</v>
      </c>
      <c r="G646" s="125">
        <v>0</v>
      </c>
      <c r="H646" s="125">
        <v>1508.5748916130412</v>
      </c>
      <c r="I646" s="125">
        <v>1079.6256459615038</v>
      </c>
      <c r="J646" s="125">
        <v>598.25606004010876</v>
      </c>
      <c r="K646" s="125">
        <v>1095.5736022667877</v>
      </c>
      <c r="L646" s="164">
        <v>2773.4553082684006</v>
      </c>
      <c r="M646" s="125">
        <v>0</v>
      </c>
      <c r="N646" s="115">
        <v>15217.5</v>
      </c>
      <c r="P646" s="125">
        <v>-1019.7377571000002</v>
      </c>
      <c r="Q646" s="125">
        <v>-109.59689154</v>
      </c>
      <c r="S646" s="125">
        <v>-1.64E-6</v>
      </c>
      <c r="T646" s="125">
        <v>0</v>
      </c>
      <c r="V646" s="125"/>
      <c r="W646" s="125"/>
    </row>
    <row r="647" spans="1:23">
      <c r="A647" s="121">
        <v>43909</v>
      </c>
      <c r="B647" s="125">
        <v>166855427.51511395</v>
      </c>
      <c r="C647" s="125">
        <v>46663575.116894759</v>
      </c>
      <c r="D647" s="125">
        <v>53499286.229976885</v>
      </c>
      <c r="E647" s="125">
        <v>68115646.335151136</v>
      </c>
      <c r="F647" s="123">
        <v>168278507.68202278</v>
      </c>
      <c r="G647" s="125">
        <v>-1000000</v>
      </c>
      <c r="H647" s="125">
        <v>1533.7077414169071</v>
      </c>
      <c r="I647" s="125">
        <v>1028.7406558373261</v>
      </c>
      <c r="J647" s="125">
        <v>594.23132032201238</v>
      </c>
      <c r="K647" s="125">
        <v>1099.9161652636335</v>
      </c>
      <c r="L647" s="164">
        <v>2722.8881414229718</v>
      </c>
      <c r="M647" s="125">
        <v>0</v>
      </c>
      <c r="N647" s="115">
        <v>15913</v>
      </c>
      <c r="P647" s="125">
        <v>-1152.3180236200003</v>
      </c>
      <c r="Q647" s="125">
        <v>-120.96873452</v>
      </c>
      <c r="S647" s="125">
        <v>-1.64E-6</v>
      </c>
      <c r="T647" s="125">
        <v>0</v>
      </c>
      <c r="V647" s="125"/>
      <c r="W647" s="125"/>
    </row>
    <row r="648" spans="1:23">
      <c r="A648" s="121">
        <v>43910</v>
      </c>
      <c r="B648" s="125">
        <v>167332645.59590819</v>
      </c>
      <c r="C648" s="125">
        <v>44552729.940641582</v>
      </c>
      <c r="D648" s="125">
        <v>54082026.060268983</v>
      </c>
      <c r="E648" s="125">
        <v>67902939.305004075</v>
      </c>
      <c r="F648" s="123">
        <v>166537695.30591464</v>
      </c>
      <c r="G648" s="125">
        <v>-1000000</v>
      </c>
      <c r="H648" s="125">
        <v>1546.3806457754022</v>
      </c>
      <c r="I648" s="125">
        <v>1041.6368455976574</v>
      </c>
      <c r="J648" s="125">
        <v>599.3052167074336</v>
      </c>
      <c r="K648" s="125">
        <v>1058.5036179661959</v>
      </c>
      <c r="L648" s="164">
        <v>2699.4456802712866</v>
      </c>
      <c r="M648" s="125">
        <v>0</v>
      </c>
      <c r="N648" s="115">
        <v>15925</v>
      </c>
      <c r="P648" s="125">
        <v>-1279.1950104900002</v>
      </c>
      <c r="Q648" s="125">
        <v>-127.435035</v>
      </c>
      <c r="S648" s="125">
        <v>-1.64E-6</v>
      </c>
      <c r="T648" s="125">
        <v>0</v>
      </c>
      <c r="V648" s="125"/>
      <c r="W648" s="125"/>
    </row>
    <row r="649" spans="1:23">
      <c r="A649" s="121">
        <v>43913</v>
      </c>
      <c r="B649" s="125">
        <v>166247520.01085684</v>
      </c>
      <c r="C649" s="125">
        <v>48068997.419521526</v>
      </c>
      <c r="D649" s="125">
        <v>54240672.443767436</v>
      </c>
      <c r="E649" s="125">
        <v>67537095.273054689</v>
      </c>
      <c r="F649" s="123">
        <v>169846765.13634366</v>
      </c>
      <c r="G649" s="125">
        <v>-1000000</v>
      </c>
      <c r="H649" s="125">
        <v>1544.6495882874367</v>
      </c>
      <c r="I649" s="125">
        <v>1028.6614062298092</v>
      </c>
      <c r="J649" s="125">
        <v>575.98455316917875</v>
      </c>
      <c r="K649" s="125">
        <v>1024.5494162835398</v>
      </c>
      <c r="L649" s="164">
        <v>2629.1953756825278</v>
      </c>
      <c r="M649" s="125">
        <v>0</v>
      </c>
      <c r="N649" s="115">
        <v>16705</v>
      </c>
      <c r="P649" s="125">
        <v>-1687.0389253799999</v>
      </c>
      <c r="Q649" s="125">
        <v>-152.58911850000001</v>
      </c>
      <c r="S649" s="125">
        <v>-988838.00000164006</v>
      </c>
      <c r="T649" s="125">
        <v>0</v>
      </c>
      <c r="V649" s="125"/>
      <c r="W649" s="125"/>
    </row>
    <row r="650" spans="1:23">
      <c r="A650" s="121">
        <v>43914</v>
      </c>
      <c r="B650" s="125">
        <v>165815085.68121269</v>
      </c>
      <c r="C650" s="125">
        <v>47301099.608730331</v>
      </c>
      <c r="D650" s="125">
        <v>55376496.544786185</v>
      </c>
      <c r="E650" s="125">
        <v>67165745.849199727</v>
      </c>
      <c r="F650" s="123">
        <v>169843342.00271624</v>
      </c>
      <c r="G650" s="125">
        <v>-1000000</v>
      </c>
      <c r="H650" s="125">
        <v>1567.0817587416846</v>
      </c>
      <c r="I650" s="125">
        <v>978.69142786926682</v>
      </c>
      <c r="J650" s="125">
        <v>585.7552936804442</v>
      </c>
      <c r="K650" s="125">
        <v>1000.1198026158128</v>
      </c>
      <c r="L650" s="164">
        <v>2564.5665241655238</v>
      </c>
      <c r="M650" s="125">
        <v>0</v>
      </c>
      <c r="N650" s="115">
        <v>16500</v>
      </c>
      <c r="P650" s="125">
        <v>-1825.9832435200001</v>
      </c>
      <c r="Q650" s="125">
        <v>-158.55790500000001</v>
      </c>
      <c r="S650" s="125">
        <v>-988838.00000164006</v>
      </c>
      <c r="T650" s="125">
        <v>0</v>
      </c>
      <c r="V650" s="125"/>
      <c r="W650" s="125"/>
    </row>
    <row r="651" spans="1:23">
      <c r="A651" s="121">
        <v>43916</v>
      </c>
      <c r="B651" s="125">
        <v>164924191.78305587</v>
      </c>
      <c r="C651" s="125">
        <v>46826977.46673023</v>
      </c>
      <c r="D651" s="125">
        <v>55536121.447316736</v>
      </c>
      <c r="E651" s="125">
        <v>67163156.185637191</v>
      </c>
      <c r="F651" s="123">
        <v>169526255.09968418</v>
      </c>
      <c r="G651" s="125">
        <v>-1000000</v>
      </c>
      <c r="H651" s="125">
        <v>1546.2575413395198</v>
      </c>
      <c r="I651" s="125">
        <v>964.29575996088829</v>
      </c>
      <c r="J651" s="125">
        <v>595.08545910062389</v>
      </c>
      <c r="K651" s="125">
        <v>973.98068021453184</v>
      </c>
      <c r="L651" s="164">
        <v>2533.3618992760439</v>
      </c>
      <c r="M651" s="125">
        <v>0</v>
      </c>
      <c r="N651" s="115">
        <v>16305</v>
      </c>
      <c r="P651" s="125">
        <v>-1397.6472881299999</v>
      </c>
      <c r="Q651" s="125">
        <v>-169.83402135</v>
      </c>
      <c r="S651" s="125">
        <v>-988838.00000164006</v>
      </c>
      <c r="T651" s="125">
        <v>0</v>
      </c>
      <c r="V651" s="125"/>
      <c r="W651" s="125"/>
    </row>
    <row r="652" spans="1:23">
      <c r="A652" s="121">
        <v>43917</v>
      </c>
      <c r="B652" s="125">
        <v>164911072.74565068</v>
      </c>
      <c r="C652" s="125">
        <v>43874036.914843276</v>
      </c>
      <c r="D652" s="125">
        <v>55888663.960396461</v>
      </c>
      <c r="E652" s="125">
        <v>66930482.979782864</v>
      </c>
      <c r="F652" s="123">
        <v>166693183.85502261</v>
      </c>
      <c r="G652" s="125">
        <v>-1000000</v>
      </c>
      <c r="H652" s="125">
        <v>1571.0193531546101</v>
      </c>
      <c r="I652" s="125">
        <v>943.200509086485</v>
      </c>
      <c r="J652" s="125">
        <v>590.67635571503024</v>
      </c>
      <c r="K652" s="125">
        <v>964.46125162335602</v>
      </c>
      <c r="L652" s="164">
        <v>2498.3381164248713</v>
      </c>
      <c r="M652" s="125">
        <v>0</v>
      </c>
      <c r="N652" s="115">
        <v>16140</v>
      </c>
      <c r="P652" s="125">
        <v>-1497.9119945399993</v>
      </c>
      <c r="Q652" s="125">
        <v>-174.61785299999997</v>
      </c>
      <c r="S652" s="125">
        <v>-988838.00000164006</v>
      </c>
      <c r="T652" s="125">
        <v>0</v>
      </c>
      <c r="V652" s="125"/>
      <c r="W652" s="125"/>
    </row>
    <row r="653" spans="1:23">
      <c r="A653" s="121">
        <v>43920</v>
      </c>
      <c r="B653" s="125">
        <v>165497702.0040735</v>
      </c>
      <c r="C653" s="125">
        <v>45496249.249187358</v>
      </c>
      <c r="D653" s="125">
        <v>55462364.617464893</v>
      </c>
      <c r="E653" s="125">
        <v>66076909.495677382</v>
      </c>
      <c r="F653" s="123">
        <v>167035523.36232963</v>
      </c>
      <c r="G653" s="125">
        <v>-1000000</v>
      </c>
      <c r="H653" s="125">
        <v>1569.9880294062759</v>
      </c>
      <c r="I653" s="125">
        <v>916.46085744950165</v>
      </c>
      <c r="J653" s="125">
        <v>583.72761660421543</v>
      </c>
      <c r="K653" s="125">
        <v>877.98107576967766</v>
      </c>
      <c r="L653" s="164">
        <v>2378.1695498233948</v>
      </c>
      <c r="M653" s="125">
        <v>-40</v>
      </c>
      <c r="N653" s="115">
        <v>16337.5</v>
      </c>
      <c r="P653" s="125">
        <v>-1886.48527973</v>
      </c>
      <c r="Q653" s="125">
        <v>-199.17062588999997</v>
      </c>
      <c r="S653" s="125">
        <v>-988838.00000164006</v>
      </c>
      <c r="T653" s="125">
        <v>0</v>
      </c>
      <c r="V653" s="125"/>
      <c r="W653" s="125"/>
    </row>
    <row r="654" spans="1:23">
      <c r="A654" s="121">
        <v>43921</v>
      </c>
      <c r="B654" s="125">
        <v>165419975.23543227</v>
      </c>
      <c r="C654" s="125">
        <v>41396908.416747302</v>
      </c>
      <c r="D654" s="125">
        <v>55844975.796459883</v>
      </c>
      <c r="E654" s="125">
        <v>66639440.236166634</v>
      </c>
      <c r="F654" s="123">
        <v>163881324.44937381</v>
      </c>
      <c r="G654" s="125">
        <v>-1355000</v>
      </c>
      <c r="H654" s="125">
        <v>1548.6267942214652</v>
      </c>
      <c r="I654" s="125">
        <v>941.72116243496703</v>
      </c>
      <c r="J654" s="125">
        <v>581.90684326847656</v>
      </c>
      <c r="K654" s="125">
        <v>877.83702976905738</v>
      </c>
      <c r="L654" s="164">
        <v>2401.4650354725009</v>
      </c>
      <c r="M654" s="125">
        <v>-15</v>
      </c>
      <c r="N654" s="115">
        <v>16310</v>
      </c>
      <c r="O654" s="116">
        <v>3786.4350349664001</v>
      </c>
      <c r="P654" s="125">
        <v>-1082.8924676700001</v>
      </c>
      <c r="Q654" s="125">
        <v>-1.0193749999999999</v>
      </c>
      <c r="S654" s="125">
        <v>-988838.00000164006</v>
      </c>
      <c r="T654" s="125">
        <v>0</v>
      </c>
      <c r="V654" s="125"/>
      <c r="W654" s="125"/>
    </row>
    <row r="655" spans="1:23">
      <c r="A655" s="121">
        <v>43922</v>
      </c>
      <c r="B655" s="125">
        <v>165092794.22205305</v>
      </c>
      <c r="C655" s="125">
        <v>43590534.943695344</v>
      </c>
      <c r="D655" s="125">
        <v>55304188.523962684</v>
      </c>
      <c r="E655" s="125">
        <v>66886632.870586783</v>
      </c>
      <c r="F655" s="123">
        <v>165781356.3382448</v>
      </c>
      <c r="G655" s="125">
        <v>-1000000</v>
      </c>
      <c r="H655" s="125">
        <v>1549.21480340536</v>
      </c>
      <c r="I655" s="125">
        <v>921.13813733364498</v>
      </c>
      <c r="J655" s="125">
        <v>578.81732820748266</v>
      </c>
      <c r="K655" s="125">
        <v>876.76739008207778</v>
      </c>
      <c r="L655" s="164">
        <v>2376.7228556232053</v>
      </c>
      <c r="M655" s="125">
        <v>0</v>
      </c>
      <c r="N655" s="115">
        <v>16450</v>
      </c>
      <c r="P655" s="125">
        <v>-1188.3812503099998</v>
      </c>
      <c r="Q655" s="125">
        <v>-6.5742425000000004</v>
      </c>
      <c r="S655" s="125">
        <v>-988838.00000164006</v>
      </c>
      <c r="T655" s="125">
        <v>0</v>
      </c>
      <c r="V655" s="125"/>
      <c r="W655" s="125"/>
    </row>
    <row r="656" spans="1:23">
      <c r="A656" s="121">
        <v>43923</v>
      </c>
      <c r="B656" s="125">
        <v>164889145.22634849</v>
      </c>
      <c r="C656" s="125">
        <v>43628122.931367598</v>
      </c>
      <c r="D656" s="125">
        <v>55729168.568824425</v>
      </c>
      <c r="E656" s="125">
        <v>66713915.816688098</v>
      </c>
      <c r="F656" s="123">
        <v>166071207.31688011</v>
      </c>
      <c r="G656" s="125">
        <v>-1000000</v>
      </c>
      <c r="H656" s="125">
        <v>1550.5788113881988</v>
      </c>
      <c r="I656" s="125">
        <v>977.79103708678588</v>
      </c>
      <c r="J656" s="125">
        <v>574.75228602670757</v>
      </c>
      <c r="K656" s="125">
        <v>869.19255937266416</v>
      </c>
      <c r="L656" s="164">
        <v>2421.7358824861576</v>
      </c>
      <c r="M656" s="125">
        <v>0</v>
      </c>
      <c r="N656" s="115">
        <v>16475</v>
      </c>
      <c r="P656" s="125">
        <v>-513.52502595999988</v>
      </c>
      <c r="Q656" s="125">
        <v>-13.1631955</v>
      </c>
      <c r="S656" s="125">
        <v>-988838.00000164006</v>
      </c>
      <c r="T656" s="125">
        <v>0</v>
      </c>
      <c r="V656" s="125"/>
      <c r="W656" s="125"/>
    </row>
    <row r="657" spans="1:23">
      <c r="A657" s="121">
        <v>43924</v>
      </c>
      <c r="B657" s="125">
        <v>164184704.72876453</v>
      </c>
      <c r="C657" s="125">
        <v>43057602.326160811</v>
      </c>
      <c r="D657" s="125">
        <v>55691509.544660285</v>
      </c>
      <c r="E657" s="125">
        <v>66765811.630974784</v>
      </c>
      <c r="F657" s="123">
        <v>165514923.50179589</v>
      </c>
      <c r="G657" s="125">
        <v>-1000000</v>
      </c>
      <c r="H657" s="125">
        <v>1517.862263042997</v>
      </c>
      <c r="I657" s="125">
        <v>976.69571503343684</v>
      </c>
      <c r="J657" s="125">
        <v>574.62767859897417</v>
      </c>
      <c r="K657" s="125">
        <v>842.67423949282249</v>
      </c>
      <c r="L657" s="164">
        <v>2393.9976331252333</v>
      </c>
      <c r="M657" s="125">
        <v>0</v>
      </c>
      <c r="N657" s="115">
        <v>16425</v>
      </c>
      <c r="P657" s="125">
        <v>-644.78180734999989</v>
      </c>
      <c r="Q657" s="125">
        <v>-19.682406</v>
      </c>
      <c r="S657" s="125">
        <v>-988838.00000164006</v>
      </c>
      <c r="T657" s="125">
        <v>0</v>
      </c>
      <c r="V657" s="125"/>
      <c r="W657" s="125"/>
    </row>
    <row r="658" spans="1:23">
      <c r="A658" s="121">
        <v>43927</v>
      </c>
      <c r="B658" s="125">
        <v>164264718.63981318</v>
      </c>
      <c r="C658" s="125">
        <v>46613019.668515474</v>
      </c>
      <c r="D658" s="125">
        <v>55260907.144359648</v>
      </c>
      <c r="E658" s="125">
        <v>66541926.677739203</v>
      </c>
      <c r="F658" s="123">
        <v>168415853.49061432</v>
      </c>
      <c r="G658" s="125">
        <v>-1000000</v>
      </c>
      <c r="H658" s="125">
        <v>1555.5259596524691</v>
      </c>
      <c r="I658" s="125">
        <v>1041.3507780049054</v>
      </c>
      <c r="J658" s="125">
        <v>574.47505174498826</v>
      </c>
      <c r="K658" s="125">
        <v>821.46052325995527</v>
      </c>
      <c r="L658" s="164">
        <v>2437.2863530098489</v>
      </c>
      <c r="M658" s="125">
        <v>0</v>
      </c>
      <c r="N658" s="115">
        <v>16412.5</v>
      </c>
      <c r="P658" s="125">
        <v>-1034.6647834299997</v>
      </c>
      <c r="Q658" s="125">
        <v>-39.328453140000008</v>
      </c>
      <c r="S658" s="125">
        <v>-1097151.45000164</v>
      </c>
      <c r="T658" s="125">
        <v>0</v>
      </c>
      <c r="V658" s="125"/>
      <c r="W658" s="125"/>
    </row>
    <row r="659" spans="1:23">
      <c r="A659" s="121">
        <v>43928</v>
      </c>
      <c r="B659" s="125">
        <v>163994905.95337883</v>
      </c>
      <c r="C659" s="125">
        <v>45868755.185508557</v>
      </c>
      <c r="D659" s="125">
        <v>55090507.446718574</v>
      </c>
      <c r="E659" s="125">
        <v>66767100.952961713</v>
      </c>
      <c r="F659" s="123">
        <v>167726363.58518884</v>
      </c>
      <c r="G659" s="125">
        <v>-1000000</v>
      </c>
      <c r="H659" s="125">
        <v>1550.4829986374114</v>
      </c>
      <c r="I659" s="125">
        <v>1021.9436762370918</v>
      </c>
      <c r="J659" s="125">
        <v>574.71798096056818</v>
      </c>
      <c r="K659" s="125">
        <v>823.48356443606178</v>
      </c>
      <c r="L659" s="164">
        <v>2420.145221633722</v>
      </c>
      <c r="M659" s="125">
        <v>0</v>
      </c>
      <c r="N659" s="115">
        <v>16175</v>
      </c>
      <c r="P659" s="125">
        <v>-346223.34</v>
      </c>
      <c r="Q659" s="125">
        <v>0</v>
      </c>
      <c r="S659" s="125">
        <v>-1097151.45000164</v>
      </c>
      <c r="T659" s="125">
        <v>0</v>
      </c>
      <c r="V659" s="125"/>
      <c r="W659" s="125"/>
    </row>
    <row r="660" spans="1:23">
      <c r="A660" s="121">
        <v>43929</v>
      </c>
      <c r="B660" s="125">
        <v>164122028.33818972</v>
      </c>
      <c r="C660" s="125">
        <v>45658863.528847769</v>
      </c>
      <c r="D660" s="125">
        <v>54442190.221654274</v>
      </c>
      <c r="E660" s="125">
        <v>66045901.727695934</v>
      </c>
      <c r="F660" s="123">
        <v>166146955.47819799</v>
      </c>
      <c r="G660" s="125">
        <v>-1000000</v>
      </c>
      <c r="H660" s="125">
        <v>1546.8926810655844</v>
      </c>
      <c r="I660" s="125">
        <v>1033.035462963684</v>
      </c>
      <c r="J660" s="125">
        <v>575.44312085717968</v>
      </c>
      <c r="K660" s="125">
        <v>823.12300598054276</v>
      </c>
      <c r="L660" s="164">
        <v>2431.6015898014066</v>
      </c>
      <c r="M660" s="125">
        <v>0</v>
      </c>
      <c r="N660" s="115">
        <v>16175</v>
      </c>
      <c r="P660" s="125">
        <v>-346223.34</v>
      </c>
      <c r="Q660" s="125">
        <v>0</v>
      </c>
      <c r="S660" s="125">
        <v>-1097151.45000164</v>
      </c>
      <c r="T660" s="125">
        <v>0</v>
      </c>
      <c r="V660" s="125"/>
      <c r="W660" s="125"/>
    </row>
    <row r="661" spans="1:23">
      <c r="A661" s="121">
        <v>43930</v>
      </c>
      <c r="B661" s="125">
        <v>164150463.65994149</v>
      </c>
      <c r="C661" s="125">
        <v>45973173.695971526</v>
      </c>
      <c r="D661" s="125">
        <v>54562338.163870275</v>
      </c>
      <c r="E661" s="125">
        <v>65924237.710943975</v>
      </c>
      <c r="F661" s="123">
        <v>166459749.57078576</v>
      </c>
      <c r="G661" s="125">
        <v>-1000000</v>
      </c>
      <c r="H661" s="125">
        <v>1544.4796725528586</v>
      </c>
      <c r="I661" s="125">
        <v>1040.8826064314048</v>
      </c>
      <c r="J661" s="125">
        <v>576.98486942378167</v>
      </c>
      <c r="K661" s="125">
        <v>811.55891523590378</v>
      </c>
      <c r="L661" s="164">
        <v>2429.4263910910904</v>
      </c>
      <c r="M661" s="125">
        <v>0</v>
      </c>
      <c r="N661" s="115">
        <v>15820</v>
      </c>
      <c r="P661" s="125">
        <v>-346223.34</v>
      </c>
      <c r="Q661" s="125">
        <v>0</v>
      </c>
      <c r="S661" s="125">
        <v>-1097151.45000164</v>
      </c>
      <c r="T661" s="125">
        <v>0</v>
      </c>
      <c r="V661" s="125"/>
      <c r="W661" s="125"/>
    </row>
    <row r="662" spans="1:23">
      <c r="A662" s="121">
        <v>43934</v>
      </c>
      <c r="B662" s="125">
        <v>164176175.43747154</v>
      </c>
      <c r="C662" s="125">
        <v>47388018.110895902</v>
      </c>
      <c r="D662" s="125">
        <v>54407558.747273907</v>
      </c>
      <c r="E662" s="125">
        <v>65393876.933722727</v>
      </c>
      <c r="F662" s="123">
        <v>167189453.79189253</v>
      </c>
      <c r="G662" s="125">
        <v>-1000000</v>
      </c>
      <c r="H662" s="125">
        <v>1543.3985577699261</v>
      </c>
      <c r="I662" s="125">
        <v>1040.0272736159595</v>
      </c>
      <c r="J662" s="125">
        <v>578.21441342035882</v>
      </c>
      <c r="K662" s="125">
        <v>789.21758188905824</v>
      </c>
      <c r="L662" s="164">
        <v>2407.4592689253768</v>
      </c>
      <c r="M662" s="125">
        <v>0</v>
      </c>
      <c r="N662" s="115">
        <v>15630</v>
      </c>
      <c r="P662" s="125">
        <v>-346223.34</v>
      </c>
      <c r="Q662" s="125">
        <v>0</v>
      </c>
      <c r="S662" s="125">
        <v>-1097151.45000164</v>
      </c>
      <c r="T662" s="125">
        <v>0</v>
      </c>
      <c r="V662" s="125"/>
      <c r="W662" s="125"/>
    </row>
    <row r="663" spans="1:23">
      <c r="A663" s="121">
        <v>43935</v>
      </c>
      <c r="B663" s="125">
        <v>164251557.2079989</v>
      </c>
      <c r="C663" s="125">
        <v>47232600.900733747</v>
      </c>
      <c r="D663" s="125">
        <v>54123337.201730698</v>
      </c>
      <c r="E663" s="125">
        <v>66120524.717198588</v>
      </c>
      <c r="F663" s="123">
        <v>167476462.81966302</v>
      </c>
      <c r="G663" s="125">
        <v>-1000000</v>
      </c>
      <c r="H663" s="125">
        <v>1541.9337622817377</v>
      </c>
      <c r="I663" s="125">
        <v>1021.3708789251195</v>
      </c>
      <c r="J663" s="125">
        <v>578.00218970313836</v>
      </c>
      <c r="K663" s="125">
        <v>789.39886831446813</v>
      </c>
      <c r="L663" s="164">
        <v>2388.7719369427259</v>
      </c>
      <c r="M663" s="125">
        <v>0</v>
      </c>
      <c r="N663" s="115">
        <v>15630</v>
      </c>
      <c r="P663" s="125">
        <v>-513851.94</v>
      </c>
      <c r="Q663" s="125">
        <v>0</v>
      </c>
      <c r="S663" s="125">
        <v>-1097151.45000164</v>
      </c>
      <c r="T663" s="125">
        <v>0</v>
      </c>
      <c r="V663" s="125"/>
      <c r="W663" s="125"/>
    </row>
    <row r="664" spans="1:23">
      <c r="A664" s="121">
        <v>43936</v>
      </c>
      <c r="B664" s="125">
        <v>164285514.019631</v>
      </c>
      <c r="C664" s="125">
        <v>47217331.47966513</v>
      </c>
      <c r="D664" s="125">
        <v>53940176.570365086</v>
      </c>
      <c r="E664" s="125">
        <v>66552481.132189877</v>
      </c>
      <c r="F664" s="123">
        <v>167709989.1822201</v>
      </c>
      <c r="G664" s="125">
        <v>-1000000</v>
      </c>
      <c r="H664" s="125">
        <v>1541.7571487379696</v>
      </c>
      <c r="I664" s="125">
        <v>1045.4912366803678</v>
      </c>
      <c r="J664" s="125">
        <v>574.19113536290331</v>
      </c>
      <c r="K664" s="125">
        <v>788.54621613924053</v>
      </c>
      <c r="L664" s="164">
        <v>2408.2285881825119</v>
      </c>
      <c r="M664" s="125">
        <v>0</v>
      </c>
      <c r="N664" s="115">
        <v>15565</v>
      </c>
      <c r="P664" s="125">
        <v>-513851.94</v>
      </c>
      <c r="Q664" s="125">
        <v>0</v>
      </c>
      <c r="S664" s="125">
        <v>-1097151.45000164</v>
      </c>
      <c r="T664" s="125">
        <v>0</v>
      </c>
      <c r="V664" s="125"/>
      <c r="W664" s="125"/>
    </row>
    <row r="665" spans="1:23">
      <c r="A665" s="121">
        <v>43937</v>
      </c>
      <c r="B665" s="125">
        <v>163829811.17484894</v>
      </c>
      <c r="C665" s="125">
        <v>48394083.549639456</v>
      </c>
      <c r="D665" s="125">
        <v>53810398.24580539</v>
      </c>
      <c r="E665" s="125">
        <v>66516212.697012804</v>
      </c>
      <c r="F665" s="123">
        <v>168720694.49245766</v>
      </c>
      <c r="G665" s="125">
        <v>-1100000</v>
      </c>
      <c r="H665" s="125">
        <v>1529.8176606569971</v>
      </c>
      <c r="I665" s="125">
        <v>1048.2449925391675</v>
      </c>
      <c r="J665" s="125">
        <v>576.40260602720673</v>
      </c>
      <c r="K665" s="125">
        <v>782.11131602907278</v>
      </c>
      <c r="L665" s="164">
        <v>2406.7589145954471</v>
      </c>
      <c r="M665" s="125">
        <v>0</v>
      </c>
      <c r="N665" s="115">
        <v>15640</v>
      </c>
      <c r="P665" s="125">
        <v>-513851.94</v>
      </c>
      <c r="Q665" s="125">
        <v>0</v>
      </c>
      <c r="S665" s="125">
        <v>-1097151.45000164</v>
      </c>
      <c r="T665" s="125">
        <v>0</v>
      </c>
      <c r="V665" s="125"/>
      <c r="W665" s="125"/>
    </row>
    <row r="666" spans="1:23">
      <c r="A666" s="121">
        <v>43938</v>
      </c>
      <c r="B666" s="125">
        <v>163916789.28870893</v>
      </c>
      <c r="C666" s="125">
        <v>48656772.670662656</v>
      </c>
      <c r="D666" s="125">
        <v>53846722.515047967</v>
      </c>
      <c r="E666" s="125">
        <v>67082692.032927781</v>
      </c>
      <c r="F666" s="123">
        <v>169586187.21863842</v>
      </c>
      <c r="G666" s="125">
        <v>-1100000</v>
      </c>
      <c r="H666" s="125">
        <v>1530.3033301008229</v>
      </c>
      <c r="I666" s="125">
        <v>1031.4759587529197</v>
      </c>
      <c r="J666" s="125">
        <v>579.3394651752958</v>
      </c>
      <c r="K666" s="125">
        <v>781.82705117832973</v>
      </c>
      <c r="L666" s="164">
        <v>2392.6424751065451</v>
      </c>
      <c r="M666" s="125">
        <v>0</v>
      </c>
      <c r="N666" s="115">
        <v>15430</v>
      </c>
      <c r="P666" s="125">
        <v>-335180.34000000003</v>
      </c>
      <c r="Q666" s="125">
        <v>0</v>
      </c>
      <c r="S666" s="125">
        <v>-1097151.45000164</v>
      </c>
      <c r="T666" s="125">
        <v>0</v>
      </c>
      <c r="V666" s="125"/>
      <c r="W666" s="125"/>
    </row>
    <row r="667" spans="1:23">
      <c r="A667" s="121">
        <v>43941</v>
      </c>
      <c r="B667" s="125">
        <v>164111489.60783029</v>
      </c>
      <c r="C667" s="125">
        <v>49126381.118640333</v>
      </c>
      <c r="D667" s="125">
        <v>53895425.898333855</v>
      </c>
      <c r="E667" s="125">
        <v>66983578.043860957</v>
      </c>
      <c r="F667" s="123">
        <v>170005385.06083512</v>
      </c>
      <c r="G667" s="125">
        <v>-1100000</v>
      </c>
      <c r="H667" s="125">
        <v>1528.0563054448294</v>
      </c>
      <c r="I667" s="125">
        <v>1055.8255476458432</v>
      </c>
      <c r="J667" s="125">
        <v>579.23054851626318</v>
      </c>
      <c r="K667" s="125">
        <v>762.72325723697952</v>
      </c>
      <c r="L667" s="164">
        <v>2397.7793533990857</v>
      </c>
      <c r="M667" s="125">
        <v>0</v>
      </c>
      <c r="N667" s="115">
        <v>15412.5</v>
      </c>
      <c r="P667" s="125">
        <v>-335180.34000000003</v>
      </c>
      <c r="Q667" s="125">
        <v>0</v>
      </c>
      <c r="S667" s="125">
        <v>-1.64E-6</v>
      </c>
      <c r="T667" s="125">
        <v>0</v>
      </c>
      <c r="V667" s="125"/>
      <c r="W667" s="125"/>
    </row>
    <row r="668" spans="1:23">
      <c r="A668" s="121">
        <v>43942</v>
      </c>
      <c r="B668" s="125">
        <v>163963858.79233047</v>
      </c>
      <c r="C668" s="125">
        <v>49468009.945241407</v>
      </c>
      <c r="D668" s="125">
        <v>53916863.72693976</v>
      </c>
      <c r="E668" s="125">
        <v>66062667.72568281</v>
      </c>
      <c r="F668" s="123">
        <v>169447541.39786398</v>
      </c>
      <c r="G668" s="125">
        <v>-100000</v>
      </c>
      <c r="H668" s="125">
        <v>1525.3325536266893</v>
      </c>
      <c r="I668" s="125">
        <v>1036.2997818560832</v>
      </c>
      <c r="J668" s="125">
        <v>579.09984143017607</v>
      </c>
      <c r="K668" s="125">
        <v>761.19619637185167</v>
      </c>
      <c r="L668" s="164">
        <v>2376.5958196581109</v>
      </c>
      <c r="M668" s="125">
        <v>0</v>
      </c>
      <c r="N668" s="115">
        <v>15455</v>
      </c>
      <c r="P668" s="125">
        <v>-335180.34000000003</v>
      </c>
      <c r="Q668" s="125">
        <v>0</v>
      </c>
      <c r="S668" s="125">
        <v>-1.64E-6</v>
      </c>
      <c r="T668" s="125">
        <v>0</v>
      </c>
      <c r="V668" s="125"/>
      <c r="W668" s="125"/>
    </row>
    <row r="669" spans="1:23">
      <c r="A669" s="121">
        <v>43943</v>
      </c>
      <c r="B669" s="125">
        <v>163919632.05068308</v>
      </c>
      <c r="C669" s="125">
        <v>49452164.972487018</v>
      </c>
      <c r="D669" s="125">
        <v>54051520.720456317</v>
      </c>
      <c r="E669" s="125">
        <v>66607122.008222371</v>
      </c>
      <c r="F669" s="123">
        <v>170110807.70116571</v>
      </c>
      <c r="G669" s="125">
        <v>-100000</v>
      </c>
      <c r="H669" s="125">
        <v>1527.8473388833618</v>
      </c>
      <c r="I669" s="125">
        <v>1051.1536805013586</v>
      </c>
      <c r="J669" s="125">
        <v>576.65689980184072</v>
      </c>
      <c r="K669" s="125">
        <v>759.7617319894938</v>
      </c>
      <c r="L669" s="164">
        <v>2387.5723122926934</v>
      </c>
      <c r="M669" s="125">
        <v>0</v>
      </c>
      <c r="N669" s="115">
        <v>15450</v>
      </c>
      <c r="P669" s="125">
        <v>-335180.34000000003</v>
      </c>
      <c r="Q669" s="125">
        <v>0</v>
      </c>
      <c r="S669" s="125">
        <v>-1.64E-6</v>
      </c>
      <c r="T669" s="125">
        <v>0</v>
      </c>
      <c r="V669" s="125"/>
      <c r="W669" s="125"/>
    </row>
    <row r="670" spans="1:23">
      <c r="A670" s="121">
        <v>43944</v>
      </c>
      <c r="B670" s="125">
        <v>163838048.58938944</v>
      </c>
      <c r="C670" s="125">
        <v>49007605.872212559</v>
      </c>
      <c r="D670" s="125">
        <v>54079115.929623172</v>
      </c>
      <c r="E670" s="125">
        <v>66607958.378659979</v>
      </c>
      <c r="F670" s="123">
        <v>169694680.18049571</v>
      </c>
      <c r="G670" s="125">
        <v>-100000</v>
      </c>
      <c r="H670" s="125">
        <v>1522.8914721330332</v>
      </c>
      <c r="I670" s="125">
        <v>991.20724719024156</v>
      </c>
      <c r="J670" s="125">
        <v>579.38959000938314</v>
      </c>
      <c r="K670" s="125">
        <v>762.74678352519084</v>
      </c>
      <c r="L670" s="164">
        <v>2333.3436207248155</v>
      </c>
      <c r="M670" s="125">
        <v>0</v>
      </c>
      <c r="N670" s="115">
        <v>15400</v>
      </c>
      <c r="P670" s="125">
        <v>-335180.34000000003</v>
      </c>
      <c r="Q670" s="125">
        <v>0</v>
      </c>
      <c r="S670" s="125">
        <v>-1.64E-6</v>
      </c>
      <c r="T670" s="125">
        <v>0</v>
      </c>
      <c r="V670" s="125"/>
      <c r="W670" s="125"/>
    </row>
    <row r="671" spans="1:23">
      <c r="A671" s="121">
        <v>43945</v>
      </c>
      <c r="B671" s="125">
        <v>163781042.61324683</v>
      </c>
      <c r="C671" s="125">
        <v>47569426.656125419</v>
      </c>
      <c r="D671" s="125">
        <v>55160763.872749902</v>
      </c>
      <c r="E671" s="125">
        <v>66015671.185147502</v>
      </c>
      <c r="F671" s="123">
        <v>168745861.71402282</v>
      </c>
      <c r="G671" s="125">
        <v>-100000</v>
      </c>
      <c r="H671" s="125">
        <v>1513.4290778272457</v>
      </c>
      <c r="I671" s="125">
        <v>993.86361182136352</v>
      </c>
      <c r="J671" s="125">
        <v>579.65443367635203</v>
      </c>
      <c r="K671" s="125">
        <v>758.22688132002986</v>
      </c>
      <c r="L671" s="164">
        <v>2331.7449268177452</v>
      </c>
      <c r="M671" s="125">
        <v>0</v>
      </c>
      <c r="N671" s="115">
        <v>15400</v>
      </c>
      <c r="P671" s="125">
        <v>-335180.34000000003</v>
      </c>
      <c r="Q671" s="125">
        <v>0</v>
      </c>
      <c r="S671" s="125">
        <v>-1.64E-6</v>
      </c>
      <c r="T671" s="125">
        <v>0</v>
      </c>
      <c r="V671" s="125"/>
      <c r="W671" s="125"/>
    </row>
    <row r="672" spans="1:23">
      <c r="A672" s="121">
        <v>43948</v>
      </c>
      <c r="B672" s="125">
        <v>163765830.02661562</v>
      </c>
      <c r="C672" s="125">
        <v>49332841.109735176</v>
      </c>
      <c r="D672" s="125">
        <v>54968724.983455248</v>
      </c>
      <c r="E672" s="125">
        <v>65352410.475957476</v>
      </c>
      <c r="F672" s="123">
        <v>169653976.56914791</v>
      </c>
      <c r="G672" s="125">
        <v>-100000</v>
      </c>
      <c r="H672" s="125">
        <v>1525.113721920726</v>
      </c>
      <c r="I672" s="125">
        <v>979.13499401806587</v>
      </c>
      <c r="J672" s="125">
        <v>582.57402210698797</v>
      </c>
      <c r="K672" s="125">
        <v>760.33029100967451</v>
      </c>
      <c r="L672" s="164">
        <v>2322.0393071347285</v>
      </c>
      <c r="M672" s="125">
        <v>0</v>
      </c>
      <c r="N672" s="115">
        <v>15385</v>
      </c>
      <c r="P672" s="125">
        <v>-167628.6</v>
      </c>
      <c r="Q672" s="125">
        <v>0</v>
      </c>
      <c r="S672" s="125">
        <v>-1.64E-6</v>
      </c>
      <c r="T672" s="125">
        <v>0</v>
      </c>
      <c r="V672" s="125"/>
      <c r="W672" s="125"/>
    </row>
    <row r="673" spans="1:23">
      <c r="A673" s="121">
        <v>43949</v>
      </c>
      <c r="B673" s="125">
        <v>163504452.02585632</v>
      </c>
      <c r="C673" s="125">
        <v>48318445.828204311</v>
      </c>
      <c r="D673" s="125">
        <v>55121951.168899164</v>
      </c>
      <c r="E673" s="125">
        <v>65572088.946827106</v>
      </c>
      <c r="F673" s="123">
        <v>169012485.9439306</v>
      </c>
      <c r="G673" s="125">
        <v>-100000</v>
      </c>
      <c r="H673" s="125">
        <v>1525.0119536074483</v>
      </c>
      <c r="I673" s="125">
        <v>976.42102188177034</v>
      </c>
      <c r="J673" s="125">
        <v>580.43345969310781</v>
      </c>
      <c r="K673" s="125">
        <v>761.02365283926667</v>
      </c>
      <c r="L673" s="164">
        <v>2317.8781344141448</v>
      </c>
      <c r="M673" s="125">
        <v>0</v>
      </c>
      <c r="N673" s="115">
        <v>15422.5</v>
      </c>
      <c r="P673" s="125">
        <v>-167628.6</v>
      </c>
      <c r="Q673" s="125">
        <v>0</v>
      </c>
      <c r="S673" s="125">
        <v>-1.64E-6</v>
      </c>
      <c r="T673" s="125">
        <v>0</v>
      </c>
      <c r="V673" s="125"/>
      <c r="W673" s="125"/>
    </row>
    <row r="674" spans="1:23">
      <c r="A674" s="121">
        <v>43950</v>
      </c>
      <c r="B674" s="125">
        <v>163473029.91906437</v>
      </c>
      <c r="C674" s="125">
        <v>48996178.061942264</v>
      </c>
      <c r="D674" s="125">
        <v>54834808.989797741</v>
      </c>
      <c r="E674" s="125">
        <v>65835361.889038034</v>
      </c>
      <c r="F674" s="123">
        <v>169666348.94077805</v>
      </c>
      <c r="G674" s="125">
        <v>-100000</v>
      </c>
      <c r="H674" s="125">
        <v>1517.2101135406724</v>
      </c>
      <c r="I674" s="125">
        <v>1008.5092964664549</v>
      </c>
      <c r="J674" s="125">
        <v>578.83971658946757</v>
      </c>
      <c r="K674" s="125">
        <v>765.21771797367683</v>
      </c>
      <c r="L674" s="164">
        <v>2352.5667310295994</v>
      </c>
      <c r="M674" s="125">
        <v>0</v>
      </c>
      <c r="N674" s="115">
        <v>15295</v>
      </c>
      <c r="P674" s="125">
        <v>-167628.6</v>
      </c>
      <c r="Q674" s="125">
        <v>0</v>
      </c>
      <c r="S674" s="125">
        <v>-1.64E-6</v>
      </c>
      <c r="T674" s="125">
        <v>0</v>
      </c>
      <c r="V674" s="125"/>
      <c r="W674" s="125"/>
    </row>
    <row r="675" spans="1:23">
      <c r="A675" s="121">
        <v>43951</v>
      </c>
      <c r="B675" s="125">
        <v>163848010.08079624</v>
      </c>
      <c r="C675" s="125">
        <v>47616082.339243658</v>
      </c>
      <c r="D675" s="125">
        <v>55541999.57332962</v>
      </c>
      <c r="E675" s="125">
        <v>65886728.29802794</v>
      </c>
      <c r="F675" s="123">
        <v>169044810.21060121</v>
      </c>
      <c r="G675" s="125">
        <v>-100000</v>
      </c>
      <c r="H675" s="125">
        <v>1523.6258149317373</v>
      </c>
      <c r="I675" s="125">
        <v>1021.4897033321487</v>
      </c>
      <c r="J675" s="125">
        <v>582.40139256713007</v>
      </c>
      <c r="K675" s="125">
        <v>764.72339993289484</v>
      </c>
      <c r="L675" s="164">
        <v>2368.6144958321738</v>
      </c>
      <c r="M675" s="125">
        <v>0</v>
      </c>
      <c r="N675" s="115">
        <v>14875</v>
      </c>
      <c r="O675" s="116">
        <v>3457.7100099159002</v>
      </c>
      <c r="P675" s="125">
        <v>-167628.6</v>
      </c>
      <c r="Q675" s="125">
        <v>0</v>
      </c>
      <c r="S675" s="125">
        <v>-1.64E-6</v>
      </c>
      <c r="T675" s="125">
        <v>0</v>
      </c>
      <c r="V675" s="125"/>
      <c r="W675" s="125"/>
    </row>
    <row r="676" spans="1:23">
      <c r="A676" s="121">
        <v>43955</v>
      </c>
      <c r="B676" s="125">
        <v>163480481.37516332</v>
      </c>
      <c r="C676" s="125">
        <v>49563122.465439267</v>
      </c>
      <c r="D676" s="125">
        <v>55100231.728896126</v>
      </c>
      <c r="E676" s="125">
        <v>65920917.014597155</v>
      </c>
      <c r="F676" s="123">
        <v>170584271.20893255</v>
      </c>
      <c r="G676" s="125">
        <v>-100000</v>
      </c>
      <c r="H676" s="125">
        <v>1500.4899149091864</v>
      </c>
      <c r="I676" s="125">
        <v>1004.9235119021316</v>
      </c>
      <c r="J676" s="125">
        <v>583.32424520424649</v>
      </c>
      <c r="K676" s="125">
        <v>764.22774413932052</v>
      </c>
      <c r="L676" s="164">
        <v>2352.475501245699</v>
      </c>
      <c r="M676" s="125">
        <v>0</v>
      </c>
      <c r="N676" s="115">
        <v>15100</v>
      </c>
      <c r="P676" s="125">
        <v>-167628.6</v>
      </c>
      <c r="Q676" s="125">
        <v>0</v>
      </c>
      <c r="S676" s="125">
        <v>-1.64E-6</v>
      </c>
      <c r="T676" s="125">
        <v>0</v>
      </c>
      <c r="V676" s="125"/>
      <c r="W676" s="125"/>
    </row>
    <row r="677" spans="1:23">
      <c r="A677" s="121">
        <v>43956</v>
      </c>
      <c r="B677" s="125">
        <v>163054092.02690649</v>
      </c>
      <c r="C677" s="125">
        <v>48623614.166299582</v>
      </c>
      <c r="D677" s="125">
        <v>54917032.522773251</v>
      </c>
      <c r="E677" s="125">
        <v>66514890.459996447</v>
      </c>
      <c r="F677" s="123">
        <v>170055537.14906928</v>
      </c>
      <c r="G677" s="125">
        <v>-100000</v>
      </c>
      <c r="H677" s="125">
        <v>1495.4558765187849</v>
      </c>
      <c r="I677" s="125">
        <v>988.56474084043032</v>
      </c>
      <c r="J677" s="125">
        <v>582.57774653056049</v>
      </c>
      <c r="K677" s="125">
        <v>761.45248553403576</v>
      </c>
      <c r="L677" s="164">
        <v>2332.5949729050262</v>
      </c>
      <c r="M677" s="125">
        <v>0</v>
      </c>
      <c r="N677" s="115">
        <v>15080</v>
      </c>
      <c r="P677" s="125">
        <v>-167628.6</v>
      </c>
      <c r="Q677" s="125">
        <v>0</v>
      </c>
      <c r="S677" s="125">
        <v>-1.64E-6</v>
      </c>
      <c r="T677" s="125">
        <v>0</v>
      </c>
      <c r="V677" s="125"/>
      <c r="W677" s="125"/>
    </row>
    <row r="678" spans="1:23">
      <c r="A678" s="121">
        <v>43957</v>
      </c>
      <c r="B678" s="125">
        <v>162843698.16676623</v>
      </c>
      <c r="C678" s="125">
        <v>47329516.582776524</v>
      </c>
      <c r="D678" s="125">
        <v>54996887.121008486</v>
      </c>
      <c r="E678" s="125">
        <v>65839896.902878031</v>
      </c>
      <c r="F678" s="123">
        <v>168166300.60666305</v>
      </c>
      <c r="G678" s="125">
        <v>-100000</v>
      </c>
      <c r="H678" s="125">
        <v>1495.2565974641163</v>
      </c>
      <c r="I678" s="125">
        <v>957.97171816834282</v>
      </c>
      <c r="J678" s="125">
        <v>582.33752258420793</v>
      </c>
      <c r="K678" s="125">
        <v>761.33420127047475</v>
      </c>
      <c r="L678" s="164">
        <v>2301.6434420230253</v>
      </c>
      <c r="M678" s="125">
        <v>0</v>
      </c>
      <c r="N678" s="115">
        <v>15045</v>
      </c>
      <c r="P678" s="125">
        <v>-167628.6</v>
      </c>
      <c r="Q678" s="125">
        <v>0</v>
      </c>
      <c r="S678" s="125">
        <v>-1.64E-6</v>
      </c>
      <c r="T678" s="125">
        <v>0</v>
      </c>
      <c r="V678" s="125"/>
      <c r="W678" s="125"/>
    </row>
    <row r="679" spans="1:23">
      <c r="A679" s="121">
        <v>43959</v>
      </c>
      <c r="B679" s="125">
        <v>162906370.05510515</v>
      </c>
      <c r="C679" s="125">
        <v>46025068.468975984</v>
      </c>
      <c r="D679" s="125">
        <v>55042651.925457999</v>
      </c>
      <c r="E679" s="125">
        <v>66540642.444095984</v>
      </c>
      <c r="F679" s="123">
        <v>167608362.83852994</v>
      </c>
      <c r="G679" s="125">
        <v>-100000</v>
      </c>
      <c r="H679" s="125">
        <v>1499.3800167580539</v>
      </c>
      <c r="I679" s="125">
        <v>994.9523502777854</v>
      </c>
      <c r="J679" s="125">
        <v>581.5846950774835</v>
      </c>
      <c r="K679" s="125">
        <v>758.74669956027731</v>
      </c>
      <c r="L679" s="164">
        <v>2335.2837449155463</v>
      </c>
      <c r="M679" s="125">
        <v>0</v>
      </c>
      <c r="N679" s="115">
        <v>14920</v>
      </c>
      <c r="P679" s="125">
        <v>-167628.6</v>
      </c>
      <c r="Q679" s="125">
        <v>0</v>
      </c>
      <c r="S679" s="125">
        <v>-994454.00000164006</v>
      </c>
      <c r="T679" s="125">
        <v>0</v>
      </c>
      <c r="V679" s="125"/>
      <c r="W679" s="125"/>
    </row>
    <row r="680" spans="1:23">
      <c r="A680" s="121">
        <v>43962</v>
      </c>
      <c r="B680" s="125">
        <v>162612588.5288873</v>
      </c>
      <c r="C680" s="125">
        <v>46860185.493316554</v>
      </c>
      <c r="D680" s="125">
        <v>54730662.412633941</v>
      </c>
      <c r="E680" s="125">
        <v>66670904.485714212</v>
      </c>
      <c r="F680" s="123">
        <v>168261752.39166468</v>
      </c>
      <c r="G680" s="125">
        <v>-100000</v>
      </c>
      <c r="H680" s="125">
        <v>1520.2538564473857</v>
      </c>
      <c r="I680" s="125">
        <v>1010.6195044967994</v>
      </c>
      <c r="J680" s="125">
        <v>579.74655153290792</v>
      </c>
      <c r="K680" s="125">
        <v>756.84859599751223</v>
      </c>
      <c r="L680" s="164">
        <v>2347.2146520272195</v>
      </c>
      <c r="M680" s="125">
        <v>0</v>
      </c>
      <c r="N680" s="115">
        <v>14895</v>
      </c>
      <c r="P680" s="125">
        <v>-167628.6</v>
      </c>
      <c r="Q680" s="125">
        <v>0</v>
      </c>
      <c r="S680" s="125">
        <v>-994454.00000164006</v>
      </c>
      <c r="T680" s="125">
        <v>0</v>
      </c>
      <c r="V680" s="125"/>
      <c r="W680" s="125"/>
    </row>
    <row r="681" spans="1:23">
      <c r="A681" s="121">
        <v>43963</v>
      </c>
      <c r="B681" s="125">
        <v>162282307.49597466</v>
      </c>
      <c r="C681" s="125">
        <v>47728626.761498161</v>
      </c>
      <c r="D681" s="125">
        <v>54551056.704166919</v>
      </c>
      <c r="E681" s="125">
        <v>66702642.527387179</v>
      </c>
      <c r="F681" s="123">
        <v>168982325.99305224</v>
      </c>
      <c r="G681" s="125">
        <v>-100000</v>
      </c>
      <c r="H681" s="125">
        <v>1546.906212137178</v>
      </c>
      <c r="I681" s="125">
        <v>1004.4383735000303</v>
      </c>
      <c r="J681" s="125">
        <v>578.92319021364187</v>
      </c>
      <c r="K681" s="125">
        <v>757.5322091775198</v>
      </c>
      <c r="L681" s="164">
        <v>2340.8937728911919</v>
      </c>
      <c r="M681" s="125">
        <v>0</v>
      </c>
      <c r="N681" s="115">
        <v>14905</v>
      </c>
      <c r="P681" s="125">
        <v>-167628.6</v>
      </c>
      <c r="Q681" s="125">
        <v>0</v>
      </c>
      <c r="S681" s="125">
        <v>-994454.00000164006</v>
      </c>
      <c r="T681" s="125">
        <v>0</v>
      </c>
      <c r="V681" s="125"/>
      <c r="W681" s="125"/>
    </row>
    <row r="682" spans="1:23">
      <c r="A682" s="121">
        <v>43964</v>
      </c>
      <c r="B682" s="125">
        <v>162197772.52894613</v>
      </c>
      <c r="C682" s="125">
        <v>48283873.159614176</v>
      </c>
      <c r="D682" s="125">
        <v>54643659.86287266</v>
      </c>
      <c r="E682" s="125">
        <v>66803860.044315457</v>
      </c>
      <c r="F682" s="123">
        <v>169731393.06680229</v>
      </c>
      <c r="G682" s="125">
        <v>-100000</v>
      </c>
      <c r="H682" s="125">
        <v>1559.2388305851252</v>
      </c>
      <c r="I682" s="125">
        <v>1001.2303137926897</v>
      </c>
      <c r="J682" s="125">
        <v>577.36698330766581</v>
      </c>
      <c r="K682" s="125">
        <v>766.72003806475959</v>
      </c>
      <c r="L682" s="164">
        <v>2345.3173351651149</v>
      </c>
      <c r="M682" s="125">
        <v>0</v>
      </c>
      <c r="N682" s="115">
        <v>14865</v>
      </c>
      <c r="P682" s="125">
        <v>-167628.6</v>
      </c>
      <c r="Q682" s="125">
        <v>0</v>
      </c>
      <c r="S682" s="125">
        <v>-994454.00000164006</v>
      </c>
      <c r="T682" s="125">
        <v>0</v>
      </c>
      <c r="V682" s="125"/>
      <c r="W682" s="125"/>
    </row>
    <row r="683" spans="1:23">
      <c r="A683" s="121">
        <v>43965</v>
      </c>
      <c r="B683" s="125">
        <v>162287096.50773287</v>
      </c>
      <c r="C683" s="125">
        <v>47427767.350369059</v>
      </c>
      <c r="D683" s="125">
        <v>54723816.25761544</v>
      </c>
      <c r="E683" s="125">
        <v>66967562.102624759</v>
      </c>
      <c r="F683" s="123">
        <v>169119145.71060926</v>
      </c>
      <c r="G683" s="125">
        <v>-100000</v>
      </c>
      <c r="H683" s="125">
        <v>1557.9950463673192</v>
      </c>
      <c r="I683" s="125">
        <v>1005.125025584224</v>
      </c>
      <c r="J683" s="125">
        <v>580.14481208289408</v>
      </c>
      <c r="K683" s="125">
        <v>762.54668603812388</v>
      </c>
      <c r="L683" s="164">
        <v>2347.8165237052417</v>
      </c>
      <c r="M683" s="125">
        <v>0</v>
      </c>
      <c r="N683" s="115">
        <v>14885</v>
      </c>
      <c r="P683" s="125">
        <v>0</v>
      </c>
      <c r="Q683" s="125">
        <v>0</v>
      </c>
      <c r="S683" s="125">
        <v>-994454.00000164006</v>
      </c>
      <c r="T683" s="125">
        <v>0</v>
      </c>
      <c r="V683" s="125"/>
      <c r="W683" s="125"/>
    </row>
    <row r="684" spans="1:23">
      <c r="A684" s="121">
        <v>43966</v>
      </c>
      <c r="B684" s="125">
        <v>162147243.50674134</v>
      </c>
      <c r="C684" s="125">
        <v>44809314.89480029</v>
      </c>
      <c r="D684" s="125">
        <v>54761768.608432859</v>
      </c>
      <c r="E684" s="125">
        <v>66689185.286724553</v>
      </c>
      <c r="F684" s="123">
        <v>166260268.7899577</v>
      </c>
      <c r="G684" s="125">
        <v>-750000</v>
      </c>
      <c r="H684" s="125">
        <v>1562.1632725210716</v>
      </c>
      <c r="I684" s="125">
        <v>1001.0542823477824</v>
      </c>
      <c r="J684" s="125">
        <v>579.06366912493968</v>
      </c>
      <c r="K684" s="125">
        <v>759.01421909948715</v>
      </c>
      <c r="L684" s="164">
        <v>2339.1321705722094</v>
      </c>
      <c r="M684" s="125">
        <v>0</v>
      </c>
      <c r="N684" s="115">
        <v>14860</v>
      </c>
      <c r="P684" s="125">
        <v>0</v>
      </c>
      <c r="Q684" s="125">
        <v>0</v>
      </c>
      <c r="S684" s="125">
        <v>-994454.00000164006</v>
      </c>
      <c r="T684" s="125">
        <v>0</v>
      </c>
      <c r="V684" s="125"/>
      <c r="W684" s="125"/>
    </row>
    <row r="685" spans="1:23">
      <c r="A685" s="121">
        <v>43969</v>
      </c>
      <c r="B685" s="125">
        <v>162032118.86220056</v>
      </c>
      <c r="C685" s="125">
        <v>47026200.727400556</v>
      </c>
      <c r="D685" s="125">
        <v>54807177.217848785</v>
      </c>
      <c r="E685" s="125">
        <v>66020651.03940399</v>
      </c>
      <c r="F685" s="123">
        <v>167854028.98465335</v>
      </c>
      <c r="G685" s="125">
        <v>-750000</v>
      </c>
      <c r="H685" s="125">
        <v>1568.898409634902</v>
      </c>
      <c r="I685" s="125">
        <v>984.57284801219771</v>
      </c>
      <c r="J685" s="125">
        <v>575.0199682937091</v>
      </c>
      <c r="K685" s="125">
        <v>751.99326533887609</v>
      </c>
      <c r="L685" s="164">
        <v>2311.586081644783</v>
      </c>
      <c r="M685" s="125">
        <v>0</v>
      </c>
      <c r="N685" s="115">
        <v>14850</v>
      </c>
      <c r="P685" s="125">
        <v>0</v>
      </c>
      <c r="Q685" s="125">
        <v>0</v>
      </c>
      <c r="S685" s="125">
        <v>-2546200.0000016401</v>
      </c>
      <c r="T685" s="125">
        <v>0</v>
      </c>
      <c r="V685" s="125"/>
      <c r="W685" s="125"/>
    </row>
    <row r="686" spans="1:23">
      <c r="A686" s="121">
        <v>43970</v>
      </c>
      <c r="B686" s="125">
        <v>162160737.36388591</v>
      </c>
      <c r="C686" s="125">
        <v>46169941.389666699</v>
      </c>
      <c r="D686" s="125">
        <v>54706148.457658835</v>
      </c>
      <c r="E686" s="125">
        <v>65773052.909111053</v>
      </c>
      <c r="F686" s="123">
        <v>166649142.75643659</v>
      </c>
      <c r="G686" s="125">
        <v>-750000</v>
      </c>
      <c r="H686" s="125">
        <v>1535.0781663944304</v>
      </c>
      <c r="I686" s="125">
        <v>949.65229270800535</v>
      </c>
      <c r="J686" s="125">
        <v>575.10760657776677</v>
      </c>
      <c r="K686" s="125">
        <v>751.25318795672115</v>
      </c>
      <c r="L686" s="164">
        <v>2276.0130872424934</v>
      </c>
      <c r="M686" s="125">
        <v>0</v>
      </c>
      <c r="N686" s="115">
        <v>14770</v>
      </c>
      <c r="P686" s="125">
        <v>0</v>
      </c>
      <c r="Q686" s="125">
        <v>0</v>
      </c>
      <c r="S686" s="125">
        <v>-2546200.0000016401</v>
      </c>
      <c r="T686" s="125">
        <v>0</v>
      </c>
      <c r="V686" s="125"/>
      <c r="W686" s="125"/>
    </row>
    <row r="687" spans="1:23">
      <c r="A687" s="121">
        <v>43971</v>
      </c>
      <c r="B687" s="125">
        <v>162483653.79320961</v>
      </c>
      <c r="C687" s="125">
        <v>45830377.489578784</v>
      </c>
      <c r="D687" s="125">
        <v>55380813.943934932</v>
      </c>
      <c r="E687" s="125">
        <v>66187047.911939703</v>
      </c>
      <c r="F687" s="123">
        <v>167398239.34545341</v>
      </c>
      <c r="G687" s="125">
        <v>-750000</v>
      </c>
      <c r="H687" s="125">
        <v>1585.9896628764197</v>
      </c>
      <c r="I687" s="125">
        <v>946.34792153517367</v>
      </c>
      <c r="J687" s="125">
        <v>575.65355536907202</v>
      </c>
      <c r="K687" s="125">
        <v>754.28845595332018</v>
      </c>
      <c r="L687" s="164">
        <v>2276.2899328575659</v>
      </c>
      <c r="M687" s="125">
        <v>0</v>
      </c>
      <c r="N687" s="115">
        <v>14710</v>
      </c>
      <c r="P687" s="125">
        <v>0</v>
      </c>
      <c r="Q687" s="125">
        <v>0</v>
      </c>
      <c r="S687" s="125">
        <v>-2546200.0000016401</v>
      </c>
      <c r="T687" s="125">
        <v>0</v>
      </c>
      <c r="V687" s="125"/>
      <c r="W687" s="125"/>
    </row>
    <row r="688" spans="1:23">
      <c r="A688" s="121">
        <v>43977</v>
      </c>
      <c r="B688" s="125">
        <v>162255369.65801004</v>
      </c>
      <c r="C688" s="125">
        <v>46911041.365571186</v>
      </c>
      <c r="D688" s="125">
        <v>54865015.834762879</v>
      </c>
      <c r="E688" s="125">
        <v>66397743.678593352</v>
      </c>
      <c r="F688" s="123">
        <v>168173800.87892741</v>
      </c>
      <c r="G688" s="125">
        <v>-750000</v>
      </c>
      <c r="H688" s="125">
        <v>1562.40910882765</v>
      </c>
      <c r="I688" s="125">
        <v>970.14674223763484</v>
      </c>
      <c r="J688" s="125">
        <v>576.54802552852368</v>
      </c>
      <c r="K688" s="125">
        <v>755.24401395496272</v>
      </c>
      <c r="L688" s="164">
        <v>2301.9387817211214</v>
      </c>
      <c r="M688" s="125">
        <v>0</v>
      </c>
      <c r="N688" s="115">
        <v>14755</v>
      </c>
      <c r="P688" s="125">
        <v>0</v>
      </c>
      <c r="Q688" s="125">
        <v>0</v>
      </c>
      <c r="S688" s="125">
        <v>-2546200.0000016401</v>
      </c>
      <c r="T688" s="125">
        <v>0</v>
      </c>
      <c r="V688" s="125"/>
      <c r="W688" s="125"/>
    </row>
    <row r="689" spans="1:23">
      <c r="A689" s="121">
        <v>43978</v>
      </c>
      <c r="B689" s="125">
        <v>162354819.60111749</v>
      </c>
      <c r="C689" s="125">
        <v>49965333.658241086</v>
      </c>
      <c r="D689" s="125">
        <v>54930488.725009792</v>
      </c>
      <c r="E689" s="125">
        <v>66386573.016307585</v>
      </c>
      <c r="F689" s="123">
        <v>171282395.39955845</v>
      </c>
      <c r="G689" s="125">
        <v>-750000</v>
      </c>
      <c r="H689" s="125">
        <v>1551.9606678902951</v>
      </c>
      <c r="I689" s="125">
        <v>966.96034029237978</v>
      </c>
      <c r="J689" s="125">
        <v>579.57886995507033</v>
      </c>
      <c r="K689" s="125">
        <v>758.41113489857264</v>
      </c>
      <c r="L689" s="164">
        <v>2304.9503451460228</v>
      </c>
      <c r="M689" s="125">
        <v>0</v>
      </c>
      <c r="N689" s="115">
        <v>14710</v>
      </c>
      <c r="P689" s="125">
        <v>-257958</v>
      </c>
      <c r="Q689" s="125">
        <v>0</v>
      </c>
      <c r="S689" s="125">
        <v>-2546200.0000016401</v>
      </c>
      <c r="T689" s="125">
        <v>0</v>
      </c>
      <c r="V689" s="125"/>
      <c r="W689" s="125"/>
    </row>
    <row r="690" spans="1:23">
      <c r="A690" s="121">
        <v>43979</v>
      </c>
      <c r="B690" s="125">
        <v>162060070.20985267</v>
      </c>
      <c r="C690" s="125">
        <v>50334026.086253799</v>
      </c>
      <c r="D690" s="125">
        <v>55184308.616869316</v>
      </c>
      <c r="E690" s="125">
        <v>66852723.112501189</v>
      </c>
      <c r="F690" s="123">
        <v>172371057.8156243</v>
      </c>
      <c r="G690" s="125">
        <v>-750000</v>
      </c>
      <c r="H690" s="125">
        <v>1550.610424531433</v>
      </c>
      <c r="I690" s="125">
        <v>987.40765341684084</v>
      </c>
      <c r="J690" s="125">
        <v>581.60874893373818</v>
      </c>
      <c r="K690" s="125">
        <v>745.43651820027048</v>
      </c>
      <c r="L690" s="164">
        <v>2314.4529205508497</v>
      </c>
      <c r="M690" s="125">
        <v>0</v>
      </c>
      <c r="N690" s="115">
        <v>14715</v>
      </c>
      <c r="P690" s="125">
        <v>-257958</v>
      </c>
      <c r="Q690" s="125">
        <v>0</v>
      </c>
      <c r="S690" s="125">
        <v>-2546200.0000016401</v>
      </c>
      <c r="T690" s="125">
        <v>0</v>
      </c>
      <c r="V690" s="125"/>
      <c r="W690" s="125"/>
    </row>
    <row r="691" spans="1:23">
      <c r="A691" s="121">
        <v>43980</v>
      </c>
      <c r="B691" s="125">
        <v>161931243.09944227</v>
      </c>
      <c r="C691" s="125">
        <v>45702833.001482397</v>
      </c>
      <c r="D691" s="125">
        <v>55148574.699327491</v>
      </c>
      <c r="E691" s="125">
        <v>68439391.137776583</v>
      </c>
      <c r="F691" s="123">
        <v>169290798.83858648</v>
      </c>
      <c r="G691" s="125">
        <v>-100000</v>
      </c>
      <c r="H691" s="125">
        <v>1543.346285844294</v>
      </c>
      <c r="I691" s="125">
        <v>954.66554337494438</v>
      </c>
      <c r="J691" s="125">
        <v>586.89525564276687</v>
      </c>
      <c r="K691" s="125">
        <v>760.44475455154407</v>
      </c>
      <c r="L691" s="164">
        <v>2302.0055535692554</v>
      </c>
      <c r="M691" s="125">
        <v>0</v>
      </c>
      <c r="N691" s="115">
        <v>14610</v>
      </c>
      <c r="P691" s="125">
        <v>-257958</v>
      </c>
      <c r="Q691" s="125">
        <v>0</v>
      </c>
      <c r="S691" s="125">
        <v>-2546200.0000016401</v>
      </c>
      <c r="T691" s="125">
        <v>0</v>
      </c>
      <c r="V691" s="125"/>
      <c r="W691" s="125"/>
    </row>
    <row r="692" spans="1:23">
      <c r="A692" s="121">
        <v>43982</v>
      </c>
      <c r="B692" s="125">
        <v>161931243.09944227</v>
      </c>
      <c r="C692" s="125">
        <v>45702833.001482397</v>
      </c>
      <c r="D692" s="125">
        <v>55148574.699327491</v>
      </c>
      <c r="E692" s="125">
        <v>68439391.137776583</v>
      </c>
      <c r="F692" s="123">
        <v>169290798.83858648</v>
      </c>
      <c r="G692" s="125">
        <v>-100000</v>
      </c>
      <c r="H692" s="125">
        <v>1543.346285844294</v>
      </c>
      <c r="I692" s="125">
        <v>954.66554337494438</v>
      </c>
      <c r="J692" s="125">
        <v>586.89525564276687</v>
      </c>
      <c r="K692" s="125">
        <v>760.44475455154407</v>
      </c>
      <c r="L692" s="164">
        <v>2302.0055535692554</v>
      </c>
      <c r="M692" s="125">
        <v>0</v>
      </c>
      <c r="N692" s="115">
        <v>14610</v>
      </c>
      <c r="O692" s="116">
        <v>3372.8</v>
      </c>
      <c r="P692" s="125">
        <v>-257958</v>
      </c>
      <c r="Q692" s="125">
        <v>0</v>
      </c>
      <c r="S692" s="125">
        <v>-2546200.0000016401</v>
      </c>
      <c r="T692" s="125">
        <v>0</v>
      </c>
      <c r="V692" s="125"/>
      <c r="W692" s="125"/>
    </row>
    <row r="693" spans="1:23">
      <c r="A693" s="121">
        <v>43984</v>
      </c>
      <c r="B693" s="125">
        <v>161793235.09165046</v>
      </c>
      <c r="C693" s="125">
        <v>47375552.991914518</v>
      </c>
      <c r="D693" s="125">
        <v>54692751.105893835</v>
      </c>
      <c r="E693" s="125">
        <v>67751209.017542958</v>
      </c>
      <c r="F693" s="123">
        <v>169819513.11535132</v>
      </c>
      <c r="G693" s="125">
        <v>-100000</v>
      </c>
      <c r="H693" s="125">
        <v>1535.9445365149602</v>
      </c>
      <c r="I693" s="125">
        <v>963.99419385923352</v>
      </c>
      <c r="J693" s="125">
        <v>611.73451906538969</v>
      </c>
      <c r="K693" s="125">
        <v>769.77166914190866</v>
      </c>
      <c r="L693" s="164">
        <v>2345.500382066532</v>
      </c>
      <c r="M693" s="125">
        <v>-25</v>
      </c>
      <c r="N693" s="115">
        <v>14415</v>
      </c>
      <c r="P693" s="125">
        <v>-257958</v>
      </c>
      <c r="Q693" s="125">
        <v>0</v>
      </c>
      <c r="S693" s="125">
        <v>-2546200.0000016401</v>
      </c>
      <c r="T693" s="125">
        <v>0</v>
      </c>
      <c r="V693" s="125"/>
      <c r="W693" s="125"/>
    </row>
    <row r="694" spans="1:23">
      <c r="A694" s="121">
        <v>43985</v>
      </c>
      <c r="B694" s="125">
        <v>161635010.42105576</v>
      </c>
      <c r="C694" s="125">
        <v>46283175.728638276</v>
      </c>
      <c r="D694" s="125">
        <v>54709623.578509696</v>
      </c>
      <c r="E694" s="125">
        <v>67158054.640191689</v>
      </c>
      <c r="F694" s="123">
        <v>168150853.94733965</v>
      </c>
      <c r="G694" s="125">
        <v>-100000</v>
      </c>
      <c r="H694" s="125">
        <v>1508.9825674131064</v>
      </c>
      <c r="I694" s="125">
        <v>969.19082596878843</v>
      </c>
      <c r="J694" s="125">
        <v>614.03674903160572</v>
      </c>
      <c r="K694" s="125">
        <v>768.10390162520048</v>
      </c>
      <c r="L694" s="164">
        <v>2351.3314766255944</v>
      </c>
      <c r="M694" s="125">
        <v>0</v>
      </c>
      <c r="N694" s="115">
        <v>14095</v>
      </c>
      <c r="P694" s="125">
        <v>-257958</v>
      </c>
      <c r="Q694" s="125">
        <v>0</v>
      </c>
      <c r="S694" s="125">
        <v>-2546200.0000016401</v>
      </c>
      <c r="T694" s="125">
        <v>0</v>
      </c>
      <c r="V694" s="125"/>
      <c r="W694" s="125"/>
    </row>
    <row r="695" spans="1:23">
      <c r="A695" s="121">
        <v>43986</v>
      </c>
      <c r="B695" s="125">
        <v>161396773.88329402</v>
      </c>
      <c r="C695" s="125">
        <v>46955291.536696464</v>
      </c>
      <c r="D695" s="125">
        <v>54753214.803883791</v>
      </c>
      <c r="E695" s="125">
        <v>67102244.339556403</v>
      </c>
      <c r="F695" s="123">
        <v>168810750.68013665</v>
      </c>
      <c r="G695" s="125">
        <v>-100000</v>
      </c>
      <c r="H695" s="125">
        <v>1510.0583977024085</v>
      </c>
      <c r="I695" s="125">
        <v>968.02603159511864</v>
      </c>
      <c r="J695" s="125">
        <v>611.11732341770983</v>
      </c>
      <c r="K695" s="125">
        <v>771.91098028145473</v>
      </c>
      <c r="L695" s="164">
        <v>2351.0543352942832</v>
      </c>
      <c r="M695" s="125">
        <v>0</v>
      </c>
      <c r="N695" s="115">
        <v>14095</v>
      </c>
      <c r="P695" s="125">
        <v>-257958</v>
      </c>
      <c r="Q695" s="125">
        <v>0</v>
      </c>
      <c r="S695" s="125">
        <v>-2546200.0000016401</v>
      </c>
      <c r="T695" s="125">
        <v>0</v>
      </c>
      <c r="V695" s="125"/>
      <c r="W695" s="125"/>
    </row>
    <row r="696" spans="1:23">
      <c r="A696" s="121">
        <v>43987</v>
      </c>
      <c r="B696" s="125">
        <v>161218390.93652785</v>
      </c>
      <c r="C696" s="125">
        <v>46483924.929385841</v>
      </c>
      <c r="D696" s="125">
        <v>54799962.454403065</v>
      </c>
      <c r="E696" s="125">
        <v>67666632.942763895</v>
      </c>
      <c r="F696" s="123">
        <v>168950520.32655281</v>
      </c>
      <c r="G696" s="125">
        <v>-100000</v>
      </c>
      <c r="H696" s="125">
        <v>1526.4046492421639</v>
      </c>
      <c r="I696" s="125">
        <v>992.74388178141237</v>
      </c>
      <c r="J696" s="125">
        <v>591.54739112173831</v>
      </c>
      <c r="K696" s="125">
        <v>786.52190049149738</v>
      </c>
      <c r="L696" s="164">
        <v>2370.8131733946479</v>
      </c>
      <c r="M696" s="125">
        <v>0</v>
      </c>
      <c r="N696" s="115">
        <v>13870</v>
      </c>
      <c r="P696" s="125">
        <v>-257958</v>
      </c>
      <c r="Q696" s="125">
        <v>0</v>
      </c>
      <c r="S696" s="125">
        <v>-2546200.0000016401</v>
      </c>
      <c r="T696" s="125">
        <v>0</v>
      </c>
      <c r="V696" s="125"/>
      <c r="W696" s="125"/>
    </row>
    <row r="697" spans="1:23">
      <c r="A697" s="121">
        <v>43990</v>
      </c>
      <c r="B697" s="125">
        <v>161102210.05466065</v>
      </c>
      <c r="C697" s="125">
        <v>46191227.882983521</v>
      </c>
      <c r="D697" s="125">
        <v>54785961.812281497</v>
      </c>
      <c r="E697" s="125">
        <v>67994293.745626748</v>
      </c>
      <c r="F697" s="123">
        <v>168971483.44089177</v>
      </c>
      <c r="G697" s="125">
        <v>-100000</v>
      </c>
      <c r="H697" s="125">
        <v>1523.5639500675122</v>
      </c>
      <c r="I697" s="125">
        <v>995.47132202585021</v>
      </c>
      <c r="J697" s="125">
        <v>592.87319044210233</v>
      </c>
      <c r="K697" s="125">
        <v>785.40213652289697</v>
      </c>
      <c r="L697" s="164">
        <v>2373.7466489908493</v>
      </c>
      <c r="M697" s="125">
        <v>0</v>
      </c>
      <c r="N697" s="115">
        <v>13885</v>
      </c>
      <c r="P697" s="125">
        <v>-257958</v>
      </c>
      <c r="Q697" s="125">
        <v>0</v>
      </c>
      <c r="S697" s="125">
        <v>-2546200.0000016401</v>
      </c>
      <c r="T697" s="125">
        <v>0</v>
      </c>
      <c r="V697" s="125"/>
      <c r="W697" s="125"/>
    </row>
    <row r="698" spans="1:23">
      <c r="A698" s="121">
        <v>43991</v>
      </c>
      <c r="B698" s="125">
        <v>161159434.74316463</v>
      </c>
      <c r="C698" s="125">
        <v>46597081.169871695</v>
      </c>
      <c r="D698" s="125">
        <v>54604626.519208148</v>
      </c>
      <c r="E698" s="125">
        <v>67819182.485490069</v>
      </c>
      <c r="F698" s="123">
        <v>169020890.1745699</v>
      </c>
      <c r="G698" s="125">
        <v>-100000</v>
      </c>
      <c r="H698" s="125">
        <v>1523.5053785437706</v>
      </c>
      <c r="I698" s="125">
        <v>990.84304912182063</v>
      </c>
      <c r="J698" s="125">
        <v>592.79973577869066</v>
      </c>
      <c r="K698" s="125">
        <v>785.45601769947928</v>
      </c>
      <c r="L698" s="164">
        <v>2369.0988025999904</v>
      </c>
      <c r="M698" s="125">
        <v>0</v>
      </c>
      <c r="N698" s="115">
        <v>13890</v>
      </c>
      <c r="P698" s="125">
        <v>-257958</v>
      </c>
      <c r="Q698" s="125">
        <v>0</v>
      </c>
      <c r="S698" s="125">
        <v>-2546200.0000016401</v>
      </c>
      <c r="T698" s="125">
        <v>0</v>
      </c>
      <c r="V698" s="125"/>
      <c r="W698" s="125"/>
    </row>
    <row r="699" spans="1:23">
      <c r="A699" s="121">
        <v>43992</v>
      </c>
      <c r="B699" s="125">
        <v>161247313.6241791</v>
      </c>
      <c r="C699" s="125">
        <v>46520605.319585308</v>
      </c>
      <c r="D699" s="125">
        <v>54579547.082592055</v>
      </c>
      <c r="E699" s="125">
        <v>68137772.573873743</v>
      </c>
      <c r="F699" s="123">
        <v>169237924.97605109</v>
      </c>
      <c r="G699" s="125">
        <v>-100000</v>
      </c>
      <c r="H699" s="125">
        <v>1523.8633907795593</v>
      </c>
      <c r="I699" s="125">
        <v>993.70715410977198</v>
      </c>
      <c r="J699" s="125">
        <v>592.45660817492171</v>
      </c>
      <c r="K699" s="125">
        <v>785.96077337275358</v>
      </c>
      <c r="L699" s="164">
        <v>2372.1245356574473</v>
      </c>
      <c r="M699" s="125">
        <v>0</v>
      </c>
      <c r="N699" s="115">
        <v>13980</v>
      </c>
      <c r="P699" s="125">
        <v>-257958</v>
      </c>
      <c r="Q699" s="125">
        <v>0</v>
      </c>
      <c r="S699" s="125">
        <v>-2546200.0000016401</v>
      </c>
      <c r="T699" s="125">
        <v>0</v>
      </c>
      <c r="V699" s="125"/>
      <c r="W699" s="125"/>
    </row>
    <row r="700" spans="1:23">
      <c r="A700" s="121">
        <v>43993</v>
      </c>
      <c r="B700" s="125">
        <v>162105592.41987029</v>
      </c>
      <c r="C700" s="125">
        <v>46427594.281148992</v>
      </c>
      <c r="D700" s="125">
        <v>54726324.351886071</v>
      </c>
      <c r="E700" s="125">
        <v>67305566.930880189</v>
      </c>
      <c r="F700" s="123">
        <v>168459485.56391525</v>
      </c>
      <c r="G700" s="125">
        <v>-100000</v>
      </c>
      <c r="H700" s="125">
        <v>1525.3479621864697</v>
      </c>
      <c r="I700" s="125">
        <v>1001.838580839581</v>
      </c>
      <c r="J700" s="125">
        <v>607.64811375312956</v>
      </c>
      <c r="K700" s="125">
        <v>783.88498414243998</v>
      </c>
      <c r="L700" s="164">
        <v>2393.3716787351505</v>
      </c>
      <c r="M700" s="125">
        <v>0</v>
      </c>
      <c r="N700" s="115">
        <v>14015</v>
      </c>
      <c r="P700" s="125">
        <v>-257958</v>
      </c>
      <c r="Q700" s="125">
        <v>0</v>
      </c>
      <c r="S700" s="125">
        <v>-2546200.0000016401</v>
      </c>
      <c r="T700" s="125">
        <v>0</v>
      </c>
      <c r="V700" s="125"/>
      <c r="W700" s="125"/>
    </row>
    <row r="701" spans="1:23">
      <c r="A701" s="121">
        <v>43994</v>
      </c>
      <c r="B701" s="125">
        <v>160952968.36443588</v>
      </c>
      <c r="C701" s="125">
        <v>47647137.544435866</v>
      </c>
      <c r="D701" s="125">
        <v>55009260.088788308</v>
      </c>
      <c r="E701" s="125">
        <v>67482730.966622099</v>
      </c>
      <c r="F701" s="123">
        <v>170139128.59984627</v>
      </c>
      <c r="G701" s="125">
        <v>-100000</v>
      </c>
      <c r="H701" s="125">
        <v>1524.6095605528376</v>
      </c>
      <c r="I701" s="125">
        <v>980.21406809489076</v>
      </c>
      <c r="J701" s="125">
        <v>607.91851106498041</v>
      </c>
      <c r="K701" s="125">
        <v>788.04968659644533</v>
      </c>
      <c r="L701" s="164">
        <v>2376.1822657563162</v>
      </c>
      <c r="M701" s="125">
        <v>0</v>
      </c>
      <c r="N701" s="115">
        <v>14125</v>
      </c>
      <c r="P701" s="125">
        <v>-257958</v>
      </c>
      <c r="Q701" s="125">
        <v>0</v>
      </c>
      <c r="S701" s="125">
        <v>-2546200.0000016401</v>
      </c>
      <c r="T701" s="125">
        <v>0</v>
      </c>
      <c r="V701" s="125"/>
      <c r="W701" s="125"/>
    </row>
    <row r="702" spans="1:23">
      <c r="A702" s="121">
        <v>43997</v>
      </c>
      <c r="B702" s="125">
        <v>160955000.18180916</v>
      </c>
      <c r="C702" s="125">
        <v>48059214.721085526</v>
      </c>
      <c r="D702" s="125">
        <v>55115986.06324245</v>
      </c>
      <c r="E702" s="125">
        <v>67077324.255398057</v>
      </c>
      <c r="F702" s="123">
        <v>170252525.03972605</v>
      </c>
      <c r="G702" s="125">
        <v>-100000</v>
      </c>
      <c r="H702" s="125">
        <v>1520.1522710882468</v>
      </c>
      <c r="I702" s="125">
        <v>971.48897710597612</v>
      </c>
      <c r="J702" s="125">
        <v>610.30369594267711</v>
      </c>
      <c r="K702" s="125">
        <v>781.49089631100389</v>
      </c>
      <c r="L702" s="164">
        <v>2363.2835693596571</v>
      </c>
      <c r="M702" s="125">
        <v>0</v>
      </c>
      <c r="N702" s="115">
        <v>14115</v>
      </c>
      <c r="P702" s="125">
        <v>-257958</v>
      </c>
      <c r="Q702" s="125">
        <v>0</v>
      </c>
      <c r="S702" s="125">
        <v>-994454.00000164006</v>
      </c>
      <c r="T702" s="125">
        <v>0</v>
      </c>
      <c r="V702" s="125"/>
      <c r="W702" s="125"/>
    </row>
    <row r="703" spans="1:23">
      <c r="A703" s="121">
        <v>43998</v>
      </c>
      <c r="B703" s="125">
        <v>160881597.97035187</v>
      </c>
      <c r="C703" s="125">
        <v>47052985.468192928</v>
      </c>
      <c r="D703" s="125">
        <v>54731511.332470514</v>
      </c>
      <c r="E703" s="125">
        <v>67310883.309470877</v>
      </c>
      <c r="F703" s="123">
        <v>169095380.1101343</v>
      </c>
      <c r="G703" s="125">
        <v>-100000</v>
      </c>
      <c r="H703" s="125">
        <v>1509.5700464372028</v>
      </c>
      <c r="I703" s="125">
        <v>975.71885066245022</v>
      </c>
      <c r="J703" s="125">
        <v>609.09183921848933</v>
      </c>
      <c r="K703" s="125">
        <v>784.95521986500978</v>
      </c>
      <c r="L703" s="164">
        <v>2369.7659097459496</v>
      </c>
      <c r="M703" s="125">
        <v>0</v>
      </c>
      <c r="N703" s="115">
        <v>14090</v>
      </c>
      <c r="P703" s="125">
        <v>-257958</v>
      </c>
      <c r="Q703" s="125">
        <v>0</v>
      </c>
      <c r="S703" s="125">
        <v>-994454.00000164006</v>
      </c>
      <c r="T703" s="125">
        <v>0</v>
      </c>
      <c r="V703" s="125"/>
      <c r="W703" s="125"/>
    </row>
    <row r="704" spans="1:23">
      <c r="A704" s="121">
        <v>43999</v>
      </c>
      <c r="B704" s="125">
        <v>160404841.55737102</v>
      </c>
      <c r="C704" s="125">
        <v>47336211.612116568</v>
      </c>
      <c r="D704" s="125">
        <v>55046877.611201458</v>
      </c>
      <c r="E704" s="125">
        <v>67755355.119500205</v>
      </c>
      <c r="F704" s="123">
        <v>170138444.34281823</v>
      </c>
      <c r="G704" s="125">
        <v>-100000</v>
      </c>
      <c r="H704" s="125">
        <v>1516.7405963260001</v>
      </c>
      <c r="I704" s="125">
        <v>988.42250230863988</v>
      </c>
      <c r="J704" s="125">
        <v>611.00061781869044</v>
      </c>
      <c r="K704" s="125">
        <v>767.98875695059473</v>
      </c>
      <c r="L704" s="164">
        <v>2367.4118770779251</v>
      </c>
      <c r="M704" s="125">
        <v>0</v>
      </c>
      <c r="N704" s="115">
        <v>14082.5</v>
      </c>
      <c r="P704" s="125">
        <v>-257958</v>
      </c>
      <c r="Q704" s="125">
        <v>0</v>
      </c>
      <c r="S704" s="125">
        <v>-994454.00000164006</v>
      </c>
      <c r="T704" s="125">
        <v>0</v>
      </c>
      <c r="V704" s="125"/>
      <c r="W704" s="125"/>
    </row>
    <row r="705" spans="1:23">
      <c r="A705" s="121">
        <v>44000</v>
      </c>
      <c r="B705" s="125">
        <v>160293565.73542815</v>
      </c>
      <c r="C705" s="125">
        <v>48297580.503456913</v>
      </c>
      <c r="D705" s="125">
        <v>54935943.630127363</v>
      </c>
      <c r="E705" s="125">
        <v>67413570.786632687</v>
      </c>
      <c r="F705" s="123">
        <v>170647094.92021698</v>
      </c>
      <c r="G705" s="125">
        <v>-100000</v>
      </c>
      <c r="H705" s="125">
        <v>1522.0897696586421</v>
      </c>
      <c r="I705" s="125">
        <v>1019.6969643700373</v>
      </c>
      <c r="J705" s="125">
        <v>611.16856033982504</v>
      </c>
      <c r="K705" s="125">
        <v>747.30284118175723</v>
      </c>
      <c r="L705" s="164">
        <v>2378.1683658916195</v>
      </c>
      <c r="M705" s="125">
        <v>0</v>
      </c>
      <c r="N705" s="115">
        <v>14085</v>
      </c>
      <c r="P705" s="125">
        <v>-257958</v>
      </c>
      <c r="Q705" s="125">
        <v>0</v>
      </c>
      <c r="S705" s="125">
        <v>-994454.00000164006</v>
      </c>
      <c r="T705" s="125">
        <v>0</v>
      </c>
      <c r="V705" s="125"/>
      <c r="W705" s="125"/>
    </row>
    <row r="706" spans="1:23">
      <c r="A706" s="121">
        <v>44001</v>
      </c>
      <c r="B706" s="125">
        <v>160304242.77089486</v>
      </c>
      <c r="C706" s="125">
        <v>47613399.775910512</v>
      </c>
      <c r="D706" s="125">
        <v>55073994.003276087</v>
      </c>
      <c r="E706" s="125">
        <v>68167625.478662118</v>
      </c>
      <c r="F706" s="123">
        <v>170855019.25784874</v>
      </c>
      <c r="G706" s="125">
        <v>-100000</v>
      </c>
      <c r="H706" s="125">
        <v>1511.8787619740797</v>
      </c>
      <c r="I706" s="125">
        <v>1000.0249194640362</v>
      </c>
      <c r="J706" s="125">
        <v>606.27211924688299</v>
      </c>
      <c r="K706" s="125">
        <v>746.72508521871498</v>
      </c>
      <c r="L706" s="164">
        <v>2353.0221239296343</v>
      </c>
      <c r="M706" s="125">
        <v>0</v>
      </c>
      <c r="N706" s="115">
        <v>14100</v>
      </c>
      <c r="P706" s="125">
        <v>-257958</v>
      </c>
      <c r="Q706" s="125">
        <v>0</v>
      </c>
      <c r="S706" s="125">
        <v>-994454.00000164006</v>
      </c>
      <c r="T706" s="125">
        <v>0</v>
      </c>
      <c r="V706" s="125"/>
      <c r="W706" s="125"/>
    </row>
    <row r="707" spans="1:23">
      <c r="A707" s="121">
        <v>44004</v>
      </c>
      <c r="B707" s="125">
        <v>160111769.52692702</v>
      </c>
      <c r="C707" s="125">
        <v>48567346.774905384</v>
      </c>
      <c r="D707" s="125">
        <v>55117304.617912196</v>
      </c>
      <c r="E707" s="125">
        <v>67876295.802037939</v>
      </c>
      <c r="F707" s="123">
        <v>171560947.19485551</v>
      </c>
      <c r="G707" s="125">
        <v>-100000</v>
      </c>
      <c r="H707" s="125">
        <v>1512.3225659201564</v>
      </c>
      <c r="I707" s="125">
        <v>972.99849900023912</v>
      </c>
      <c r="J707" s="125">
        <v>605.6368417951054</v>
      </c>
      <c r="K707" s="125">
        <v>741.93809513545364</v>
      </c>
      <c r="L707" s="164">
        <v>2320.573435930798</v>
      </c>
      <c r="M707" s="125">
        <v>0</v>
      </c>
      <c r="N707" s="115">
        <v>14185</v>
      </c>
      <c r="P707" s="125">
        <v>-257958</v>
      </c>
      <c r="Q707" s="125">
        <v>0</v>
      </c>
      <c r="S707" s="125">
        <v>-994454.00000164006</v>
      </c>
      <c r="T707" s="125">
        <v>0</v>
      </c>
      <c r="V707" s="125"/>
      <c r="W707" s="125"/>
    </row>
    <row r="708" spans="1:23">
      <c r="A708" s="121">
        <v>44005</v>
      </c>
      <c r="B708" s="125">
        <v>159961455.05372998</v>
      </c>
      <c r="C708" s="125">
        <v>48330806.575975545</v>
      </c>
      <c r="D708" s="125">
        <v>55029838.208903566</v>
      </c>
      <c r="E708" s="125">
        <v>67661989.243928909</v>
      </c>
      <c r="F708" s="123">
        <v>171022634.02880803</v>
      </c>
      <c r="G708" s="125">
        <v>-100000</v>
      </c>
      <c r="H708" s="125">
        <v>1512.6961539276986</v>
      </c>
      <c r="I708" s="125">
        <v>1017.0637272447776</v>
      </c>
      <c r="J708" s="125">
        <v>602.27642896350562</v>
      </c>
      <c r="K708" s="125">
        <v>742.32766425004809</v>
      </c>
      <c r="L708" s="164">
        <v>2361.6678204583313</v>
      </c>
      <c r="M708" s="125">
        <v>0</v>
      </c>
      <c r="N708" s="115">
        <v>14160</v>
      </c>
      <c r="P708" s="125">
        <v>-257958</v>
      </c>
      <c r="Q708" s="125">
        <v>0</v>
      </c>
      <c r="S708" s="125">
        <v>-994454.00000164006</v>
      </c>
      <c r="T708" s="125">
        <v>0</v>
      </c>
      <c r="V708" s="125"/>
      <c r="W708" s="125"/>
    </row>
    <row r="709" spans="1:23">
      <c r="A709" s="121">
        <v>44006</v>
      </c>
      <c r="B709" s="125">
        <v>159909800.45802078</v>
      </c>
      <c r="C709" s="125">
        <v>48907490.891591072</v>
      </c>
      <c r="D709" s="125">
        <v>55008089.530852303</v>
      </c>
      <c r="E709" s="125">
        <v>67734726.836221427</v>
      </c>
      <c r="F709" s="123">
        <v>171650307.25866479</v>
      </c>
      <c r="G709" s="125">
        <v>-100000</v>
      </c>
      <c r="H709" s="125">
        <v>1504.3007859586644</v>
      </c>
      <c r="I709" s="125">
        <v>1006.7362587003195</v>
      </c>
      <c r="J709" s="125">
        <v>602.41118379696957</v>
      </c>
      <c r="K709" s="125">
        <v>745.15562363718061</v>
      </c>
      <c r="L709" s="164">
        <v>2354.3030661344696</v>
      </c>
      <c r="M709" s="125">
        <v>0</v>
      </c>
      <c r="N709" s="115">
        <v>14130</v>
      </c>
      <c r="P709" s="125">
        <v>-257958</v>
      </c>
      <c r="Q709" s="125">
        <v>0</v>
      </c>
      <c r="S709" s="125">
        <v>-994454.00000164006</v>
      </c>
      <c r="T709" s="125">
        <v>0</v>
      </c>
      <c r="V709" s="125"/>
      <c r="W709" s="125"/>
    </row>
    <row r="710" spans="1:23">
      <c r="A710" s="121">
        <v>44007</v>
      </c>
      <c r="B710" s="125">
        <v>159858530.21397489</v>
      </c>
      <c r="C710" s="125">
        <v>47251153.832050465</v>
      </c>
      <c r="D710" s="125">
        <v>55404371.404379129</v>
      </c>
      <c r="E710" s="125">
        <v>68250519.046589822</v>
      </c>
      <c r="F710" s="123">
        <v>170906044.28301942</v>
      </c>
      <c r="G710" s="125">
        <v>-100000</v>
      </c>
      <c r="H710" s="125">
        <v>1506.097108816843</v>
      </c>
      <c r="I710" s="125">
        <v>977.0006037738948</v>
      </c>
      <c r="J710" s="125">
        <v>601.25650803046631</v>
      </c>
      <c r="K710" s="125">
        <v>746.15665013467105</v>
      </c>
      <c r="L710" s="164">
        <v>2324.4137619390322</v>
      </c>
      <c r="M710" s="125">
        <v>0</v>
      </c>
      <c r="N710" s="115">
        <v>14175</v>
      </c>
      <c r="P710" s="125">
        <v>-257958</v>
      </c>
      <c r="Q710" s="125">
        <v>0</v>
      </c>
      <c r="S710" s="125">
        <v>-994454.00000164006</v>
      </c>
      <c r="T710" s="125">
        <v>0</v>
      </c>
      <c r="V710" s="125"/>
      <c r="W710" s="125"/>
    </row>
    <row r="711" spans="1:23">
      <c r="A711" s="121">
        <v>44008</v>
      </c>
      <c r="B711" s="125">
        <v>159993537.74968973</v>
      </c>
      <c r="C711" s="125">
        <v>48344620.988155782</v>
      </c>
      <c r="D711" s="125">
        <v>55798528.610901445</v>
      </c>
      <c r="E711" s="125">
        <v>68476598.290970877</v>
      </c>
      <c r="F711" s="123">
        <v>172619747.89002812</v>
      </c>
      <c r="G711" s="125">
        <v>-100000</v>
      </c>
      <c r="H711" s="125">
        <v>1510.845972011067</v>
      </c>
      <c r="I711" s="125">
        <v>983.07282636665116</v>
      </c>
      <c r="J711" s="125">
        <v>599.02375110291484</v>
      </c>
      <c r="K711" s="125">
        <v>747.80100438747752</v>
      </c>
      <c r="L711" s="164">
        <v>2329.8975818570434</v>
      </c>
      <c r="M711" s="125">
        <v>0</v>
      </c>
      <c r="N711" s="115">
        <v>14220</v>
      </c>
      <c r="P711" s="125">
        <v>-257958</v>
      </c>
      <c r="Q711" s="125">
        <v>0</v>
      </c>
      <c r="S711" s="125">
        <v>-994454.00000164006</v>
      </c>
      <c r="T711" s="125">
        <v>0</v>
      </c>
      <c r="V711" s="125"/>
      <c r="W711" s="125"/>
    </row>
    <row r="712" spans="1:23">
      <c r="A712" s="121">
        <v>44011</v>
      </c>
      <c r="B712" s="125">
        <v>160370469.38866615</v>
      </c>
      <c r="C712" s="125">
        <v>47947366.204834066</v>
      </c>
      <c r="D712" s="125">
        <v>55956984.275529452</v>
      </c>
      <c r="E712" s="125">
        <v>67942825.460554034</v>
      </c>
      <c r="F712" s="123">
        <v>171847175.94091755</v>
      </c>
      <c r="G712" s="125">
        <v>-200000</v>
      </c>
      <c r="H712" s="125">
        <v>1507.0670839258594</v>
      </c>
      <c r="I712" s="125">
        <v>971.67768193943641</v>
      </c>
      <c r="J712" s="125">
        <v>596.73684887383422</v>
      </c>
      <c r="K712" s="125">
        <v>747.80403923184656</v>
      </c>
      <c r="L712" s="164">
        <v>2316.2185700451173</v>
      </c>
      <c r="M712" s="125">
        <v>0</v>
      </c>
      <c r="N712" s="115">
        <v>14245</v>
      </c>
      <c r="P712" s="125">
        <v>0</v>
      </c>
      <c r="Q712" s="125">
        <v>0</v>
      </c>
      <c r="S712" s="125">
        <v>-994454.00000164006</v>
      </c>
      <c r="T712" s="125">
        <v>0</v>
      </c>
      <c r="V712" s="125"/>
      <c r="W712" s="125"/>
    </row>
    <row r="713" spans="1:23">
      <c r="A713" s="121">
        <v>44012</v>
      </c>
      <c r="B713" s="125">
        <v>161316072.1041162</v>
      </c>
      <c r="C713" s="125">
        <v>46015544.138349921</v>
      </c>
      <c r="D713" s="125">
        <v>56056047.78746751</v>
      </c>
      <c r="E713" s="125">
        <v>68838683.265256852</v>
      </c>
      <c r="F713" s="123">
        <v>170910275.19107428</v>
      </c>
      <c r="G713" s="125">
        <v>-415000</v>
      </c>
      <c r="H713" s="125">
        <v>1509.3568648302112</v>
      </c>
      <c r="I713" s="125">
        <v>995.74932993498942</v>
      </c>
      <c r="J713" s="125">
        <v>596.4597833388658</v>
      </c>
      <c r="K713" s="125">
        <v>741.27007065594887</v>
      </c>
      <c r="L713" s="164">
        <v>2333.4791839298041</v>
      </c>
      <c r="M713" s="125">
        <v>0</v>
      </c>
      <c r="N713" s="115">
        <v>14255</v>
      </c>
      <c r="O713" s="116">
        <v>3328.6750000000002</v>
      </c>
      <c r="P713" s="125">
        <v>0</v>
      </c>
      <c r="Q713" s="125">
        <v>0</v>
      </c>
      <c r="S713" s="125">
        <v>-994454.00000164006</v>
      </c>
      <c r="T713" s="125">
        <v>0</v>
      </c>
      <c r="V713" s="125"/>
      <c r="W713" s="125"/>
    </row>
    <row r="714" spans="1:23">
      <c r="A714" s="121">
        <v>44013</v>
      </c>
      <c r="B714" s="125">
        <v>160405012.80723259</v>
      </c>
      <c r="C714" s="125">
        <v>47859036.997191317</v>
      </c>
      <c r="D714" s="125">
        <v>55778385.50485336</v>
      </c>
      <c r="E714" s="125">
        <v>68793608.517638579</v>
      </c>
      <c r="F714" s="123">
        <v>172431031.01968324</v>
      </c>
      <c r="G714" s="125">
        <v>-200000</v>
      </c>
      <c r="H714" s="125">
        <v>1454.5667230629758</v>
      </c>
      <c r="I714" s="125">
        <v>940.06417567426752</v>
      </c>
      <c r="J714" s="125">
        <v>609.31238405246359</v>
      </c>
      <c r="K714" s="125">
        <v>731.78613135604678</v>
      </c>
      <c r="L714" s="164">
        <v>2281.1626910827781</v>
      </c>
      <c r="M714" s="125">
        <v>0</v>
      </c>
      <c r="N714" s="115">
        <v>14265</v>
      </c>
      <c r="P714" s="125">
        <v>0</v>
      </c>
      <c r="Q714" s="125">
        <v>0</v>
      </c>
      <c r="S714" s="125">
        <v>-994454.00000164006</v>
      </c>
      <c r="T714" s="125">
        <v>0</v>
      </c>
      <c r="V714" s="125"/>
      <c r="W714" s="125"/>
    </row>
    <row r="715" spans="1:23">
      <c r="A715" s="121">
        <v>44014</v>
      </c>
      <c r="B715" s="125">
        <v>160217113.6994589</v>
      </c>
      <c r="C715" s="125">
        <v>48320433.148915567</v>
      </c>
      <c r="D715" s="125">
        <v>55618442.697225764</v>
      </c>
      <c r="E715" s="125">
        <v>68856164.867944792</v>
      </c>
      <c r="F715" s="123">
        <v>172795040.71408612</v>
      </c>
      <c r="G715" s="125">
        <v>-200000</v>
      </c>
      <c r="H715" s="125">
        <v>1461.9556531675898</v>
      </c>
      <c r="I715" s="125">
        <v>916.56197745026122</v>
      </c>
      <c r="J715" s="125">
        <v>612.8733414857038</v>
      </c>
      <c r="K715" s="125">
        <v>738.13061793272595</v>
      </c>
      <c r="L715" s="164">
        <v>2267.5659368686911</v>
      </c>
      <c r="M715" s="125">
        <v>0</v>
      </c>
      <c r="N715" s="115">
        <v>14378.5</v>
      </c>
      <c r="P715" s="125">
        <v>0</v>
      </c>
      <c r="Q715" s="125">
        <v>0</v>
      </c>
      <c r="S715" s="125">
        <v>-994454.00000164006</v>
      </c>
      <c r="T715" s="125">
        <v>0</v>
      </c>
      <c r="V715" s="125"/>
      <c r="W715" s="125"/>
    </row>
    <row r="716" spans="1:23">
      <c r="A716" s="121">
        <v>44015</v>
      </c>
      <c r="B716" s="125">
        <v>159931223.73556608</v>
      </c>
      <c r="C716" s="125">
        <v>46586735.50612276</v>
      </c>
      <c r="D716" s="125">
        <v>55664645.580125317</v>
      </c>
      <c r="E716" s="125">
        <v>68727829.029164806</v>
      </c>
      <c r="F716" s="123">
        <v>170979210.11541289</v>
      </c>
      <c r="G716" s="125">
        <v>-200000</v>
      </c>
      <c r="H716" s="125">
        <v>1473.6939424200546</v>
      </c>
      <c r="I716" s="125">
        <v>919.94815421066664</v>
      </c>
      <c r="J716" s="125">
        <v>617.00517632737842</v>
      </c>
      <c r="K716" s="125">
        <v>745.11071064145153</v>
      </c>
      <c r="L716" s="164">
        <v>2282.0640411794966</v>
      </c>
      <c r="M716" s="125">
        <v>0</v>
      </c>
      <c r="N716" s="115">
        <v>14510</v>
      </c>
      <c r="P716" s="125">
        <v>0</v>
      </c>
      <c r="Q716" s="125">
        <v>0</v>
      </c>
      <c r="S716" s="125">
        <v>-2642328.0500016403</v>
      </c>
      <c r="T716" s="125">
        <v>0</v>
      </c>
      <c r="V716" s="125"/>
      <c r="W716" s="125"/>
    </row>
    <row r="717" spans="1:23">
      <c r="A717" s="121">
        <v>44018</v>
      </c>
      <c r="B717" s="125">
        <v>160086858.59456959</v>
      </c>
      <c r="C717" s="125">
        <v>49067140.667213283</v>
      </c>
      <c r="D717" s="125">
        <v>55324902.099964604</v>
      </c>
      <c r="E717" s="125">
        <v>68408676.231615603</v>
      </c>
      <c r="F717" s="123">
        <v>172800718.99879348</v>
      </c>
      <c r="G717" s="125">
        <v>-200000</v>
      </c>
      <c r="H717" s="125">
        <v>1481.4236650270354</v>
      </c>
      <c r="I717" s="125">
        <v>910.59286099913572</v>
      </c>
      <c r="J717" s="125">
        <v>613.51575488701428</v>
      </c>
      <c r="K717" s="125">
        <v>744.38218837469969</v>
      </c>
      <c r="L717" s="164">
        <v>2268.4908042608495</v>
      </c>
      <c r="M717" s="125">
        <v>0</v>
      </c>
      <c r="N717" s="115">
        <v>14490</v>
      </c>
      <c r="P717" s="125">
        <v>0</v>
      </c>
      <c r="Q717" s="125">
        <v>0</v>
      </c>
      <c r="S717" s="125">
        <v>-3589695.90000164</v>
      </c>
      <c r="T717" s="125">
        <v>0</v>
      </c>
      <c r="V717" s="125"/>
      <c r="W717" s="125"/>
    </row>
    <row r="718" spans="1:23">
      <c r="A718" s="121">
        <v>44019</v>
      </c>
      <c r="B718" s="125">
        <v>160053787.05230749</v>
      </c>
      <c r="C718" s="125">
        <v>49717351.417969257</v>
      </c>
      <c r="D718" s="125">
        <v>55272820.733400472</v>
      </c>
      <c r="E718" s="125">
        <v>68809569.704321206</v>
      </c>
      <c r="F718" s="123">
        <v>173799741.85569093</v>
      </c>
      <c r="G718" s="125">
        <v>-200000</v>
      </c>
      <c r="H718" s="125">
        <v>1473.5029949853297</v>
      </c>
      <c r="I718" s="125">
        <v>898.06799348820289</v>
      </c>
      <c r="J718" s="125">
        <v>611.29255087316608</v>
      </c>
      <c r="K718" s="125">
        <v>741.99661373688753</v>
      </c>
      <c r="L718" s="164">
        <v>2251.3571580982566</v>
      </c>
      <c r="M718" s="125">
        <v>-74.316514240011131</v>
      </c>
      <c r="N718" s="115">
        <v>14440</v>
      </c>
      <c r="P718" s="125">
        <v>0</v>
      </c>
      <c r="Q718" s="125">
        <v>0</v>
      </c>
      <c r="S718" s="125">
        <v>-3589695.90000164</v>
      </c>
      <c r="T718" s="125">
        <v>0</v>
      </c>
      <c r="V718" s="125"/>
      <c r="W718" s="125"/>
    </row>
    <row r="719" spans="1:23">
      <c r="A719" s="121">
        <v>44020</v>
      </c>
      <c r="B719" s="125">
        <v>159365770.30983305</v>
      </c>
      <c r="C719" s="125">
        <v>48740118.331496835</v>
      </c>
      <c r="D719" s="125">
        <v>55135596.341655135</v>
      </c>
      <c r="E719" s="125">
        <v>69591371.641017079</v>
      </c>
      <c r="F719" s="123">
        <v>173467086.31416905</v>
      </c>
      <c r="G719" s="125">
        <v>-200000</v>
      </c>
      <c r="H719" s="125">
        <v>1480.1964269707505</v>
      </c>
      <c r="I719" s="125">
        <v>893.07672861318053</v>
      </c>
      <c r="J719" s="125">
        <v>609.27781101107712</v>
      </c>
      <c r="K719" s="125">
        <v>743.41158533728003</v>
      </c>
      <c r="L719" s="164">
        <v>2245.7661249615376</v>
      </c>
      <c r="M719" s="125">
        <v>-74.162117049761804</v>
      </c>
      <c r="N719" s="115">
        <v>14410</v>
      </c>
      <c r="P719" s="125">
        <v>0</v>
      </c>
      <c r="Q719" s="125">
        <v>0</v>
      </c>
      <c r="S719" s="125">
        <v>-3589695.90000164</v>
      </c>
      <c r="T719" s="125">
        <v>0</v>
      </c>
      <c r="V719" s="125"/>
      <c r="W719" s="125"/>
    </row>
    <row r="720" spans="1:23">
      <c r="A720" s="121">
        <v>44021</v>
      </c>
      <c r="B720" s="125">
        <v>159194176.14524573</v>
      </c>
      <c r="C720" s="125">
        <v>48280030.837432966</v>
      </c>
      <c r="D720" s="125">
        <v>55138111.875860058</v>
      </c>
      <c r="E720" s="125">
        <v>68702959.123082682</v>
      </c>
      <c r="F720" s="123">
        <v>172121101.83637571</v>
      </c>
      <c r="G720" s="125">
        <v>-200000</v>
      </c>
      <c r="H720" s="125">
        <v>1479.2370835246327</v>
      </c>
      <c r="I720" s="125">
        <v>925.65969778412045</v>
      </c>
      <c r="J720" s="125">
        <v>608.14326174598284</v>
      </c>
      <c r="K720" s="125">
        <v>743.42103019602212</v>
      </c>
      <c r="L720" s="164">
        <v>2277.2239897261252</v>
      </c>
      <c r="M720" s="125">
        <v>-74.084918454637133</v>
      </c>
      <c r="N720" s="115">
        <v>14395</v>
      </c>
      <c r="P720" s="125">
        <v>0</v>
      </c>
      <c r="Q720" s="125">
        <v>0</v>
      </c>
      <c r="S720" s="125">
        <v>-3589695.90000164</v>
      </c>
      <c r="T720" s="125">
        <v>0</v>
      </c>
      <c r="V720" s="125"/>
      <c r="W720" s="125"/>
    </row>
    <row r="721" spans="1:23">
      <c r="A721" s="121">
        <v>44022</v>
      </c>
      <c r="B721" s="125">
        <v>159016759.19616482</v>
      </c>
      <c r="C721" s="125">
        <v>48396782.136252217</v>
      </c>
      <c r="D721" s="125">
        <v>55120519.156525582</v>
      </c>
      <c r="E721" s="125">
        <v>68894135.643650681</v>
      </c>
      <c r="F721" s="123">
        <v>172411436.93642849</v>
      </c>
      <c r="G721" s="125">
        <v>-200000</v>
      </c>
      <c r="H721" s="125">
        <v>1502.0665986803463</v>
      </c>
      <c r="I721" s="125">
        <v>913.71054752254315</v>
      </c>
      <c r="J721" s="125">
        <v>610.80743742041852</v>
      </c>
      <c r="K721" s="125">
        <v>744.41429748200358</v>
      </c>
      <c r="L721" s="164">
        <v>2268.9322824249653</v>
      </c>
      <c r="M721" s="125">
        <v>-74.290781374969569</v>
      </c>
      <c r="N721" s="115">
        <v>14435</v>
      </c>
      <c r="P721" s="125">
        <v>0</v>
      </c>
      <c r="Q721" s="125">
        <v>0</v>
      </c>
      <c r="S721" s="125">
        <v>-3589695.90000164</v>
      </c>
      <c r="T721" s="125">
        <v>0</v>
      </c>
      <c r="V721" s="125"/>
      <c r="W721" s="125"/>
    </row>
    <row r="722" spans="1:23">
      <c r="A722" s="121">
        <v>44025</v>
      </c>
      <c r="B722" s="125">
        <v>158906499.92936811</v>
      </c>
      <c r="C722" s="125">
        <v>46946495.91326832</v>
      </c>
      <c r="D722" s="125">
        <v>55172443.937370241</v>
      </c>
      <c r="E722" s="125">
        <v>69075551.298855841</v>
      </c>
      <c r="F722" s="123">
        <v>171194491.14949441</v>
      </c>
      <c r="G722" s="125">
        <v>-200000</v>
      </c>
      <c r="H722" s="125">
        <v>1495.0376427666295</v>
      </c>
      <c r="I722" s="125">
        <v>985.800127835539</v>
      </c>
      <c r="J722" s="125">
        <v>613.83346260787278</v>
      </c>
      <c r="K722" s="125">
        <v>741.73784583164104</v>
      </c>
      <c r="L722" s="164">
        <v>2341.3714362750529</v>
      </c>
      <c r="M722" s="125">
        <v>-74.23931564488646</v>
      </c>
      <c r="N722" s="115">
        <v>14425</v>
      </c>
      <c r="P722" s="125">
        <v>0</v>
      </c>
      <c r="Q722" s="125">
        <v>0</v>
      </c>
      <c r="S722" s="125">
        <v>-3589695.90000164</v>
      </c>
      <c r="T722" s="125">
        <v>0</v>
      </c>
      <c r="V722" s="125"/>
      <c r="W722" s="125"/>
    </row>
    <row r="723" spans="1:23">
      <c r="A723" s="121">
        <v>44026</v>
      </c>
      <c r="B723" s="125">
        <v>158856907.52453136</v>
      </c>
      <c r="C723" s="125">
        <v>48073439.16344393</v>
      </c>
      <c r="D723" s="125">
        <v>55189528.142181799</v>
      </c>
      <c r="E723" s="125">
        <v>69005119.496078223</v>
      </c>
      <c r="F723" s="123">
        <v>172268086.80170396</v>
      </c>
      <c r="G723" s="125">
        <v>-200000</v>
      </c>
      <c r="H723" s="125">
        <v>1499.1143441912945</v>
      </c>
      <c r="I723" s="125">
        <v>991.05620301743556</v>
      </c>
      <c r="J723" s="125">
        <v>621.98182074299518</v>
      </c>
      <c r="K723" s="125">
        <v>737.19136664229723</v>
      </c>
      <c r="L723" s="164">
        <v>2350.2293904027283</v>
      </c>
      <c r="M723" s="125">
        <v>-74.36797997009424</v>
      </c>
      <c r="N723" s="115">
        <v>14450</v>
      </c>
      <c r="P723" s="125">
        <v>0</v>
      </c>
      <c r="Q723" s="125">
        <v>0</v>
      </c>
      <c r="S723" s="125">
        <v>-4069348.1500015198</v>
      </c>
      <c r="T723" s="125">
        <v>0</v>
      </c>
      <c r="V723" s="125"/>
      <c r="W723" s="125"/>
    </row>
    <row r="724" spans="1:23">
      <c r="A724" s="121">
        <v>44027</v>
      </c>
      <c r="B724" s="125">
        <v>158747069.0917789</v>
      </c>
      <c r="C724" s="125">
        <v>47119551.036058865</v>
      </c>
      <c r="D724" s="125">
        <v>54875140.634126373</v>
      </c>
      <c r="E724" s="125">
        <v>68861370.266846359</v>
      </c>
      <c r="F724" s="123">
        <v>170856061.9370316</v>
      </c>
      <c r="G724" s="125">
        <v>-200000</v>
      </c>
      <c r="H724" s="125">
        <v>1494.7519820013963</v>
      </c>
      <c r="I724" s="125">
        <v>989.9714581000834</v>
      </c>
      <c r="J724" s="125">
        <v>628.10221899959197</v>
      </c>
      <c r="K724" s="125">
        <v>748.37520368812034</v>
      </c>
      <c r="L724" s="164">
        <v>2366.448880787796</v>
      </c>
      <c r="M724" s="125">
        <v>-75.075633758736998</v>
      </c>
      <c r="N724" s="115">
        <v>14587.5</v>
      </c>
      <c r="P724" s="125">
        <v>0</v>
      </c>
      <c r="Q724" s="125">
        <v>0</v>
      </c>
      <c r="S724" s="125">
        <v>-4069348.1500015198</v>
      </c>
      <c r="T724" s="125">
        <v>0</v>
      </c>
      <c r="V724" s="125"/>
      <c r="W724" s="125"/>
    </row>
    <row r="725" spans="1:23">
      <c r="A725" s="121">
        <v>44028</v>
      </c>
      <c r="B725" s="125">
        <v>158867047.24355131</v>
      </c>
      <c r="C725" s="125">
        <v>47585826.111105323</v>
      </c>
      <c r="D725" s="125">
        <v>54774065.957368426</v>
      </c>
      <c r="E725" s="125">
        <v>68984919.331993163</v>
      </c>
      <c r="F725" s="123">
        <v>171344811.40046692</v>
      </c>
      <c r="G725" s="125">
        <v>-200000</v>
      </c>
      <c r="H725" s="125">
        <v>1508.7618262445901</v>
      </c>
      <c r="I725" s="125">
        <v>997.99022732787989</v>
      </c>
      <c r="J725" s="125">
        <v>627.15220851965148</v>
      </c>
      <c r="K725" s="125">
        <v>750.55142194863095</v>
      </c>
      <c r="L725" s="164">
        <v>2375.6938577961623</v>
      </c>
      <c r="M725" s="125">
        <v>-40.685746079215498</v>
      </c>
      <c r="N725" s="115">
        <v>14625</v>
      </c>
      <c r="P725" s="125">
        <v>0</v>
      </c>
      <c r="Q725" s="125">
        <v>0</v>
      </c>
      <c r="S725" s="125">
        <v>-4069348.1500015198</v>
      </c>
      <c r="T725" s="125">
        <v>0</v>
      </c>
      <c r="V725" s="125"/>
      <c r="W725" s="125"/>
    </row>
    <row r="726" spans="1:23">
      <c r="A726" s="121">
        <v>44029</v>
      </c>
      <c r="B726" s="125">
        <v>158858537.20793176</v>
      </c>
      <c r="C726" s="125">
        <v>47360695.292351179</v>
      </c>
      <c r="D726" s="125">
        <v>54778331.947777525</v>
      </c>
      <c r="E726" s="125">
        <v>68921391.96642378</v>
      </c>
      <c r="F726" s="123">
        <v>171060419.20655248</v>
      </c>
      <c r="G726" s="125">
        <v>-200000</v>
      </c>
      <c r="H726" s="125">
        <v>1514.8932389397678</v>
      </c>
      <c r="I726" s="125">
        <v>976.89982592919307</v>
      </c>
      <c r="J726" s="125">
        <v>628.17420177277018</v>
      </c>
      <c r="K726" s="125">
        <v>755.84147185184077</v>
      </c>
      <c r="L726" s="164">
        <v>2360.9154995538038</v>
      </c>
      <c r="M726" s="125">
        <v>-30.660360955593422</v>
      </c>
      <c r="N726" s="115">
        <v>14695</v>
      </c>
      <c r="P726" s="125">
        <v>0</v>
      </c>
      <c r="Q726" s="125">
        <v>0</v>
      </c>
      <c r="S726" s="125">
        <v>-4069348.1500015198</v>
      </c>
      <c r="T726" s="125">
        <v>0</v>
      </c>
      <c r="V726" s="125"/>
      <c r="W726" s="125"/>
    </row>
    <row r="727" spans="1:23">
      <c r="A727" s="121">
        <v>44032</v>
      </c>
      <c r="B727" s="125">
        <v>158699896.0707967</v>
      </c>
      <c r="C727" s="125">
        <v>48665362.834790714</v>
      </c>
      <c r="D727" s="125">
        <v>54774429.004784033</v>
      </c>
      <c r="E727" s="125">
        <v>68192698.75219363</v>
      </c>
      <c r="F727" s="123">
        <v>171632490.59176838</v>
      </c>
      <c r="G727" s="125">
        <v>-200000</v>
      </c>
      <c r="H727" s="125">
        <v>1523.2915710309062</v>
      </c>
      <c r="I727" s="125">
        <v>978.53946526871209</v>
      </c>
      <c r="J727" s="125">
        <v>632.01612300570389</v>
      </c>
      <c r="K727" s="125">
        <v>758.90204024343939</v>
      </c>
      <c r="L727" s="164">
        <v>2369.4576285178555</v>
      </c>
      <c r="M727" s="125">
        <v>-30.848141322112877</v>
      </c>
      <c r="N727" s="115">
        <v>14785</v>
      </c>
      <c r="P727" s="125">
        <v>0</v>
      </c>
      <c r="Q727" s="125">
        <v>0</v>
      </c>
      <c r="S727" s="125">
        <v>-4069348.1500015198</v>
      </c>
      <c r="T727" s="125">
        <v>0</v>
      </c>
      <c r="V727" s="125"/>
      <c r="W727" s="125"/>
    </row>
    <row r="728" spans="1:23">
      <c r="A728" s="121">
        <v>44033</v>
      </c>
      <c r="B728" s="125">
        <v>158615630.26351961</v>
      </c>
      <c r="C728" s="125">
        <v>50114126.396514207</v>
      </c>
      <c r="D728" s="125">
        <v>54714301.063818492</v>
      </c>
      <c r="E728" s="125">
        <v>68208921.235850587</v>
      </c>
      <c r="F728" s="123">
        <v>173037348.69618326</v>
      </c>
      <c r="G728" s="125">
        <v>-600000</v>
      </c>
      <c r="H728" s="125">
        <v>1516.8638704707289</v>
      </c>
      <c r="I728" s="125">
        <v>991.94194981488795</v>
      </c>
      <c r="J728" s="125">
        <v>626.99611460877895</v>
      </c>
      <c r="K728" s="125">
        <v>754.22266577663413</v>
      </c>
      <c r="L728" s="164">
        <v>2373.1607302003013</v>
      </c>
      <c r="M728" s="125">
        <v>0</v>
      </c>
      <c r="N728" s="115">
        <v>14738.5</v>
      </c>
      <c r="P728" s="125">
        <v>0</v>
      </c>
      <c r="Q728" s="125">
        <v>0</v>
      </c>
      <c r="S728" s="125">
        <v>-4069348.1500015198</v>
      </c>
      <c r="T728" s="125">
        <v>0</v>
      </c>
      <c r="V728" s="125"/>
      <c r="W728" s="125"/>
    </row>
    <row r="729" spans="1:23">
      <c r="A729" s="121">
        <v>44034</v>
      </c>
      <c r="B729" s="125">
        <v>158697449.69440171</v>
      </c>
      <c r="C729" s="125">
        <v>50414278.969084144</v>
      </c>
      <c r="D729" s="125">
        <v>54738880.147668667</v>
      </c>
      <c r="E729" s="125">
        <v>68211802.299645528</v>
      </c>
      <c r="F729" s="123">
        <v>173364961.41639835</v>
      </c>
      <c r="G729" s="125">
        <v>-600000</v>
      </c>
      <c r="H729" s="125">
        <v>1510.4679382331954</v>
      </c>
      <c r="I729" s="125">
        <v>985.03997140136062</v>
      </c>
      <c r="J729" s="125">
        <v>626.32267032342259</v>
      </c>
      <c r="K729" s="125">
        <v>748.85861896700908</v>
      </c>
      <c r="L729" s="164">
        <v>2360.2212606917924</v>
      </c>
      <c r="M729" s="125">
        <v>0</v>
      </c>
      <c r="N729" s="115">
        <v>14650</v>
      </c>
      <c r="P729" s="125">
        <v>0</v>
      </c>
      <c r="Q729" s="125">
        <v>0</v>
      </c>
      <c r="S729" s="125">
        <v>-4069348.1500015198</v>
      </c>
      <c r="T729" s="125">
        <v>0</v>
      </c>
      <c r="V729" s="125"/>
      <c r="W729" s="125"/>
    </row>
    <row r="730" spans="1:23">
      <c r="A730" s="121">
        <v>44035</v>
      </c>
      <c r="B730" s="125">
        <v>158530710.51233453</v>
      </c>
      <c r="C730" s="125">
        <v>48030434.871905245</v>
      </c>
      <c r="D730" s="125">
        <v>54762413.762086116</v>
      </c>
      <c r="E730" s="125">
        <v>68211632.33667551</v>
      </c>
      <c r="F730" s="123">
        <v>171004480.97066689</v>
      </c>
      <c r="G730" s="125">
        <v>-600000</v>
      </c>
      <c r="H730" s="125">
        <v>1499.0383396598984</v>
      </c>
      <c r="I730" s="125">
        <v>973.99911179517176</v>
      </c>
      <c r="J730" s="125">
        <v>627.68224161889623</v>
      </c>
      <c r="K730" s="125">
        <v>737.97208390116998</v>
      </c>
      <c r="L730" s="164">
        <v>2339.6534373152381</v>
      </c>
      <c r="M730" s="125">
        <v>0</v>
      </c>
      <c r="N730" s="115">
        <v>14580</v>
      </c>
      <c r="P730" s="125">
        <v>0</v>
      </c>
      <c r="Q730" s="125">
        <v>0</v>
      </c>
      <c r="S730" s="125">
        <v>-4069348.1500015198</v>
      </c>
      <c r="T730" s="125">
        <v>0</v>
      </c>
      <c r="V730" s="125"/>
      <c r="W730" s="125"/>
    </row>
    <row r="731" spans="1:23">
      <c r="A731" s="121">
        <v>44036</v>
      </c>
      <c r="B731" s="125">
        <v>158467895.08014935</v>
      </c>
      <c r="C731" s="125">
        <v>47704941.795525834</v>
      </c>
      <c r="D731" s="125">
        <v>55437451.120054871</v>
      </c>
      <c r="E731" s="125">
        <v>68139084.706930682</v>
      </c>
      <c r="F731" s="123">
        <v>171281477.62251139</v>
      </c>
      <c r="G731" s="125">
        <v>-600000</v>
      </c>
      <c r="H731" s="125">
        <v>1500.0308858985584</v>
      </c>
      <c r="I731" s="125">
        <v>982.9554343904108</v>
      </c>
      <c r="J731" s="125">
        <v>623.76414018426738</v>
      </c>
      <c r="K731" s="125">
        <v>748.76188447077425</v>
      </c>
      <c r="L731" s="164">
        <v>2355.4814590454525</v>
      </c>
      <c r="M731" s="125">
        <v>0</v>
      </c>
      <c r="N731" s="115">
        <v>14610</v>
      </c>
      <c r="P731" s="125">
        <v>0</v>
      </c>
      <c r="Q731" s="125">
        <v>0</v>
      </c>
      <c r="S731" s="125">
        <v>-4069348.1500015198</v>
      </c>
      <c r="T731" s="125">
        <v>0</v>
      </c>
      <c r="V731" s="125"/>
      <c r="W731" s="125"/>
    </row>
    <row r="732" spans="1:23">
      <c r="A732" s="121">
        <v>44039</v>
      </c>
      <c r="B732" s="125">
        <v>158661978.92613029</v>
      </c>
      <c r="C732" s="125">
        <v>49539038.857956566</v>
      </c>
      <c r="D732" s="125">
        <v>55236582.183103248</v>
      </c>
      <c r="E732" s="125">
        <v>67674013.308108091</v>
      </c>
      <c r="F732" s="123">
        <v>172449634.34916791</v>
      </c>
      <c r="G732" s="125">
        <v>-600000</v>
      </c>
      <c r="H732" s="125">
        <v>1487.9049587886952</v>
      </c>
      <c r="I732" s="125">
        <v>979.71616815090181</v>
      </c>
      <c r="J732" s="125">
        <v>628.71728515217671</v>
      </c>
      <c r="K732" s="125">
        <v>740.1133743745861</v>
      </c>
      <c r="L732" s="164">
        <v>2348.5468276776646</v>
      </c>
      <c r="M732" s="125">
        <v>0</v>
      </c>
      <c r="N732" s="115">
        <v>14520</v>
      </c>
      <c r="P732" s="125">
        <v>0</v>
      </c>
      <c r="Q732" s="125">
        <v>0</v>
      </c>
      <c r="S732" s="125">
        <v>-5634883.83000152</v>
      </c>
      <c r="T732" s="125">
        <v>0</v>
      </c>
      <c r="V732" s="125"/>
      <c r="W732" s="125"/>
    </row>
    <row r="733" spans="1:23">
      <c r="A733" s="121">
        <v>44040</v>
      </c>
      <c r="B733" s="125">
        <v>158629316.96531117</v>
      </c>
      <c r="C733" s="125">
        <v>48678840.494220011</v>
      </c>
      <c r="D733" s="125">
        <v>55295259.252068222</v>
      </c>
      <c r="E733" s="125">
        <v>67994238.812149271</v>
      </c>
      <c r="F733" s="123">
        <v>171968338.55843753</v>
      </c>
      <c r="G733" s="125">
        <v>-600000</v>
      </c>
      <c r="H733" s="125">
        <v>1499.8282024785499</v>
      </c>
      <c r="I733" s="125">
        <v>969.94611439449886</v>
      </c>
      <c r="J733" s="125">
        <v>625.61777651150373</v>
      </c>
      <c r="K733" s="125">
        <v>743.76703643198653</v>
      </c>
      <c r="L733" s="164">
        <v>2339.3309273379891</v>
      </c>
      <c r="M733" s="125">
        <v>0</v>
      </c>
      <c r="N733" s="115">
        <v>14535</v>
      </c>
      <c r="P733" s="125">
        <v>0</v>
      </c>
      <c r="Q733" s="125">
        <v>0</v>
      </c>
      <c r="S733" s="125">
        <v>-5634883.83000152</v>
      </c>
      <c r="T733" s="125">
        <v>0</v>
      </c>
      <c r="V733" s="125"/>
      <c r="W733" s="125"/>
    </row>
    <row r="734" spans="1:23">
      <c r="A734" s="121">
        <v>44041</v>
      </c>
      <c r="B734" s="125">
        <v>158775803.47070876</v>
      </c>
      <c r="C734" s="125">
        <v>47374442.229841225</v>
      </c>
      <c r="D734" s="125">
        <v>55434563.225915395</v>
      </c>
      <c r="E734" s="125">
        <v>67913273.259497836</v>
      </c>
      <c r="F734" s="123">
        <v>170722278.71525446</v>
      </c>
      <c r="G734" s="125">
        <v>-600000</v>
      </c>
      <c r="H734" s="125">
        <v>1522.944199658908</v>
      </c>
      <c r="I734" s="125">
        <v>949.54226560106952</v>
      </c>
      <c r="J734" s="125">
        <v>628.14818750321115</v>
      </c>
      <c r="K734" s="125">
        <v>742.15489357116519</v>
      </c>
      <c r="L734" s="164">
        <v>2319.8453466754459</v>
      </c>
      <c r="M734" s="125">
        <v>0</v>
      </c>
      <c r="N734" s="115">
        <v>14535</v>
      </c>
      <c r="P734" s="125">
        <v>0</v>
      </c>
      <c r="Q734" s="125">
        <v>0</v>
      </c>
      <c r="S734" s="125">
        <v>-7142853.1100015901</v>
      </c>
      <c r="T734" s="125">
        <v>0</v>
      </c>
      <c r="V734" s="125"/>
      <c r="W734" s="125"/>
    </row>
    <row r="735" spans="1:23">
      <c r="A735" s="121">
        <v>44042</v>
      </c>
      <c r="B735" s="125">
        <v>158972707.23164165</v>
      </c>
      <c r="C735" s="125">
        <v>46769288.457578748</v>
      </c>
      <c r="D735" s="125">
        <v>55787666.985166177</v>
      </c>
      <c r="E735" s="125">
        <v>68210426.208949372</v>
      </c>
      <c r="F735" s="123">
        <v>170767381.6516943</v>
      </c>
      <c r="G735" s="125">
        <v>-600000</v>
      </c>
      <c r="H735" s="125">
        <v>1552.2008386866191</v>
      </c>
      <c r="I735" s="125">
        <v>963.59268479746697</v>
      </c>
      <c r="J735" s="125">
        <v>640.97990031378595</v>
      </c>
      <c r="K735" s="125">
        <v>736.78519376789029</v>
      </c>
      <c r="L735" s="164">
        <v>2341.3577788791431</v>
      </c>
      <c r="M735" s="125">
        <v>0</v>
      </c>
      <c r="N735" s="115">
        <v>14600</v>
      </c>
      <c r="P735" s="125">
        <v>0</v>
      </c>
      <c r="Q735" s="125">
        <v>0</v>
      </c>
      <c r="S735" s="125">
        <v>-8949419.5100016892</v>
      </c>
      <c r="T735" s="125">
        <v>0</v>
      </c>
      <c r="V735" s="125"/>
      <c r="W735" s="125"/>
    </row>
    <row r="736" spans="1:23">
      <c r="A736" s="121">
        <v>44043</v>
      </c>
      <c r="B736" s="125">
        <v>158972707.23164165</v>
      </c>
      <c r="C736" s="125">
        <v>46769288.457578748</v>
      </c>
      <c r="D736" s="125">
        <v>55787666.985166177</v>
      </c>
      <c r="E736" s="125">
        <v>68210426.208949372</v>
      </c>
      <c r="F736" s="123">
        <v>170767381.6516943</v>
      </c>
      <c r="G736" s="125">
        <v>-600000</v>
      </c>
      <c r="H736" s="125">
        <v>1552.2008386866191</v>
      </c>
      <c r="I736" s="125">
        <v>963.59268479746697</v>
      </c>
      <c r="J736" s="125">
        <v>640.97990031378595</v>
      </c>
      <c r="K736" s="125">
        <v>736.78519376789029</v>
      </c>
      <c r="L736" s="164">
        <v>2341.3577788791431</v>
      </c>
      <c r="M736" s="125">
        <v>0</v>
      </c>
      <c r="N736" s="115">
        <v>14600</v>
      </c>
      <c r="O736" s="116">
        <v>3438.5349975622998</v>
      </c>
      <c r="P736" s="125">
        <v>0</v>
      </c>
      <c r="Q736" s="125">
        <v>0</v>
      </c>
      <c r="S736" s="125">
        <v>-8949419.5100016892</v>
      </c>
      <c r="T736" s="125">
        <v>0</v>
      </c>
      <c r="V736" s="125"/>
      <c r="W736" s="125"/>
    </row>
    <row r="737" spans="1:23">
      <c r="A737" s="121">
        <v>44046</v>
      </c>
      <c r="B737" s="125">
        <v>158688699.31784588</v>
      </c>
      <c r="C737" s="125">
        <v>48135518.602300234</v>
      </c>
      <c r="D737" s="125">
        <v>55196646.318141632</v>
      </c>
      <c r="E737" s="125">
        <v>67883624.292989552</v>
      </c>
      <c r="F737" s="123">
        <v>171215789.21343142</v>
      </c>
      <c r="G737" s="125">
        <v>-600000</v>
      </c>
      <c r="H737" s="125">
        <v>1540.2370481467151</v>
      </c>
      <c r="I737" s="125">
        <v>957.62152455466912</v>
      </c>
      <c r="J737" s="125">
        <v>639.63686635432157</v>
      </c>
      <c r="K737" s="125">
        <v>741.19485305465389</v>
      </c>
      <c r="L737" s="164">
        <v>2338.4532439636446</v>
      </c>
      <c r="M737" s="125">
        <v>0</v>
      </c>
      <c r="N737" s="115">
        <v>14630</v>
      </c>
      <c r="P737" s="125">
        <v>0</v>
      </c>
      <c r="Q737" s="125">
        <v>0</v>
      </c>
      <c r="S737" s="125">
        <v>-6354177.6100016898</v>
      </c>
      <c r="T737" s="125">
        <v>0</v>
      </c>
      <c r="V737" s="125"/>
      <c r="W737" s="125"/>
    </row>
    <row r="738" spans="1:23">
      <c r="A738" s="121">
        <v>44047</v>
      </c>
      <c r="B738" s="125">
        <v>158620924.42024755</v>
      </c>
      <c r="C738" s="125">
        <v>47509320.433551595</v>
      </c>
      <c r="D738" s="125">
        <v>55171062.178497687</v>
      </c>
      <c r="E738" s="125">
        <v>68017383.70313023</v>
      </c>
      <c r="F738" s="123">
        <v>170697766.31517953</v>
      </c>
      <c r="G738" s="125">
        <v>-600000</v>
      </c>
      <c r="H738" s="125">
        <v>1522.3674494247509</v>
      </c>
      <c r="I738" s="125">
        <v>1020.5879036627705</v>
      </c>
      <c r="J738" s="125">
        <v>639.48443170661483</v>
      </c>
      <c r="K738" s="125">
        <v>740.10324906861842</v>
      </c>
      <c r="L738" s="164">
        <v>2400.1755844380036</v>
      </c>
      <c r="M738" s="125">
        <v>0</v>
      </c>
      <c r="N738" s="115">
        <v>14620</v>
      </c>
      <c r="P738" s="125">
        <v>0</v>
      </c>
      <c r="Q738" s="125">
        <v>0</v>
      </c>
      <c r="S738" s="125">
        <v>-6354177.6100016898</v>
      </c>
      <c r="T738" s="125">
        <v>0</v>
      </c>
      <c r="V738" s="125"/>
      <c r="W738" s="125"/>
    </row>
    <row r="739" spans="1:23">
      <c r="A739" s="121">
        <v>44048</v>
      </c>
      <c r="B739" s="125">
        <v>157824023.64246494</v>
      </c>
      <c r="C739" s="125">
        <v>47225086.086087249</v>
      </c>
      <c r="D739" s="125">
        <v>54990813.28391169</v>
      </c>
      <c r="E739" s="125">
        <v>68166099.838772804</v>
      </c>
      <c r="F739" s="123">
        <v>170381999.20877174</v>
      </c>
      <c r="G739" s="125">
        <v>-600000</v>
      </c>
      <c r="H739" s="125">
        <v>1504.0553567210939</v>
      </c>
      <c r="I739" s="125">
        <v>1023.9415424761074</v>
      </c>
      <c r="J739" s="125">
        <v>636.79701520932008</v>
      </c>
      <c r="K739" s="125">
        <v>735.21266233834058</v>
      </c>
      <c r="L739" s="164">
        <v>2395.9512200237682</v>
      </c>
      <c r="M739" s="125">
        <v>0</v>
      </c>
      <c r="N739" s="115">
        <v>14550</v>
      </c>
      <c r="P739" s="125">
        <v>0</v>
      </c>
      <c r="Q739" s="125">
        <v>0</v>
      </c>
      <c r="S739" s="125">
        <v>-6354177.6100016898</v>
      </c>
      <c r="T739" s="125">
        <v>0</v>
      </c>
      <c r="V739" s="125"/>
      <c r="W739" s="125"/>
    </row>
    <row r="740" spans="1:23">
      <c r="A740" s="121">
        <v>44049</v>
      </c>
      <c r="B740" s="125">
        <v>157782376.31115296</v>
      </c>
      <c r="C740" s="125">
        <v>48705466.768128499</v>
      </c>
      <c r="D740" s="125">
        <v>54913505.820616461</v>
      </c>
      <c r="E740" s="125">
        <v>68028692.55777806</v>
      </c>
      <c r="F740" s="123">
        <v>171647665.14652303</v>
      </c>
      <c r="G740" s="125">
        <v>-600000</v>
      </c>
      <c r="H740" s="125">
        <v>1498.3016169183481</v>
      </c>
      <c r="I740" s="125">
        <v>1015.1351802574388</v>
      </c>
      <c r="J740" s="125">
        <v>641.04049722786635</v>
      </c>
      <c r="K740" s="125">
        <v>739.32712993340203</v>
      </c>
      <c r="L740" s="164">
        <v>2395.5028074187071</v>
      </c>
      <c r="M740" s="125">
        <v>0</v>
      </c>
      <c r="N740" s="115">
        <v>14585</v>
      </c>
      <c r="P740" s="125">
        <v>0</v>
      </c>
      <c r="Q740" s="125">
        <v>0</v>
      </c>
      <c r="S740" s="125">
        <v>-6354177.6100016898</v>
      </c>
      <c r="T740" s="125">
        <v>0</v>
      </c>
      <c r="V740" s="125"/>
      <c r="W740" s="125"/>
    </row>
    <row r="741" spans="1:23">
      <c r="A741" s="121">
        <v>44050</v>
      </c>
      <c r="B741" s="125">
        <v>157705378.58205944</v>
      </c>
      <c r="C741" s="125">
        <v>47257809.05082909</v>
      </c>
      <c r="D741" s="125">
        <v>54815691.612289369</v>
      </c>
      <c r="E741" s="125">
        <v>68389971.202498525</v>
      </c>
      <c r="F741" s="123">
        <v>170463471.86561698</v>
      </c>
      <c r="G741" s="125">
        <v>-600000</v>
      </c>
      <c r="H741" s="125">
        <v>1515.0689640681496</v>
      </c>
      <c r="I741" s="125">
        <v>1011.0227574901548</v>
      </c>
      <c r="J741" s="125">
        <v>648.84841865813337</v>
      </c>
      <c r="K741" s="125">
        <v>757.40520584044373</v>
      </c>
      <c r="L741" s="164">
        <v>2417.2763819887318</v>
      </c>
      <c r="M741" s="125">
        <v>0</v>
      </c>
      <c r="N741" s="115">
        <v>14625</v>
      </c>
      <c r="P741" s="125">
        <v>0</v>
      </c>
      <c r="Q741" s="125">
        <v>0</v>
      </c>
      <c r="S741" s="125">
        <v>-5359723.6100016898</v>
      </c>
      <c r="T741" s="125">
        <v>0</v>
      </c>
      <c r="V741" s="125"/>
      <c r="W741" s="125"/>
    </row>
    <row r="742" spans="1:23">
      <c r="A742" s="121">
        <v>44053</v>
      </c>
      <c r="B742" s="125">
        <v>157775282.73935786</v>
      </c>
      <c r="C742" s="125">
        <v>48751375.18708434</v>
      </c>
      <c r="D742" s="125">
        <v>54981791.427740827</v>
      </c>
      <c r="E742" s="125">
        <v>68310811.896878168</v>
      </c>
      <c r="F742" s="123">
        <v>172043978.51170331</v>
      </c>
      <c r="G742" s="125">
        <v>-600000</v>
      </c>
      <c r="H742" s="125">
        <v>1492.5818063257213</v>
      </c>
      <c r="I742" s="125">
        <v>980.57472638413299</v>
      </c>
      <c r="J742" s="125">
        <v>651.5800906601047</v>
      </c>
      <c r="K742" s="125">
        <v>760.38371662462384</v>
      </c>
      <c r="L742" s="164">
        <v>2392.5385336688614</v>
      </c>
      <c r="M742" s="125">
        <v>0</v>
      </c>
      <c r="N742" s="115">
        <v>14640</v>
      </c>
      <c r="P742" s="125">
        <v>0</v>
      </c>
      <c r="Q742" s="125">
        <v>0</v>
      </c>
      <c r="S742" s="125">
        <v>-7563994.7100016894</v>
      </c>
      <c r="T742" s="125">
        <v>0</v>
      </c>
      <c r="V742" s="125"/>
      <c r="W742" s="125"/>
    </row>
    <row r="743" spans="1:23">
      <c r="A743" s="121">
        <v>44054</v>
      </c>
      <c r="B743" s="125">
        <v>157639410.05664083</v>
      </c>
      <c r="C743" s="125">
        <v>47739046.660354421</v>
      </c>
      <c r="D743" s="125">
        <v>54834672.378285468</v>
      </c>
      <c r="E743" s="125">
        <v>68884387.759931639</v>
      </c>
      <c r="F743" s="123">
        <v>171458106.79857153</v>
      </c>
      <c r="G743" s="125">
        <v>-600000</v>
      </c>
      <c r="H743" s="125">
        <v>1514.2463520518108</v>
      </c>
      <c r="I743" s="125">
        <v>939.13925448835778</v>
      </c>
      <c r="J743" s="125">
        <v>655.34301994270356</v>
      </c>
      <c r="K743" s="125">
        <v>764.10694881663414</v>
      </c>
      <c r="L743" s="164">
        <v>2358.5892232476954</v>
      </c>
      <c r="M743" s="125">
        <v>0</v>
      </c>
      <c r="N743" s="115">
        <v>14680</v>
      </c>
      <c r="P743" s="125">
        <v>0</v>
      </c>
      <c r="Q743" s="125">
        <v>0</v>
      </c>
      <c r="S743" s="125">
        <v>-7084342.4600016894</v>
      </c>
      <c r="T743" s="125">
        <v>0</v>
      </c>
      <c r="V743" s="125"/>
      <c r="W743" s="125"/>
    </row>
    <row r="744" spans="1:23">
      <c r="A744" s="121">
        <v>44055</v>
      </c>
      <c r="B744" s="125">
        <v>157620439.82004958</v>
      </c>
      <c r="C744" s="125">
        <v>48549004.748984329</v>
      </c>
      <c r="D744" s="125">
        <v>54555170.433971569</v>
      </c>
      <c r="E744" s="125">
        <v>69080995.736144274</v>
      </c>
      <c r="F744" s="123">
        <v>172185170.91910017</v>
      </c>
      <c r="G744" s="125">
        <v>-600000</v>
      </c>
      <c r="H744" s="125">
        <v>1525.7980903739597</v>
      </c>
      <c r="I744" s="125">
        <v>962.04074554918236</v>
      </c>
      <c r="J744" s="125">
        <v>669.26361231344333</v>
      </c>
      <c r="K744" s="125">
        <v>760.11971000748758</v>
      </c>
      <c r="L744" s="164">
        <v>2391.4240678701135</v>
      </c>
      <c r="M744" s="125">
        <v>0</v>
      </c>
      <c r="N744" s="115">
        <v>14760</v>
      </c>
      <c r="P744" s="125">
        <v>0</v>
      </c>
      <c r="Q744" s="125">
        <v>0</v>
      </c>
      <c r="S744" s="125">
        <v>-7084342.4600016894</v>
      </c>
      <c r="T744" s="125">
        <v>0</v>
      </c>
      <c r="V744" s="125"/>
      <c r="W744" s="125"/>
    </row>
    <row r="745" spans="1:23">
      <c r="A745" s="121">
        <v>44056</v>
      </c>
      <c r="B745" s="125">
        <v>157473761.89049539</v>
      </c>
      <c r="C745" s="125">
        <v>49568257.278912567</v>
      </c>
      <c r="D745" s="125">
        <v>54555481.032429919</v>
      </c>
      <c r="E745" s="125">
        <v>69556004.735557318</v>
      </c>
      <c r="F745" s="123">
        <v>173679743.0468998</v>
      </c>
      <c r="G745" s="125">
        <v>-600000</v>
      </c>
      <c r="H745" s="125">
        <v>1522.4925364187097</v>
      </c>
      <c r="I745" s="125">
        <v>970.12728951701001</v>
      </c>
      <c r="J745" s="125">
        <v>673.27511247917016</v>
      </c>
      <c r="K745" s="125">
        <v>754.08296497018239</v>
      </c>
      <c r="L745" s="164">
        <v>2397.4853669663626</v>
      </c>
      <c r="M745" s="125">
        <v>0</v>
      </c>
      <c r="N745" s="115">
        <v>14775</v>
      </c>
      <c r="P745" s="125">
        <v>0</v>
      </c>
      <c r="Q745" s="125">
        <v>0</v>
      </c>
      <c r="S745" s="125">
        <v>-7084342.4600016894</v>
      </c>
      <c r="T745" s="125">
        <v>0</v>
      </c>
      <c r="V745" s="125"/>
      <c r="W745" s="125"/>
    </row>
    <row r="746" spans="1:23">
      <c r="A746" s="121">
        <v>44057</v>
      </c>
      <c r="B746" s="125">
        <v>157539691.86827451</v>
      </c>
      <c r="C746" s="125">
        <v>48999273.914799005</v>
      </c>
      <c r="D746" s="125">
        <v>54788296.439329423</v>
      </c>
      <c r="E746" s="125">
        <v>69920396.798845693</v>
      </c>
      <c r="F746" s="123">
        <v>173707967.15297413</v>
      </c>
      <c r="G746" s="125">
        <v>-600000</v>
      </c>
      <c r="H746" s="125">
        <v>1539.7735118641945</v>
      </c>
      <c r="I746" s="125">
        <v>976.43787920326929</v>
      </c>
      <c r="J746" s="125">
        <v>675.86533489908163</v>
      </c>
      <c r="K746" s="125">
        <v>751.87302647815363</v>
      </c>
      <c r="L746" s="164">
        <v>2404.1762405805048</v>
      </c>
      <c r="M746" s="125">
        <v>0</v>
      </c>
      <c r="N746" s="115">
        <v>14795</v>
      </c>
      <c r="P746" s="125">
        <v>0</v>
      </c>
      <c r="Q746" s="125">
        <v>0</v>
      </c>
      <c r="S746" s="125">
        <v>-7084342.4600016894</v>
      </c>
      <c r="T746" s="125">
        <v>0</v>
      </c>
      <c r="V746" s="125"/>
      <c r="W746" s="125"/>
    </row>
    <row r="747" spans="1:23">
      <c r="A747" s="121">
        <v>44061</v>
      </c>
      <c r="B747" s="125">
        <v>157599390.84025192</v>
      </c>
      <c r="C747" s="125">
        <v>54139176.932245143</v>
      </c>
      <c r="D747" s="125">
        <v>54812245.736084901</v>
      </c>
      <c r="E747" s="125">
        <v>69582856.848900542</v>
      </c>
      <c r="F747" s="123">
        <v>178534279.51723057</v>
      </c>
      <c r="G747" s="125">
        <v>-600000</v>
      </c>
      <c r="H747" s="125">
        <v>1526.0402973930504</v>
      </c>
      <c r="I747" s="125">
        <v>976.9331419376341</v>
      </c>
      <c r="J747" s="125">
        <v>681.80248047310647</v>
      </c>
      <c r="K747" s="125">
        <v>755.14738617019873</v>
      </c>
      <c r="L747" s="164">
        <v>2413.8830085809395</v>
      </c>
      <c r="M747" s="125">
        <v>0</v>
      </c>
      <c r="N747" s="115">
        <v>14845</v>
      </c>
      <c r="P747" s="125">
        <v>0</v>
      </c>
      <c r="Q747" s="125">
        <v>0</v>
      </c>
      <c r="S747" s="125">
        <v>-7084342.4600016894</v>
      </c>
      <c r="T747" s="125">
        <v>0</v>
      </c>
      <c r="V747" s="125"/>
      <c r="W747" s="125"/>
    </row>
    <row r="748" spans="1:23">
      <c r="A748" s="121">
        <v>44062</v>
      </c>
      <c r="B748" s="125">
        <v>155954844.69294861</v>
      </c>
      <c r="C748" s="125">
        <v>49364379.396571428</v>
      </c>
      <c r="D748" s="125">
        <v>54704416.070192948</v>
      </c>
      <c r="E748" s="125">
        <v>69947644.057279304</v>
      </c>
      <c r="F748" s="123">
        <v>174016439.52404368</v>
      </c>
      <c r="G748" s="125">
        <v>-200000</v>
      </c>
      <c r="H748" s="125">
        <v>1540.6091182128789</v>
      </c>
      <c r="I748" s="125">
        <v>970.19642740392771</v>
      </c>
      <c r="J748" s="125">
        <v>680.35329797511201</v>
      </c>
      <c r="K748" s="125">
        <v>749.98772900581707</v>
      </c>
      <c r="L748" s="164">
        <v>2400.5374543848566</v>
      </c>
      <c r="M748" s="125">
        <v>0</v>
      </c>
      <c r="N748" s="115">
        <v>14771</v>
      </c>
      <c r="P748" s="125">
        <v>0</v>
      </c>
      <c r="Q748" s="125">
        <v>0</v>
      </c>
      <c r="S748" s="125">
        <v>-7084342.4600016894</v>
      </c>
      <c r="T748" s="125">
        <v>0</v>
      </c>
      <c r="V748" s="125"/>
      <c r="W748" s="125"/>
    </row>
    <row r="749" spans="1:23">
      <c r="A749" s="121">
        <v>44067</v>
      </c>
      <c r="B749" s="125">
        <v>156157623.6819706</v>
      </c>
      <c r="C749" s="125">
        <v>50532334.311665282</v>
      </c>
      <c r="D749" s="125">
        <v>54916454.160648033</v>
      </c>
      <c r="E749" s="125">
        <v>68941848.392914906</v>
      </c>
      <c r="F749" s="123">
        <v>174390636.86522824</v>
      </c>
      <c r="G749" s="125">
        <v>-200000</v>
      </c>
      <c r="H749" s="125">
        <v>1531.0436321687694</v>
      </c>
      <c r="I749" s="125">
        <v>1022.9754739464937</v>
      </c>
      <c r="J749" s="125">
        <v>686.26047385089248</v>
      </c>
      <c r="K749" s="125">
        <v>731.99157998880332</v>
      </c>
      <c r="L749" s="164">
        <v>2441.2275277861895</v>
      </c>
      <c r="M749" s="125">
        <v>0</v>
      </c>
      <c r="N749" s="115">
        <v>14670.5</v>
      </c>
      <c r="P749" s="125">
        <v>0</v>
      </c>
      <c r="Q749" s="125">
        <v>0</v>
      </c>
      <c r="S749" s="125">
        <v>-7084342.4600016894</v>
      </c>
      <c r="T749" s="125">
        <v>0</v>
      </c>
      <c r="V749" s="125"/>
      <c r="W749" s="125"/>
    </row>
    <row r="750" spans="1:23">
      <c r="A750" s="121">
        <v>44068</v>
      </c>
      <c r="B750" s="125">
        <v>155090434.04575396</v>
      </c>
      <c r="C750" s="125">
        <v>50086670.13664443</v>
      </c>
      <c r="D750" s="125">
        <v>55247375.506493933</v>
      </c>
      <c r="E750" s="125">
        <v>69031720.697049886</v>
      </c>
      <c r="F750" s="123">
        <v>174365766.34018826</v>
      </c>
      <c r="G750" s="125">
        <v>-200000</v>
      </c>
      <c r="H750" s="125">
        <v>1525.9728594392864</v>
      </c>
      <c r="I750" s="125">
        <v>1013.7167932234097</v>
      </c>
      <c r="J750" s="125">
        <v>684.9184729686076</v>
      </c>
      <c r="K750" s="125">
        <v>730.49606636318208</v>
      </c>
      <c r="L750" s="164">
        <v>2429.1313325551992</v>
      </c>
      <c r="M750" s="125">
        <v>0</v>
      </c>
      <c r="N750" s="115">
        <v>14645</v>
      </c>
      <c r="P750" s="125">
        <v>0</v>
      </c>
      <c r="Q750" s="125">
        <v>0</v>
      </c>
      <c r="S750" s="125">
        <v>-7084342.4600016894</v>
      </c>
      <c r="T750" s="125">
        <v>0</v>
      </c>
      <c r="V750" s="125"/>
      <c r="W750" s="125"/>
    </row>
    <row r="751" spans="1:23">
      <c r="A751" s="121">
        <v>44069</v>
      </c>
      <c r="B751" s="125">
        <v>154728915.02339894</v>
      </c>
      <c r="C751" s="125">
        <v>49046790.440386191</v>
      </c>
      <c r="D751" s="125">
        <v>55113941.442932479</v>
      </c>
      <c r="E751" s="125">
        <v>69178565.134850726</v>
      </c>
      <c r="F751" s="123">
        <v>173339297.0181694</v>
      </c>
      <c r="G751" s="125">
        <v>-200000</v>
      </c>
      <c r="H751" s="125">
        <v>1532.8836667828675</v>
      </c>
      <c r="I751" s="125">
        <v>1007.4805738091372</v>
      </c>
      <c r="J751" s="125">
        <v>686.92677113811862</v>
      </c>
      <c r="K751" s="125">
        <v>736.73013589947948</v>
      </c>
      <c r="L751" s="164">
        <v>2431.1374808467353</v>
      </c>
      <c r="M751" s="125">
        <v>0</v>
      </c>
      <c r="N751" s="115">
        <v>14672.5</v>
      </c>
      <c r="P751" s="125">
        <v>0</v>
      </c>
      <c r="Q751" s="125">
        <v>0</v>
      </c>
      <c r="S751" s="125">
        <v>-7084342.4600016894</v>
      </c>
      <c r="T751" s="125">
        <v>0</v>
      </c>
      <c r="V751" s="125"/>
      <c r="W751" s="125"/>
    </row>
    <row r="752" spans="1:23">
      <c r="A752" s="121">
        <v>44070</v>
      </c>
      <c r="B752" s="125">
        <v>154816457.04414093</v>
      </c>
      <c r="C752" s="125">
        <v>48901795.512973391</v>
      </c>
      <c r="D752" s="125">
        <v>55518770.560421415</v>
      </c>
      <c r="E752" s="125">
        <v>68713224.078800261</v>
      </c>
      <c r="F752" s="123">
        <v>173133790.15219507</v>
      </c>
      <c r="G752" s="125">
        <v>-200000</v>
      </c>
      <c r="H752" s="125">
        <v>1509.1712775893786</v>
      </c>
      <c r="I752" s="125">
        <v>1007.0683105412286</v>
      </c>
      <c r="J752" s="125">
        <v>691.3274317835286</v>
      </c>
      <c r="K752" s="125">
        <v>727.3163232033296</v>
      </c>
      <c r="L752" s="164">
        <v>2425.7120655280869</v>
      </c>
      <c r="M752" s="125">
        <v>0</v>
      </c>
      <c r="N752" s="115">
        <v>14660</v>
      </c>
      <c r="P752" s="125">
        <v>0</v>
      </c>
      <c r="Q752" s="125">
        <v>0</v>
      </c>
      <c r="S752" s="125">
        <v>-5277776.060001689</v>
      </c>
      <c r="T752" s="125">
        <v>0</v>
      </c>
      <c r="V752" s="125"/>
      <c r="W752" s="125"/>
    </row>
    <row r="753" spans="1:23">
      <c r="A753" s="121">
        <v>44071</v>
      </c>
      <c r="B753" s="125">
        <v>155172445.55374801</v>
      </c>
      <c r="C753" s="125">
        <v>48138386.794616431</v>
      </c>
      <c r="D753" s="125">
        <v>56012576.421592265</v>
      </c>
      <c r="E753" s="125">
        <v>68861251.84523727</v>
      </c>
      <c r="F753" s="123">
        <v>173012215.06144595</v>
      </c>
      <c r="G753" s="125">
        <v>0</v>
      </c>
      <c r="H753" s="125">
        <v>1531.4113899162735</v>
      </c>
      <c r="I753" s="125">
        <v>995.71279284336083</v>
      </c>
      <c r="J753" s="125">
        <v>693.71686932259286</v>
      </c>
      <c r="K753" s="125">
        <v>740.12059763496961</v>
      </c>
      <c r="L753" s="164">
        <v>2429.5502598009234</v>
      </c>
      <c r="M753" s="125">
        <v>0</v>
      </c>
      <c r="N753" s="115">
        <v>14625</v>
      </c>
      <c r="P753" s="125">
        <v>0</v>
      </c>
      <c r="Q753" s="125">
        <v>0</v>
      </c>
      <c r="S753" s="125">
        <v>-5277776.060001689</v>
      </c>
      <c r="T753" s="125">
        <v>0</v>
      </c>
      <c r="V753" s="125"/>
      <c r="W753" s="125"/>
    </row>
    <row r="754" spans="1:23">
      <c r="A754" s="121">
        <v>44074</v>
      </c>
      <c r="B754" s="125">
        <v>156051019.35673347</v>
      </c>
      <c r="C754" s="125">
        <v>49034222.385584503</v>
      </c>
      <c r="D754" s="125">
        <v>56329637.369572774</v>
      </c>
      <c r="E754" s="125">
        <v>68434860.486203998</v>
      </c>
      <c r="F754" s="123">
        <v>173798720.24136126</v>
      </c>
      <c r="G754" s="125">
        <v>0</v>
      </c>
      <c r="H754" s="125">
        <v>1523.8261976589365</v>
      </c>
      <c r="I754" s="125">
        <v>979.27912074117182</v>
      </c>
      <c r="J754" s="125">
        <v>685.2838101809599</v>
      </c>
      <c r="K754" s="125">
        <v>748.29607642420865</v>
      </c>
      <c r="L754" s="164">
        <v>2412.8590073463401</v>
      </c>
      <c r="M754" s="125">
        <v>0</v>
      </c>
      <c r="N754" s="115">
        <v>14562.5</v>
      </c>
      <c r="O754" s="116">
        <v>3495.9799651359999</v>
      </c>
      <c r="P754" s="125">
        <v>0</v>
      </c>
      <c r="Q754" s="125">
        <v>0</v>
      </c>
      <c r="S754" s="125">
        <v>-5277776.060001689</v>
      </c>
      <c r="T754" s="125">
        <v>0</v>
      </c>
      <c r="V754" s="125"/>
      <c r="W754" s="125"/>
    </row>
    <row r="755" spans="1:23">
      <c r="A755" s="121">
        <v>44075</v>
      </c>
      <c r="B755" s="125">
        <v>155415578.62009662</v>
      </c>
      <c r="C755" s="125">
        <v>47500939.24595397</v>
      </c>
      <c r="D755" s="125">
        <v>55801193.606336325</v>
      </c>
      <c r="E755" s="125">
        <v>68769754.986322582</v>
      </c>
      <c r="F755" s="123">
        <v>172071887.83861288</v>
      </c>
      <c r="G755" s="125">
        <v>0</v>
      </c>
      <c r="H755" s="125">
        <v>1520.0861078936002</v>
      </c>
      <c r="I755" s="125">
        <v>995.3713667853707</v>
      </c>
      <c r="J755" s="125">
        <v>683.29681174013774</v>
      </c>
      <c r="K755" s="125">
        <v>742.95587573579394</v>
      </c>
      <c r="L755" s="164">
        <v>2421.6240542613023</v>
      </c>
      <c r="M755" s="125">
        <v>0</v>
      </c>
      <c r="N755" s="115">
        <v>14570</v>
      </c>
      <c r="P755" s="125">
        <v>0</v>
      </c>
      <c r="Q755" s="125">
        <v>0</v>
      </c>
      <c r="S755" s="125">
        <v>-5277776.060001689</v>
      </c>
      <c r="T755" s="125">
        <v>0</v>
      </c>
      <c r="V755" s="125"/>
      <c r="W755" s="125"/>
    </row>
    <row r="756" spans="1:23">
      <c r="A756" s="121">
        <v>44076</v>
      </c>
      <c r="B756" s="125">
        <v>155150249.46757799</v>
      </c>
      <c r="C756" s="125">
        <v>47325540.995240152</v>
      </c>
      <c r="D756" s="125">
        <v>55773583.861281238</v>
      </c>
      <c r="E756" s="125">
        <v>69105457.070454463</v>
      </c>
      <c r="F756" s="123">
        <v>172204581.92697585</v>
      </c>
      <c r="G756" s="125">
        <v>0</v>
      </c>
      <c r="H756" s="125">
        <v>1537.9584693176917</v>
      </c>
      <c r="I756" s="125">
        <v>1003.3559400269112</v>
      </c>
      <c r="J756" s="125">
        <v>690.40266475060946</v>
      </c>
      <c r="K756" s="125">
        <v>751.98550044502531</v>
      </c>
      <c r="L756" s="164">
        <v>2445.7441052225458</v>
      </c>
      <c r="M756" s="125">
        <v>0</v>
      </c>
      <c r="N756" s="115">
        <v>14745</v>
      </c>
      <c r="P756" s="125">
        <v>0</v>
      </c>
      <c r="Q756" s="125">
        <v>0</v>
      </c>
      <c r="S756" s="125">
        <v>-5277776.060001689</v>
      </c>
      <c r="T756" s="125">
        <v>0</v>
      </c>
      <c r="V756" s="125"/>
      <c r="W756" s="125"/>
    </row>
    <row r="757" spans="1:23">
      <c r="A757" s="121">
        <v>44077</v>
      </c>
      <c r="B757" s="125">
        <v>155053771.25571746</v>
      </c>
      <c r="C757" s="125">
        <v>47992797.364852652</v>
      </c>
      <c r="D757" s="125">
        <v>55421771.377801158</v>
      </c>
      <c r="E757" s="125">
        <v>69411662.304131091</v>
      </c>
      <c r="F757" s="123">
        <v>172826231.04678491</v>
      </c>
      <c r="G757" s="125">
        <v>0</v>
      </c>
      <c r="H757" s="125">
        <v>1535.761487467322</v>
      </c>
      <c r="I757" s="125">
        <v>1005.70398236504</v>
      </c>
      <c r="J757" s="125">
        <v>693.33440962794305</v>
      </c>
      <c r="K757" s="125">
        <v>766.03161483507313</v>
      </c>
      <c r="L757" s="164">
        <v>2465.0700068280562</v>
      </c>
      <c r="M757" s="125">
        <v>0</v>
      </c>
      <c r="N757" s="115">
        <v>14775</v>
      </c>
      <c r="P757" s="125">
        <v>0</v>
      </c>
      <c r="Q757" s="125">
        <v>0</v>
      </c>
      <c r="S757" s="125">
        <v>-5277776.060001689</v>
      </c>
      <c r="T757" s="125">
        <v>0</v>
      </c>
      <c r="V757" s="125"/>
      <c r="W757" s="125"/>
    </row>
    <row r="758" spans="1:23">
      <c r="A758" s="121">
        <v>44078</v>
      </c>
      <c r="B758" s="125">
        <v>154757211.03828293</v>
      </c>
      <c r="C758" s="125">
        <v>47367483.155657671</v>
      </c>
      <c r="D758" s="125">
        <v>55349764.447366126</v>
      </c>
      <c r="E758" s="125">
        <v>69452817.059058622</v>
      </c>
      <c r="F758" s="123">
        <v>172170064.66208243</v>
      </c>
      <c r="G758" s="125">
        <v>0</v>
      </c>
      <c r="H758" s="125">
        <v>1536.8983336723031</v>
      </c>
      <c r="I758" s="125">
        <v>1009.5642765609292</v>
      </c>
      <c r="J758" s="125">
        <v>688.23237570517438</v>
      </c>
      <c r="K758" s="125">
        <v>769.532742987765</v>
      </c>
      <c r="L758" s="164">
        <v>2467.3293952538688</v>
      </c>
      <c r="M758" s="125">
        <v>0</v>
      </c>
      <c r="N758" s="115">
        <v>14747.5</v>
      </c>
      <c r="P758" s="125">
        <v>-181202.4</v>
      </c>
      <c r="Q758" s="125">
        <v>0</v>
      </c>
      <c r="S758" s="125">
        <v>-5277776.060001689</v>
      </c>
      <c r="T758" s="125">
        <v>0</v>
      </c>
      <c r="V758" s="125"/>
      <c r="W758" s="125"/>
    </row>
    <row r="759" spans="1:23">
      <c r="A759" s="121">
        <v>44081</v>
      </c>
      <c r="B759" s="125">
        <v>154241714.42401257</v>
      </c>
      <c r="C759" s="125">
        <v>49248695.931152314</v>
      </c>
      <c r="D759" s="125">
        <v>54575359.771553673</v>
      </c>
      <c r="E759" s="125">
        <v>69890595.625728905</v>
      </c>
      <c r="F759" s="123">
        <v>173714651.32843488</v>
      </c>
      <c r="G759" s="125">
        <v>0</v>
      </c>
      <c r="H759" s="125">
        <v>1535.3979512883541</v>
      </c>
      <c r="I759" s="125">
        <v>1002.7133738942962</v>
      </c>
      <c r="J759" s="125">
        <v>685.5842884479722</v>
      </c>
      <c r="K759" s="125">
        <v>770.88223193265458</v>
      </c>
      <c r="L759" s="164">
        <v>2459.1798942749228</v>
      </c>
      <c r="M759" s="125">
        <v>0</v>
      </c>
      <c r="N759" s="115">
        <v>14740</v>
      </c>
      <c r="P759" s="125">
        <v>-181202.4</v>
      </c>
      <c r="Q759" s="125">
        <v>0</v>
      </c>
      <c r="S759" s="125">
        <v>-4080413.9600016898</v>
      </c>
      <c r="T759" s="125">
        <v>0</v>
      </c>
      <c r="V759" s="125"/>
      <c r="W759" s="125"/>
    </row>
    <row r="760" spans="1:23">
      <c r="A760" s="121">
        <v>44082</v>
      </c>
      <c r="B760" s="125">
        <v>154058897.0997324</v>
      </c>
      <c r="C760" s="125">
        <v>48973211.847843513</v>
      </c>
      <c r="D760" s="125">
        <v>54243143.967514925</v>
      </c>
      <c r="E760" s="125">
        <v>69909995.803393945</v>
      </c>
      <c r="F760" s="123">
        <v>173126351.61875236</v>
      </c>
      <c r="G760" s="125">
        <v>0</v>
      </c>
      <c r="H760" s="125">
        <v>1537.7839035464972</v>
      </c>
      <c r="I760" s="125">
        <v>997.20303654530562</v>
      </c>
      <c r="J760" s="125">
        <v>680.09095110801991</v>
      </c>
      <c r="K760" s="125">
        <v>773.34108469651608</v>
      </c>
      <c r="L760" s="164">
        <v>2450.6350723498417</v>
      </c>
      <c r="M760" s="125">
        <v>0</v>
      </c>
      <c r="N760" s="115">
        <v>14765</v>
      </c>
      <c r="P760" s="125">
        <v>-181202.4</v>
      </c>
      <c r="Q760" s="125">
        <v>0</v>
      </c>
      <c r="S760" s="125">
        <v>-4080413.9600016898</v>
      </c>
      <c r="T760" s="125">
        <v>0</v>
      </c>
      <c r="V760" s="125"/>
      <c r="W760" s="125"/>
    </row>
    <row r="761" spans="1:23">
      <c r="A761" s="121">
        <v>44083</v>
      </c>
      <c r="B761" s="125">
        <v>154252832.56331226</v>
      </c>
      <c r="C761" s="125">
        <v>49897135.875122979</v>
      </c>
      <c r="D761" s="125">
        <v>54219982.905229218</v>
      </c>
      <c r="E761" s="125">
        <v>69852421.881066084</v>
      </c>
      <c r="F761" s="123">
        <v>173969540.66141829</v>
      </c>
      <c r="G761" s="125">
        <v>0</v>
      </c>
      <c r="H761" s="125">
        <v>1540.6003056906729</v>
      </c>
      <c r="I761" s="125">
        <v>1000.6918546856256</v>
      </c>
      <c r="J761" s="125">
        <v>679.4716762017872</v>
      </c>
      <c r="K761" s="125">
        <v>775.86883987179624</v>
      </c>
      <c r="L761" s="164">
        <v>2456.0323707592092</v>
      </c>
      <c r="M761" s="125">
        <v>0</v>
      </c>
      <c r="N761" s="115">
        <v>14785</v>
      </c>
      <c r="P761" s="125">
        <v>-181202.4</v>
      </c>
      <c r="Q761" s="125">
        <v>0</v>
      </c>
      <c r="S761" s="125">
        <v>-4080413.9600016898</v>
      </c>
      <c r="T761" s="125">
        <v>0</v>
      </c>
      <c r="V761" s="125"/>
      <c r="W761" s="125"/>
    </row>
    <row r="762" spans="1:23">
      <c r="A762" s="121">
        <v>44084</v>
      </c>
      <c r="B762" s="125">
        <v>154551916.3017205</v>
      </c>
      <c r="C762" s="125">
        <v>49596427.467017658</v>
      </c>
      <c r="D762" s="125">
        <v>54850851.133741125</v>
      </c>
      <c r="E762" s="125">
        <v>70200325.61079292</v>
      </c>
      <c r="F762" s="123">
        <v>174647604.21155173</v>
      </c>
      <c r="G762" s="125">
        <v>0</v>
      </c>
      <c r="H762" s="125">
        <v>1547.6871158000242</v>
      </c>
      <c r="I762" s="125">
        <v>1014.6867458864673</v>
      </c>
      <c r="J762" s="125">
        <v>679.81468374697124</v>
      </c>
      <c r="K762" s="125">
        <v>779.85337942065848</v>
      </c>
      <c r="L762" s="164">
        <v>2474.3548090540971</v>
      </c>
      <c r="M762" s="125">
        <v>0</v>
      </c>
      <c r="N762" s="115">
        <v>14855</v>
      </c>
      <c r="P762" s="125">
        <v>-181202.4</v>
      </c>
      <c r="Q762" s="125">
        <v>0</v>
      </c>
      <c r="S762" s="125">
        <v>-4080413.9600016898</v>
      </c>
      <c r="T762" s="125">
        <v>0</v>
      </c>
      <c r="V762" s="125"/>
      <c r="W762" s="125"/>
    </row>
    <row r="763" spans="1:23">
      <c r="A763" s="121">
        <v>44085</v>
      </c>
      <c r="B763" s="125">
        <v>154397657.95285851</v>
      </c>
      <c r="C763" s="125">
        <v>49622267.347203307</v>
      </c>
      <c r="D763" s="125">
        <v>54834708.875068568</v>
      </c>
      <c r="E763" s="125">
        <v>70465193.02147226</v>
      </c>
      <c r="F763" s="123">
        <v>174922169.24374413</v>
      </c>
      <c r="G763" s="125">
        <v>0</v>
      </c>
      <c r="H763" s="125">
        <v>1557.4254105063601</v>
      </c>
      <c r="I763" s="125">
        <v>1053.2987676860153</v>
      </c>
      <c r="J763" s="125">
        <v>675.75348431567556</v>
      </c>
      <c r="K763" s="125">
        <v>785.42173700422154</v>
      </c>
      <c r="L763" s="164">
        <v>2514.4739890059122</v>
      </c>
      <c r="M763" s="125">
        <v>0</v>
      </c>
      <c r="N763" s="115">
        <v>14890</v>
      </c>
      <c r="P763" s="125">
        <v>-181202.4</v>
      </c>
      <c r="Q763" s="125">
        <v>0</v>
      </c>
      <c r="S763" s="125">
        <v>-4080413.9600016898</v>
      </c>
      <c r="T763" s="125">
        <v>0</v>
      </c>
      <c r="V763" s="125"/>
      <c r="W763" s="125"/>
    </row>
    <row r="764" spans="1:23">
      <c r="A764" s="121">
        <v>44088</v>
      </c>
      <c r="B764" s="125">
        <v>154023062.18783253</v>
      </c>
      <c r="C764" s="125">
        <v>50663786.131949954</v>
      </c>
      <c r="D764" s="125">
        <v>54688807.085894868</v>
      </c>
      <c r="E764" s="125">
        <v>69859074.593599349</v>
      </c>
      <c r="F764" s="123">
        <v>175211667.81144416</v>
      </c>
      <c r="G764" s="125">
        <v>0</v>
      </c>
      <c r="H764" s="125">
        <v>1556.1668898317382</v>
      </c>
      <c r="I764" s="125">
        <v>1068.5540935034546</v>
      </c>
      <c r="J764" s="125">
        <v>689.39074602689368</v>
      </c>
      <c r="K764" s="125">
        <v>782.76952287874292</v>
      </c>
      <c r="L764" s="164">
        <v>2540.7143624090913</v>
      </c>
      <c r="M764" s="125">
        <v>0</v>
      </c>
      <c r="N764" s="115">
        <v>14880</v>
      </c>
      <c r="P764" s="125">
        <v>-181202.4</v>
      </c>
      <c r="Q764" s="125">
        <v>0</v>
      </c>
      <c r="S764" s="125">
        <v>-4080413.9600016898</v>
      </c>
      <c r="T764" s="125">
        <v>0</v>
      </c>
      <c r="V764" s="125"/>
      <c r="W764" s="125"/>
    </row>
    <row r="765" spans="1:23">
      <c r="A765" s="121">
        <v>44089</v>
      </c>
      <c r="B765" s="125">
        <v>154011142.11056447</v>
      </c>
      <c r="C765" s="125">
        <v>51468090.534343578</v>
      </c>
      <c r="D765" s="125">
        <v>54543728.228814013</v>
      </c>
      <c r="E765" s="125">
        <v>69921226.393535674</v>
      </c>
      <c r="F765" s="123">
        <v>175933045.15669328</v>
      </c>
      <c r="G765" s="125">
        <v>0</v>
      </c>
      <c r="H765" s="125">
        <v>1553.2288791053222</v>
      </c>
      <c r="I765" s="125">
        <v>1076.6421736497084</v>
      </c>
      <c r="J765" s="125">
        <v>690.08481858300422</v>
      </c>
      <c r="K765" s="125">
        <v>777.40771659542247</v>
      </c>
      <c r="L765" s="164">
        <v>2544.1347088281354</v>
      </c>
      <c r="M765" s="125">
        <v>0</v>
      </c>
      <c r="N765" s="115">
        <v>14845</v>
      </c>
      <c r="P765" s="125">
        <v>-181202.4</v>
      </c>
      <c r="Q765" s="125">
        <v>0</v>
      </c>
      <c r="S765" s="125">
        <v>-4080413.9600016898</v>
      </c>
      <c r="T765" s="125">
        <v>0</v>
      </c>
      <c r="V765" s="125"/>
      <c r="W765" s="125"/>
    </row>
    <row r="766" spans="1:23">
      <c r="A766" s="121">
        <v>44090</v>
      </c>
      <c r="B766" s="125">
        <v>153901759.2222994</v>
      </c>
      <c r="C766" s="125">
        <v>52512919.798232526</v>
      </c>
      <c r="D766" s="125">
        <v>54395637.908917226</v>
      </c>
      <c r="E766" s="125">
        <v>70146478.173637569</v>
      </c>
      <c r="F766" s="123">
        <v>177055035.88078731</v>
      </c>
      <c r="G766" s="125">
        <v>0</v>
      </c>
      <c r="H766" s="125">
        <v>1549.7683796880419</v>
      </c>
      <c r="I766" s="125">
        <v>1062.2078082176033</v>
      </c>
      <c r="J766" s="125">
        <v>686.13287140381965</v>
      </c>
      <c r="K766" s="125">
        <v>778.61078785301379</v>
      </c>
      <c r="L766" s="164">
        <v>2526.9514674744369</v>
      </c>
      <c r="M766" s="125">
        <v>0</v>
      </c>
      <c r="N766" s="115">
        <v>14835</v>
      </c>
      <c r="P766" s="125">
        <v>-181202.4</v>
      </c>
      <c r="Q766" s="125">
        <v>0</v>
      </c>
      <c r="S766" s="125">
        <v>-4080413.9600016898</v>
      </c>
      <c r="T766" s="125">
        <v>0</v>
      </c>
      <c r="V766" s="125"/>
      <c r="W766" s="125"/>
    </row>
    <row r="767" spans="1:23">
      <c r="A767" s="121">
        <v>44091</v>
      </c>
      <c r="B767" s="125">
        <v>153767807.01225445</v>
      </c>
      <c r="C767" s="125">
        <v>51891931.062674358</v>
      </c>
      <c r="D767" s="125">
        <v>54285369.622417532</v>
      </c>
      <c r="E767" s="125">
        <v>70082568.711552098</v>
      </c>
      <c r="F767" s="123">
        <v>176259869.396644</v>
      </c>
      <c r="G767" s="125">
        <v>0</v>
      </c>
      <c r="H767" s="125">
        <v>1542.1733227183438</v>
      </c>
      <c r="I767" s="125">
        <v>1058.3850492791407</v>
      </c>
      <c r="J767" s="125">
        <v>687.65000663414753</v>
      </c>
      <c r="K767" s="125">
        <v>778.58215891604527</v>
      </c>
      <c r="L767" s="164">
        <v>2524.6172148293335</v>
      </c>
      <c r="M767" s="125">
        <v>0</v>
      </c>
      <c r="N767" s="115">
        <v>14830</v>
      </c>
      <c r="P767" s="125">
        <v>-181202.4</v>
      </c>
      <c r="Q767" s="125">
        <v>0</v>
      </c>
      <c r="S767" s="125">
        <v>-4080413.9600016898</v>
      </c>
      <c r="T767" s="125">
        <v>0</v>
      </c>
      <c r="V767" s="125"/>
      <c r="W767" s="125"/>
    </row>
    <row r="768" spans="1:23">
      <c r="A768" s="121">
        <v>44092</v>
      </c>
      <c r="B768" s="125">
        <v>154347180.57735181</v>
      </c>
      <c r="C768" s="125">
        <v>51166031.297945045</v>
      </c>
      <c r="D768" s="125">
        <v>54301299.813185506</v>
      </c>
      <c r="E768" s="125">
        <v>70919121.595787421</v>
      </c>
      <c r="F768" s="123">
        <v>176386452.70691797</v>
      </c>
      <c r="G768" s="125">
        <v>0</v>
      </c>
      <c r="H768" s="125">
        <v>1547.4648940285831</v>
      </c>
      <c r="I768" s="125">
        <v>1011.9065684555925</v>
      </c>
      <c r="J768" s="125">
        <v>692.2097689884589</v>
      </c>
      <c r="K768" s="125">
        <v>793.64768958830371</v>
      </c>
      <c r="L768" s="164">
        <v>2497.764027032355</v>
      </c>
      <c r="M768" s="125">
        <v>0</v>
      </c>
      <c r="N768" s="115">
        <v>14735</v>
      </c>
      <c r="P768" s="125">
        <v>-181202.4</v>
      </c>
      <c r="Q768" s="125">
        <v>0</v>
      </c>
      <c r="S768" s="125">
        <v>-4080413.9600016898</v>
      </c>
      <c r="T768" s="125">
        <v>0</v>
      </c>
      <c r="V768" s="125"/>
      <c r="W768" s="125"/>
    </row>
    <row r="769" spans="1:23">
      <c r="A769" s="121">
        <v>44095</v>
      </c>
      <c r="B769" s="125">
        <v>154350116.70213601</v>
      </c>
      <c r="C769" s="125">
        <v>50854982.982665487</v>
      </c>
      <c r="D769" s="125">
        <v>54500715.062591232</v>
      </c>
      <c r="E769" s="125">
        <v>70606704.132210016</v>
      </c>
      <c r="F769" s="123">
        <v>175962402.17746675</v>
      </c>
      <c r="G769" s="125">
        <v>0</v>
      </c>
      <c r="H769" s="125">
        <v>1532.1199264600825</v>
      </c>
      <c r="I769" s="125">
        <v>1016.522091312813</v>
      </c>
      <c r="J769" s="125">
        <v>691.51357051458922</v>
      </c>
      <c r="K769" s="125">
        <v>789.93251227348674</v>
      </c>
      <c r="L769" s="164">
        <v>2497.968174100889</v>
      </c>
      <c r="M769" s="125">
        <v>0</v>
      </c>
      <c r="N769" s="115">
        <v>14700</v>
      </c>
      <c r="P769" s="125">
        <v>-181202.4</v>
      </c>
      <c r="Q769" s="125">
        <v>0</v>
      </c>
      <c r="S769" s="125">
        <v>-4080413.9600016898</v>
      </c>
      <c r="T769" s="125">
        <v>0</v>
      </c>
      <c r="V769" s="125"/>
      <c r="W769" s="125"/>
    </row>
    <row r="770" spans="1:23">
      <c r="A770" s="121">
        <v>44096</v>
      </c>
      <c r="B770" s="125">
        <v>154394590.05032033</v>
      </c>
      <c r="C770" s="125">
        <v>51534515.679964632</v>
      </c>
      <c r="D770" s="125">
        <v>54144119.052397393</v>
      </c>
      <c r="E770" s="125">
        <v>70293608.732396483</v>
      </c>
      <c r="F770" s="123">
        <v>175972243.46475852</v>
      </c>
      <c r="G770" s="125">
        <v>0</v>
      </c>
      <c r="H770" s="125">
        <v>1534.4203885182292</v>
      </c>
      <c r="I770" s="125">
        <v>1015.6060777523627</v>
      </c>
      <c r="J770" s="125">
        <v>693.57529418009233</v>
      </c>
      <c r="K770" s="125">
        <v>796.06815587066001</v>
      </c>
      <c r="L770" s="164">
        <v>2505.2495278031151</v>
      </c>
      <c r="M770" s="125">
        <v>0</v>
      </c>
      <c r="N770" s="115">
        <v>14785</v>
      </c>
      <c r="P770" s="125">
        <v>-181202.4</v>
      </c>
      <c r="Q770" s="125">
        <v>0</v>
      </c>
      <c r="S770" s="125">
        <v>-4080413.9600016898</v>
      </c>
      <c r="T770" s="125">
        <v>0</v>
      </c>
      <c r="V770" s="125"/>
      <c r="W770" s="125"/>
    </row>
    <row r="771" spans="1:23">
      <c r="A771" s="121">
        <v>44097</v>
      </c>
      <c r="B771" s="125">
        <v>154125498.68955481</v>
      </c>
      <c r="C771" s="125">
        <v>51732754.927779078</v>
      </c>
      <c r="D771" s="125">
        <v>54024998.341153473</v>
      </c>
      <c r="E771" s="125">
        <v>70287274.47477366</v>
      </c>
      <c r="F771" s="123">
        <v>176045027.74370623</v>
      </c>
      <c r="G771" s="125">
        <v>0</v>
      </c>
      <c r="H771" s="125">
        <v>1537.6207999723918</v>
      </c>
      <c r="I771" s="125">
        <v>1016.509050792172</v>
      </c>
      <c r="J771" s="125">
        <v>697.51509996168363</v>
      </c>
      <c r="K771" s="125">
        <v>790.50488377000158</v>
      </c>
      <c r="L771" s="164">
        <v>2504.5290345238573</v>
      </c>
      <c r="M771" s="125">
        <v>0</v>
      </c>
      <c r="N771" s="115">
        <v>14815</v>
      </c>
      <c r="P771" s="125">
        <v>-181202.4</v>
      </c>
      <c r="Q771" s="125">
        <v>0</v>
      </c>
      <c r="S771" s="125">
        <v>-4080413.9600016898</v>
      </c>
      <c r="T771" s="125">
        <v>0</v>
      </c>
      <c r="V771" s="125"/>
      <c r="W771" s="125"/>
    </row>
    <row r="772" spans="1:23">
      <c r="A772" s="121">
        <v>44098</v>
      </c>
      <c r="B772" s="125">
        <v>154167334.4121592</v>
      </c>
      <c r="C772" s="125">
        <v>50975312.916962795</v>
      </c>
      <c r="D772" s="125">
        <v>54221555.348770894</v>
      </c>
      <c r="E772" s="125">
        <v>69463433.168616921</v>
      </c>
      <c r="F772" s="123">
        <v>174660301.43435061</v>
      </c>
      <c r="G772" s="125">
        <v>0</v>
      </c>
      <c r="H772" s="125">
        <v>1546.9835773566263</v>
      </c>
      <c r="I772" s="125">
        <v>1000.9403018799504</v>
      </c>
      <c r="J772" s="125">
        <v>699.29177514919763</v>
      </c>
      <c r="K772" s="125">
        <v>811.74565645697737</v>
      </c>
      <c r="L772" s="164">
        <v>2511.9777334861255</v>
      </c>
      <c r="M772" s="125">
        <v>0</v>
      </c>
      <c r="N772" s="115">
        <v>14890</v>
      </c>
      <c r="P772" s="125">
        <v>-181202.4</v>
      </c>
      <c r="Q772" s="125">
        <v>0</v>
      </c>
      <c r="S772" s="125">
        <v>-4080413.9600016898</v>
      </c>
      <c r="T772" s="125">
        <v>0</v>
      </c>
      <c r="V772" s="125"/>
      <c r="W772" s="125"/>
    </row>
    <row r="773" spans="1:23">
      <c r="A773" s="121">
        <v>44099</v>
      </c>
      <c r="B773" s="125">
        <v>154158012.52582479</v>
      </c>
      <c r="C773" s="125">
        <v>49759929.354517885</v>
      </c>
      <c r="D773" s="125">
        <v>55125902.522290677</v>
      </c>
      <c r="E773" s="125">
        <v>69936199.148906127</v>
      </c>
      <c r="F773" s="123">
        <v>174822031.0257147</v>
      </c>
      <c r="G773" s="125">
        <v>0</v>
      </c>
      <c r="H773" s="125">
        <v>1545.5831633797775</v>
      </c>
      <c r="I773" s="125">
        <v>1002.3911852234567</v>
      </c>
      <c r="J773" s="125">
        <v>696.02775828589097</v>
      </c>
      <c r="K773" s="125">
        <v>829.59741460176519</v>
      </c>
      <c r="L773" s="164">
        <v>2528.0163581111128</v>
      </c>
      <c r="M773" s="125">
        <v>0</v>
      </c>
      <c r="N773" s="115">
        <v>14870</v>
      </c>
      <c r="P773" s="125">
        <v>-378106.2</v>
      </c>
      <c r="Q773" s="125">
        <v>0</v>
      </c>
      <c r="S773" s="125">
        <v>-4080413.9600016898</v>
      </c>
      <c r="T773" s="125">
        <v>0</v>
      </c>
      <c r="V773" s="125"/>
      <c r="W773" s="125"/>
    </row>
    <row r="774" spans="1:23">
      <c r="A774" s="121">
        <v>44102</v>
      </c>
      <c r="B774" s="125">
        <v>154281292.92962539</v>
      </c>
      <c r="C774" s="125">
        <v>49184118.825401925</v>
      </c>
      <c r="D774" s="125">
        <v>55320627.557853095</v>
      </c>
      <c r="E774" s="125">
        <v>71219025.537014812</v>
      </c>
      <c r="F774" s="123">
        <v>175723771.92026985</v>
      </c>
      <c r="G774" s="125">
        <v>0</v>
      </c>
      <c r="H774" s="125">
        <v>1567.2503789620687</v>
      </c>
      <c r="I774" s="125">
        <v>974.34653759740024</v>
      </c>
      <c r="J774" s="125">
        <v>700.43329902802873</v>
      </c>
      <c r="K774" s="125">
        <v>829.22661829254434</v>
      </c>
      <c r="L774" s="164">
        <v>2504.0064549179733</v>
      </c>
      <c r="M774" s="125">
        <v>0</v>
      </c>
      <c r="N774" s="115">
        <v>14900</v>
      </c>
      <c r="P774" s="125">
        <v>-378106.2</v>
      </c>
      <c r="Q774" s="125">
        <v>0</v>
      </c>
      <c r="S774" s="125">
        <v>-4080413.9600016898</v>
      </c>
      <c r="T774" s="125">
        <v>0</v>
      </c>
      <c r="V774" s="125"/>
      <c r="W774" s="125"/>
    </row>
    <row r="775" spans="1:23">
      <c r="A775" s="121">
        <v>44103</v>
      </c>
      <c r="B775" s="125">
        <v>153454210.3333782</v>
      </c>
      <c r="C775" s="125">
        <v>49296268.784808509</v>
      </c>
      <c r="D775" s="125">
        <v>55194137.65158096</v>
      </c>
      <c r="E775" s="125">
        <v>71629782.850192085</v>
      </c>
      <c r="F775" s="123">
        <v>176120189.28658158</v>
      </c>
      <c r="G775" s="125">
        <v>0</v>
      </c>
      <c r="H775" s="125">
        <v>1567.6803437109684</v>
      </c>
      <c r="I775" s="125">
        <v>954.52493332515246</v>
      </c>
      <c r="J775" s="125">
        <v>701.60389301957503</v>
      </c>
      <c r="K775" s="125">
        <v>856.70986133771441</v>
      </c>
      <c r="L775" s="164">
        <v>2512.838687682442</v>
      </c>
      <c r="M775" s="125">
        <v>0</v>
      </c>
      <c r="N775" s="115">
        <v>14895</v>
      </c>
      <c r="P775" s="125">
        <v>-378106.2</v>
      </c>
      <c r="Q775" s="125">
        <v>0</v>
      </c>
      <c r="S775" s="125">
        <v>-4080413.9600016898</v>
      </c>
      <c r="T775" s="125">
        <v>0</v>
      </c>
      <c r="V775" s="125"/>
      <c r="W775" s="125"/>
    </row>
    <row r="776" spans="1:23">
      <c r="A776" s="121">
        <v>44104</v>
      </c>
      <c r="B776" s="125">
        <v>154344318.78127453</v>
      </c>
      <c r="C776" s="125">
        <v>48403452.241550982</v>
      </c>
      <c r="D776" s="125">
        <v>55717617.99532114</v>
      </c>
      <c r="E776" s="125">
        <v>72357924.637737483</v>
      </c>
      <c r="F776" s="123">
        <v>176478994.87460959</v>
      </c>
      <c r="G776" s="125">
        <v>0</v>
      </c>
      <c r="H776" s="125">
        <v>1572.6236295366534</v>
      </c>
      <c r="I776" s="125">
        <v>982.19226472941841</v>
      </c>
      <c r="J776" s="125">
        <v>699.38965026795483</v>
      </c>
      <c r="K776" s="125">
        <v>835.59551309491906</v>
      </c>
      <c r="L776" s="164">
        <v>2517.1774280922923</v>
      </c>
      <c r="M776" s="125">
        <v>0</v>
      </c>
      <c r="N776" s="115">
        <v>14880</v>
      </c>
      <c r="O776" s="116">
        <v>3580.7999815184999</v>
      </c>
      <c r="P776" s="125">
        <v>-378106.2</v>
      </c>
      <c r="Q776" s="125">
        <v>0</v>
      </c>
      <c r="S776" s="125">
        <v>-4080413.9600016898</v>
      </c>
      <c r="T776" s="125">
        <v>0</v>
      </c>
      <c r="V776" s="125"/>
      <c r="W776" s="125"/>
    </row>
    <row r="777" spans="1:23">
      <c r="A777" s="121">
        <v>44105</v>
      </c>
      <c r="B777" s="125">
        <v>153729906.69037867</v>
      </c>
      <c r="C777" s="125">
        <v>50384317.383217156</v>
      </c>
      <c r="D777" s="125">
        <v>55445907.364703842</v>
      </c>
      <c r="E777" s="125">
        <v>70210523.34046714</v>
      </c>
      <c r="F777" s="123">
        <v>176040748.08838814</v>
      </c>
      <c r="G777" s="125">
        <v>0</v>
      </c>
      <c r="H777" s="125">
        <v>1614.2211411283611</v>
      </c>
      <c r="I777" s="125">
        <v>1032.4080778653145</v>
      </c>
      <c r="J777" s="125">
        <v>696.3346072272418</v>
      </c>
      <c r="K777" s="125">
        <v>834.68470237087968</v>
      </c>
      <c r="L777" s="164">
        <v>2563.4273874634359</v>
      </c>
      <c r="M777" s="125">
        <v>0</v>
      </c>
      <c r="N777" s="115">
        <v>14835</v>
      </c>
      <c r="P777" s="125">
        <v>-378106.2</v>
      </c>
      <c r="Q777" s="125">
        <v>0</v>
      </c>
      <c r="S777" s="125">
        <v>-4080413.9600016898</v>
      </c>
      <c r="T777" s="125">
        <v>0</v>
      </c>
      <c r="V777" s="125"/>
      <c r="W777" s="125"/>
    </row>
    <row r="778" spans="1:23">
      <c r="A778" s="121">
        <v>44106</v>
      </c>
      <c r="B778" s="125">
        <v>152858741.93549964</v>
      </c>
      <c r="C778" s="125">
        <v>49271855.948996224</v>
      </c>
      <c r="D778" s="125">
        <v>55198216.355630077</v>
      </c>
      <c r="E778" s="125">
        <v>70112083.395450503</v>
      </c>
      <c r="F778" s="123">
        <v>174582155.70007682</v>
      </c>
      <c r="G778" s="125">
        <v>0</v>
      </c>
      <c r="H778" s="125">
        <v>1582.849607083509</v>
      </c>
      <c r="I778" s="125">
        <v>997.94186368280771</v>
      </c>
      <c r="J778" s="125">
        <v>693.99931931079834</v>
      </c>
      <c r="K778" s="125">
        <v>859.28299761872654</v>
      </c>
      <c r="L778" s="164">
        <v>2551.2241806123329</v>
      </c>
      <c r="M778" s="125">
        <v>0</v>
      </c>
      <c r="N778" s="115">
        <v>14860</v>
      </c>
      <c r="P778" s="125">
        <v>-473493.69</v>
      </c>
      <c r="Q778" s="125">
        <v>0</v>
      </c>
      <c r="S778" s="125">
        <v>-4080413.9600016898</v>
      </c>
      <c r="T778" s="125">
        <v>0</v>
      </c>
      <c r="V778" s="125"/>
      <c r="W778" s="125"/>
    </row>
    <row r="779" spans="1:23">
      <c r="A779" s="121">
        <v>44109</v>
      </c>
      <c r="B779" s="125">
        <v>152612416.73270556</v>
      </c>
      <c r="C779" s="125">
        <v>50502150.795412503</v>
      </c>
      <c r="D779" s="125">
        <v>55137293.04259669</v>
      </c>
      <c r="E779" s="125">
        <v>69370917.977775767</v>
      </c>
      <c r="F779" s="123">
        <v>175010361.81578496</v>
      </c>
      <c r="G779" s="125">
        <v>0</v>
      </c>
      <c r="H779" s="125">
        <v>1592.6238172620156</v>
      </c>
      <c r="I779" s="125">
        <v>987.89056308969032</v>
      </c>
      <c r="J779" s="125">
        <v>692.45856146429242</v>
      </c>
      <c r="K779" s="125">
        <v>850.92029145427625</v>
      </c>
      <c r="L779" s="164">
        <v>2531.2694160082588</v>
      </c>
      <c r="M779" s="125">
        <v>0</v>
      </c>
      <c r="N779" s="115">
        <v>14800</v>
      </c>
      <c r="P779" s="125">
        <v>-564259.59</v>
      </c>
      <c r="Q779" s="125">
        <v>0</v>
      </c>
      <c r="S779" s="125">
        <v>-4080413.9600016898</v>
      </c>
      <c r="T779" s="125">
        <v>0</v>
      </c>
      <c r="V779" s="125"/>
      <c r="W779" s="125"/>
    </row>
    <row r="780" spans="1:23">
      <c r="A780" s="121">
        <v>44110</v>
      </c>
      <c r="B780" s="125">
        <v>152068235.11955023</v>
      </c>
      <c r="C780" s="125">
        <v>50283223.212755062</v>
      </c>
      <c r="D780" s="125">
        <v>54817918.403829955</v>
      </c>
      <c r="E780" s="125">
        <v>70677284.271114603</v>
      </c>
      <c r="F780" s="123">
        <v>175778425.8876996</v>
      </c>
      <c r="G780" s="125">
        <v>0</v>
      </c>
      <c r="H780" s="125">
        <v>1587.9226228772802</v>
      </c>
      <c r="I780" s="125">
        <v>980.09762113476575</v>
      </c>
      <c r="J780" s="125">
        <v>691.58691838930167</v>
      </c>
      <c r="K780" s="125">
        <v>843.36464400765203</v>
      </c>
      <c r="L780" s="164">
        <v>2515.0491835317198</v>
      </c>
      <c r="M780" s="125">
        <v>0</v>
      </c>
      <c r="N780" s="115">
        <v>14735</v>
      </c>
      <c r="P780" s="125">
        <v>-564259.59</v>
      </c>
      <c r="Q780" s="125">
        <v>0</v>
      </c>
      <c r="S780" s="125">
        <v>-4080413.9600016898</v>
      </c>
      <c r="T780" s="125">
        <v>0</v>
      </c>
      <c r="V780" s="125"/>
      <c r="W780" s="125"/>
    </row>
    <row r="781" spans="1:23">
      <c r="A781" s="121">
        <v>44111</v>
      </c>
      <c r="B781" s="125">
        <v>151949074.78294578</v>
      </c>
      <c r="C781" s="125">
        <v>49890022.623503573</v>
      </c>
      <c r="D781" s="125">
        <v>55094050.271094821</v>
      </c>
      <c r="E781" s="125">
        <v>71587735.95849286</v>
      </c>
      <c r="F781" s="123">
        <v>176571808.85309124</v>
      </c>
      <c r="G781" s="125">
        <v>0</v>
      </c>
      <c r="H781" s="125">
        <v>1568.2443498537259</v>
      </c>
      <c r="I781" s="125">
        <v>960.51396058063074</v>
      </c>
      <c r="J781" s="125">
        <v>690.30446821579119</v>
      </c>
      <c r="K781" s="125">
        <v>854.28800845927276</v>
      </c>
      <c r="L781" s="164">
        <v>2505.1064372556948</v>
      </c>
      <c r="M781" s="125">
        <v>0</v>
      </c>
      <c r="N781" s="115">
        <v>14710</v>
      </c>
      <c r="P781" s="125">
        <v>-564259.59</v>
      </c>
      <c r="Q781" s="125">
        <v>0</v>
      </c>
      <c r="S781" s="125">
        <v>-4080413.9600016898</v>
      </c>
      <c r="T781" s="125">
        <v>0</v>
      </c>
      <c r="V781" s="125"/>
      <c r="W781" s="125"/>
    </row>
    <row r="782" spans="1:23">
      <c r="A782" s="121">
        <v>44112</v>
      </c>
      <c r="B782" s="125">
        <v>151942604.63077852</v>
      </c>
      <c r="C782" s="125">
        <v>51272442.934140921</v>
      </c>
      <c r="D782" s="125">
        <v>55032810.847430207</v>
      </c>
      <c r="E782" s="125">
        <v>71739711.56617786</v>
      </c>
      <c r="F782" s="123">
        <v>178044965.34774899</v>
      </c>
      <c r="G782" s="125">
        <v>0</v>
      </c>
      <c r="H782" s="125">
        <v>1547.8360278990297</v>
      </c>
      <c r="I782" s="125">
        <v>963.60068221616586</v>
      </c>
      <c r="J782" s="125">
        <v>689.85756167681836</v>
      </c>
      <c r="K782" s="125">
        <v>855.22592107931598</v>
      </c>
      <c r="L782" s="164">
        <v>2508.6841649723001</v>
      </c>
      <c r="M782" s="125">
        <v>0</v>
      </c>
      <c r="N782" s="115">
        <v>14710</v>
      </c>
      <c r="P782" s="125">
        <v>-564259.59</v>
      </c>
      <c r="Q782" s="125">
        <v>0</v>
      </c>
      <c r="S782" s="125">
        <v>-4080413.9600016898</v>
      </c>
      <c r="T782" s="125">
        <v>0</v>
      </c>
      <c r="V782" s="125"/>
      <c r="W782" s="125"/>
    </row>
    <row r="783" spans="1:23">
      <c r="A783" s="121">
        <v>44113</v>
      </c>
      <c r="B783" s="125">
        <v>151926112.91868168</v>
      </c>
      <c r="C783" s="125">
        <v>50702379.736546837</v>
      </c>
      <c r="D783" s="125">
        <v>54933781.175444253</v>
      </c>
      <c r="E783" s="125">
        <v>72409070.07252191</v>
      </c>
      <c r="F783" s="123">
        <v>178045230.98451298</v>
      </c>
      <c r="G783" s="125">
        <v>0</v>
      </c>
      <c r="H783" s="125">
        <v>1530.9535849165156</v>
      </c>
      <c r="I783" s="125">
        <v>979.27800526137275</v>
      </c>
      <c r="J783" s="125">
        <v>691.99021773973436</v>
      </c>
      <c r="K783" s="125">
        <v>857.00358810476132</v>
      </c>
      <c r="L783" s="164">
        <v>2528.2718111058684</v>
      </c>
      <c r="M783" s="125">
        <v>0</v>
      </c>
      <c r="N783" s="115">
        <v>14700</v>
      </c>
      <c r="P783" s="125">
        <v>-564259.59</v>
      </c>
      <c r="Q783" s="125">
        <v>0</v>
      </c>
      <c r="S783" s="125">
        <v>-4080413.9600016898</v>
      </c>
      <c r="T783" s="125">
        <v>0</v>
      </c>
      <c r="V783" s="125"/>
      <c r="W783" s="125"/>
    </row>
    <row r="784" spans="1:23">
      <c r="A784" s="121">
        <v>44116</v>
      </c>
      <c r="B784" s="125">
        <v>151791990.59790522</v>
      </c>
      <c r="C784" s="125">
        <v>51613985.043866068</v>
      </c>
      <c r="D784" s="125">
        <v>54995959.873520941</v>
      </c>
      <c r="E784" s="125">
        <v>72474819.392100126</v>
      </c>
      <c r="F784" s="123">
        <v>179084764.30948713</v>
      </c>
      <c r="G784" s="125">
        <v>0</v>
      </c>
      <c r="H784" s="125">
        <v>1532.0879861333012</v>
      </c>
      <c r="I784" s="125">
        <v>970.7962459434176</v>
      </c>
      <c r="J784" s="125">
        <v>690.91404838633377</v>
      </c>
      <c r="K784" s="125">
        <v>856.07778005068531</v>
      </c>
      <c r="L784" s="164">
        <v>2517.7880743804367</v>
      </c>
      <c r="M784" s="125">
        <v>0</v>
      </c>
      <c r="N784" s="115">
        <v>14700</v>
      </c>
      <c r="P784" s="125">
        <v>-564259.59</v>
      </c>
      <c r="Q784" s="125">
        <v>0</v>
      </c>
      <c r="S784" s="125">
        <v>-4080413.9600016898</v>
      </c>
      <c r="T784" s="125">
        <v>0</v>
      </c>
      <c r="V784" s="125"/>
      <c r="W784" s="125"/>
    </row>
    <row r="785" spans="1:23">
      <c r="A785" s="121">
        <v>44117</v>
      </c>
      <c r="B785" s="125">
        <v>151590830.78362447</v>
      </c>
      <c r="C785" s="125">
        <v>52694664.860837452</v>
      </c>
      <c r="D785" s="125">
        <v>54760012.885331064</v>
      </c>
      <c r="E785" s="125">
        <v>72588823.128731444</v>
      </c>
      <c r="F785" s="123">
        <v>180043500.87489998</v>
      </c>
      <c r="G785" s="125">
        <v>0</v>
      </c>
      <c r="H785" s="125">
        <v>1529.5887436540786</v>
      </c>
      <c r="I785" s="125">
        <v>985.62419494602636</v>
      </c>
      <c r="J785" s="125">
        <v>695.34841206773365</v>
      </c>
      <c r="K785" s="125">
        <v>856.81750939908045</v>
      </c>
      <c r="L785" s="164">
        <v>2537.7901164128402</v>
      </c>
      <c r="M785" s="125">
        <v>0</v>
      </c>
      <c r="N785" s="115">
        <v>14715</v>
      </c>
      <c r="P785" s="125">
        <v>-564259.59</v>
      </c>
      <c r="Q785" s="125">
        <v>0</v>
      </c>
      <c r="S785" s="125">
        <v>-4080413.9600016898</v>
      </c>
      <c r="T785" s="125">
        <v>0</v>
      </c>
      <c r="V785" s="125"/>
      <c r="W785" s="125"/>
    </row>
    <row r="786" spans="1:23">
      <c r="A786" s="121">
        <v>44118</v>
      </c>
      <c r="B786" s="125">
        <v>151606176.63391566</v>
      </c>
      <c r="C786" s="125">
        <v>53450622.343117058</v>
      </c>
      <c r="D786" s="125">
        <v>54535257.114965566</v>
      </c>
      <c r="E786" s="125">
        <v>72515054.559615448</v>
      </c>
      <c r="F786" s="123">
        <v>180500934.01769805</v>
      </c>
      <c r="G786" s="125">
        <v>0</v>
      </c>
      <c r="H786" s="125">
        <v>1531.4041835542228</v>
      </c>
      <c r="I786" s="125">
        <v>989.57234616232415</v>
      </c>
      <c r="J786" s="125">
        <v>701.73241589838699</v>
      </c>
      <c r="K786" s="125">
        <v>855.89217458930239</v>
      </c>
      <c r="L786" s="164">
        <v>2547.1969366500134</v>
      </c>
      <c r="M786" s="125">
        <v>0</v>
      </c>
      <c r="N786" s="115">
        <v>14710</v>
      </c>
      <c r="P786" s="125">
        <v>-564259.59</v>
      </c>
      <c r="Q786" s="125">
        <v>0</v>
      </c>
      <c r="S786" s="125">
        <v>-4080413.9600016898</v>
      </c>
      <c r="T786" s="125">
        <v>0</v>
      </c>
      <c r="V786" s="125"/>
      <c r="W786" s="125"/>
    </row>
    <row r="787" spans="1:23">
      <c r="A787" s="121">
        <v>44119</v>
      </c>
      <c r="B787" s="125">
        <v>151581156.78539908</v>
      </c>
      <c r="C787" s="125">
        <v>54315278.744173251</v>
      </c>
      <c r="D787" s="125">
        <v>54337765.716340594</v>
      </c>
      <c r="E787" s="125">
        <v>72929491.694826066</v>
      </c>
      <c r="F787" s="123">
        <v>181582536.1553399</v>
      </c>
      <c r="G787" s="125">
        <v>0</v>
      </c>
      <c r="H787" s="125">
        <v>1550.1104696715311</v>
      </c>
      <c r="I787" s="125">
        <v>992.50488250813419</v>
      </c>
      <c r="J787" s="125">
        <v>703.05976531383203</v>
      </c>
      <c r="K787" s="125">
        <v>855.15211432413594</v>
      </c>
      <c r="L787" s="164">
        <v>2550.7167621461022</v>
      </c>
      <c r="M787" s="125">
        <v>0</v>
      </c>
      <c r="N787" s="115">
        <v>14690</v>
      </c>
      <c r="P787" s="125">
        <v>-564259.59</v>
      </c>
      <c r="Q787" s="125">
        <v>0</v>
      </c>
      <c r="S787" s="125">
        <v>-4080413.9600016898</v>
      </c>
      <c r="T787" s="125">
        <v>0</v>
      </c>
      <c r="V787" s="125"/>
      <c r="W787" s="125"/>
    </row>
    <row r="788" spans="1:23">
      <c r="A788" s="121">
        <v>44120</v>
      </c>
      <c r="B788" s="125">
        <v>151155142.9981567</v>
      </c>
      <c r="C788" s="125">
        <v>54061890.445826486</v>
      </c>
      <c r="D788" s="125">
        <v>54528901.412800036</v>
      </c>
      <c r="E788" s="125">
        <v>73764252.362329915</v>
      </c>
      <c r="F788" s="123">
        <v>182355044.22095644</v>
      </c>
      <c r="G788" s="125">
        <v>0</v>
      </c>
      <c r="H788" s="125">
        <v>1551.5587209903933</v>
      </c>
      <c r="I788" s="125">
        <v>1018.3713438067141</v>
      </c>
      <c r="J788" s="125">
        <v>700.32459329392077</v>
      </c>
      <c r="K788" s="125">
        <v>859.13578123486252</v>
      </c>
      <c r="L788" s="164">
        <v>2577.8317183354975</v>
      </c>
      <c r="M788" s="125">
        <v>0</v>
      </c>
      <c r="N788" s="115">
        <v>14700</v>
      </c>
      <c r="P788" s="125">
        <v>-564259.59</v>
      </c>
      <c r="Q788" s="125">
        <v>0</v>
      </c>
      <c r="S788" s="125">
        <v>-4080413.9600016898</v>
      </c>
      <c r="T788" s="125">
        <v>0</v>
      </c>
      <c r="V788" s="125"/>
      <c r="W788" s="125"/>
    </row>
    <row r="789" spans="1:23">
      <c r="A789" s="121">
        <v>44123</v>
      </c>
      <c r="B789" s="125">
        <v>151242071.25305405</v>
      </c>
      <c r="C789" s="125">
        <v>54467911.09477748</v>
      </c>
      <c r="D789" s="125">
        <v>54445106.859972522</v>
      </c>
      <c r="E789" s="125">
        <v>74311999.630505577</v>
      </c>
      <c r="F789" s="123">
        <v>183225017.58525556</v>
      </c>
      <c r="G789" s="125">
        <v>0</v>
      </c>
      <c r="H789" s="125">
        <v>1558.1717388542666</v>
      </c>
      <c r="I789" s="125">
        <v>1010.5758855682443</v>
      </c>
      <c r="J789" s="125">
        <v>705.41048250451752</v>
      </c>
      <c r="K789" s="125">
        <v>841.73137987877374</v>
      </c>
      <c r="L789" s="164">
        <v>2557.7177479515353</v>
      </c>
      <c r="M789" s="125">
        <v>0</v>
      </c>
      <c r="N789" s="115">
        <v>14695</v>
      </c>
      <c r="P789" s="125">
        <v>-564259.59</v>
      </c>
      <c r="Q789" s="125">
        <v>0</v>
      </c>
      <c r="S789" s="125">
        <v>-4080413.9600016898</v>
      </c>
      <c r="T789" s="125">
        <v>0</v>
      </c>
      <c r="V789" s="125"/>
      <c r="W789" s="125"/>
    </row>
    <row r="790" spans="1:23">
      <c r="A790" s="121">
        <v>44124</v>
      </c>
      <c r="B790" s="125">
        <v>151072728.25252068</v>
      </c>
      <c r="C790" s="125">
        <v>54655853.355617478</v>
      </c>
      <c r="D790" s="125">
        <v>54260043.44683414</v>
      </c>
      <c r="E790" s="125">
        <v>74407280.093852729</v>
      </c>
      <c r="F790" s="123">
        <v>183323176.89630434</v>
      </c>
      <c r="G790" s="125">
        <v>0</v>
      </c>
      <c r="H790" s="125">
        <v>1554.4682998956005</v>
      </c>
      <c r="I790" s="125">
        <v>994.72316680560903</v>
      </c>
      <c r="J790" s="125">
        <v>706.36005342090539</v>
      </c>
      <c r="K790" s="125">
        <v>839.52599151903701</v>
      </c>
      <c r="L790" s="164">
        <v>2540.6092117455514</v>
      </c>
      <c r="M790" s="125">
        <v>0</v>
      </c>
      <c r="N790" s="115">
        <v>14655</v>
      </c>
      <c r="P790" s="125">
        <v>-564259.59</v>
      </c>
      <c r="Q790" s="125">
        <v>0</v>
      </c>
      <c r="S790" s="125">
        <v>-4080413.9600016898</v>
      </c>
      <c r="T790" s="125">
        <v>0</v>
      </c>
      <c r="V790" s="125"/>
      <c r="W790" s="125"/>
    </row>
    <row r="791" spans="1:23">
      <c r="A791" s="121">
        <v>44125</v>
      </c>
      <c r="B791" s="125">
        <v>151187053.38779619</v>
      </c>
      <c r="C791" s="125">
        <v>54647358.204791039</v>
      </c>
      <c r="D791" s="125">
        <v>54293389.801776774</v>
      </c>
      <c r="E791" s="125">
        <v>74716936.520648226</v>
      </c>
      <c r="F791" s="123">
        <v>183657684.52721602</v>
      </c>
      <c r="G791" s="125">
        <v>0</v>
      </c>
      <c r="H791" s="125">
        <v>1563.7080280286746</v>
      </c>
      <c r="I791" s="125">
        <v>1000.1951023931208</v>
      </c>
      <c r="J791" s="125">
        <v>708.80357475321489</v>
      </c>
      <c r="K791" s="125">
        <v>837.92212728431912</v>
      </c>
      <c r="L791" s="164">
        <v>2546.9208044306547</v>
      </c>
      <c r="M791" s="125">
        <v>0</v>
      </c>
      <c r="N791" s="115">
        <v>14632.5</v>
      </c>
      <c r="P791" s="125">
        <v>-564259.59</v>
      </c>
      <c r="Q791" s="125">
        <v>0</v>
      </c>
      <c r="S791" s="125">
        <v>-4080413.9600016898</v>
      </c>
      <c r="T791" s="125">
        <v>0</v>
      </c>
      <c r="V791" s="125"/>
      <c r="W791" s="125"/>
    </row>
    <row r="792" spans="1:23">
      <c r="A792" s="121">
        <v>44126</v>
      </c>
      <c r="B792" s="125">
        <v>151039951.26183796</v>
      </c>
      <c r="C792" s="125">
        <v>54622778.9031488</v>
      </c>
      <c r="D792" s="125">
        <v>54163633.737356879</v>
      </c>
      <c r="E792" s="125">
        <v>74803610.274306297</v>
      </c>
      <c r="F792" s="123">
        <v>183590022.91481197</v>
      </c>
      <c r="G792" s="125">
        <v>0</v>
      </c>
      <c r="H792" s="125">
        <v>1564.3312269932071</v>
      </c>
      <c r="I792" s="125">
        <v>988.58247653610988</v>
      </c>
      <c r="J792" s="125">
        <v>711.1162887105686</v>
      </c>
      <c r="K792" s="125">
        <v>836.30207104031683</v>
      </c>
      <c r="L792" s="164">
        <v>2536.0008362869953</v>
      </c>
      <c r="M792" s="125">
        <v>0</v>
      </c>
      <c r="N792" s="115">
        <v>14660</v>
      </c>
      <c r="P792" s="125">
        <v>-564259.59</v>
      </c>
      <c r="Q792" s="125">
        <v>0</v>
      </c>
      <c r="S792" s="125">
        <v>-4080413.9600016898</v>
      </c>
      <c r="T792" s="125">
        <v>0</v>
      </c>
      <c r="V792" s="125"/>
      <c r="W792" s="125"/>
    </row>
    <row r="793" spans="1:23">
      <c r="A793" s="121">
        <v>44127</v>
      </c>
      <c r="B793" s="125">
        <v>150855290.74428582</v>
      </c>
      <c r="C793" s="125">
        <v>54486907.90451479</v>
      </c>
      <c r="D793" s="125">
        <v>56447243.229995258</v>
      </c>
      <c r="E793" s="125">
        <v>75210141.311155871</v>
      </c>
      <c r="F793" s="123">
        <v>186144292.4456659</v>
      </c>
      <c r="G793" s="125">
        <v>0</v>
      </c>
      <c r="H793" s="125">
        <v>1574.9960704720097</v>
      </c>
      <c r="I793" s="125">
        <v>967.08900003028964</v>
      </c>
      <c r="J793" s="125">
        <v>709.51566186649291</v>
      </c>
      <c r="K793" s="125">
        <v>846.17235452167097</v>
      </c>
      <c r="L793" s="164">
        <v>2522.7770164184535</v>
      </c>
      <c r="M793" s="125">
        <v>0</v>
      </c>
      <c r="N793" s="115">
        <v>14660</v>
      </c>
      <c r="P793" s="125">
        <v>-564259.59</v>
      </c>
      <c r="Q793" s="125">
        <v>0</v>
      </c>
      <c r="S793" s="125">
        <v>-4080413.9600016898</v>
      </c>
      <c r="T793" s="125">
        <v>0</v>
      </c>
      <c r="V793" s="125"/>
      <c r="W793" s="125"/>
    </row>
    <row r="794" spans="1:23">
      <c r="A794" s="121">
        <v>44130</v>
      </c>
      <c r="B794" s="125">
        <v>151255857.84199637</v>
      </c>
      <c r="C794" s="125">
        <v>53606635.33359284</v>
      </c>
      <c r="D794" s="125">
        <v>55804336.047383398</v>
      </c>
      <c r="E794" s="125">
        <v>74655854.138317764</v>
      </c>
      <c r="F794" s="123">
        <v>184066825.51929399</v>
      </c>
      <c r="G794" s="125">
        <v>0</v>
      </c>
      <c r="H794" s="125">
        <v>1561.0137901539365</v>
      </c>
      <c r="I794" s="125">
        <v>943.41594309239429</v>
      </c>
      <c r="J794" s="125">
        <v>707.42195313726472</v>
      </c>
      <c r="K794" s="125">
        <v>836.87235997218067</v>
      </c>
      <c r="L794" s="164">
        <v>2487.7102562018399</v>
      </c>
      <c r="M794" s="125">
        <v>-39.531244566540323</v>
      </c>
      <c r="N794" s="115">
        <v>14650</v>
      </c>
      <c r="P794" s="125">
        <v>-367355.79</v>
      </c>
      <c r="Q794" s="125">
        <v>0</v>
      </c>
      <c r="S794" s="125">
        <v>-2514878.2800016901</v>
      </c>
      <c r="T794" s="125">
        <v>0</v>
      </c>
      <c r="V794" s="125"/>
      <c r="W794" s="125"/>
    </row>
    <row r="795" spans="1:23">
      <c r="A795" s="121">
        <v>44131</v>
      </c>
      <c r="B795" s="125">
        <v>150719556.67939147</v>
      </c>
      <c r="C795" s="125">
        <v>49994271.482617535</v>
      </c>
      <c r="D795" s="125">
        <v>56464054.410242066</v>
      </c>
      <c r="E795" s="125">
        <v>75164912.864896506</v>
      </c>
      <c r="F795" s="123">
        <v>181623238.75775611</v>
      </c>
      <c r="G795" s="125">
        <v>0</v>
      </c>
      <c r="H795" s="125">
        <v>1565.3363139333972</v>
      </c>
      <c r="I795" s="125">
        <v>946.47129674662426</v>
      </c>
      <c r="J795" s="125">
        <v>712.65806750345519</v>
      </c>
      <c r="K795" s="125">
        <v>839.38500719568924</v>
      </c>
      <c r="L795" s="164">
        <v>2498.514371445769</v>
      </c>
      <c r="M795" s="125">
        <v>-39.531244566540323</v>
      </c>
      <c r="N795" s="115">
        <v>14625</v>
      </c>
      <c r="P795" s="125">
        <v>-367355.79</v>
      </c>
      <c r="Q795" s="125">
        <v>0</v>
      </c>
      <c r="S795" s="125">
        <v>-2514878.2800016901</v>
      </c>
      <c r="T795" s="125">
        <v>0</v>
      </c>
      <c r="V795" s="125"/>
      <c r="W795" s="125"/>
    </row>
    <row r="796" spans="1:23">
      <c r="A796" s="121">
        <v>44135</v>
      </c>
      <c r="B796" s="125">
        <v>151466470.22874001</v>
      </c>
      <c r="C796" s="125">
        <v>49545789.679081</v>
      </c>
      <c r="D796" s="125">
        <v>55769647.651449002</v>
      </c>
      <c r="E796" s="125">
        <v>75043902.103841007</v>
      </c>
      <c r="F796" s="123">
        <f>SUM(C796:E796)</f>
        <v>180359339.43437099</v>
      </c>
      <c r="G796" s="125">
        <v>0</v>
      </c>
      <c r="H796" s="125">
        <v>1544.2414627868718</v>
      </c>
      <c r="I796" s="125">
        <v>931.31869692806845</v>
      </c>
      <c r="J796" s="125">
        <v>699.24119831247867</v>
      </c>
      <c r="K796" s="125">
        <v>825.45835512882059</v>
      </c>
      <c r="L796" s="164">
        <f>SUM(I796:K796)</f>
        <v>2456.0182503693677</v>
      </c>
      <c r="M796" s="125">
        <v>-39.531244566540323</v>
      </c>
      <c r="N796" s="115">
        <v>14625</v>
      </c>
      <c r="O796" s="116">
        <v>3512.4491886699002</v>
      </c>
      <c r="P796" s="125">
        <v>-367355.79</v>
      </c>
      <c r="Q796" s="125">
        <v>0</v>
      </c>
      <c r="S796" s="125">
        <v>-2514878.2800016901</v>
      </c>
      <c r="T796" s="125">
        <v>0</v>
      </c>
      <c r="V796" s="125"/>
      <c r="W796" s="125"/>
    </row>
    <row r="797" spans="1:23">
      <c r="A797" s="121">
        <v>44137</v>
      </c>
      <c r="B797" s="125">
        <v>150402731.72110823</v>
      </c>
      <c r="C797" s="125">
        <v>52550479.142378479</v>
      </c>
      <c r="D797" s="125">
        <v>56117348.466837838</v>
      </c>
      <c r="E797" s="125">
        <v>73884209.151219264</v>
      </c>
      <c r="F797" s="123">
        <v>182552036.76043558</v>
      </c>
      <c r="G797" s="125">
        <v>0</v>
      </c>
      <c r="H797" s="125">
        <v>1549.1029516877063</v>
      </c>
      <c r="I797" s="125">
        <v>988.18219784419625</v>
      </c>
      <c r="J797" s="125">
        <v>711.34927829466471</v>
      </c>
      <c r="K797" s="125">
        <v>818.29560692163318</v>
      </c>
      <c r="L797" s="164">
        <v>2517.8270830604943</v>
      </c>
      <c r="M797" s="125">
        <v>-39.531244566540323</v>
      </c>
      <c r="N797" s="115">
        <v>14640</v>
      </c>
      <c r="P797" s="125">
        <v>-271968.3</v>
      </c>
      <c r="Q797" s="125">
        <v>0</v>
      </c>
      <c r="S797" s="125">
        <v>-1006909.0000016901</v>
      </c>
      <c r="T797" s="125">
        <v>0</v>
      </c>
      <c r="V797" s="125"/>
      <c r="W797" s="125"/>
    </row>
    <row r="798" spans="1:23">
      <c r="A798" s="121">
        <v>44138</v>
      </c>
      <c r="B798" s="125">
        <v>150178011.30216825</v>
      </c>
      <c r="C798" s="125">
        <v>54251482.46089872</v>
      </c>
      <c r="D798" s="125">
        <v>56109495.880871549</v>
      </c>
      <c r="E798" s="125">
        <v>74483684.698290691</v>
      </c>
      <c r="F798" s="123">
        <v>184844663.04006094</v>
      </c>
      <c r="G798" s="125">
        <v>0</v>
      </c>
      <c r="H798" s="125">
        <v>1546.1192868232447</v>
      </c>
      <c r="I798" s="125">
        <v>1002.9205835161973</v>
      </c>
      <c r="J798" s="125">
        <v>710.84196345505597</v>
      </c>
      <c r="K798" s="125">
        <v>816.80954622184413</v>
      </c>
      <c r="L798" s="164">
        <v>2530.5720931930973</v>
      </c>
      <c r="M798" s="125">
        <v>-39.531244566540323</v>
      </c>
      <c r="N798" s="115">
        <v>14585</v>
      </c>
      <c r="P798" s="125">
        <v>-321799.95</v>
      </c>
      <c r="Q798" s="125">
        <v>0</v>
      </c>
      <c r="S798" s="125">
        <v>-1006909.0000016901</v>
      </c>
      <c r="T798" s="125">
        <v>0</v>
      </c>
      <c r="V798" s="125"/>
      <c r="W798" s="125"/>
    </row>
    <row r="799" spans="1:23">
      <c r="A799" s="121">
        <v>44139</v>
      </c>
      <c r="B799" s="125">
        <v>150180448.31968665</v>
      </c>
      <c r="C799" s="125">
        <v>53117004.982310742</v>
      </c>
      <c r="D799" s="125">
        <v>55903672.857389167</v>
      </c>
      <c r="E799" s="125">
        <v>74377009.291457832</v>
      </c>
      <c r="F799" s="123">
        <v>183397687.13115776</v>
      </c>
      <c r="G799" s="125">
        <v>0</v>
      </c>
      <c r="H799" s="125">
        <v>1536.7331446497442</v>
      </c>
      <c r="I799" s="125">
        <v>1010.9846689724054</v>
      </c>
      <c r="J799" s="125">
        <v>712.71063589129608</v>
      </c>
      <c r="K799" s="125">
        <v>813.614931935296</v>
      </c>
      <c r="L799" s="164">
        <v>2537.3102367989977</v>
      </c>
      <c r="M799" s="125">
        <v>-39.531244566540323</v>
      </c>
      <c r="N799" s="115">
        <v>14565</v>
      </c>
      <c r="P799" s="125">
        <v>-321799.95</v>
      </c>
      <c r="Q799" s="125">
        <v>0</v>
      </c>
      <c r="S799" s="125">
        <v>-1006909.0000016901</v>
      </c>
      <c r="T799" s="125">
        <v>0</v>
      </c>
      <c r="V799" s="125"/>
      <c r="W799" s="125"/>
    </row>
    <row r="800" spans="1:23">
      <c r="A800" s="121">
        <v>44140</v>
      </c>
      <c r="B800" s="125">
        <v>149658020.79266593</v>
      </c>
      <c r="C800" s="125">
        <v>53537296.654725678</v>
      </c>
      <c r="D800" s="125">
        <v>55670654.448976174</v>
      </c>
      <c r="E800" s="125">
        <v>75769537.777136147</v>
      </c>
      <c r="F800" s="123">
        <v>184977488.88083801</v>
      </c>
      <c r="G800" s="125">
        <v>0</v>
      </c>
      <c r="H800" s="125">
        <v>1498.5305184043002</v>
      </c>
      <c r="I800" s="125">
        <v>1010.6652286817771</v>
      </c>
      <c r="J800" s="125">
        <v>705.01856380796676</v>
      </c>
      <c r="K800" s="125">
        <v>806.53594011327823</v>
      </c>
      <c r="L800" s="164">
        <v>2522.2197326030218</v>
      </c>
      <c r="M800" s="125">
        <v>-40.004172897033769</v>
      </c>
      <c r="N800" s="115">
        <v>14380</v>
      </c>
      <c r="P800" s="125">
        <v>-49831.65</v>
      </c>
      <c r="Q800" s="125">
        <v>0</v>
      </c>
      <c r="S800" s="125">
        <v>-1006909.0000016901</v>
      </c>
      <c r="T800" s="125">
        <v>0</v>
      </c>
      <c r="V800" s="125"/>
      <c r="W800" s="125"/>
    </row>
    <row r="801" spans="1:23">
      <c r="A801" s="121">
        <v>44141</v>
      </c>
      <c r="B801" s="125">
        <v>149496010.94745949</v>
      </c>
      <c r="C801" s="125">
        <v>53361763.555192761</v>
      </c>
      <c r="D801" s="125">
        <v>55418595.705264784</v>
      </c>
      <c r="E801" s="125">
        <v>75879711.940378323</v>
      </c>
      <c r="F801" s="123">
        <v>184660071.20083588</v>
      </c>
      <c r="G801" s="125">
        <v>0</v>
      </c>
      <c r="H801" s="125">
        <v>1483.2623401382004</v>
      </c>
      <c r="I801" s="125">
        <v>1039.4770035168888</v>
      </c>
      <c r="J801" s="125">
        <v>699.57923906447149</v>
      </c>
      <c r="K801" s="125">
        <v>795.57829592613518</v>
      </c>
      <c r="L801" s="164">
        <v>2534.6345385074956</v>
      </c>
      <c r="M801" s="125">
        <v>-39.531244566540323</v>
      </c>
      <c r="N801" s="115">
        <v>14210</v>
      </c>
      <c r="P801" s="125">
        <v>-328072.05</v>
      </c>
      <c r="Q801" s="125">
        <v>0</v>
      </c>
      <c r="S801" s="125">
        <v>-1006909.0000016901</v>
      </c>
      <c r="T801" s="125">
        <v>0</v>
      </c>
      <c r="V801" s="125"/>
      <c r="W801" s="125"/>
    </row>
    <row r="802" spans="1:23">
      <c r="A802" s="121">
        <v>44144</v>
      </c>
      <c r="B802" s="125">
        <v>149259753.15555438</v>
      </c>
      <c r="C802" s="125">
        <v>53262640.720134534</v>
      </c>
      <c r="D802" s="125">
        <v>55386654.492270246</v>
      </c>
      <c r="E802" s="125">
        <v>77414632.151218832</v>
      </c>
      <c r="F802" s="123">
        <v>186063927.36362362</v>
      </c>
      <c r="G802" s="125">
        <v>0</v>
      </c>
      <c r="H802" s="125">
        <v>1482.0849823599292</v>
      </c>
      <c r="I802" s="125">
        <v>980.83565697416861</v>
      </c>
      <c r="J802" s="125">
        <v>690.58884581405403</v>
      </c>
      <c r="K802" s="125">
        <v>834.46664041571671</v>
      </c>
      <c r="L802" s="164">
        <v>2505.8911432039395</v>
      </c>
      <c r="M802" s="125">
        <v>-40.004172897033769</v>
      </c>
      <c r="N802" s="115">
        <v>14062.5</v>
      </c>
      <c r="P802" s="125">
        <v>-506657.25</v>
      </c>
      <c r="Q802" s="125">
        <v>0</v>
      </c>
      <c r="S802" s="125">
        <v>-1.6899999999999999E-6</v>
      </c>
      <c r="T802" s="125">
        <v>0</v>
      </c>
      <c r="V802" s="125"/>
      <c r="W802" s="125"/>
    </row>
    <row r="803" spans="1:23">
      <c r="A803" s="121">
        <v>44145</v>
      </c>
      <c r="B803" s="125">
        <v>148991259.63373777</v>
      </c>
      <c r="C803" s="125">
        <v>51373053.899132609</v>
      </c>
      <c r="D803" s="125">
        <v>55513931.804096624</v>
      </c>
      <c r="E803" s="125">
        <v>77569533.284294069</v>
      </c>
      <c r="F803" s="123">
        <v>184456518.98752332</v>
      </c>
      <c r="G803" s="125">
        <v>0</v>
      </c>
      <c r="H803" s="125">
        <v>1457.6966335507616</v>
      </c>
      <c r="I803" s="125">
        <v>970.32764036691276</v>
      </c>
      <c r="J803" s="125">
        <v>689.06815383853893</v>
      </c>
      <c r="K803" s="125">
        <v>844.46630175644395</v>
      </c>
      <c r="L803" s="164">
        <v>2503.8620959618956</v>
      </c>
      <c r="M803" s="125">
        <v>-90</v>
      </c>
      <c r="N803" s="115">
        <v>14050</v>
      </c>
      <c r="P803" s="125">
        <v>-456825.59999999998</v>
      </c>
      <c r="Q803" s="125">
        <v>0</v>
      </c>
      <c r="S803" s="125">
        <v>-1.6899999999999999E-6</v>
      </c>
      <c r="T803" s="125">
        <v>0</v>
      </c>
      <c r="V803" s="125"/>
      <c r="W803" s="125"/>
    </row>
    <row r="804" spans="1:23">
      <c r="A804" s="121">
        <v>44146</v>
      </c>
      <c r="B804" s="125">
        <v>148934089.53994295</v>
      </c>
      <c r="C804" s="125">
        <v>51276696.796298385</v>
      </c>
      <c r="D804" s="125">
        <v>55478983.85446614</v>
      </c>
      <c r="E804" s="125">
        <v>78900162.221290514</v>
      </c>
      <c r="F804" s="123">
        <v>185655842.87205505</v>
      </c>
      <c r="G804" s="125">
        <v>0</v>
      </c>
      <c r="H804" s="125">
        <v>1461.0156512703461</v>
      </c>
      <c r="I804" s="125">
        <v>965.39867741363889</v>
      </c>
      <c r="J804" s="125">
        <v>692.41311143849032</v>
      </c>
      <c r="K804" s="125">
        <v>850.13633022471595</v>
      </c>
      <c r="L804" s="164">
        <v>2507.9481190768452</v>
      </c>
      <c r="M804" s="125">
        <v>-90</v>
      </c>
      <c r="N804" s="115">
        <v>14085</v>
      </c>
      <c r="P804" s="125">
        <v>-456825.59999999998</v>
      </c>
      <c r="Q804" s="125">
        <v>0</v>
      </c>
      <c r="S804" s="125">
        <v>-1.6899999999999999E-6</v>
      </c>
      <c r="T804" s="125">
        <v>0</v>
      </c>
      <c r="V804" s="125"/>
      <c r="W804" s="125"/>
    </row>
    <row r="805" spans="1:23">
      <c r="A805" s="121">
        <v>44147</v>
      </c>
      <c r="B805" s="125">
        <v>149126191.47817242</v>
      </c>
      <c r="C805" s="125">
        <v>52210401.460638218</v>
      </c>
      <c r="D805" s="125">
        <v>55570393.988256402</v>
      </c>
      <c r="E805" s="125">
        <v>78651532.716893926</v>
      </c>
      <c r="F805" s="123">
        <v>186432328.16578853</v>
      </c>
      <c r="G805" s="125">
        <v>0</v>
      </c>
      <c r="H805" s="125">
        <v>1489.3734409958465</v>
      </c>
      <c r="I805" s="125">
        <v>977.33376530191413</v>
      </c>
      <c r="J805" s="125">
        <v>696.97315363126552</v>
      </c>
      <c r="K805" s="125">
        <v>845.85717141373232</v>
      </c>
      <c r="L805" s="164">
        <v>2520.164090346912</v>
      </c>
      <c r="M805" s="125">
        <v>-90</v>
      </c>
      <c r="N805" s="115">
        <v>14170</v>
      </c>
      <c r="P805" s="125">
        <v>-456825.59999999998</v>
      </c>
      <c r="Q805" s="125">
        <v>0</v>
      </c>
      <c r="S805" s="125">
        <v>-1.6899999999999999E-6</v>
      </c>
      <c r="T805" s="125">
        <v>0</v>
      </c>
      <c r="V805" s="125"/>
      <c r="W805" s="125"/>
    </row>
    <row r="806" spans="1:23">
      <c r="A806" s="121">
        <v>44148</v>
      </c>
      <c r="B806" s="125">
        <v>148769485.49615973</v>
      </c>
      <c r="C806" s="125">
        <v>51691796.092536747</v>
      </c>
      <c r="D806" s="125">
        <v>55788566.336391591</v>
      </c>
      <c r="E806" s="125">
        <v>78333938.364809647</v>
      </c>
      <c r="F806" s="123">
        <v>185814300.79373801</v>
      </c>
      <c r="G806" s="125">
        <v>0</v>
      </c>
      <c r="H806" s="125">
        <v>1480.6610274737789</v>
      </c>
      <c r="I806" s="125">
        <v>983.89436122463303</v>
      </c>
      <c r="J806" s="125">
        <v>698.23416876371971</v>
      </c>
      <c r="K806" s="125">
        <v>846.56107795291041</v>
      </c>
      <c r="L806" s="164">
        <v>2528.6896079412631</v>
      </c>
      <c r="M806" s="125">
        <v>-90</v>
      </c>
      <c r="N806" s="115">
        <v>14170</v>
      </c>
      <c r="P806" s="125">
        <v>-456825.59999999998</v>
      </c>
      <c r="Q806" s="125">
        <v>0</v>
      </c>
      <c r="S806" s="125">
        <v>-1.6899999999999999E-6</v>
      </c>
      <c r="T806" s="125">
        <v>0</v>
      </c>
      <c r="V806" s="125"/>
      <c r="W806" s="125"/>
    </row>
    <row r="807" spans="1:23">
      <c r="A807" s="121">
        <v>44151</v>
      </c>
      <c r="B807" s="125">
        <v>148908236.37610188</v>
      </c>
      <c r="C807" s="125">
        <v>53336223.032490194</v>
      </c>
      <c r="D807" s="125">
        <v>55752173.977395095</v>
      </c>
      <c r="E807" s="125">
        <v>78223487.076289982</v>
      </c>
      <c r="F807" s="123">
        <v>187311884.08617526</v>
      </c>
      <c r="G807" s="125">
        <v>0</v>
      </c>
      <c r="H807" s="125">
        <v>1482.4960508187762</v>
      </c>
      <c r="I807" s="125">
        <v>965.50285856440894</v>
      </c>
      <c r="J807" s="125">
        <v>703.07892824107751</v>
      </c>
      <c r="K807" s="125">
        <v>848.02640835283523</v>
      </c>
      <c r="L807" s="164">
        <v>2516.6081951583219</v>
      </c>
      <c r="M807" s="125">
        <v>-90</v>
      </c>
      <c r="N807" s="115">
        <v>14110</v>
      </c>
      <c r="P807" s="125">
        <v>-456825.59999999998</v>
      </c>
      <c r="Q807" s="125">
        <v>0</v>
      </c>
      <c r="S807" s="125">
        <v>-1.6899999999999999E-6</v>
      </c>
      <c r="T807" s="125">
        <v>0</v>
      </c>
      <c r="V807" s="125"/>
      <c r="W807" s="125"/>
    </row>
    <row r="808" spans="1:23">
      <c r="A808" s="121">
        <v>44152</v>
      </c>
      <c r="B808" s="125">
        <v>148877180.10289282</v>
      </c>
      <c r="C808" s="125">
        <v>53785648.536147699</v>
      </c>
      <c r="D808" s="125">
        <v>55572082.477929153</v>
      </c>
      <c r="E808" s="125">
        <v>78696700.000279069</v>
      </c>
      <c r="F808" s="123">
        <v>188054431.01435593</v>
      </c>
      <c r="G808" s="125">
        <v>0</v>
      </c>
      <c r="H808" s="125">
        <v>1477.6539391818483</v>
      </c>
      <c r="I808" s="125">
        <v>992.97685646723244</v>
      </c>
      <c r="J808" s="125">
        <v>702.82637206228878</v>
      </c>
      <c r="K808" s="125">
        <v>845.82674955473863</v>
      </c>
      <c r="L808" s="164">
        <v>2541.6299780842601</v>
      </c>
      <c r="M808" s="125">
        <v>-90</v>
      </c>
      <c r="N808" s="115">
        <v>14055</v>
      </c>
      <c r="P808" s="125">
        <v>-456825.59999999998</v>
      </c>
      <c r="Q808" s="125">
        <v>0</v>
      </c>
      <c r="S808" s="125">
        <v>-1.6899999999999999E-6</v>
      </c>
      <c r="T808" s="125">
        <v>0</v>
      </c>
      <c r="V808" s="125"/>
      <c r="W808" s="125"/>
    </row>
    <row r="809" spans="1:23">
      <c r="A809" s="121">
        <v>44153</v>
      </c>
      <c r="B809" s="125">
        <v>148950588.88306481</v>
      </c>
      <c r="C809" s="125">
        <v>53570818.050593317</v>
      </c>
      <c r="D809" s="125">
        <v>55363896.439145558</v>
      </c>
      <c r="E809" s="125">
        <v>78735106.357880875</v>
      </c>
      <c r="F809" s="123">
        <v>187669820.84761977</v>
      </c>
      <c r="G809" s="125">
        <v>0</v>
      </c>
      <c r="H809" s="125">
        <v>1478.9135348123893</v>
      </c>
      <c r="I809" s="125">
        <v>966.11710465341366</v>
      </c>
      <c r="J809" s="125">
        <v>700.97826840401558</v>
      </c>
      <c r="K809" s="125">
        <v>867.15878244036696</v>
      </c>
      <c r="L809" s="164">
        <v>2534.2541554977961</v>
      </c>
      <c r="M809" s="125">
        <v>-90</v>
      </c>
      <c r="N809" s="115">
        <v>14070</v>
      </c>
      <c r="P809" s="125">
        <v>-456825.59999999998</v>
      </c>
      <c r="Q809" s="125">
        <v>0</v>
      </c>
      <c r="S809" s="125">
        <v>-1.6899999999999999E-6</v>
      </c>
      <c r="T809" s="125">
        <v>0</v>
      </c>
      <c r="V809" s="125"/>
      <c r="W809" s="125"/>
    </row>
    <row r="810" spans="1:23">
      <c r="A810" s="121">
        <v>44154</v>
      </c>
      <c r="B810" s="125">
        <v>148949907.25333256</v>
      </c>
      <c r="C810" s="125">
        <v>53098350.528785393</v>
      </c>
      <c r="D810" s="125">
        <v>55563400.651379079</v>
      </c>
      <c r="E810" s="125">
        <v>78945142.293503851</v>
      </c>
      <c r="F810" s="123">
        <v>187606893.47366834</v>
      </c>
      <c r="G810" s="125">
        <v>0</v>
      </c>
      <c r="H810" s="125">
        <v>1471.6631863140738</v>
      </c>
      <c r="I810" s="125">
        <v>954.88238280372968</v>
      </c>
      <c r="J810" s="125">
        <v>703.73345697784168</v>
      </c>
      <c r="K810" s="125">
        <v>872.69108277097962</v>
      </c>
      <c r="L810" s="164">
        <v>2531.306922552551</v>
      </c>
      <c r="M810" s="125">
        <v>-90</v>
      </c>
      <c r="N810" s="115">
        <v>14155</v>
      </c>
      <c r="P810" s="125">
        <v>-456825.59999999998</v>
      </c>
      <c r="Q810" s="125">
        <v>0</v>
      </c>
      <c r="S810" s="125">
        <v>-1.6899999999999999E-6</v>
      </c>
      <c r="T810" s="125">
        <v>0</v>
      </c>
      <c r="V810" s="125"/>
      <c r="W810" s="125"/>
    </row>
    <row r="811" spans="1:23">
      <c r="A811" s="121">
        <v>44155</v>
      </c>
      <c r="B811" s="125">
        <v>148802828.27802607</v>
      </c>
      <c r="C811" s="125">
        <v>52619127.755237527</v>
      </c>
      <c r="D811" s="125">
        <v>55572052.22726696</v>
      </c>
      <c r="E811" s="125">
        <v>79022005.84874551</v>
      </c>
      <c r="F811" s="123">
        <v>187213185.83125001</v>
      </c>
      <c r="G811" s="125">
        <v>0</v>
      </c>
      <c r="H811" s="125">
        <v>1485.8485996126101</v>
      </c>
      <c r="I811" s="125">
        <v>957.41516483127145</v>
      </c>
      <c r="J811" s="125">
        <v>702.98447804068223</v>
      </c>
      <c r="K811" s="125">
        <v>882.93885175909497</v>
      </c>
      <c r="L811" s="164">
        <v>2543.3384946310489</v>
      </c>
      <c r="M811" s="125">
        <v>-90</v>
      </c>
      <c r="N811" s="115">
        <v>14165</v>
      </c>
      <c r="P811" s="125">
        <v>-456825.59999999998</v>
      </c>
      <c r="Q811" s="125">
        <v>0</v>
      </c>
      <c r="S811" s="125">
        <v>-1.6899999999999999E-6</v>
      </c>
      <c r="T811" s="125">
        <v>0</v>
      </c>
      <c r="V811" s="125"/>
      <c r="W811" s="125"/>
    </row>
    <row r="812" spans="1:23">
      <c r="A812" s="121">
        <v>44158</v>
      </c>
      <c r="B812" s="125">
        <v>148884878.6514613</v>
      </c>
      <c r="C812" s="125">
        <v>54412014.127667904</v>
      </c>
      <c r="D812" s="125">
        <v>55434993.477416068</v>
      </c>
      <c r="E812" s="125">
        <v>78632529.849584192</v>
      </c>
      <c r="F812" s="123">
        <v>188479537.45466816</v>
      </c>
      <c r="G812" s="125">
        <v>0</v>
      </c>
      <c r="H812" s="125">
        <v>1474.8270068858662</v>
      </c>
      <c r="I812" s="125">
        <v>946.24959897010194</v>
      </c>
      <c r="J812" s="125">
        <v>699.95996490951757</v>
      </c>
      <c r="K812" s="125">
        <v>889.21451806401842</v>
      </c>
      <c r="L812" s="164">
        <v>2535.4240819436382</v>
      </c>
      <c r="M812" s="125">
        <v>-90</v>
      </c>
      <c r="N812" s="115">
        <v>14149</v>
      </c>
      <c r="P812" s="125">
        <v>-456825.59999999998</v>
      </c>
      <c r="Q812" s="125">
        <v>0</v>
      </c>
      <c r="S812" s="125">
        <v>-1.6899999999999999E-6</v>
      </c>
      <c r="T812" s="125">
        <v>0</v>
      </c>
      <c r="V812" s="125"/>
      <c r="W812" s="125"/>
    </row>
    <row r="813" spans="1:23">
      <c r="A813" s="121">
        <v>44159</v>
      </c>
      <c r="B813" s="125">
        <v>148761887.66324785</v>
      </c>
      <c r="C813" s="125">
        <v>54821142.571924753</v>
      </c>
      <c r="D813" s="125">
        <v>55545663.939638577</v>
      </c>
      <c r="E813" s="125">
        <v>78283196.170446098</v>
      </c>
      <c r="F813" s="123">
        <v>188650002.68200943</v>
      </c>
      <c r="G813" s="125">
        <v>0</v>
      </c>
      <c r="H813" s="125">
        <v>1443.8269561413588</v>
      </c>
      <c r="I813" s="125">
        <v>946.68080245107024</v>
      </c>
      <c r="J813" s="125">
        <v>704.70723110988865</v>
      </c>
      <c r="K813" s="125">
        <v>915.20752315081279</v>
      </c>
      <c r="L813" s="164">
        <v>2566.5955567117717</v>
      </c>
      <c r="M813" s="125">
        <v>-90</v>
      </c>
      <c r="N813" s="115">
        <v>14155</v>
      </c>
      <c r="P813" s="125">
        <v>-456825.59999999998</v>
      </c>
      <c r="Q813" s="125">
        <v>0</v>
      </c>
      <c r="S813" s="125">
        <v>-1.6899999999999999E-6</v>
      </c>
      <c r="T813" s="125">
        <v>0</v>
      </c>
      <c r="V813" s="125"/>
      <c r="W813" s="125"/>
    </row>
    <row r="814" spans="1:23">
      <c r="A814" s="121">
        <v>44160</v>
      </c>
      <c r="B814" s="125">
        <v>148562497.42764547</v>
      </c>
      <c r="C814" s="125">
        <v>55064357.898105949</v>
      </c>
      <c r="D814" s="125">
        <v>55926513.565255433</v>
      </c>
      <c r="E814" s="125">
        <v>78406119.367357671</v>
      </c>
      <c r="F814" s="123">
        <v>189396990.83071905</v>
      </c>
      <c r="G814" s="125">
        <v>0</v>
      </c>
      <c r="H814" s="125">
        <v>1465.1393740226881</v>
      </c>
      <c r="I814" s="125">
        <v>929.47201662740133</v>
      </c>
      <c r="J814" s="125">
        <v>699.92037996707018</v>
      </c>
      <c r="K814" s="125">
        <v>912.12034095401214</v>
      </c>
      <c r="L814" s="164">
        <v>2541.5127375484835</v>
      </c>
      <c r="M814" s="125">
        <v>-90</v>
      </c>
      <c r="N814" s="115">
        <v>14140</v>
      </c>
      <c r="P814" s="125">
        <v>-636762.6</v>
      </c>
      <c r="Q814" s="125">
        <v>0</v>
      </c>
      <c r="S814" s="125">
        <v>-1.6899999999999999E-6</v>
      </c>
      <c r="T814" s="125">
        <v>0</v>
      </c>
      <c r="V814" s="125"/>
      <c r="W814" s="125"/>
    </row>
    <row r="815" spans="1:23">
      <c r="A815" s="121">
        <v>44161</v>
      </c>
      <c r="B815" s="125">
        <v>148627424.74374813</v>
      </c>
      <c r="C815" s="125">
        <v>54746616.197777219</v>
      </c>
      <c r="D815" s="125">
        <v>56544350.616154887</v>
      </c>
      <c r="E815" s="125">
        <v>77722611.524087846</v>
      </c>
      <c r="F815" s="123">
        <v>189013578.33801997</v>
      </c>
      <c r="G815" s="125">
        <v>0</v>
      </c>
      <c r="H815" s="125">
        <v>1459.8922610838483</v>
      </c>
      <c r="I815" s="125">
        <v>923.79452559776814</v>
      </c>
      <c r="J815" s="125">
        <v>698.03591927849504</v>
      </c>
      <c r="K815" s="125">
        <v>906.61230724257541</v>
      </c>
      <c r="L815" s="164">
        <v>2528.4427521188386</v>
      </c>
      <c r="M815" s="125">
        <v>-90</v>
      </c>
      <c r="N815" s="115">
        <v>14100</v>
      </c>
      <c r="P815" s="125">
        <v>-636762.6</v>
      </c>
      <c r="Q815" s="125">
        <v>0</v>
      </c>
      <c r="S815" s="125">
        <v>-1.6899999999999999E-6</v>
      </c>
      <c r="T815" s="125">
        <v>0</v>
      </c>
      <c r="V815" s="125"/>
      <c r="W815" s="125"/>
    </row>
    <row r="816" spans="1:23">
      <c r="A816" s="121">
        <v>44162</v>
      </c>
      <c r="B816" s="125">
        <v>148761104.41960427</v>
      </c>
      <c r="C816" s="125">
        <v>54448371.686125681</v>
      </c>
      <c r="D816" s="125">
        <v>57013787.022590935</v>
      </c>
      <c r="E816" s="125">
        <v>77706424.703995854</v>
      </c>
      <c r="F816" s="123">
        <v>189168583.41271245</v>
      </c>
      <c r="G816" s="125">
        <v>0</v>
      </c>
      <c r="H816" s="125">
        <v>1445.887023493822</v>
      </c>
      <c r="I816" s="125">
        <v>954.32279993093084</v>
      </c>
      <c r="J816" s="125">
        <v>698.62608662573177</v>
      </c>
      <c r="K816" s="125">
        <v>893.950395688811</v>
      </c>
      <c r="L816" s="164">
        <v>2546.8992822454738</v>
      </c>
      <c r="M816" s="125">
        <v>-90</v>
      </c>
      <c r="N816" s="115">
        <v>14090</v>
      </c>
      <c r="P816" s="125">
        <v>-636762.6</v>
      </c>
      <c r="Q816" s="125">
        <v>0</v>
      </c>
      <c r="S816" s="125">
        <v>-1.6899999999999999E-6</v>
      </c>
      <c r="T816" s="125">
        <v>0</v>
      </c>
      <c r="V816" s="125"/>
      <c r="W816" s="125"/>
    </row>
    <row r="817" spans="1:23">
      <c r="A817" s="121">
        <v>44165</v>
      </c>
      <c r="B817" s="125">
        <v>149933233.99653852</v>
      </c>
      <c r="C817" s="125">
        <v>55127581.456522979</v>
      </c>
      <c r="D817" s="125">
        <v>57479507.195197091</v>
      </c>
      <c r="E817" s="125">
        <v>78134213.467524558</v>
      </c>
      <c r="F817" s="123">
        <v>190741302.11924464</v>
      </c>
      <c r="G817" s="125">
        <v>0</v>
      </c>
      <c r="H817" s="125">
        <v>1454.609543355853</v>
      </c>
      <c r="I817" s="125">
        <v>944.3197057267156</v>
      </c>
      <c r="J817" s="125">
        <v>700.56581543538675</v>
      </c>
      <c r="K817" s="125">
        <v>902.79002046182472</v>
      </c>
      <c r="L817" s="164">
        <v>2547.6755416239271</v>
      </c>
      <c r="M817" s="125">
        <v>-90</v>
      </c>
      <c r="N817" s="115">
        <v>14120</v>
      </c>
      <c r="O817" s="116">
        <v>3468.4399598181999</v>
      </c>
      <c r="P817" s="125">
        <v>-636762.6</v>
      </c>
      <c r="Q817" s="125">
        <v>0</v>
      </c>
      <c r="S817" s="125">
        <v>-1.6899999999999999E-6</v>
      </c>
      <c r="T817" s="125">
        <v>0</v>
      </c>
      <c r="V817" s="125"/>
      <c r="W817" s="125"/>
    </row>
    <row r="818" spans="1:23">
      <c r="A818" s="121">
        <v>44166</v>
      </c>
      <c r="B818" s="125">
        <v>149307514.16072714</v>
      </c>
      <c r="C818" s="125">
        <v>54909045.002140172</v>
      </c>
      <c r="D818" s="125">
        <v>57227513.491924934</v>
      </c>
      <c r="E818" s="125">
        <v>77654008.617688432</v>
      </c>
      <c r="F818" s="123">
        <v>189790567.11175352</v>
      </c>
      <c r="G818" s="125">
        <v>0</v>
      </c>
      <c r="H818" s="125">
        <v>1453.2855991009367</v>
      </c>
      <c r="I818" s="125">
        <v>936.42534291455763</v>
      </c>
      <c r="J818" s="125">
        <v>701.32161251334526</v>
      </c>
      <c r="K818" s="125">
        <v>900.52465843697473</v>
      </c>
      <c r="L818" s="164">
        <v>2538.2716138648775</v>
      </c>
      <c r="M818" s="125">
        <v>-90</v>
      </c>
      <c r="N818" s="115">
        <v>14130</v>
      </c>
      <c r="P818" s="125">
        <v>-636762.6</v>
      </c>
      <c r="Q818" s="125">
        <v>0</v>
      </c>
      <c r="S818" s="125">
        <v>-1.6899999999999999E-6</v>
      </c>
      <c r="T818" s="125">
        <v>0</v>
      </c>
      <c r="V818" s="125"/>
      <c r="W818" s="125"/>
    </row>
    <row r="819" spans="1:23">
      <c r="A819" s="121">
        <v>44167</v>
      </c>
      <c r="B819" s="125">
        <v>149240492.10205388</v>
      </c>
      <c r="C819" s="125">
        <v>56289517.660069644</v>
      </c>
      <c r="D819" s="125">
        <v>57138813.32923162</v>
      </c>
      <c r="E819" s="125">
        <v>77078931.622417107</v>
      </c>
      <c r="F819" s="123">
        <v>190507262.61171836</v>
      </c>
      <c r="G819" s="125">
        <v>0</v>
      </c>
      <c r="H819" s="125">
        <v>1445.5378681339621</v>
      </c>
      <c r="I819" s="125">
        <v>935.3557248878376</v>
      </c>
      <c r="J819" s="125">
        <v>700.74352263826199</v>
      </c>
      <c r="K819" s="125">
        <v>892.15318235033146</v>
      </c>
      <c r="L819" s="164">
        <v>2528.2524298764311</v>
      </c>
      <c r="M819" s="125">
        <v>-90</v>
      </c>
      <c r="N819" s="115">
        <v>14125</v>
      </c>
      <c r="P819" s="125">
        <v>-636762.6</v>
      </c>
      <c r="Q819" s="125">
        <v>0</v>
      </c>
      <c r="S819" s="125">
        <v>-1.6899999999999999E-6</v>
      </c>
      <c r="T819" s="125">
        <v>0</v>
      </c>
      <c r="V819" s="125"/>
      <c r="W819" s="125"/>
    </row>
    <row r="820" spans="1:23">
      <c r="A820" s="121">
        <v>44168</v>
      </c>
      <c r="B820" s="125">
        <v>149141397.56933215</v>
      </c>
      <c r="C820" s="125">
        <v>56496043.656115688</v>
      </c>
      <c r="D820" s="125">
        <v>57168269.472604573</v>
      </c>
      <c r="E820" s="125">
        <v>77048111.156571805</v>
      </c>
      <c r="F820" s="123">
        <v>190712424.28529206</v>
      </c>
      <c r="G820" s="125">
        <v>0</v>
      </c>
      <c r="H820" s="125">
        <v>1443.770404439156</v>
      </c>
      <c r="I820" s="125">
        <v>926.78983463827706</v>
      </c>
      <c r="J820" s="125">
        <v>700.41595152790751</v>
      </c>
      <c r="K820" s="125">
        <v>881.09515499683062</v>
      </c>
      <c r="L820" s="164">
        <v>2508.3009411630155</v>
      </c>
      <c r="M820" s="125">
        <v>-90</v>
      </c>
      <c r="N820" s="115">
        <v>14140</v>
      </c>
      <c r="P820" s="125">
        <v>-636762.6</v>
      </c>
      <c r="Q820" s="125">
        <v>0</v>
      </c>
      <c r="S820" s="125">
        <v>-1.6899999999999999E-6</v>
      </c>
      <c r="T820" s="125">
        <v>0</v>
      </c>
      <c r="V820" s="125"/>
      <c r="W820" s="125"/>
    </row>
    <row r="821" spans="1:23">
      <c r="A821" s="121">
        <v>44169</v>
      </c>
      <c r="B821" s="125">
        <v>148997747.83704662</v>
      </c>
      <c r="C821" s="125">
        <v>55888086.542152509</v>
      </c>
      <c r="D821" s="125">
        <v>57228173.120874166</v>
      </c>
      <c r="E821" s="125">
        <v>76468185.427553013</v>
      </c>
      <c r="F821" s="123">
        <v>189584445.09057969</v>
      </c>
      <c r="G821" s="125">
        <v>0</v>
      </c>
      <c r="H821" s="125">
        <v>1466.443933504738</v>
      </c>
      <c r="I821" s="125">
        <v>938.20373884551236</v>
      </c>
      <c r="J821" s="125">
        <v>690.12293189609807</v>
      </c>
      <c r="K821" s="125">
        <v>881.38611927530144</v>
      </c>
      <c r="L821" s="164">
        <v>2509.7127900169121</v>
      </c>
      <c r="M821" s="125">
        <v>-90</v>
      </c>
      <c r="N821" s="115">
        <v>14105</v>
      </c>
      <c r="P821" s="125">
        <v>-636762.6</v>
      </c>
      <c r="Q821" s="125">
        <v>0</v>
      </c>
      <c r="S821" s="125">
        <v>-1.6899999999999999E-6</v>
      </c>
      <c r="T821" s="125">
        <v>0</v>
      </c>
      <c r="V821" s="125"/>
      <c r="W821" s="125"/>
    </row>
    <row r="822" spans="1:23">
      <c r="A822" s="121">
        <v>44172</v>
      </c>
      <c r="B822" s="125">
        <v>148772549.83501562</v>
      </c>
      <c r="C822" s="125">
        <v>56447707.078006744</v>
      </c>
      <c r="D822" s="125">
        <v>56915926.250535689</v>
      </c>
      <c r="E822" s="125">
        <v>75324210.990073189</v>
      </c>
      <c r="F822" s="123">
        <v>188687844.31861562</v>
      </c>
      <c r="G822" s="125">
        <v>0</v>
      </c>
      <c r="H822" s="125">
        <v>1455.9960461330445</v>
      </c>
      <c r="I822" s="125">
        <v>990.26148131867296</v>
      </c>
      <c r="J822" s="125">
        <v>686.0993431117372</v>
      </c>
      <c r="K822" s="125">
        <v>862.67084541604663</v>
      </c>
      <c r="L822" s="164">
        <v>2539.0316698464567</v>
      </c>
      <c r="M822" s="125">
        <v>-90</v>
      </c>
      <c r="N822" s="115">
        <v>14105</v>
      </c>
      <c r="P822" s="125">
        <v>-358522.2</v>
      </c>
      <c r="Q822" s="125">
        <v>0</v>
      </c>
      <c r="S822" s="125">
        <v>-1.6899999999999999E-6</v>
      </c>
      <c r="T822" s="125">
        <v>0</v>
      </c>
      <c r="V822" s="125"/>
      <c r="W822" s="125"/>
    </row>
    <row r="823" spans="1:23">
      <c r="A823" s="121">
        <v>44173</v>
      </c>
      <c r="B823" s="125">
        <v>148116006.37123284</v>
      </c>
      <c r="C823" s="125">
        <v>55871163.886984982</v>
      </c>
      <c r="D823" s="125">
        <v>56906369.130033292</v>
      </c>
      <c r="E823" s="125">
        <v>74858538.704153627</v>
      </c>
      <c r="F823" s="123">
        <v>187636071.72117192</v>
      </c>
      <c r="G823" s="125">
        <v>0</v>
      </c>
      <c r="H823" s="125">
        <v>1475.5560786606216</v>
      </c>
      <c r="I823" s="125">
        <v>1004.3710201233381</v>
      </c>
      <c r="J823" s="125">
        <v>693.66612703987812</v>
      </c>
      <c r="K823" s="125">
        <v>870.41251732844455</v>
      </c>
      <c r="L823" s="164">
        <v>2568.4496644916608</v>
      </c>
      <c r="M823" s="125">
        <v>-93.962264150943398</v>
      </c>
      <c r="N823" s="115">
        <v>14110</v>
      </c>
      <c r="P823" s="125">
        <v>-497549.25</v>
      </c>
      <c r="Q823" s="125">
        <v>0</v>
      </c>
      <c r="S823" s="125">
        <v>-1.6899999999999999E-6</v>
      </c>
      <c r="T823" s="125">
        <v>0</v>
      </c>
      <c r="V823" s="125"/>
      <c r="W823" s="125"/>
    </row>
    <row r="824" spans="1:23">
      <c r="A824" s="121">
        <v>44175</v>
      </c>
      <c r="B824" s="125">
        <v>148232961.84951711</v>
      </c>
      <c r="C824" s="125">
        <v>54769146.543276489</v>
      </c>
      <c r="D824" s="125">
        <v>57206321.681404397</v>
      </c>
      <c r="E824" s="125">
        <v>74079350.090207726</v>
      </c>
      <c r="F824" s="123">
        <v>186054818.3148886</v>
      </c>
      <c r="G824" s="125">
        <v>0</v>
      </c>
      <c r="H824" s="125">
        <v>1494.6276596019809</v>
      </c>
      <c r="I824" s="125">
        <v>960.27371492707869</v>
      </c>
      <c r="J824" s="125">
        <v>692.77908143306638</v>
      </c>
      <c r="K824" s="125">
        <v>882.4719849219299</v>
      </c>
      <c r="L824" s="164">
        <v>2535.5247812820749</v>
      </c>
      <c r="M824" s="125">
        <v>-90</v>
      </c>
      <c r="N824" s="115">
        <v>14105</v>
      </c>
      <c r="P824" s="125">
        <v>-318964.05</v>
      </c>
      <c r="Q824" s="125">
        <v>0</v>
      </c>
      <c r="S824" s="125">
        <v>-1.6899999999999999E-6</v>
      </c>
      <c r="T824" s="125">
        <v>0</v>
      </c>
      <c r="V824" s="125"/>
      <c r="W824" s="125"/>
    </row>
    <row r="825" spans="1:23">
      <c r="A825" s="121">
        <v>44176</v>
      </c>
      <c r="B825" s="125">
        <v>148182005.18645692</v>
      </c>
      <c r="C825" s="125">
        <v>56617726.730756178</v>
      </c>
      <c r="D825" s="125">
        <v>57432520.468697146</v>
      </c>
      <c r="E825" s="125">
        <v>75245505.870783269</v>
      </c>
      <c r="F825" s="123">
        <v>189295753.07023659</v>
      </c>
      <c r="G825" s="125">
        <v>0</v>
      </c>
      <c r="H825" s="125">
        <v>1488.0182356267717</v>
      </c>
      <c r="I825" s="125">
        <v>974.5595982905844</v>
      </c>
      <c r="J825" s="125">
        <v>695.60472160825225</v>
      </c>
      <c r="K825" s="125">
        <v>875.62836403816436</v>
      </c>
      <c r="L825" s="164">
        <v>2545.7926839370011</v>
      </c>
      <c r="M825" s="125">
        <v>-90</v>
      </c>
      <c r="N825" s="115">
        <v>14080</v>
      </c>
      <c r="P825" s="125">
        <v>-318964.05</v>
      </c>
      <c r="Q825" s="125">
        <v>0</v>
      </c>
      <c r="S825" s="125">
        <v>-1.6899999999999999E-6</v>
      </c>
      <c r="T825" s="125">
        <v>0</v>
      </c>
      <c r="V825" s="125"/>
      <c r="W825" s="125"/>
    </row>
    <row r="826" spans="1:23">
      <c r="A826" s="121">
        <v>44179</v>
      </c>
      <c r="B826" s="125">
        <v>148470266.10865149</v>
      </c>
      <c r="C826" s="125">
        <v>55898961.104511894</v>
      </c>
      <c r="D826" s="125">
        <v>57422640.725739352</v>
      </c>
      <c r="E826" s="125">
        <v>75013756.073577225</v>
      </c>
      <c r="F826" s="123">
        <v>188335357.90382847</v>
      </c>
      <c r="G826" s="125">
        <v>0</v>
      </c>
      <c r="H826" s="125">
        <v>1497.8708858672708</v>
      </c>
      <c r="I826" s="125">
        <v>958.52488087677341</v>
      </c>
      <c r="J826" s="125">
        <v>696.93158177213411</v>
      </c>
      <c r="K826" s="125">
        <v>873.97710449187218</v>
      </c>
      <c r="L826" s="164">
        <v>2529.4335671407798</v>
      </c>
      <c r="M826" s="125">
        <v>-90</v>
      </c>
      <c r="N826" s="115">
        <v>14095</v>
      </c>
      <c r="P826" s="125">
        <v>-605239.65</v>
      </c>
      <c r="Q826" s="125">
        <v>0</v>
      </c>
      <c r="S826" s="125">
        <v>-1.6899999999999999E-6</v>
      </c>
      <c r="T826" s="125">
        <v>0</v>
      </c>
      <c r="V826" s="125"/>
      <c r="W826" s="125"/>
    </row>
    <row r="827" spans="1:23">
      <c r="A827" s="121">
        <v>44180</v>
      </c>
      <c r="B827" s="125">
        <v>148556527.04891372</v>
      </c>
      <c r="C827" s="125">
        <v>54914609.655063674</v>
      </c>
      <c r="D827" s="125">
        <v>57565063.282659173</v>
      </c>
      <c r="E827" s="125">
        <v>73925359.145131558</v>
      </c>
      <c r="F827" s="123">
        <v>186405032.08285439</v>
      </c>
      <c r="G827" s="125">
        <v>0</v>
      </c>
      <c r="H827" s="125">
        <v>1491.4707087582844</v>
      </c>
      <c r="I827" s="125">
        <v>958.28237831692638</v>
      </c>
      <c r="J827" s="125">
        <v>694.82965235535471</v>
      </c>
      <c r="K827" s="125">
        <v>875.52754819698362</v>
      </c>
      <c r="L827" s="164">
        <v>2528.6395788692644</v>
      </c>
      <c r="M827" s="125">
        <v>-90</v>
      </c>
      <c r="N827" s="115">
        <v>14120</v>
      </c>
      <c r="P827" s="125">
        <v>-605239.65</v>
      </c>
      <c r="Q827" s="125">
        <v>0</v>
      </c>
      <c r="S827" s="125">
        <v>-1.6899999999999999E-6</v>
      </c>
      <c r="T827" s="125">
        <v>0</v>
      </c>
      <c r="V827" s="125"/>
      <c r="W827" s="125"/>
    </row>
    <row r="828" spans="1:23">
      <c r="A828" s="121">
        <v>44181</v>
      </c>
      <c r="B828" s="125">
        <v>148661552.81004471</v>
      </c>
      <c r="C828" s="125">
        <v>54145605.743967578</v>
      </c>
      <c r="D828" s="125">
        <v>57393002.38696485</v>
      </c>
      <c r="E828" s="125">
        <v>73915679.44109869</v>
      </c>
      <c r="F828" s="123">
        <v>185454287.57203111</v>
      </c>
      <c r="G828" s="125">
        <v>0</v>
      </c>
      <c r="H828" s="125">
        <v>1492.1451902870708</v>
      </c>
      <c r="I828" s="125">
        <v>973.75551019474904</v>
      </c>
      <c r="J828" s="125">
        <v>692.16813541296915</v>
      </c>
      <c r="K828" s="125">
        <v>874.295212400482</v>
      </c>
      <c r="L828" s="164">
        <v>2540.2188580082002</v>
      </c>
      <c r="M828" s="125">
        <v>-90</v>
      </c>
      <c r="N828" s="115">
        <v>14125</v>
      </c>
      <c r="P828" s="125">
        <v>-605239.65</v>
      </c>
      <c r="Q828" s="125">
        <v>0</v>
      </c>
      <c r="S828" s="125">
        <v>-1.6899999999999999E-6</v>
      </c>
      <c r="T828" s="125">
        <v>0</v>
      </c>
      <c r="V828" s="125"/>
      <c r="W828" s="125"/>
    </row>
    <row r="829" spans="1:23">
      <c r="A829" s="121">
        <v>44182</v>
      </c>
      <c r="B829" s="125">
        <v>148802277.91968879</v>
      </c>
      <c r="C829" s="125">
        <v>54582647.106193915</v>
      </c>
      <c r="D829" s="125">
        <v>57543684.207333058</v>
      </c>
      <c r="E829" s="125">
        <v>73538374.886082619</v>
      </c>
      <c r="F829" s="123">
        <v>185664706.19960958</v>
      </c>
      <c r="G829" s="125">
        <v>0</v>
      </c>
      <c r="H829" s="125">
        <v>1472.5934180228724</v>
      </c>
      <c r="I829" s="125">
        <v>982.01200802288236</v>
      </c>
      <c r="J829" s="125">
        <v>691.57071088150576</v>
      </c>
      <c r="K829" s="125">
        <v>870.35320285756973</v>
      </c>
      <c r="L829" s="164">
        <v>2543.9359217619576</v>
      </c>
      <c r="M829" s="125">
        <v>-90</v>
      </c>
      <c r="N829" s="115">
        <v>14105</v>
      </c>
      <c r="P829" s="125">
        <v>-605239.65</v>
      </c>
      <c r="Q829" s="125">
        <v>0</v>
      </c>
      <c r="S829" s="125">
        <v>-1.6899999999999999E-6</v>
      </c>
      <c r="T829" s="125">
        <v>0</v>
      </c>
      <c r="V829" s="125"/>
      <c r="W829" s="125"/>
    </row>
    <row r="830" spans="1:23">
      <c r="A830" s="121">
        <v>44183</v>
      </c>
      <c r="B830" s="125">
        <v>148872312.05468002</v>
      </c>
      <c r="C830" s="125">
        <v>53339480.351041935</v>
      </c>
      <c r="D830" s="125">
        <v>57725191.904066503</v>
      </c>
      <c r="E830" s="125">
        <v>73343457.773751706</v>
      </c>
      <c r="F830" s="123">
        <v>184408130.02886015</v>
      </c>
      <c r="G830" s="125">
        <v>0</v>
      </c>
      <c r="H830" s="125">
        <v>1475.1946092742571</v>
      </c>
      <c r="I830" s="125">
        <v>968.18872677064951</v>
      </c>
      <c r="J830" s="125">
        <v>691.13771889636462</v>
      </c>
      <c r="K830" s="125">
        <v>862.05049065604021</v>
      </c>
      <c r="L830" s="164">
        <v>2521.376936323054</v>
      </c>
      <c r="M830" s="125">
        <v>-90</v>
      </c>
      <c r="N830" s="115">
        <v>14110</v>
      </c>
      <c r="P830" s="125">
        <v>-605239.65</v>
      </c>
      <c r="Q830" s="125">
        <v>0</v>
      </c>
      <c r="S830" s="125">
        <v>-1.6899999999999999E-6</v>
      </c>
      <c r="T830" s="125">
        <v>0</v>
      </c>
      <c r="V830" s="125"/>
      <c r="W830" s="125"/>
    </row>
    <row r="831" spans="1:23">
      <c r="A831" s="121">
        <v>44186</v>
      </c>
      <c r="B831" s="125">
        <v>148801186.40760881</v>
      </c>
      <c r="C831" s="125">
        <v>53929667.888027638</v>
      </c>
      <c r="D831" s="125">
        <v>58077571.552961886</v>
      </c>
      <c r="E831" s="125">
        <v>71790249.20338431</v>
      </c>
      <c r="F831" s="123">
        <v>183797488.64437383</v>
      </c>
      <c r="G831" s="125">
        <v>0</v>
      </c>
      <c r="H831" s="125">
        <v>1463.8345086363865</v>
      </c>
      <c r="I831" s="125">
        <v>946.48055866376956</v>
      </c>
      <c r="J831" s="125">
        <v>694.45968665026498</v>
      </c>
      <c r="K831" s="125">
        <v>855.98218125608184</v>
      </c>
      <c r="L831" s="164">
        <v>2496.9224265701164</v>
      </c>
      <c r="M831" s="125">
        <v>-90</v>
      </c>
      <c r="N831" s="115">
        <v>14130</v>
      </c>
      <c r="P831" s="125">
        <v>-605239.65</v>
      </c>
      <c r="Q831" s="125">
        <v>0</v>
      </c>
      <c r="S831" s="125">
        <v>-1.6899999999999999E-6</v>
      </c>
      <c r="T831" s="125">
        <v>0</v>
      </c>
      <c r="V831" s="125"/>
      <c r="W831" s="125"/>
    </row>
    <row r="832" spans="1:23">
      <c r="A832" s="121">
        <v>44187</v>
      </c>
      <c r="B832" s="125">
        <v>148944282.67117798</v>
      </c>
      <c r="C832" s="125">
        <v>54870019.944970012</v>
      </c>
      <c r="D832" s="125">
        <v>58410017.265795164</v>
      </c>
      <c r="E832" s="125">
        <v>71611381.122470185</v>
      </c>
      <c r="F832" s="123">
        <v>184891418.33323538</v>
      </c>
      <c r="G832" s="125">
        <v>0</v>
      </c>
      <c r="H832" s="125">
        <v>1465.4388827292407</v>
      </c>
      <c r="I832" s="125">
        <v>917.75515803604833</v>
      </c>
      <c r="J832" s="125">
        <v>691.29981329262307</v>
      </c>
      <c r="K832" s="125">
        <v>854.990337106521</v>
      </c>
      <c r="L832" s="164">
        <v>2464.0453084351925</v>
      </c>
      <c r="M832" s="125">
        <v>-90</v>
      </c>
      <c r="N832" s="115">
        <v>14205</v>
      </c>
      <c r="P832" s="125">
        <v>-605239.65</v>
      </c>
      <c r="Q832" s="125">
        <v>0</v>
      </c>
      <c r="S832" s="125">
        <v>-1.6899999999999999E-6</v>
      </c>
      <c r="T832" s="125">
        <v>0</v>
      </c>
      <c r="V832" s="125"/>
      <c r="W832" s="125"/>
    </row>
    <row r="833" spans="1:23">
      <c r="A833" s="121">
        <v>44188</v>
      </c>
      <c r="B833" s="125">
        <v>148955583.37742433</v>
      </c>
      <c r="C833" s="125">
        <v>52820003.905966885</v>
      </c>
      <c r="D833" s="125">
        <v>59003542.586745605</v>
      </c>
      <c r="E833" s="125">
        <v>71005971.811246097</v>
      </c>
      <c r="F833" s="123">
        <v>182829518.30395859</v>
      </c>
      <c r="G833" s="125">
        <v>0</v>
      </c>
      <c r="H833" s="125">
        <v>1478.4624061805614</v>
      </c>
      <c r="I833" s="125">
        <v>893.51402018291708</v>
      </c>
      <c r="J833" s="125">
        <v>688.80040757818529</v>
      </c>
      <c r="K833" s="125">
        <v>848.94978762935853</v>
      </c>
      <c r="L833" s="164">
        <v>2431.2642153904608</v>
      </c>
      <c r="M833" s="125">
        <v>-90</v>
      </c>
      <c r="N833" s="115">
        <v>14200</v>
      </c>
      <c r="P833" s="125">
        <v>-605239.65</v>
      </c>
      <c r="Q833" s="125">
        <v>0</v>
      </c>
      <c r="S833" s="125">
        <v>-1.6899999999999999E-6</v>
      </c>
      <c r="T833" s="125">
        <v>0</v>
      </c>
      <c r="V833" s="125"/>
      <c r="W833" s="125"/>
    </row>
    <row r="834" spans="1:23">
      <c r="A834" s="121">
        <v>44193</v>
      </c>
      <c r="B834" s="125">
        <v>149275841.58890283</v>
      </c>
      <c r="C834" s="125">
        <v>52271685.600188754</v>
      </c>
      <c r="D834" s="125">
        <v>58510553.186834618</v>
      </c>
      <c r="E834" s="125">
        <v>70695687.914064288</v>
      </c>
      <c r="F834" s="123">
        <v>181477926.70108765</v>
      </c>
      <c r="G834" s="125">
        <v>0</v>
      </c>
      <c r="H834" s="125">
        <v>1487.5589624518177</v>
      </c>
      <c r="I834" s="125">
        <v>933.52182471564674</v>
      </c>
      <c r="J834" s="125">
        <v>685.21317152059362</v>
      </c>
      <c r="K834" s="125">
        <v>844.78593525268309</v>
      </c>
      <c r="L834" s="164">
        <v>2463.5209314889235</v>
      </c>
      <c r="M834" s="125">
        <v>-90</v>
      </c>
      <c r="N834" s="115">
        <v>14155</v>
      </c>
      <c r="P834" s="125">
        <v>-605239.65</v>
      </c>
      <c r="Q834" s="125">
        <v>0</v>
      </c>
      <c r="S834" s="125">
        <v>-1.6899999999999999E-6</v>
      </c>
      <c r="T834" s="125">
        <v>0</v>
      </c>
      <c r="V834" s="125"/>
      <c r="W834" s="125"/>
    </row>
    <row r="835" spans="1:23">
      <c r="A835" s="121">
        <v>44194</v>
      </c>
      <c r="B835" s="125">
        <v>149141979.66062596</v>
      </c>
      <c r="C835" s="125">
        <v>45489516.033083946</v>
      </c>
      <c r="D835" s="125">
        <v>58240284.232488818</v>
      </c>
      <c r="E835" s="125">
        <v>70942538.459178075</v>
      </c>
      <c r="F835" s="123">
        <v>174672338.72475082</v>
      </c>
      <c r="G835" s="125">
        <v>0</v>
      </c>
      <c r="H835" s="125">
        <v>1490.8301790834455</v>
      </c>
      <c r="I835" s="125">
        <v>912.59308334302727</v>
      </c>
      <c r="J835" s="125">
        <v>676.003776783533</v>
      </c>
      <c r="K835" s="125">
        <v>856.90792626027121</v>
      </c>
      <c r="L835" s="164">
        <v>2445.5047863868317</v>
      </c>
      <c r="M835" s="125">
        <v>-90</v>
      </c>
      <c r="N835" s="115">
        <v>14130</v>
      </c>
      <c r="P835" s="125">
        <v>-605239.65</v>
      </c>
      <c r="Q835" s="125">
        <v>0</v>
      </c>
      <c r="S835" s="125">
        <v>-3930252.3000008198</v>
      </c>
      <c r="T835" s="125">
        <v>0</v>
      </c>
      <c r="V835" s="125"/>
      <c r="W835" s="125"/>
    </row>
    <row r="836" spans="1:23">
      <c r="A836" s="121">
        <v>44195</v>
      </c>
      <c r="B836" s="125">
        <v>149907547.38002115</v>
      </c>
      <c r="C836" s="125">
        <v>43861776.325701073</v>
      </c>
      <c r="D836" s="125">
        <v>58450975.882025935</v>
      </c>
      <c r="E836" s="125">
        <v>71379927.699726775</v>
      </c>
      <c r="F836" s="123">
        <v>173692679.90745378</v>
      </c>
      <c r="G836" s="125">
        <v>0</v>
      </c>
      <c r="H836" s="125">
        <v>1487.8374452596811</v>
      </c>
      <c r="I836" s="125">
        <v>862.32298050469672</v>
      </c>
      <c r="J836" s="125">
        <v>675.45054165847534</v>
      </c>
      <c r="K836" s="125">
        <v>900.50270999920428</v>
      </c>
      <c r="L836" s="164">
        <v>2438.2762321623763</v>
      </c>
      <c r="M836" s="125">
        <v>-90</v>
      </c>
      <c r="N836" s="115">
        <v>14050</v>
      </c>
      <c r="P836" s="125">
        <v>-605239.65</v>
      </c>
      <c r="Q836" s="125">
        <v>0</v>
      </c>
      <c r="S836" s="125">
        <v>-8051403.3000008203</v>
      </c>
      <c r="T836" s="125">
        <v>0</v>
      </c>
      <c r="V836" s="125"/>
      <c r="W836" s="125"/>
    </row>
    <row r="837" spans="1:23">
      <c r="A837" s="121">
        <v>44196</v>
      </c>
      <c r="B837" s="125">
        <v>149907547.38002115</v>
      </c>
      <c r="C837" s="125">
        <v>43861776.325701073</v>
      </c>
      <c r="D837" s="125">
        <v>58450975.882025935</v>
      </c>
      <c r="E837" s="125">
        <v>71379927.699726775</v>
      </c>
      <c r="F837" s="123">
        <v>173692679.90745378</v>
      </c>
      <c r="G837" s="125">
        <v>0</v>
      </c>
      <c r="H837" s="125">
        <v>1487.8374452596811</v>
      </c>
      <c r="I837" s="125">
        <v>862.32298050469672</v>
      </c>
      <c r="J837" s="125">
        <v>675.45054165847534</v>
      </c>
      <c r="K837" s="125">
        <v>900.50270999920428</v>
      </c>
      <c r="L837" s="164">
        <v>2438.2762321623763</v>
      </c>
      <c r="M837" s="125">
        <v>-90</v>
      </c>
      <c r="N837" s="115">
        <v>14050</v>
      </c>
      <c r="O837" s="116">
        <v>3481.3243919378001</v>
      </c>
      <c r="P837" s="125">
        <v>-605239.65</v>
      </c>
      <c r="Q837" s="125">
        <v>0</v>
      </c>
      <c r="S837" s="125">
        <v>-8051403.3000008203</v>
      </c>
      <c r="T837" s="125">
        <v>0</v>
      </c>
      <c r="V837" s="125"/>
      <c r="W837" s="125"/>
    </row>
    <row r="838" spans="1:23">
      <c r="A838" s="121">
        <v>44200</v>
      </c>
      <c r="B838" s="125">
        <v>148797418.25822735</v>
      </c>
      <c r="C838" s="125">
        <v>45828452.52903375</v>
      </c>
      <c r="D838" s="125">
        <v>58991300.528825335</v>
      </c>
      <c r="E838" s="125">
        <v>69055251.34862262</v>
      </c>
      <c r="F838" s="123">
        <v>173875004.40648171</v>
      </c>
      <c r="G838" s="125">
        <v>0</v>
      </c>
      <c r="H838" s="125">
        <v>1484.9568992036222</v>
      </c>
      <c r="I838" s="125">
        <v>844.09137746944293</v>
      </c>
      <c r="J838" s="125">
        <v>692.38433187930934</v>
      </c>
      <c r="K838" s="125">
        <v>871.45273593138677</v>
      </c>
      <c r="L838" s="164">
        <v>2407.9284452801394</v>
      </c>
      <c r="M838" s="125">
        <v>-90</v>
      </c>
      <c r="N838" s="115">
        <v>13895</v>
      </c>
      <c r="P838" s="125">
        <v>-605239.65</v>
      </c>
      <c r="Q838" s="125">
        <v>0</v>
      </c>
      <c r="S838" s="125">
        <v>-8051403.3000008203</v>
      </c>
      <c r="T838" s="125">
        <v>0</v>
      </c>
      <c r="V838" s="125"/>
      <c r="W838" s="125"/>
    </row>
    <row r="839" spans="1:23">
      <c r="A839" s="121">
        <v>44201</v>
      </c>
      <c r="B839" s="125">
        <v>148008008.41114232</v>
      </c>
      <c r="C839" s="125">
        <v>46576610.579421386</v>
      </c>
      <c r="D839" s="125">
        <v>58971354.728677586</v>
      </c>
      <c r="E839" s="125">
        <v>69062312.694690302</v>
      </c>
      <c r="F839" s="123">
        <v>174610278.00278926</v>
      </c>
      <c r="G839" s="125">
        <v>0</v>
      </c>
      <c r="H839" s="125">
        <v>1455.1734714868624</v>
      </c>
      <c r="I839" s="125">
        <v>838.84668295818733</v>
      </c>
      <c r="J839" s="125">
        <v>692.46651263970386</v>
      </c>
      <c r="K839" s="125">
        <v>869.82106628917245</v>
      </c>
      <c r="L839" s="164">
        <v>2401.1342618870635</v>
      </c>
      <c r="M839" s="125">
        <v>-90</v>
      </c>
      <c r="N839" s="115">
        <v>13915</v>
      </c>
      <c r="P839" s="125">
        <v>-605239.65</v>
      </c>
      <c r="Q839" s="125">
        <v>0</v>
      </c>
      <c r="S839" s="125">
        <v>-8051403.3000008194</v>
      </c>
      <c r="T839" s="125">
        <v>0</v>
      </c>
      <c r="V839" s="125"/>
      <c r="W839" s="125"/>
    </row>
    <row r="840" spans="1:23">
      <c r="A840" s="121">
        <v>44202</v>
      </c>
      <c r="B840" s="125">
        <v>147714930.01270267</v>
      </c>
      <c r="C840" s="125">
        <v>46985246.77842699</v>
      </c>
      <c r="D840" s="125">
        <v>58925272.432187125</v>
      </c>
      <c r="E840" s="125">
        <v>69056670.806354374</v>
      </c>
      <c r="F840" s="123">
        <v>174967190.01696849</v>
      </c>
      <c r="G840" s="125">
        <v>0</v>
      </c>
      <c r="H840" s="125">
        <v>1470.5462058584546</v>
      </c>
      <c r="I840" s="125">
        <v>841.95403703068007</v>
      </c>
      <c r="J840" s="125">
        <v>695.77473318396915</v>
      </c>
      <c r="K840" s="125">
        <v>863.27888879730142</v>
      </c>
      <c r="L840" s="164">
        <v>2401.0076590119506</v>
      </c>
      <c r="M840" s="125">
        <v>-90</v>
      </c>
      <c r="N840" s="115">
        <v>13895</v>
      </c>
      <c r="P840" s="125">
        <v>-605239.65</v>
      </c>
      <c r="Q840" s="125">
        <v>0</v>
      </c>
      <c r="S840" s="125">
        <v>-8027200.3000008203</v>
      </c>
      <c r="T840" s="125">
        <v>0</v>
      </c>
      <c r="V840" s="125"/>
      <c r="W840" s="125"/>
    </row>
    <row r="841" spans="1:23">
      <c r="A841" s="121">
        <v>44203</v>
      </c>
      <c r="B841" s="125">
        <v>147632945.74623623</v>
      </c>
      <c r="C841" s="125">
        <v>46526590.89492768</v>
      </c>
      <c r="D841" s="125">
        <v>59035964.007209629</v>
      </c>
      <c r="E841" s="125">
        <v>68477693.936521322</v>
      </c>
      <c r="F841" s="123">
        <v>174040248.83865863</v>
      </c>
      <c r="G841" s="125">
        <v>0</v>
      </c>
      <c r="H841" s="125">
        <v>1454.5621989203173</v>
      </c>
      <c r="I841" s="125">
        <v>838.56707922266173</v>
      </c>
      <c r="J841" s="125">
        <v>698.55214304936067</v>
      </c>
      <c r="K841" s="125">
        <v>859.0784200617893</v>
      </c>
      <c r="L841" s="164">
        <v>2396.1976423338119</v>
      </c>
      <c r="M841" s="125">
        <v>-90</v>
      </c>
      <c r="N841" s="115">
        <v>13910</v>
      </c>
      <c r="P841" s="125">
        <v>-605239.65</v>
      </c>
      <c r="Q841" s="125">
        <v>0</v>
      </c>
      <c r="S841" s="125">
        <v>-8027200.3000008194</v>
      </c>
      <c r="T841" s="125">
        <v>0</v>
      </c>
      <c r="V841" s="125"/>
      <c r="W841" s="125"/>
    </row>
    <row r="842" spans="1:23">
      <c r="A842" s="121">
        <v>44204</v>
      </c>
      <c r="B842" s="125">
        <v>147337446.26225731</v>
      </c>
      <c r="C842" s="125">
        <v>46640625.85520567</v>
      </c>
      <c r="D842" s="125">
        <v>58982980.87158668</v>
      </c>
      <c r="E842" s="125">
        <v>68705184.22539185</v>
      </c>
      <c r="F842" s="123">
        <v>174328790.9521842</v>
      </c>
      <c r="G842" s="125">
        <v>0</v>
      </c>
      <c r="H842" s="125">
        <v>1452.390020813654</v>
      </c>
      <c r="I842" s="125">
        <v>840.29766086238851</v>
      </c>
      <c r="J842" s="125">
        <v>699.33418483197045</v>
      </c>
      <c r="K842" s="125">
        <v>858.51126545630837</v>
      </c>
      <c r="L842" s="164">
        <v>2398.1431111506672</v>
      </c>
      <c r="M842" s="125">
        <v>-90</v>
      </c>
      <c r="N842" s="115">
        <v>14020</v>
      </c>
      <c r="P842" s="125">
        <v>-422466.3</v>
      </c>
      <c r="Q842" s="125">
        <v>0</v>
      </c>
      <c r="S842" s="125">
        <v>-8027200.3000008194</v>
      </c>
      <c r="T842" s="125">
        <v>0</v>
      </c>
      <c r="V842" s="125"/>
      <c r="W842" s="125"/>
    </row>
    <row r="843" spans="1:23">
      <c r="A843" s="121">
        <v>44207</v>
      </c>
      <c r="B843" s="125">
        <v>147200636.40467015</v>
      </c>
      <c r="C843" s="125">
        <v>47058223.155852132</v>
      </c>
      <c r="D843" s="125">
        <v>58805854.155312754</v>
      </c>
      <c r="E843" s="125">
        <v>68280330.219010264</v>
      </c>
      <c r="F843" s="123">
        <v>174144407.53017515</v>
      </c>
      <c r="G843" s="125">
        <v>-500000</v>
      </c>
      <c r="H843" s="125">
        <v>1431.6267438748371</v>
      </c>
      <c r="I843" s="125">
        <v>871.97158485255159</v>
      </c>
      <c r="J843" s="125">
        <v>704.54435556017268</v>
      </c>
      <c r="K843" s="125">
        <v>826.3977941523284</v>
      </c>
      <c r="L843" s="164">
        <v>2402.9137345650529</v>
      </c>
      <c r="M843" s="125">
        <v>-90</v>
      </c>
      <c r="N843" s="115">
        <v>14125</v>
      </c>
      <c r="P843" s="125">
        <v>-422466.3</v>
      </c>
      <c r="Q843" s="125">
        <v>0</v>
      </c>
      <c r="S843" s="125">
        <v>-8027200.3000008194</v>
      </c>
      <c r="T843" s="125">
        <v>0</v>
      </c>
      <c r="V843" s="125"/>
      <c r="W843" s="125"/>
    </row>
    <row r="844" spans="1:23">
      <c r="A844" s="121">
        <v>44208</v>
      </c>
      <c r="B844" s="125">
        <v>146994426.27028966</v>
      </c>
      <c r="C844" s="125">
        <v>47199548.098003261</v>
      </c>
      <c r="D844" s="125">
        <v>58999570.957040109</v>
      </c>
      <c r="E844" s="125">
        <v>68557892.522092253</v>
      </c>
      <c r="F844" s="123">
        <v>174757011.57713562</v>
      </c>
      <c r="G844" s="125">
        <v>-500000</v>
      </c>
      <c r="H844" s="125">
        <v>1440.6994021686517</v>
      </c>
      <c r="I844" s="125">
        <v>847.02006152323838</v>
      </c>
      <c r="J844" s="125">
        <v>708.86533116188605</v>
      </c>
      <c r="K844" s="125">
        <v>850.78353341210277</v>
      </c>
      <c r="L844" s="164">
        <v>2406.6689260972271</v>
      </c>
      <c r="M844" s="125">
        <v>-90</v>
      </c>
      <c r="N844" s="115">
        <v>14130</v>
      </c>
      <c r="P844" s="125">
        <v>-561435.30000000005</v>
      </c>
      <c r="Q844" s="125">
        <v>0</v>
      </c>
      <c r="S844" s="125">
        <v>-4096948.00000082</v>
      </c>
      <c r="T844" s="125">
        <v>0</v>
      </c>
      <c r="V844" s="125"/>
      <c r="W844" s="125"/>
    </row>
    <row r="845" spans="1:23">
      <c r="A845" s="121">
        <v>44209</v>
      </c>
      <c r="B845" s="125">
        <v>147390298.99598259</v>
      </c>
      <c r="C845" s="125">
        <v>46010282.8466153</v>
      </c>
      <c r="D845" s="125">
        <v>59103571.189041123</v>
      </c>
      <c r="E845" s="125">
        <v>68480937.826661766</v>
      </c>
      <c r="F845" s="123">
        <v>173594791.86231819</v>
      </c>
      <c r="G845" s="125">
        <v>-500000</v>
      </c>
      <c r="H845" s="125">
        <v>1426.0200560685157</v>
      </c>
      <c r="I845" s="125">
        <v>866.02465784828087</v>
      </c>
      <c r="J845" s="125">
        <v>695.94420293374549</v>
      </c>
      <c r="K845" s="125">
        <v>850.31969902133051</v>
      </c>
      <c r="L845" s="164">
        <v>2412.2885598033567</v>
      </c>
      <c r="M845" s="125">
        <v>-90</v>
      </c>
      <c r="N845" s="115">
        <v>14060</v>
      </c>
      <c r="P845" s="125">
        <v>-561435.30000000005</v>
      </c>
      <c r="Q845" s="125">
        <v>0</v>
      </c>
      <c r="S845" s="125">
        <v>-999345.00000082003</v>
      </c>
      <c r="T845" s="125">
        <v>0</v>
      </c>
      <c r="V845" s="125"/>
      <c r="W845" s="125"/>
    </row>
    <row r="846" spans="1:23">
      <c r="A846" s="121">
        <v>44210</v>
      </c>
      <c r="B846" s="125">
        <v>146987302.48025191</v>
      </c>
      <c r="C846" s="125">
        <v>47665400.382434368</v>
      </c>
      <c r="D846" s="125">
        <v>59192385.870316736</v>
      </c>
      <c r="E846" s="125">
        <v>68151907.252162471</v>
      </c>
      <c r="F846" s="123">
        <v>175009693.50491357</v>
      </c>
      <c r="G846" s="125">
        <v>-500000</v>
      </c>
      <c r="H846" s="125">
        <v>1438.1161657398754</v>
      </c>
      <c r="I846" s="125">
        <v>861.85828040575484</v>
      </c>
      <c r="J846" s="125">
        <v>691.74662085221337</v>
      </c>
      <c r="K846" s="125">
        <v>849.74956134589843</v>
      </c>
      <c r="L846" s="164">
        <v>2403.3544626038665</v>
      </c>
      <c r="M846" s="125">
        <v>-90</v>
      </c>
      <c r="N846" s="115">
        <v>14055</v>
      </c>
      <c r="P846" s="125">
        <v>-426712.5</v>
      </c>
      <c r="Q846" s="125">
        <v>0</v>
      </c>
      <c r="S846" s="125">
        <v>-999345.00000082003</v>
      </c>
      <c r="T846" s="125">
        <v>0</v>
      </c>
      <c r="V846" s="125"/>
      <c r="W846" s="125"/>
    </row>
    <row r="847" spans="1:23">
      <c r="A847" s="121">
        <v>44211</v>
      </c>
      <c r="B847" s="125">
        <v>147021540.29379153</v>
      </c>
      <c r="C847" s="125">
        <v>47547152.677610651</v>
      </c>
      <c r="D847" s="125">
        <v>59320636.51387722</v>
      </c>
      <c r="E847" s="125">
        <v>68191754.436373711</v>
      </c>
      <c r="F847" s="123">
        <v>175059543.62786159</v>
      </c>
      <c r="G847" s="125">
        <v>-500000</v>
      </c>
      <c r="H847" s="125">
        <v>1436.8195144971332</v>
      </c>
      <c r="I847" s="125">
        <v>895.55075406915932</v>
      </c>
      <c r="J847" s="125">
        <v>682.76851033119897</v>
      </c>
      <c r="K847" s="125">
        <v>856.17663995498413</v>
      </c>
      <c r="L847" s="164">
        <v>2434.4959043553426</v>
      </c>
      <c r="M847" s="125">
        <v>-90</v>
      </c>
      <c r="N847" s="115">
        <v>14020</v>
      </c>
      <c r="P847" s="125">
        <v>-426712.5</v>
      </c>
      <c r="Q847" s="125">
        <v>0</v>
      </c>
      <c r="S847" s="125">
        <v>-999345.00000082003</v>
      </c>
      <c r="T847" s="125">
        <v>0</v>
      </c>
      <c r="V847" s="125"/>
      <c r="W847" s="125"/>
    </row>
    <row r="848" spans="1:23">
      <c r="A848" s="121">
        <v>44214</v>
      </c>
      <c r="B848" s="125">
        <v>146939737.3979286</v>
      </c>
      <c r="C848" s="125">
        <v>47845588.452914193</v>
      </c>
      <c r="D848" s="125">
        <v>58938990.887612969</v>
      </c>
      <c r="E848" s="125">
        <v>68233420.641775474</v>
      </c>
      <c r="F848" s="123">
        <v>175017999.98230264</v>
      </c>
      <c r="G848" s="125">
        <v>-1000000</v>
      </c>
      <c r="H848" s="125">
        <v>1436.6308048339104</v>
      </c>
      <c r="I848" s="125">
        <v>866.19556693978996</v>
      </c>
      <c r="J848" s="125">
        <v>678.74244794912261</v>
      </c>
      <c r="K848" s="125">
        <v>854.2659455689236</v>
      </c>
      <c r="L848" s="164">
        <v>2399.2039604578363</v>
      </c>
      <c r="M848" s="125">
        <v>-90</v>
      </c>
      <c r="N848" s="115">
        <v>14070</v>
      </c>
      <c r="P848" s="125">
        <v>-426712.5</v>
      </c>
      <c r="Q848" s="125">
        <v>0</v>
      </c>
      <c r="S848" s="125">
        <v>-999345.00000082003</v>
      </c>
      <c r="T848" s="125">
        <v>0</v>
      </c>
      <c r="V848" s="125"/>
      <c r="W848" s="125"/>
    </row>
    <row r="849" spans="1:23">
      <c r="A849" s="121">
        <v>44215</v>
      </c>
      <c r="B849" s="125">
        <v>146841253.65794411</v>
      </c>
      <c r="C849" s="125">
        <v>47797062.913748771</v>
      </c>
      <c r="D849" s="125">
        <v>58797166.273331322</v>
      </c>
      <c r="E849" s="125">
        <v>68497906.576342896</v>
      </c>
      <c r="F849" s="123">
        <v>175092135.76342297</v>
      </c>
      <c r="G849" s="125">
        <v>-1000000</v>
      </c>
      <c r="H849" s="125">
        <v>1442.2739273316652</v>
      </c>
      <c r="I849" s="125">
        <v>885.47559187804779</v>
      </c>
      <c r="J849" s="125">
        <v>683.37402197617109</v>
      </c>
      <c r="K849" s="125">
        <v>852.95914267396972</v>
      </c>
      <c r="L849" s="164">
        <v>2421.8087565281885</v>
      </c>
      <c r="M849" s="125">
        <v>-90</v>
      </c>
      <c r="N849" s="115">
        <v>14065</v>
      </c>
      <c r="P849" s="125">
        <v>-426712.5</v>
      </c>
      <c r="Q849" s="125">
        <v>0</v>
      </c>
      <c r="S849" s="125">
        <v>-999345.00000082003</v>
      </c>
      <c r="T849" s="125">
        <v>0</v>
      </c>
      <c r="V849" s="125"/>
      <c r="W849" s="125"/>
    </row>
    <row r="850" spans="1:23">
      <c r="A850" s="121">
        <v>44216</v>
      </c>
      <c r="B850" s="125">
        <v>146640815.79029334</v>
      </c>
      <c r="C850" s="125">
        <v>47949591.235335961</v>
      </c>
      <c r="D850" s="125">
        <v>58710824.906496704</v>
      </c>
      <c r="E850" s="125">
        <v>68373001.874901921</v>
      </c>
      <c r="F850" s="123">
        <v>175033418.0167346</v>
      </c>
      <c r="G850" s="125">
        <v>-1000000</v>
      </c>
      <c r="H850" s="125">
        <v>1442.6022802593086</v>
      </c>
      <c r="I850" s="125">
        <v>919.97738834165114</v>
      </c>
      <c r="J850" s="125">
        <v>683.67996320662417</v>
      </c>
      <c r="K850" s="125">
        <v>846.39180741727853</v>
      </c>
      <c r="L850" s="164">
        <v>2450.0491589655539</v>
      </c>
      <c r="M850" s="125">
        <v>-90</v>
      </c>
      <c r="N850" s="115">
        <v>14030</v>
      </c>
      <c r="P850" s="125">
        <v>-426712.5</v>
      </c>
      <c r="Q850" s="125">
        <v>0</v>
      </c>
      <c r="S850" s="125">
        <v>-8.2000000000000009E-7</v>
      </c>
      <c r="T850" s="125">
        <v>0</v>
      </c>
      <c r="V850" s="125"/>
      <c r="W850" s="125"/>
    </row>
    <row r="851" spans="1:23">
      <c r="A851" s="121">
        <v>44217</v>
      </c>
      <c r="B851" s="125">
        <v>146552274.49385479</v>
      </c>
      <c r="C851" s="125">
        <v>48150948.682555646</v>
      </c>
      <c r="D851" s="125">
        <v>58720979.03702382</v>
      </c>
      <c r="E851" s="125">
        <v>68106015.605067343</v>
      </c>
      <c r="F851" s="123">
        <v>174977943.3246468</v>
      </c>
      <c r="G851" s="125">
        <v>-1000000</v>
      </c>
      <c r="H851" s="125">
        <v>1448.2371925361072</v>
      </c>
      <c r="I851" s="125">
        <v>910.17764077010133</v>
      </c>
      <c r="J851" s="125">
        <v>681.60636828010558</v>
      </c>
      <c r="K851" s="125">
        <v>846.3087275919778</v>
      </c>
      <c r="L851" s="164">
        <v>2438.0927366421847</v>
      </c>
      <c r="M851" s="125">
        <v>-90</v>
      </c>
      <c r="N851" s="115">
        <v>14000</v>
      </c>
      <c r="P851" s="125">
        <v>-426712.5</v>
      </c>
      <c r="Q851" s="125">
        <v>0</v>
      </c>
      <c r="S851" s="125">
        <v>-8.2000000000000009E-7</v>
      </c>
      <c r="T851" s="125">
        <v>0</v>
      </c>
      <c r="V851" s="125"/>
      <c r="W851" s="125"/>
    </row>
    <row r="852" spans="1:23">
      <c r="A852" s="121">
        <v>44218</v>
      </c>
      <c r="B852" s="125">
        <v>146269743.43126896</v>
      </c>
      <c r="C852" s="125">
        <v>49017145.529910915</v>
      </c>
      <c r="D852" s="125">
        <v>58741674.257050283</v>
      </c>
      <c r="E852" s="125">
        <v>67521039.150622606</v>
      </c>
      <c r="F852" s="123">
        <v>175279858.9375838</v>
      </c>
      <c r="G852" s="125">
        <v>-1000000</v>
      </c>
      <c r="H852" s="125">
        <v>1462.7134498071123</v>
      </c>
      <c r="I852" s="125">
        <v>889.95022598624541</v>
      </c>
      <c r="J852" s="125">
        <v>679.20808918587102</v>
      </c>
      <c r="K852" s="125">
        <v>870.02015616983772</v>
      </c>
      <c r="L852" s="164">
        <v>2439.1784713419543</v>
      </c>
      <c r="M852" s="125">
        <v>-90</v>
      </c>
      <c r="N852" s="115">
        <v>14035</v>
      </c>
      <c r="P852" s="125">
        <v>-426712.5</v>
      </c>
      <c r="Q852" s="125">
        <v>0</v>
      </c>
      <c r="S852" s="125">
        <v>-8.2000000000000009E-7</v>
      </c>
      <c r="T852" s="125">
        <v>0</v>
      </c>
      <c r="V852" s="125"/>
      <c r="W852" s="125"/>
    </row>
    <row r="853" spans="1:23">
      <c r="A853" s="121">
        <v>44221</v>
      </c>
      <c r="B853" s="125">
        <v>146291673.09937292</v>
      </c>
      <c r="C853" s="125">
        <v>49767090.045360431</v>
      </c>
      <c r="D853" s="125">
        <v>59186519.067132577</v>
      </c>
      <c r="E853" s="125">
        <v>67411522.387863085</v>
      </c>
      <c r="F853" s="123">
        <v>176365131.50035608</v>
      </c>
      <c r="G853" s="125">
        <v>-1000000</v>
      </c>
      <c r="H853" s="125">
        <v>1465.9011344861631</v>
      </c>
      <c r="I853" s="125">
        <v>923.95454462079306</v>
      </c>
      <c r="J853" s="125">
        <v>680.90713929236313</v>
      </c>
      <c r="K853" s="125">
        <v>856.36104092005394</v>
      </c>
      <c r="L853" s="164">
        <v>2461.2227248332101</v>
      </c>
      <c r="M853" s="125">
        <v>-90</v>
      </c>
      <c r="N853" s="115">
        <v>14020</v>
      </c>
      <c r="P853" s="125">
        <v>-426712.5</v>
      </c>
      <c r="Q853" s="125">
        <v>0</v>
      </c>
      <c r="S853" s="125">
        <v>-8.2000000000000009E-7</v>
      </c>
      <c r="T853" s="125">
        <v>0</v>
      </c>
      <c r="V853" s="125"/>
      <c r="W853" s="125"/>
    </row>
    <row r="854" spans="1:23">
      <c r="A854" s="121">
        <v>44222</v>
      </c>
      <c r="B854" s="125">
        <v>146148520.6050072</v>
      </c>
      <c r="C854" s="125">
        <v>51391254.598742887</v>
      </c>
      <c r="D854" s="125">
        <v>59264942.947801366</v>
      </c>
      <c r="E854" s="125">
        <v>67228800.411391586</v>
      </c>
      <c r="F854" s="123">
        <v>177884997.95793584</v>
      </c>
      <c r="G854" s="125">
        <v>-1000000</v>
      </c>
      <c r="H854" s="125">
        <v>1465.2769886712249</v>
      </c>
      <c r="I854" s="125">
        <v>916.24579474792404</v>
      </c>
      <c r="J854" s="125">
        <v>680.38470568613661</v>
      </c>
      <c r="K854" s="125">
        <v>863.82064776759626</v>
      </c>
      <c r="L854" s="164">
        <v>2460.4511482016569</v>
      </c>
      <c r="M854" s="125">
        <v>-90</v>
      </c>
      <c r="N854" s="115">
        <v>14065</v>
      </c>
      <c r="P854" s="125">
        <v>-426712.5</v>
      </c>
      <c r="Q854" s="125">
        <v>0</v>
      </c>
      <c r="S854" s="125">
        <v>-8.2000000000000009E-7</v>
      </c>
      <c r="T854" s="125">
        <v>0</v>
      </c>
      <c r="V854" s="125"/>
      <c r="W854" s="125"/>
    </row>
    <row r="855" spans="1:23">
      <c r="A855" s="121">
        <v>44223</v>
      </c>
      <c r="B855" s="125">
        <v>146336949.57424518</v>
      </c>
      <c r="C855" s="125">
        <v>49427326.683836445</v>
      </c>
      <c r="D855" s="125">
        <v>59032129.359180316</v>
      </c>
      <c r="E855" s="125">
        <v>66531123.846142642</v>
      </c>
      <c r="F855" s="123">
        <v>174990579.88915941</v>
      </c>
      <c r="G855" s="125">
        <v>-1000000</v>
      </c>
      <c r="H855" s="125">
        <v>1440.78611352302</v>
      </c>
      <c r="I855" s="125">
        <v>901.59659360224475</v>
      </c>
      <c r="J855" s="125">
        <v>684.45858936897719</v>
      </c>
      <c r="K855" s="125">
        <v>860.14297877757929</v>
      </c>
      <c r="L855" s="164">
        <v>2446.1981617488013</v>
      </c>
      <c r="M855" s="125">
        <v>-90</v>
      </c>
      <c r="N855" s="115">
        <v>14050</v>
      </c>
      <c r="P855" s="125">
        <v>-426712.5</v>
      </c>
      <c r="Q855" s="125">
        <v>0</v>
      </c>
      <c r="S855" s="125">
        <v>-8.2000000000000009E-7</v>
      </c>
      <c r="T855" s="125">
        <v>0</v>
      </c>
      <c r="V855" s="125"/>
      <c r="W855" s="125"/>
    </row>
    <row r="856" spans="1:23">
      <c r="A856" s="121">
        <v>44224</v>
      </c>
      <c r="B856" s="125">
        <v>146643642.22473797</v>
      </c>
      <c r="C856" s="125">
        <v>48955315.775614016</v>
      </c>
      <c r="D856" s="125">
        <v>59470008.874256328</v>
      </c>
      <c r="E856" s="125">
        <v>65397576.765986308</v>
      </c>
      <c r="F856" s="123">
        <v>173822901.41585666</v>
      </c>
      <c r="G856" s="125">
        <v>-1000000</v>
      </c>
      <c r="H856" s="125">
        <v>1457.7654413468078</v>
      </c>
      <c r="I856" s="125">
        <v>891.12953736131112</v>
      </c>
      <c r="J856" s="125">
        <v>686.52398313862193</v>
      </c>
      <c r="K856" s="125">
        <v>837.34310186744142</v>
      </c>
      <c r="L856" s="164">
        <v>2414.9966223673746</v>
      </c>
      <c r="M856" s="125">
        <v>-90</v>
      </c>
      <c r="N856" s="115">
        <v>14070</v>
      </c>
      <c r="P856" s="125">
        <v>-426712.5</v>
      </c>
      <c r="Q856" s="125">
        <v>0</v>
      </c>
      <c r="S856" s="125">
        <v>-8.2000000000000009E-7</v>
      </c>
      <c r="T856" s="125">
        <v>0</v>
      </c>
      <c r="V856" s="125"/>
      <c r="W856" s="125"/>
    </row>
    <row r="857" spans="1:23">
      <c r="A857" s="121">
        <v>44225</v>
      </c>
      <c r="B857" s="125">
        <v>147157792.574119</v>
      </c>
      <c r="C857" s="125">
        <v>48459545.134216338</v>
      </c>
      <c r="D857" s="125">
        <v>60118331.185825974</v>
      </c>
      <c r="E857" s="125">
        <v>65470986.887736753</v>
      </c>
      <c r="F857" s="123">
        <v>174048863.20777905</v>
      </c>
      <c r="G857" s="125">
        <v>-1000000</v>
      </c>
      <c r="H857" s="125">
        <v>1474.6457686129997</v>
      </c>
      <c r="I857" s="125">
        <v>878.4908227228666</v>
      </c>
      <c r="J857" s="125">
        <v>687.55690477490862</v>
      </c>
      <c r="K857" s="125">
        <v>837.34825755634245</v>
      </c>
      <c r="L857" s="164">
        <v>2403.3959850541178</v>
      </c>
      <c r="M857" s="125">
        <v>-90</v>
      </c>
      <c r="N857" s="115">
        <v>14030</v>
      </c>
      <c r="P857" s="125">
        <v>-426712.5</v>
      </c>
      <c r="Q857" s="125">
        <v>0</v>
      </c>
      <c r="S857" s="125">
        <v>-8.2000000000000009E-7</v>
      </c>
      <c r="T857" s="125">
        <v>0</v>
      </c>
      <c r="V857" s="125"/>
      <c r="W857" s="125"/>
    </row>
    <row r="858" spans="1:23">
      <c r="A858" s="121">
        <v>44227</v>
      </c>
      <c r="B858" s="125">
        <v>147157792.574119</v>
      </c>
      <c r="C858" s="125">
        <v>48459545.134216338</v>
      </c>
      <c r="D858" s="125">
        <v>60118331.185825974</v>
      </c>
      <c r="E858" s="125">
        <v>65470986.887736753</v>
      </c>
      <c r="F858" s="123">
        <v>174048863.20777905</v>
      </c>
      <c r="G858" s="125">
        <v>-1000000</v>
      </c>
      <c r="H858" s="125">
        <v>1474.6457686129997</v>
      </c>
      <c r="I858" s="125">
        <v>878.4908227228666</v>
      </c>
      <c r="J858" s="125">
        <v>687.55690477490862</v>
      </c>
      <c r="K858" s="125">
        <v>837.34825755634245</v>
      </c>
      <c r="L858" s="164">
        <v>2403.3959850541178</v>
      </c>
      <c r="M858" s="125">
        <v>-90</v>
      </c>
      <c r="N858" s="115">
        <v>14030</v>
      </c>
      <c r="O858" s="116">
        <v>3463.3449601338002</v>
      </c>
      <c r="P858" s="125">
        <v>-426712.5</v>
      </c>
      <c r="Q858" s="125">
        <v>0</v>
      </c>
      <c r="S858" s="125">
        <v>-8.2000000000000009E-7</v>
      </c>
      <c r="T858" s="125">
        <v>0</v>
      </c>
      <c r="V858" s="125"/>
      <c r="W858" s="125"/>
    </row>
    <row r="859" spans="1:23">
      <c r="A859" s="121">
        <v>44228</v>
      </c>
      <c r="B859" s="125">
        <v>147253181.261877</v>
      </c>
      <c r="C859" s="125">
        <v>49178649.728430137</v>
      </c>
      <c r="D859" s="125">
        <v>59846945.743535824</v>
      </c>
      <c r="E859" s="125">
        <v>64687816.530065</v>
      </c>
      <c r="F859" s="123">
        <v>173713412.00203097</v>
      </c>
      <c r="G859" s="125">
        <v>-1000000</v>
      </c>
      <c r="H859" s="125">
        <v>1478.4834817046883</v>
      </c>
      <c r="I859" s="125">
        <v>894.23770319513164</v>
      </c>
      <c r="J859" s="125">
        <v>689.39801031499269</v>
      </c>
      <c r="K859" s="125">
        <v>836.48920436935168</v>
      </c>
      <c r="L859" s="164">
        <v>2420.124917879476</v>
      </c>
      <c r="M859" s="125">
        <v>-90</v>
      </c>
      <c r="N859" s="115">
        <v>14020</v>
      </c>
      <c r="P859" s="125">
        <v>-426712.5</v>
      </c>
      <c r="Q859" s="125">
        <v>0</v>
      </c>
      <c r="S859" s="125">
        <v>-8.2000000000000009E-7</v>
      </c>
      <c r="T859" s="125">
        <v>0</v>
      </c>
      <c r="V859" s="125"/>
      <c r="W859" s="125"/>
    </row>
    <row r="860" spans="1:23">
      <c r="A860" s="121">
        <v>44229</v>
      </c>
      <c r="B860" s="125">
        <v>146897080.90036058</v>
      </c>
      <c r="C860" s="125">
        <v>49181982.327268459</v>
      </c>
      <c r="D860" s="125">
        <v>59535946.919573694</v>
      </c>
      <c r="E860" s="125">
        <v>64920566.320984587</v>
      </c>
      <c r="F860" s="123">
        <v>173638495.56782675</v>
      </c>
      <c r="G860" s="125">
        <v>-1400000</v>
      </c>
      <c r="H860" s="125">
        <v>1475.0602288533712</v>
      </c>
      <c r="I860" s="125">
        <v>893.24708186393718</v>
      </c>
      <c r="J860" s="125">
        <v>688.00375386787175</v>
      </c>
      <c r="K860" s="125">
        <v>837.12933976114994</v>
      </c>
      <c r="L860" s="164">
        <v>2418.3801754929586</v>
      </c>
      <c r="M860" s="125">
        <v>-90</v>
      </c>
      <c r="N860" s="115">
        <v>14025</v>
      </c>
      <c r="P860" s="125">
        <v>-426712.5</v>
      </c>
      <c r="Q860" s="125">
        <v>0</v>
      </c>
      <c r="S860" s="125">
        <v>-8.2000000000000009E-7</v>
      </c>
      <c r="T860" s="125">
        <v>0</v>
      </c>
      <c r="V860" s="125"/>
      <c r="W860" s="125"/>
    </row>
    <row r="861" spans="1:23">
      <c r="A861" s="121">
        <v>44230</v>
      </c>
      <c r="B861" s="125">
        <v>146742249.43457595</v>
      </c>
      <c r="C861" s="125">
        <v>49811196.726095676</v>
      </c>
      <c r="D861" s="125">
        <v>59407721.483942017</v>
      </c>
      <c r="E861" s="125">
        <v>63859265.635725603</v>
      </c>
      <c r="F861" s="123">
        <v>173078183.8457633</v>
      </c>
      <c r="G861" s="125">
        <v>-1700000</v>
      </c>
      <c r="H861" s="125">
        <v>1474.7257057106615</v>
      </c>
      <c r="I861" s="125">
        <v>883.52569618928419</v>
      </c>
      <c r="J861" s="125">
        <v>689.31159428175056</v>
      </c>
      <c r="K861" s="125">
        <v>836.17679293823414</v>
      </c>
      <c r="L861" s="164">
        <v>2409.014083409269</v>
      </c>
      <c r="M861" s="125">
        <v>-90</v>
      </c>
      <c r="N861" s="115">
        <v>14005</v>
      </c>
      <c r="P861" s="125">
        <v>-426712.5</v>
      </c>
      <c r="Q861" s="125">
        <v>0</v>
      </c>
      <c r="S861" s="125">
        <v>-8.2000000000000009E-7</v>
      </c>
      <c r="T861" s="125">
        <v>0</v>
      </c>
      <c r="V861" s="125"/>
      <c r="W861" s="125"/>
    </row>
    <row r="862" spans="1:23">
      <c r="A862" s="121">
        <v>44231</v>
      </c>
      <c r="B862" s="125">
        <v>146601104.0501309</v>
      </c>
      <c r="C862" s="125">
        <v>50148906.783248216</v>
      </c>
      <c r="D862" s="125">
        <v>59620462.061316796</v>
      </c>
      <c r="E862" s="125">
        <v>63703572.665277369</v>
      </c>
      <c r="F862" s="123">
        <v>173472941.50984237</v>
      </c>
      <c r="G862" s="125">
        <v>-1700000</v>
      </c>
      <c r="H862" s="125">
        <v>1481.2003190603325</v>
      </c>
      <c r="I862" s="125">
        <v>868.47264116179758</v>
      </c>
      <c r="J862" s="125">
        <v>700.3264349686068</v>
      </c>
      <c r="K862" s="125">
        <v>832.36008401248296</v>
      </c>
      <c r="L862" s="164">
        <v>2401.1591601428872</v>
      </c>
      <c r="M862" s="125">
        <v>-90</v>
      </c>
      <c r="N862" s="115">
        <v>14020</v>
      </c>
      <c r="P862" s="125">
        <v>-426712.5</v>
      </c>
      <c r="Q862" s="125">
        <v>0</v>
      </c>
      <c r="S862" s="125">
        <v>-8.2000000000000009E-7</v>
      </c>
      <c r="T862" s="125">
        <v>0</v>
      </c>
      <c r="V862" s="125"/>
      <c r="W862" s="125"/>
    </row>
    <row r="863" spans="1:23">
      <c r="A863" s="121">
        <v>44232</v>
      </c>
      <c r="B863" s="125">
        <v>146147141.0122194</v>
      </c>
      <c r="C863" s="125">
        <v>50253865.13608814</v>
      </c>
      <c r="D863" s="125">
        <v>59498279.853562683</v>
      </c>
      <c r="E863" s="125">
        <v>64423497.088800974</v>
      </c>
      <c r="F863" s="123">
        <v>174175642.07845178</v>
      </c>
      <c r="G863" s="125">
        <v>-1700000</v>
      </c>
      <c r="H863" s="125">
        <v>1501.2270421348828</v>
      </c>
      <c r="I863" s="125">
        <v>866.98524864438366</v>
      </c>
      <c r="J863" s="125">
        <v>697.40247272987153</v>
      </c>
      <c r="K863" s="125">
        <v>833.51750866881127</v>
      </c>
      <c r="L863" s="164">
        <v>2397.9052300430667</v>
      </c>
      <c r="M863" s="125">
        <v>-90</v>
      </c>
      <c r="N863" s="115">
        <v>14030</v>
      </c>
      <c r="P863" s="125">
        <v>-426712.5</v>
      </c>
      <c r="Q863" s="125">
        <v>0</v>
      </c>
      <c r="S863" s="125">
        <v>-8.2000000000000009E-7</v>
      </c>
      <c r="T863" s="125">
        <v>0</v>
      </c>
      <c r="V863" s="125"/>
      <c r="W863" s="125"/>
    </row>
    <row r="864" spans="1:23">
      <c r="A864" s="121">
        <v>44235</v>
      </c>
      <c r="B864" s="125">
        <v>146110871.90390199</v>
      </c>
      <c r="C864" s="125">
        <v>50749323.375855356</v>
      </c>
      <c r="D864" s="125">
        <v>59153334.936308593</v>
      </c>
      <c r="E864" s="125">
        <v>64192843.606488682</v>
      </c>
      <c r="F864" s="123">
        <v>174095501.91865262</v>
      </c>
      <c r="G864" s="125">
        <v>-1700000</v>
      </c>
      <c r="H864" s="125">
        <v>1487.1764803704657</v>
      </c>
      <c r="I864" s="125">
        <v>872.94508585882875</v>
      </c>
      <c r="J864" s="125">
        <v>700.00341453051783</v>
      </c>
      <c r="K864" s="125">
        <v>835.56630651742012</v>
      </c>
      <c r="L864" s="164">
        <v>2408.5148069067664</v>
      </c>
      <c r="M864" s="125">
        <v>-90</v>
      </c>
      <c r="N864" s="115">
        <v>14000</v>
      </c>
      <c r="P864" s="125">
        <v>-290521.8</v>
      </c>
      <c r="Q864" s="125">
        <v>0</v>
      </c>
      <c r="S864" s="125">
        <v>-8.2000000000000009E-7</v>
      </c>
      <c r="T864" s="125">
        <v>0</v>
      </c>
      <c r="V864" s="125"/>
      <c r="W864" s="125"/>
    </row>
    <row r="865" spans="1:23">
      <c r="A865" s="121">
        <v>44236</v>
      </c>
      <c r="B865" s="125">
        <v>146036384.10119218</v>
      </c>
      <c r="C865" s="125">
        <v>51601516.821448803</v>
      </c>
      <c r="D865" s="125">
        <v>58905187.504820816</v>
      </c>
      <c r="E865" s="125">
        <v>62262739.912540048</v>
      </c>
      <c r="F865" s="123">
        <v>172769444.23880967</v>
      </c>
      <c r="G865" s="125">
        <v>-1700000</v>
      </c>
      <c r="H865" s="125">
        <v>1502.93148660012</v>
      </c>
      <c r="I865" s="125">
        <v>926.63345665942825</v>
      </c>
      <c r="J865" s="125">
        <v>698.17512295315748</v>
      </c>
      <c r="K865" s="125">
        <v>785.04203785130414</v>
      </c>
      <c r="L865" s="164">
        <v>2409.8506174638896</v>
      </c>
      <c r="M865" s="125">
        <v>-90</v>
      </c>
      <c r="N865" s="115">
        <v>13995</v>
      </c>
      <c r="P865" s="125">
        <v>-290521.8</v>
      </c>
      <c r="Q865" s="125">
        <v>0</v>
      </c>
      <c r="S865" s="125">
        <v>-8.2000000000000009E-7</v>
      </c>
      <c r="T865" s="125">
        <v>0</v>
      </c>
      <c r="V865" s="125"/>
      <c r="W865" s="125"/>
    </row>
    <row r="866" spans="1:23">
      <c r="A866" s="121">
        <v>44237</v>
      </c>
      <c r="B866" s="125">
        <v>145987061.90550682</v>
      </c>
      <c r="C866" s="125">
        <v>50399762.376078971</v>
      </c>
      <c r="D866" s="125">
        <v>58872809.425008364</v>
      </c>
      <c r="E866" s="125">
        <v>62147318.739499025</v>
      </c>
      <c r="F866" s="123">
        <v>171419890.54058635</v>
      </c>
      <c r="G866" s="125">
        <v>-2315000</v>
      </c>
      <c r="H866" s="125">
        <v>1484.5787492648985</v>
      </c>
      <c r="I866" s="125">
        <v>943.21436059531538</v>
      </c>
      <c r="J866" s="125">
        <v>699.51307648693478</v>
      </c>
      <c r="K866" s="125">
        <v>790.30710463051105</v>
      </c>
      <c r="L866" s="164">
        <v>2433.034541712761</v>
      </c>
      <c r="M866" s="125">
        <v>-90</v>
      </c>
      <c r="N866" s="115">
        <v>13982.5</v>
      </c>
      <c r="P866" s="125">
        <v>-290521.8</v>
      </c>
      <c r="Q866" s="125">
        <v>0</v>
      </c>
      <c r="S866" s="125">
        <v>-8.2000000000000009E-7</v>
      </c>
      <c r="T866" s="125">
        <v>0</v>
      </c>
      <c r="V866" s="125"/>
      <c r="W866" s="125"/>
    </row>
    <row r="867" spans="1:23">
      <c r="A867" s="121">
        <v>44238</v>
      </c>
      <c r="B867" s="125">
        <v>146493629.74304214</v>
      </c>
      <c r="C867" s="125">
        <v>48800866.522856094</v>
      </c>
      <c r="D867" s="125">
        <v>58817741.155880518</v>
      </c>
      <c r="E867" s="125">
        <v>62143403.606032357</v>
      </c>
      <c r="F867" s="123">
        <v>169762011.28476897</v>
      </c>
      <c r="G867" s="125">
        <v>-2900000</v>
      </c>
      <c r="H867" s="125">
        <v>1490.4583842255995</v>
      </c>
      <c r="I867" s="125">
        <v>961.02411999465414</v>
      </c>
      <c r="J867" s="125">
        <v>697.2340392947757</v>
      </c>
      <c r="K867" s="125">
        <v>805.80402562580241</v>
      </c>
      <c r="L867" s="164">
        <v>2464.0621849152321</v>
      </c>
      <c r="M867" s="125">
        <v>-90</v>
      </c>
      <c r="N867" s="115">
        <v>13972.5</v>
      </c>
      <c r="P867" s="125">
        <v>-151552.79999999999</v>
      </c>
      <c r="Q867" s="125">
        <v>0</v>
      </c>
      <c r="S867" s="125">
        <v>-1992350.0000006298</v>
      </c>
      <c r="T867" s="125">
        <v>0</v>
      </c>
      <c r="V867" s="125"/>
      <c r="W867" s="125"/>
    </row>
    <row r="868" spans="1:23">
      <c r="A868" s="121">
        <v>44242</v>
      </c>
      <c r="B868" s="125">
        <v>146618522.20801041</v>
      </c>
      <c r="C868" s="125">
        <v>49553227.293148249</v>
      </c>
      <c r="D868" s="125">
        <v>58573988.898363031</v>
      </c>
      <c r="E868" s="125">
        <v>61396938.104360007</v>
      </c>
      <c r="F868" s="123">
        <v>169524154.29587129</v>
      </c>
      <c r="G868" s="125">
        <v>-1900000</v>
      </c>
      <c r="H868" s="125">
        <v>1489.6783765365651</v>
      </c>
      <c r="I868" s="125">
        <v>960.95212926231295</v>
      </c>
      <c r="J868" s="125">
        <v>701.48675877087692</v>
      </c>
      <c r="K868" s="125">
        <v>795.99777797959348</v>
      </c>
      <c r="L868" s="164">
        <v>2458.4366660127835</v>
      </c>
      <c r="M868" s="125">
        <v>-90</v>
      </c>
      <c r="N868" s="115">
        <v>13914</v>
      </c>
      <c r="P868" s="125">
        <v>0</v>
      </c>
      <c r="Q868" s="125">
        <v>0</v>
      </c>
      <c r="S868" s="125">
        <v>-5423350.2000006298</v>
      </c>
      <c r="T868" s="125">
        <v>0</v>
      </c>
      <c r="V868" s="125"/>
      <c r="W868" s="125"/>
    </row>
    <row r="869" spans="1:23">
      <c r="A869" s="121">
        <v>44243</v>
      </c>
      <c r="B869" s="125">
        <v>146485022.83798629</v>
      </c>
      <c r="C869" s="125">
        <v>49265298.156404279</v>
      </c>
      <c r="D869" s="125">
        <v>58305012.140055262</v>
      </c>
      <c r="E869" s="125">
        <v>61333635.736781694</v>
      </c>
      <c r="F869" s="123">
        <v>168903946.03324124</v>
      </c>
      <c r="G869" s="125">
        <v>-1500000</v>
      </c>
      <c r="H869" s="125">
        <v>1484.7241990875559</v>
      </c>
      <c r="I869" s="125">
        <v>964.74260761704102</v>
      </c>
      <c r="J869" s="125">
        <v>701.47051029483964</v>
      </c>
      <c r="K869" s="125">
        <v>818.83956168645022</v>
      </c>
      <c r="L869" s="164">
        <v>2485.0526795983305</v>
      </c>
      <c r="M869" s="125">
        <v>-90</v>
      </c>
      <c r="N869" s="115">
        <v>13925</v>
      </c>
      <c r="P869" s="125">
        <v>0</v>
      </c>
      <c r="Q869" s="125">
        <v>0</v>
      </c>
      <c r="S869" s="125">
        <v>-5423350.2000006298</v>
      </c>
      <c r="T869" s="125">
        <v>0</v>
      </c>
      <c r="V869" s="125"/>
      <c r="W869" s="125"/>
    </row>
    <row r="870" spans="1:23">
      <c r="A870" s="121">
        <v>44244</v>
      </c>
      <c r="B870" s="125">
        <v>146390046.76860642</v>
      </c>
      <c r="C870" s="125">
        <v>48782972.328751229</v>
      </c>
      <c r="D870" s="125">
        <v>57980959.909339458</v>
      </c>
      <c r="E870" s="125">
        <v>61609346.449172653</v>
      </c>
      <c r="F870" s="123">
        <v>168373278.68726334</v>
      </c>
      <c r="G870" s="125">
        <v>-1500000</v>
      </c>
      <c r="H870" s="125">
        <v>1505.3289325234327</v>
      </c>
      <c r="I870" s="125">
        <v>878.08056536470656</v>
      </c>
      <c r="J870" s="125">
        <v>698.33105222584663</v>
      </c>
      <c r="K870" s="125">
        <v>849.59996528676436</v>
      </c>
      <c r="L870" s="164">
        <v>2426.0115828773178</v>
      </c>
      <c r="M870" s="125">
        <v>-90</v>
      </c>
      <c r="N870" s="115">
        <v>14020</v>
      </c>
      <c r="P870" s="125">
        <v>0</v>
      </c>
      <c r="Q870" s="125">
        <v>0</v>
      </c>
      <c r="S870" s="125">
        <v>-5423350.2000006298</v>
      </c>
      <c r="T870" s="125">
        <v>0</v>
      </c>
      <c r="V870" s="125"/>
      <c r="W870" s="125"/>
    </row>
    <row r="871" spans="1:23">
      <c r="A871" s="121">
        <v>44245</v>
      </c>
      <c r="B871" s="125">
        <v>146347368.27680019</v>
      </c>
      <c r="C871" s="125">
        <v>48395636.478210494</v>
      </c>
      <c r="D871" s="125">
        <v>57923686.717950068</v>
      </c>
      <c r="E871" s="125">
        <v>61455982.710018709</v>
      </c>
      <c r="F871" s="123">
        <v>167775305.90617925</v>
      </c>
      <c r="G871" s="125">
        <v>-1500000</v>
      </c>
      <c r="H871" s="125">
        <v>1487.2808187982082</v>
      </c>
      <c r="I871" s="125">
        <v>878.3071610053853</v>
      </c>
      <c r="J871" s="125">
        <v>700.68142134270659</v>
      </c>
      <c r="K871" s="125">
        <v>832.10551715274448</v>
      </c>
      <c r="L871" s="164">
        <v>2411.0940995008364</v>
      </c>
      <c r="M871" s="125">
        <v>-90</v>
      </c>
      <c r="N871" s="115">
        <v>14025</v>
      </c>
      <c r="P871" s="125">
        <v>0</v>
      </c>
      <c r="Q871" s="125">
        <v>0</v>
      </c>
      <c r="S871" s="125">
        <v>-5423350.2000006298</v>
      </c>
      <c r="T871" s="125">
        <v>0</v>
      </c>
      <c r="V871" s="125"/>
      <c r="W871" s="125"/>
    </row>
    <row r="872" spans="1:23">
      <c r="A872" s="121">
        <v>44246</v>
      </c>
      <c r="B872" s="125">
        <v>146213763.17441365</v>
      </c>
      <c r="C872" s="125">
        <v>48637394.679360621</v>
      </c>
      <c r="D872" s="125">
        <v>58115744.319169864</v>
      </c>
      <c r="E872" s="125">
        <v>60785085.180026144</v>
      </c>
      <c r="F872" s="123">
        <v>167538224.17855662</v>
      </c>
      <c r="G872" s="125">
        <v>-1500000</v>
      </c>
      <c r="H872" s="125">
        <v>1487.9790369934394</v>
      </c>
      <c r="I872" s="125">
        <v>878.81951742806575</v>
      </c>
      <c r="J872" s="125">
        <v>696.43116210111884</v>
      </c>
      <c r="K872" s="125">
        <v>854.98840597827734</v>
      </c>
      <c r="L872" s="164">
        <v>2430.2390855074618</v>
      </c>
      <c r="M872" s="125">
        <v>-90</v>
      </c>
      <c r="N872" s="115">
        <v>14065</v>
      </c>
      <c r="P872" s="125">
        <v>0</v>
      </c>
      <c r="Q872" s="125">
        <v>0</v>
      </c>
      <c r="S872" s="125">
        <v>-5423350.2000006298</v>
      </c>
      <c r="T872" s="125">
        <v>0</v>
      </c>
      <c r="V872" s="125"/>
      <c r="W872" s="125"/>
    </row>
    <row r="873" spans="1:23">
      <c r="A873" s="121">
        <v>44249</v>
      </c>
      <c r="B873" s="125">
        <v>146280283.5170581</v>
      </c>
      <c r="C873" s="125">
        <v>50559055.193212196</v>
      </c>
      <c r="D873" s="125">
        <v>57790248.318842843</v>
      </c>
      <c r="E873" s="125">
        <v>59872787.234402418</v>
      </c>
      <c r="F873" s="123">
        <v>168222090.74645746</v>
      </c>
      <c r="G873" s="125">
        <v>-1500000</v>
      </c>
      <c r="H873" s="125">
        <v>1490.9542666993575</v>
      </c>
      <c r="I873" s="125">
        <v>882.1866484938281</v>
      </c>
      <c r="J873" s="125">
        <v>692.87969568085532</v>
      </c>
      <c r="K873" s="125">
        <v>834.63121814611065</v>
      </c>
      <c r="L873" s="164">
        <v>2409.6975623207941</v>
      </c>
      <c r="M873" s="125">
        <v>-90</v>
      </c>
      <c r="N873" s="115">
        <v>14115</v>
      </c>
      <c r="P873" s="125">
        <v>-95446.8</v>
      </c>
      <c r="Q873" s="125">
        <v>0</v>
      </c>
      <c r="S873" s="125">
        <v>-5926022.2000006298</v>
      </c>
      <c r="T873" s="125">
        <v>0</v>
      </c>
      <c r="V873" s="125"/>
      <c r="W873" s="125"/>
    </row>
    <row r="874" spans="1:23">
      <c r="A874" s="121">
        <v>44250</v>
      </c>
      <c r="B874" s="125">
        <v>146406327.10757715</v>
      </c>
      <c r="C874" s="125">
        <v>50669439.207677998</v>
      </c>
      <c r="D874" s="125">
        <v>57818517.700926788</v>
      </c>
      <c r="E874" s="125">
        <v>59917336.141290419</v>
      </c>
      <c r="F874" s="123">
        <v>168405293.0498952</v>
      </c>
      <c r="G874" s="125">
        <v>-1500000</v>
      </c>
      <c r="H874" s="125">
        <v>1488.6437141878844</v>
      </c>
      <c r="I874" s="125">
        <v>877.99081121632423</v>
      </c>
      <c r="J874" s="125">
        <v>692.05233454542451</v>
      </c>
      <c r="K874" s="125">
        <v>851.47089513152457</v>
      </c>
      <c r="L874" s="164">
        <v>2421.5140408932734</v>
      </c>
      <c r="M874" s="125">
        <v>-90</v>
      </c>
      <c r="N874" s="115">
        <v>14092.5</v>
      </c>
      <c r="P874" s="125">
        <v>-95446.8</v>
      </c>
      <c r="Q874" s="125">
        <v>0</v>
      </c>
      <c r="S874" s="125">
        <v>-5926022.2000006298</v>
      </c>
      <c r="T874" s="125">
        <v>0</v>
      </c>
      <c r="V874" s="125"/>
      <c r="W874" s="125"/>
    </row>
    <row r="875" spans="1:23">
      <c r="A875" s="121">
        <v>44251</v>
      </c>
      <c r="B875" s="125">
        <v>146446986.04488939</v>
      </c>
      <c r="C875" s="125">
        <v>50339124.681324989</v>
      </c>
      <c r="D875" s="125">
        <v>57719451.534810543</v>
      </c>
      <c r="E875" s="125">
        <v>59650652.750042297</v>
      </c>
      <c r="F875" s="123">
        <v>167709228.96617782</v>
      </c>
      <c r="G875" s="125">
        <v>-1200000</v>
      </c>
      <c r="H875" s="125">
        <v>1462.672683605876</v>
      </c>
      <c r="I875" s="125">
        <v>840.22014403568664</v>
      </c>
      <c r="J875" s="125">
        <v>692.39220732233582</v>
      </c>
      <c r="K875" s="125">
        <v>857.30947953479881</v>
      </c>
      <c r="L875" s="164">
        <v>2389.9218308928212</v>
      </c>
      <c r="M875" s="125">
        <v>-90</v>
      </c>
      <c r="N875" s="115">
        <v>14085</v>
      </c>
      <c r="P875" s="125">
        <v>-95446.8</v>
      </c>
      <c r="Q875" s="125">
        <v>0</v>
      </c>
      <c r="S875" s="125">
        <v>-5926022.2000006298</v>
      </c>
      <c r="T875" s="125">
        <v>0</v>
      </c>
      <c r="V875" s="125"/>
      <c r="W875" s="125"/>
    </row>
    <row r="876" spans="1:23">
      <c r="A876" s="121">
        <v>44252</v>
      </c>
      <c r="B876" s="125">
        <v>146636928.88743773</v>
      </c>
      <c r="C876" s="125">
        <v>49511198.069424659</v>
      </c>
      <c r="D876" s="125">
        <v>58396015.828844659</v>
      </c>
      <c r="E876" s="125">
        <v>60086978.751420185</v>
      </c>
      <c r="F876" s="123">
        <v>167994192.6496895</v>
      </c>
      <c r="G876" s="125">
        <v>-1200000</v>
      </c>
      <c r="H876" s="125">
        <v>1483.3220066266304</v>
      </c>
      <c r="I876" s="125">
        <v>849.03209280810393</v>
      </c>
      <c r="J876" s="125">
        <v>691.19270062448447</v>
      </c>
      <c r="K876" s="125">
        <v>869.27012648869322</v>
      </c>
      <c r="L876" s="164">
        <v>2409.4949199212815</v>
      </c>
      <c r="M876" s="125">
        <v>-90</v>
      </c>
      <c r="N876" s="115">
        <v>14082.5</v>
      </c>
      <c r="P876" s="125">
        <v>-95446.8</v>
      </c>
      <c r="Q876" s="125">
        <v>0</v>
      </c>
      <c r="S876" s="125">
        <v>-5926022.2000006298</v>
      </c>
      <c r="T876" s="125">
        <v>0</v>
      </c>
      <c r="V876" s="125"/>
      <c r="W876" s="125"/>
    </row>
    <row r="877" spans="1:23">
      <c r="A877" s="121">
        <v>44253</v>
      </c>
      <c r="B877" s="125">
        <v>147270720.76367751</v>
      </c>
      <c r="C877" s="125">
        <v>47256909.950384878</v>
      </c>
      <c r="D877" s="125">
        <v>59730443.208285525</v>
      </c>
      <c r="E877" s="125">
        <v>60103675.382742003</v>
      </c>
      <c r="F877" s="123">
        <v>167091028.54141241</v>
      </c>
      <c r="G877" s="125">
        <v>-1200000</v>
      </c>
      <c r="H877" s="125">
        <v>1479.0072033579199</v>
      </c>
      <c r="I877" s="125">
        <v>837.27976423112614</v>
      </c>
      <c r="J877" s="125">
        <v>689.73859126628065</v>
      </c>
      <c r="K877" s="125">
        <v>869.11100176743821</v>
      </c>
      <c r="L877" s="164">
        <v>2396.1293572648451</v>
      </c>
      <c r="M877" s="125">
        <v>-90</v>
      </c>
      <c r="N877" s="115">
        <v>14240</v>
      </c>
      <c r="P877" s="125">
        <v>-95446.8</v>
      </c>
      <c r="Q877" s="125">
        <v>0</v>
      </c>
      <c r="S877" s="125">
        <v>-5926022.2000006298</v>
      </c>
      <c r="T877" s="125">
        <v>0</v>
      </c>
      <c r="V877" s="125"/>
      <c r="W877" s="125"/>
    </row>
    <row r="878" spans="1:23">
      <c r="A878" s="121">
        <v>44255</v>
      </c>
      <c r="B878" s="125">
        <v>148029659.683193</v>
      </c>
      <c r="C878" s="125">
        <v>47023741.708140001</v>
      </c>
      <c r="D878" s="125">
        <v>59357254.090305001</v>
      </c>
      <c r="E878" s="125">
        <v>60476682.930036999</v>
      </c>
      <c r="F878" s="123">
        <v>166857678.72848201</v>
      </c>
      <c r="G878" s="125">
        <v>-1200000</v>
      </c>
      <c r="H878" s="125">
        <v>1490.6212048094101</v>
      </c>
      <c r="I878" s="125">
        <v>838.73304912113758</v>
      </c>
      <c r="J878" s="125">
        <v>686.08165298398876</v>
      </c>
      <c r="K878" s="125">
        <v>874.4262120908005</v>
      </c>
      <c r="L878" s="164">
        <v>2399.240914195927</v>
      </c>
      <c r="M878" s="125">
        <v>-90</v>
      </c>
      <c r="N878" s="115">
        <v>14240</v>
      </c>
      <c r="O878" s="116">
        <v>3516.4900293061</v>
      </c>
      <c r="P878" s="125">
        <v>-95446.8</v>
      </c>
      <c r="Q878" s="125">
        <v>0</v>
      </c>
      <c r="S878" s="125">
        <v>-5926022.2000006298</v>
      </c>
      <c r="T878" s="125">
        <v>0</v>
      </c>
      <c r="V878" s="125"/>
      <c r="W878" s="125"/>
    </row>
    <row r="879" spans="1:23">
      <c r="A879" s="121">
        <v>44256</v>
      </c>
      <c r="B879" s="125">
        <v>147064697.01767007</v>
      </c>
      <c r="C879" s="125">
        <v>48973969.535903178</v>
      </c>
      <c r="D879" s="125">
        <v>59606588.967761911</v>
      </c>
      <c r="E879" s="125">
        <v>59847535.560659431</v>
      </c>
      <c r="F879" s="123">
        <v>168428094.06432453</v>
      </c>
      <c r="G879" s="125">
        <v>-1200000</v>
      </c>
      <c r="H879" s="125">
        <v>1463.3487867183155</v>
      </c>
      <c r="I879" s="125">
        <v>855.73588159399355</v>
      </c>
      <c r="J879" s="125">
        <v>692.23811474893876</v>
      </c>
      <c r="K879" s="125">
        <v>845.2807428920421</v>
      </c>
      <c r="L879" s="164">
        <v>2393.2547392349743</v>
      </c>
      <c r="M879" s="125">
        <v>-90</v>
      </c>
      <c r="N879" s="115">
        <v>14255</v>
      </c>
      <c r="P879" s="125">
        <v>-95446.8</v>
      </c>
      <c r="Q879" s="125">
        <v>0</v>
      </c>
      <c r="S879" s="125">
        <v>-8477546.88000088</v>
      </c>
      <c r="T879" s="125">
        <v>0</v>
      </c>
      <c r="V879" s="125"/>
      <c r="W879" s="125"/>
    </row>
    <row r="880" spans="1:23">
      <c r="A880" s="121">
        <v>44257</v>
      </c>
      <c r="B880" s="125">
        <v>146724187.26761329</v>
      </c>
      <c r="C880" s="125">
        <v>49794183.426114254</v>
      </c>
      <c r="D880" s="125">
        <v>59642772.873603486</v>
      </c>
      <c r="E880" s="125">
        <v>60366635.970495276</v>
      </c>
      <c r="F880" s="123">
        <v>169803592.27021301</v>
      </c>
      <c r="G880" s="125">
        <v>-1200000</v>
      </c>
      <c r="H880" s="125">
        <v>1470.9448810466185</v>
      </c>
      <c r="I880" s="125">
        <v>842.80616393630237</v>
      </c>
      <c r="J880" s="125">
        <v>687.39970778669658</v>
      </c>
      <c r="K880" s="125">
        <v>846.94490159373061</v>
      </c>
      <c r="L880" s="164">
        <v>2377.1507733167296</v>
      </c>
      <c r="M880" s="125">
        <v>-90</v>
      </c>
      <c r="N880" s="115">
        <v>14325</v>
      </c>
      <c r="P880" s="125">
        <v>-95446.8</v>
      </c>
      <c r="Q880" s="125">
        <v>0</v>
      </c>
      <c r="S880" s="125">
        <v>-8477546.88000088</v>
      </c>
      <c r="T880" s="125">
        <v>0</v>
      </c>
      <c r="V880" s="125"/>
      <c r="W880" s="125"/>
    </row>
    <row r="881" spans="1:23">
      <c r="A881" s="121">
        <v>44258</v>
      </c>
      <c r="B881" s="125">
        <v>146512342.83274561</v>
      </c>
      <c r="C881" s="125">
        <v>50446159.987166777</v>
      </c>
      <c r="D881" s="125">
        <v>59672678.674676247</v>
      </c>
      <c r="E881" s="125">
        <v>60005726.203337625</v>
      </c>
      <c r="F881" s="123">
        <v>170124564.86518067</v>
      </c>
      <c r="G881" s="125">
        <v>-650000</v>
      </c>
      <c r="H881" s="125">
        <v>1479.8951984517021</v>
      </c>
      <c r="I881" s="125">
        <v>847.92509608370062</v>
      </c>
      <c r="J881" s="125">
        <v>679.81035175610043</v>
      </c>
      <c r="K881" s="125">
        <v>847.54846317816805</v>
      </c>
      <c r="L881" s="164">
        <v>2375.2839110179693</v>
      </c>
      <c r="M881" s="125">
        <v>-90</v>
      </c>
      <c r="N881" s="115">
        <v>14245</v>
      </c>
      <c r="P881" s="125">
        <v>-95446.8</v>
      </c>
      <c r="Q881" s="125">
        <v>0</v>
      </c>
      <c r="S881" s="125">
        <v>-8477546.88000088</v>
      </c>
      <c r="T881" s="125">
        <v>0</v>
      </c>
      <c r="V881" s="125"/>
      <c r="W881" s="125"/>
    </row>
    <row r="882" spans="1:23">
      <c r="A882" s="121">
        <v>44259</v>
      </c>
      <c r="B882" s="125">
        <v>146461657.48855832</v>
      </c>
      <c r="C882" s="125">
        <v>49989860.955717921</v>
      </c>
      <c r="D882" s="125">
        <v>59687266.828476131</v>
      </c>
      <c r="E882" s="125">
        <v>61978186.676579155</v>
      </c>
      <c r="F882" s="123">
        <v>171655314.4607732</v>
      </c>
      <c r="G882" s="125">
        <v>-643500</v>
      </c>
      <c r="H882" s="125">
        <v>1466.6118781490425</v>
      </c>
      <c r="I882" s="125">
        <v>839.27081900962219</v>
      </c>
      <c r="J882" s="125">
        <v>678.48417141438301</v>
      </c>
      <c r="K882" s="125">
        <v>849.40944209372822</v>
      </c>
      <c r="L882" s="164">
        <v>2367.1644325177335</v>
      </c>
      <c r="M882" s="125">
        <v>-89.875078864353313</v>
      </c>
      <c r="N882" s="115">
        <v>14265</v>
      </c>
      <c r="P882" s="125">
        <v>-95446.8</v>
      </c>
      <c r="Q882" s="125">
        <v>0</v>
      </c>
      <c r="S882" s="125">
        <v>-8477546.88000088</v>
      </c>
      <c r="T882" s="125">
        <v>0</v>
      </c>
      <c r="V882" s="125"/>
      <c r="W882" s="125"/>
    </row>
    <row r="883" spans="1:23">
      <c r="A883" s="121">
        <v>44260</v>
      </c>
      <c r="B883" s="125">
        <v>146174131.16812569</v>
      </c>
      <c r="C883" s="125">
        <v>50520450.509895772</v>
      </c>
      <c r="D883" s="125">
        <v>59383013.829245046</v>
      </c>
      <c r="E883" s="125">
        <v>62113951.983013764</v>
      </c>
      <c r="F883" s="123">
        <v>172017416.32215458</v>
      </c>
      <c r="G883" s="125">
        <v>-1743500</v>
      </c>
      <c r="H883" s="125">
        <v>1442.6640695287649</v>
      </c>
      <c r="I883" s="125">
        <v>836.04874782123102</v>
      </c>
      <c r="J883" s="125">
        <v>672.46460368827536</v>
      </c>
      <c r="K883" s="125">
        <v>834.17885942163423</v>
      </c>
      <c r="L883" s="164">
        <v>2342.6922109311404</v>
      </c>
      <c r="M883" s="125">
        <v>-90</v>
      </c>
      <c r="N883" s="115">
        <v>14300</v>
      </c>
      <c r="P883" s="125">
        <v>-95446.8</v>
      </c>
      <c r="Q883" s="125">
        <v>0</v>
      </c>
      <c r="S883" s="125">
        <v>-8477546.88000088</v>
      </c>
      <c r="T883" s="125">
        <v>0</v>
      </c>
      <c r="V883" s="125"/>
      <c r="W883" s="125"/>
    </row>
    <row r="884" spans="1:23">
      <c r="A884" s="121">
        <v>44263</v>
      </c>
      <c r="B884" s="125">
        <v>145824438.66415748</v>
      </c>
      <c r="C884" s="125">
        <v>50232132.139677174</v>
      </c>
      <c r="D884" s="125">
        <v>58899530.412669927</v>
      </c>
      <c r="E884" s="125">
        <v>63078104.92449072</v>
      </c>
      <c r="F884" s="123">
        <v>172209767.47683781</v>
      </c>
      <c r="G884" s="125">
        <v>-1100000</v>
      </c>
      <c r="H884" s="125">
        <v>1446.5233764762252</v>
      </c>
      <c r="I884" s="125">
        <v>835.0319942757543</v>
      </c>
      <c r="J884" s="125">
        <v>663.75290857825883</v>
      </c>
      <c r="K884" s="125">
        <v>859.53928943124833</v>
      </c>
      <c r="L884" s="164">
        <v>2358.3241922852612</v>
      </c>
      <c r="M884" s="125">
        <v>-90</v>
      </c>
      <c r="N884" s="115">
        <v>14360</v>
      </c>
      <c r="P884" s="125">
        <v>-95446.8</v>
      </c>
      <c r="Q884" s="125">
        <v>0</v>
      </c>
      <c r="S884" s="125">
        <v>-8477546.88000088</v>
      </c>
      <c r="T884" s="125">
        <v>0</v>
      </c>
      <c r="V884" s="125"/>
      <c r="W884" s="125"/>
    </row>
    <row r="885" spans="1:23">
      <c r="A885" s="121">
        <v>44264</v>
      </c>
      <c r="B885" s="125">
        <v>145952189.53677016</v>
      </c>
      <c r="C885" s="125">
        <v>50288072.305275291</v>
      </c>
      <c r="D885" s="125">
        <v>58802636.708129123</v>
      </c>
      <c r="E885" s="125">
        <v>62635675.686065979</v>
      </c>
      <c r="F885" s="123">
        <v>171726384.6994704</v>
      </c>
      <c r="G885" s="125">
        <v>-1100000</v>
      </c>
      <c r="H885" s="125">
        <v>1452.2419530476709</v>
      </c>
      <c r="I885" s="125">
        <v>832.40292285535054</v>
      </c>
      <c r="J885" s="125">
        <v>660.28583795456655</v>
      </c>
      <c r="K885" s="125">
        <v>858.0222305300008</v>
      </c>
      <c r="L885" s="164">
        <v>2350.7109913399181</v>
      </c>
      <c r="M885" s="125">
        <v>-90</v>
      </c>
      <c r="N885" s="115">
        <v>14400</v>
      </c>
      <c r="P885" s="125">
        <v>-189371.7</v>
      </c>
      <c r="Q885" s="125">
        <v>0</v>
      </c>
      <c r="S885" s="125">
        <v>-8477546.88000088</v>
      </c>
      <c r="T885" s="125">
        <v>0</v>
      </c>
      <c r="V885" s="125"/>
      <c r="W885" s="125"/>
    </row>
    <row r="886" spans="1:23">
      <c r="A886" s="121">
        <v>44265</v>
      </c>
      <c r="B886" s="125">
        <v>145832790.9184981</v>
      </c>
      <c r="C886" s="125">
        <v>50337618.500701621</v>
      </c>
      <c r="D886" s="125">
        <v>58482939.865485638</v>
      </c>
      <c r="E886" s="125">
        <v>62683117.32194294</v>
      </c>
      <c r="F886" s="123">
        <v>171503675.6881302</v>
      </c>
      <c r="G886" s="125">
        <v>-1100000</v>
      </c>
      <c r="H886" s="125">
        <v>1444.6382550925844</v>
      </c>
      <c r="I886" s="125">
        <v>826.01210997418559</v>
      </c>
      <c r="J886" s="125">
        <v>659.75558806928984</v>
      </c>
      <c r="K886" s="125">
        <v>870.79984315876982</v>
      </c>
      <c r="L886" s="164">
        <v>2356.5675412022451</v>
      </c>
      <c r="M886" s="125">
        <v>-90</v>
      </c>
      <c r="N886" s="115">
        <v>14405</v>
      </c>
      <c r="P886" s="125">
        <v>-189371.7</v>
      </c>
      <c r="Q886" s="125">
        <v>0</v>
      </c>
      <c r="S886" s="125">
        <v>-8477546.88000088</v>
      </c>
      <c r="T886" s="125">
        <v>0</v>
      </c>
      <c r="V886" s="125"/>
      <c r="W886" s="125"/>
    </row>
    <row r="887" spans="1:23">
      <c r="A887" s="121">
        <v>44267</v>
      </c>
      <c r="B887" s="125">
        <v>145621316.6363501</v>
      </c>
      <c r="C887" s="125">
        <v>48692672.877491742</v>
      </c>
      <c r="D887" s="125">
        <v>58234306.286712423</v>
      </c>
      <c r="E887" s="125">
        <v>62758770.733752333</v>
      </c>
      <c r="F887" s="123">
        <v>169685749.89795649</v>
      </c>
      <c r="G887" s="125">
        <v>-1100000</v>
      </c>
      <c r="H887" s="125">
        <v>1455.5851155823946</v>
      </c>
      <c r="I887" s="125">
        <v>832.98775583440693</v>
      </c>
      <c r="J887" s="125">
        <v>657.76745250167812</v>
      </c>
      <c r="K887" s="125">
        <v>876.81611892654348</v>
      </c>
      <c r="L887" s="164">
        <v>2367.5713272626285</v>
      </c>
      <c r="M887" s="125">
        <v>-90</v>
      </c>
      <c r="N887" s="115">
        <v>14385</v>
      </c>
      <c r="P887" s="125">
        <v>-189371.7</v>
      </c>
      <c r="Q887" s="125">
        <v>0</v>
      </c>
      <c r="S887" s="125">
        <v>-8477546.88000088</v>
      </c>
      <c r="T887" s="125">
        <v>0</v>
      </c>
      <c r="V887" s="125"/>
      <c r="W887" s="125"/>
    </row>
    <row r="888" spans="1:23">
      <c r="A888" s="121">
        <v>44270</v>
      </c>
      <c r="B888" s="125">
        <v>145846999.86672553</v>
      </c>
      <c r="C888" s="125">
        <v>49367525.908604495</v>
      </c>
      <c r="D888" s="125">
        <v>58209768.39259515</v>
      </c>
      <c r="E888" s="125">
        <v>62230187.065708712</v>
      </c>
      <c r="F888" s="123">
        <v>169807481.36690837</v>
      </c>
      <c r="G888" s="125">
        <v>-1100000</v>
      </c>
      <c r="H888" s="125">
        <v>1458.43670431328</v>
      </c>
      <c r="I888" s="125">
        <v>860.64316459365477</v>
      </c>
      <c r="J888" s="125">
        <v>655.60764086490474</v>
      </c>
      <c r="K888" s="125">
        <v>828.44832058872169</v>
      </c>
      <c r="L888" s="164">
        <v>2344.6991260472814</v>
      </c>
      <c r="M888" s="125">
        <v>-90</v>
      </c>
      <c r="N888" s="115">
        <v>14405</v>
      </c>
      <c r="P888" s="125">
        <v>-189371.7</v>
      </c>
      <c r="Q888" s="125">
        <v>0</v>
      </c>
      <c r="S888" s="125">
        <v>-3054196.6800008798</v>
      </c>
      <c r="T888" s="125">
        <v>0</v>
      </c>
      <c r="V888" s="125"/>
      <c r="W888" s="125"/>
    </row>
    <row r="889" spans="1:23">
      <c r="A889" s="121">
        <v>44271</v>
      </c>
      <c r="B889" s="125">
        <v>145847963.05385274</v>
      </c>
      <c r="C889" s="125">
        <v>48179409.751516052</v>
      </c>
      <c r="D889" s="125">
        <v>57671379.195504144</v>
      </c>
      <c r="E889" s="125">
        <v>62545055.992549464</v>
      </c>
      <c r="F889" s="123">
        <v>168395844.93956965</v>
      </c>
      <c r="G889" s="125">
        <v>-1100000</v>
      </c>
      <c r="H889" s="125">
        <v>1462.428977367123</v>
      </c>
      <c r="I889" s="125">
        <v>869.35609552796882</v>
      </c>
      <c r="J889" s="125">
        <v>655.05737340032601</v>
      </c>
      <c r="K889" s="125">
        <v>830.25032069618351</v>
      </c>
      <c r="L889" s="164">
        <v>2354.6637896244783</v>
      </c>
      <c r="M889" s="125">
        <v>-90</v>
      </c>
      <c r="N889" s="115">
        <v>14410</v>
      </c>
      <c r="P889" s="125">
        <v>-189371.7</v>
      </c>
      <c r="Q889" s="125">
        <v>0</v>
      </c>
      <c r="S889" s="125">
        <v>-3054196.6800008798</v>
      </c>
      <c r="T889" s="125">
        <v>0</v>
      </c>
      <c r="V889" s="125"/>
      <c r="W889" s="125"/>
    </row>
    <row r="890" spans="1:23">
      <c r="A890" s="121">
        <v>44272</v>
      </c>
      <c r="B890" s="125">
        <v>145834924.78152683</v>
      </c>
      <c r="C890" s="125">
        <v>48475324.22683654</v>
      </c>
      <c r="D890" s="125">
        <v>57491231.363425963</v>
      </c>
      <c r="E890" s="125">
        <v>62810426.474439517</v>
      </c>
      <c r="F890" s="123">
        <v>168776982.06470203</v>
      </c>
      <c r="G890" s="125">
        <v>-1100000</v>
      </c>
      <c r="H890" s="125">
        <v>1485.0704037530843</v>
      </c>
      <c r="I890" s="125">
        <v>896.67486983797551</v>
      </c>
      <c r="J890" s="125">
        <v>656.37144859904038</v>
      </c>
      <c r="K890" s="125">
        <v>802.63745800967945</v>
      </c>
      <c r="L890" s="164">
        <v>2355.6837764466954</v>
      </c>
      <c r="M890" s="125">
        <v>-90.003119151590766</v>
      </c>
      <c r="N890" s="115">
        <v>14427</v>
      </c>
      <c r="P890" s="125">
        <v>-189371.7</v>
      </c>
      <c r="Q890" s="125">
        <v>0</v>
      </c>
      <c r="S890" s="125">
        <v>-3054196.6800008798</v>
      </c>
      <c r="T890" s="125">
        <v>0</v>
      </c>
      <c r="V890" s="125"/>
      <c r="W890" s="125"/>
    </row>
    <row r="891" spans="1:23">
      <c r="A891" s="121">
        <v>44273</v>
      </c>
      <c r="B891" s="125">
        <v>145987400.90662506</v>
      </c>
      <c r="C891" s="125">
        <v>47329692.133630507</v>
      </c>
      <c r="D891" s="125">
        <v>57692535.868038535</v>
      </c>
      <c r="E891" s="125">
        <v>61816885.855674185</v>
      </c>
      <c r="F891" s="123">
        <v>166839113.85734323</v>
      </c>
      <c r="G891" s="125">
        <v>-1100000</v>
      </c>
      <c r="H891" s="125">
        <v>1502.0492262806504</v>
      </c>
      <c r="I891" s="125">
        <v>890.21741332111321</v>
      </c>
      <c r="J891" s="125">
        <v>656.3303923200657</v>
      </c>
      <c r="K891" s="125">
        <v>801.16730830213373</v>
      </c>
      <c r="L891" s="164">
        <v>2347.7151139433126</v>
      </c>
      <c r="M891" s="125">
        <v>-90</v>
      </c>
      <c r="N891" s="115">
        <v>14410</v>
      </c>
      <c r="P891" s="125">
        <v>-189371.7</v>
      </c>
      <c r="Q891" s="125">
        <v>0</v>
      </c>
      <c r="S891" s="125">
        <v>-3054196.6800008798</v>
      </c>
      <c r="T891" s="125">
        <v>0</v>
      </c>
      <c r="V891" s="125"/>
      <c r="W891" s="125"/>
    </row>
    <row r="892" spans="1:23">
      <c r="A892" s="121">
        <v>44274</v>
      </c>
      <c r="B892" s="125">
        <v>145993156.68120682</v>
      </c>
      <c r="C892" s="125">
        <v>47427614.790578194</v>
      </c>
      <c r="D892" s="125">
        <v>57658398.140572816</v>
      </c>
      <c r="E892" s="125">
        <v>62270495.577258103</v>
      </c>
      <c r="F892" s="123">
        <v>167356508.50840911</v>
      </c>
      <c r="G892" s="125">
        <v>-1100000</v>
      </c>
      <c r="H892" s="125">
        <v>1514.5816079417095</v>
      </c>
      <c r="I892" s="125">
        <v>882.69025572456496</v>
      </c>
      <c r="J892" s="125">
        <v>654.09815250650706</v>
      </c>
      <c r="K892" s="125">
        <v>801.73354465180876</v>
      </c>
      <c r="L892" s="164">
        <v>2338.5219528828807</v>
      </c>
      <c r="M892" s="125">
        <v>-90</v>
      </c>
      <c r="N892" s="115">
        <v>14405</v>
      </c>
      <c r="P892" s="125">
        <v>-189371.7</v>
      </c>
      <c r="Q892" s="125">
        <v>0</v>
      </c>
      <c r="S892" s="125">
        <v>-3054196.6800008798</v>
      </c>
      <c r="T892" s="125">
        <v>0</v>
      </c>
      <c r="V892" s="125"/>
      <c r="W892" s="125"/>
    </row>
    <row r="893" spans="1:23">
      <c r="A893" s="121">
        <v>44277</v>
      </c>
      <c r="B893" s="125">
        <v>146232978.49470866</v>
      </c>
      <c r="C893" s="125">
        <v>49333039.693478793</v>
      </c>
      <c r="D893" s="125">
        <v>57448576.521200404</v>
      </c>
      <c r="E893" s="125">
        <v>62409068.377451986</v>
      </c>
      <c r="F893" s="123">
        <v>169190684.5921312</v>
      </c>
      <c r="G893" s="125">
        <v>-1100000</v>
      </c>
      <c r="H893" s="125">
        <v>1515.9063195751328</v>
      </c>
      <c r="I893" s="125">
        <v>907.96877269912261</v>
      </c>
      <c r="J893" s="125">
        <v>648.37627718973374</v>
      </c>
      <c r="K893" s="125">
        <v>792.72974252209326</v>
      </c>
      <c r="L893" s="164">
        <v>2349.0747924109496</v>
      </c>
      <c r="M893" s="125">
        <v>-90</v>
      </c>
      <c r="N893" s="115">
        <v>14402.5</v>
      </c>
      <c r="P893" s="125">
        <v>-740670.98849999998</v>
      </c>
      <c r="Q893" s="125">
        <v>0</v>
      </c>
      <c r="S893" s="125">
        <v>-2551524.6800008798</v>
      </c>
      <c r="T893" s="125">
        <v>0</v>
      </c>
      <c r="V893" s="125"/>
      <c r="W893" s="125"/>
    </row>
    <row r="894" spans="1:23">
      <c r="A894" s="121">
        <v>44278</v>
      </c>
      <c r="B894" s="125">
        <v>146141244.93967462</v>
      </c>
      <c r="C894" s="125">
        <v>49418910.872872137</v>
      </c>
      <c r="D894" s="125">
        <v>57332693.25515648</v>
      </c>
      <c r="E894" s="125">
        <v>61664043.483702473</v>
      </c>
      <c r="F894" s="123">
        <v>168415647.61173108</v>
      </c>
      <c r="G894" s="125">
        <v>-1100000</v>
      </c>
      <c r="H894" s="125">
        <v>1516.328388177835</v>
      </c>
      <c r="I894" s="125">
        <v>934.20875190988136</v>
      </c>
      <c r="J894" s="125">
        <v>649.68215127621067</v>
      </c>
      <c r="K894" s="125">
        <v>764.84790833155216</v>
      </c>
      <c r="L894" s="164">
        <v>2348.7388115176445</v>
      </c>
      <c r="M894" s="125">
        <v>-90</v>
      </c>
      <c r="N894" s="115">
        <v>14395</v>
      </c>
      <c r="P894" s="125">
        <v>-740670.98849999998</v>
      </c>
      <c r="Q894" s="125">
        <v>0</v>
      </c>
      <c r="S894" s="125">
        <v>-2551524.6800008798</v>
      </c>
      <c r="T894" s="125">
        <v>0</v>
      </c>
      <c r="V894" s="125"/>
      <c r="W894" s="125"/>
    </row>
    <row r="895" spans="1:23">
      <c r="A895" s="121">
        <v>44279</v>
      </c>
      <c r="B895" s="125">
        <v>146236954.02607119</v>
      </c>
      <c r="C895" s="125">
        <v>48859455.269886889</v>
      </c>
      <c r="D895" s="125">
        <v>57694159.100144796</v>
      </c>
      <c r="E895" s="125">
        <v>61657577.96527224</v>
      </c>
      <c r="F895" s="123">
        <v>168211192.33530393</v>
      </c>
      <c r="G895" s="125">
        <v>-1100000</v>
      </c>
      <c r="H895" s="125">
        <v>1522.5038916265607</v>
      </c>
      <c r="I895" s="125">
        <v>941.66325603374912</v>
      </c>
      <c r="J895" s="125">
        <v>646.38434708428713</v>
      </c>
      <c r="K895" s="125">
        <v>762.5731705634322</v>
      </c>
      <c r="L895" s="164">
        <v>2350.6207736814686</v>
      </c>
      <c r="M895" s="125">
        <v>-90</v>
      </c>
      <c r="N895" s="115">
        <v>14425</v>
      </c>
      <c r="P895" s="125">
        <v>-740670.98849999998</v>
      </c>
      <c r="Q895" s="125">
        <v>0</v>
      </c>
      <c r="S895" s="125">
        <v>-2551524.6800008798</v>
      </c>
      <c r="T895" s="125">
        <v>0</v>
      </c>
      <c r="V895" s="125"/>
      <c r="W895" s="125"/>
    </row>
    <row r="896" spans="1:23">
      <c r="A896" s="121">
        <v>44280</v>
      </c>
      <c r="B896" s="125">
        <v>146518941.26810807</v>
      </c>
      <c r="C896" s="125">
        <v>48346760.803030394</v>
      </c>
      <c r="D896" s="125">
        <v>58379067.990220137</v>
      </c>
      <c r="E896" s="125">
        <v>61996713.350470103</v>
      </c>
      <c r="F896" s="123">
        <v>168722542.14372063</v>
      </c>
      <c r="G896" s="125">
        <v>-1100000</v>
      </c>
      <c r="H896" s="125">
        <v>1494.1866248168039</v>
      </c>
      <c r="I896" s="125">
        <v>887.04483592621625</v>
      </c>
      <c r="J896" s="125">
        <v>647.18652348482169</v>
      </c>
      <c r="K896" s="125">
        <v>793.51807881847355</v>
      </c>
      <c r="L896" s="164">
        <v>2327.7494382295113</v>
      </c>
      <c r="M896" s="125">
        <v>-90</v>
      </c>
      <c r="N896" s="115">
        <v>14425</v>
      </c>
      <c r="P896" s="125">
        <v>-740670.98849999998</v>
      </c>
      <c r="Q896" s="125">
        <v>0</v>
      </c>
      <c r="S896" s="125">
        <v>-2551524.6800008798</v>
      </c>
      <c r="T896" s="125">
        <v>0</v>
      </c>
      <c r="V896" s="125"/>
      <c r="W896" s="125"/>
    </row>
    <row r="897" spans="1:23">
      <c r="A897" s="121">
        <v>44281</v>
      </c>
      <c r="B897" s="125">
        <v>146607865.73458946</v>
      </c>
      <c r="C897" s="125">
        <v>46489568.001665637</v>
      </c>
      <c r="D897" s="125">
        <v>58804629.047659487</v>
      </c>
      <c r="E897" s="125">
        <v>61225096.199491307</v>
      </c>
      <c r="F897" s="123">
        <v>166519293.24881643</v>
      </c>
      <c r="G897" s="125">
        <v>-1100000</v>
      </c>
      <c r="H897" s="125">
        <v>1496.8866810788415</v>
      </c>
      <c r="I897" s="125">
        <v>889.34668051432391</v>
      </c>
      <c r="J897" s="125">
        <v>644.77386992043671</v>
      </c>
      <c r="K897" s="125">
        <v>796.33138069380664</v>
      </c>
      <c r="L897" s="164">
        <v>2330.4519311285671</v>
      </c>
      <c r="M897" s="125">
        <v>-90</v>
      </c>
      <c r="N897" s="115">
        <v>14417.5</v>
      </c>
      <c r="P897" s="125">
        <v>-1016651.4885</v>
      </c>
      <c r="Q897" s="125">
        <v>0</v>
      </c>
      <c r="S897" s="125">
        <v>-2551524.6800008798</v>
      </c>
      <c r="T897" s="125">
        <v>0</v>
      </c>
      <c r="V897" s="125"/>
      <c r="W897" s="125"/>
    </row>
    <row r="898" spans="1:23">
      <c r="A898" s="121">
        <v>44284</v>
      </c>
      <c r="B898" s="125">
        <v>147010198.98119834</v>
      </c>
      <c r="C898" s="125">
        <v>47991709.783491924</v>
      </c>
      <c r="D898" s="125">
        <v>58533218.547672011</v>
      </c>
      <c r="E898" s="125">
        <v>60415522.946465001</v>
      </c>
      <c r="F898" s="123">
        <v>166940451.27762896</v>
      </c>
      <c r="G898" s="125">
        <v>-1100000</v>
      </c>
      <c r="H898" s="125">
        <v>1479.5065534165969</v>
      </c>
      <c r="I898" s="125">
        <v>858.39175268540657</v>
      </c>
      <c r="J898" s="125">
        <v>641.07699800933517</v>
      </c>
      <c r="K898" s="125">
        <v>796.01172831035547</v>
      </c>
      <c r="L898" s="164">
        <v>2295.4804790050971</v>
      </c>
      <c r="M898" s="125">
        <v>-80</v>
      </c>
      <c r="N898" s="115">
        <v>14445</v>
      </c>
      <c r="P898" s="125">
        <v>-1016651.4885</v>
      </c>
      <c r="Q898" s="125">
        <v>0</v>
      </c>
      <c r="S898" s="125">
        <v>-8.7999999999999994E-7</v>
      </c>
      <c r="T898" s="125">
        <v>0</v>
      </c>
      <c r="V898" s="125"/>
      <c r="W898" s="125"/>
    </row>
    <row r="899" spans="1:23">
      <c r="A899" s="121">
        <v>44285</v>
      </c>
      <c r="B899" s="125">
        <v>147222871.76912603</v>
      </c>
      <c r="C899" s="125">
        <v>47185826.178915635</v>
      </c>
      <c r="D899" s="125">
        <v>58694513.486000501</v>
      </c>
      <c r="E899" s="125">
        <v>61119078.872237831</v>
      </c>
      <c r="F899" s="123">
        <v>166999418.53715396</v>
      </c>
      <c r="G899" s="125">
        <v>-1100000</v>
      </c>
      <c r="H899" s="125">
        <v>1498.4349815575222</v>
      </c>
      <c r="I899" s="125">
        <v>821.16164000884658</v>
      </c>
      <c r="J899" s="125">
        <v>650.46769739990134</v>
      </c>
      <c r="K899" s="125">
        <v>799.30812211352054</v>
      </c>
      <c r="L899" s="164">
        <v>2270.9374595222685</v>
      </c>
      <c r="M899" s="125">
        <v>-80</v>
      </c>
      <c r="N899" s="115">
        <v>14480</v>
      </c>
      <c r="P899" s="125">
        <v>-1556427.0689999999</v>
      </c>
      <c r="Q899" s="125">
        <v>0</v>
      </c>
      <c r="S899" s="125">
        <v>-1884087.5000010401</v>
      </c>
      <c r="T899" s="125">
        <v>0</v>
      </c>
      <c r="V899" s="125"/>
      <c r="W899" s="125"/>
    </row>
    <row r="900" spans="1:23">
      <c r="A900" s="121">
        <v>44286</v>
      </c>
      <c r="B900" s="125">
        <v>148384995.68051401</v>
      </c>
      <c r="C900" s="125">
        <v>46631110.105507001</v>
      </c>
      <c r="D900" s="125">
        <v>59000810.762144998</v>
      </c>
      <c r="E900" s="125">
        <v>61778728.850339003</v>
      </c>
      <c r="F900" s="123">
        <v>167410649.71799099</v>
      </c>
      <c r="G900" s="125">
        <v>-1200000</v>
      </c>
      <c r="H900" s="125">
        <v>1512.4956441921515</v>
      </c>
      <c r="I900" s="125">
        <v>817.73711924282281</v>
      </c>
      <c r="J900" s="125">
        <v>645.20759047855427</v>
      </c>
      <c r="K900" s="125">
        <v>802.83394946815838</v>
      </c>
      <c r="L900" s="164">
        <v>2265.7786591895356</v>
      </c>
      <c r="M900" s="125">
        <v>-90</v>
      </c>
      <c r="N900" s="115">
        <v>14525</v>
      </c>
      <c r="O900" s="116">
        <v>3497.8900336449001</v>
      </c>
      <c r="P900" s="125">
        <v>-1556427.0689999999</v>
      </c>
      <c r="Q900" s="125">
        <v>0</v>
      </c>
      <c r="S900" s="125">
        <v>-3358887.15000124</v>
      </c>
      <c r="T900" s="125">
        <v>0</v>
      </c>
      <c r="V900" s="125"/>
      <c r="W900" s="125"/>
    </row>
    <row r="901" spans="1:23">
      <c r="A901" s="121">
        <v>44287</v>
      </c>
      <c r="B901" s="125">
        <v>147236415.67868799</v>
      </c>
      <c r="C901" s="125">
        <v>45717128.534938827</v>
      </c>
      <c r="D901" s="125">
        <v>58926944.460411668</v>
      </c>
      <c r="E901" s="125">
        <v>62102555.525924318</v>
      </c>
      <c r="F901" s="123">
        <v>166746628.52127481</v>
      </c>
      <c r="G901" s="125">
        <v>-1100000</v>
      </c>
      <c r="H901" s="125">
        <v>1499.181378676549</v>
      </c>
      <c r="I901" s="125">
        <v>807.24888299796771</v>
      </c>
      <c r="J901" s="125">
        <v>643.58785344999524</v>
      </c>
      <c r="K901" s="125">
        <v>802.68531520941963</v>
      </c>
      <c r="L901" s="164">
        <v>2253.5220516573827</v>
      </c>
      <c r="M901" s="125">
        <v>-80</v>
      </c>
      <c r="N901" s="115">
        <v>14525</v>
      </c>
      <c r="P901" s="125">
        <v>-1556427.0689999999</v>
      </c>
      <c r="Q901" s="125">
        <v>0</v>
      </c>
      <c r="S901" s="125">
        <v>-3358887.15000124</v>
      </c>
      <c r="T901" s="125">
        <v>0</v>
      </c>
      <c r="V901" s="125"/>
      <c r="W901" s="125"/>
    </row>
    <row r="902" spans="1:23">
      <c r="A902" s="121">
        <v>44291</v>
      </c>
      <c r="B902" s="125">
        <v>145815474.80261829</v>
      </c>
      <c r="C902" s="125">
        <v>47007980.052464254</v>
      </c>
      <c r="D902" s="125">
        <v>58646485.728634894</v>
      </c>
      <c r="E902" s="125">
        <v>62098283.73077786</v>
      </c>
      <c r="F902" s="123">
        <v>167752749.511877</v>
      </c>
      <c r="G902" s="125">
        <v>-1100000</v>
      </c>
      <c r="H902" s="125">
        <v>1485.182656763443</v>
      </c>
      <c r="I902" s="125">
        <v>815.66898163037786</v>
      </c>
      <c r="J902" s="125">
        <v>642.58261332492407</v>
      </c>
      <c r="K902" s="125">
        <v>795.14481994384823</v>
      </c>
      <c r="L902" s="164">
        <v>2253.3964148991499</v>
      </c>
      <c r="M902" s="125">
        <v>-80</v>
      </c>
      <c r="N902" s="115">
        <v>14515</v>
      </c>
      <c r="P902" s="125">
        <v>-1096286.9805000001</v>
      </c>
      <c r="Q902" s="125">
        <v>0</v>
      </c>
      <c r="S902" s="125">
        <v>-3358887.15000124</v>
      </c>
      <c r="T902" s="125">
        <v>0</v>
      </c>
      <c r="V902" s="125"/>
      <c r="W902" s="125"/>
    </row>
    <row r="903" spans="1:23">
      <c r="A903" s="121">
        <v>44292</v>
      </c>
      <c r="B903" s="125">
        <v>145928526.73362797</v>
      </c>
      <c r="C903" s="125">
        <v>47215021.92254477</v>
      </c>
      <c r="D903" s="125">
        <v>58010409.132084101</v>
      </c>
      <c r="E903" s="125">
        <v>62450172.172987252</v>
      </c>
      <c r="F903" s="123">
        <v>167675603.22761613</v>
      </c>
      <c r="G903" s="125">
        <v>-1100000</v>
      </c>
      <c r="H903" s="125">
        <v>1453.1613048601712</v>
      </c>
      <c r="I903" s="125">
        <v>968.34586740422958</v>
      </c>
      <c r="J903" s="125">
        <v>643.19445677811757</v>
      </c>
      <c r="K903" s="125">
        <v>789.31160592939966</v>
      </c>
      <c r="L903" s="164">
        <v>2400.8519301117467</v>
      </c>
      <c r="M903" s="125">
        <v>-80</v>
      </c>
      <c r="N903" s="115">
        <v>14505</v>
      </c>
      <c r="P903" s="125">
        <v>-1229584.6305</v>
      </c>
      <c r="Q903" s="125">
        <v>0</v>
      </c>
      <c r="S903" s="125">
        <v>-2457384.65000124</v>
      </c>
      <c r="T903" s="125">
        <v>0</v>
      </c>
      <c r="V903" s="125"/>
      <c r="W903" s="125"/>
    </row>
    <row r="904" spans="1:23">
      <c r="A904" s="121">
        <v>44293</v>
      </c>
      <c r="B904" s="125">
        <v>145031119.6318084</v>
      </c>
      <c r="C904" s="125">
        <v>48002624.987309754</v>
      </c>
      <c r="D904" s="125">
        <v>57981151.98212368</v>
      </c>
      <c r="E904" s="125">
        <v>62742878.371228032</v>
      </c>
      <c r="F904" s="123">
        <v>168726655.34066147</v>
      </c>
      <c r="G904" s="125">
        <v>-1100000</v>
      </c>
      <c r="H904" s="125">
        <v>1444.3454370576771</v>
      </c>
      <c r="I904" s="125">
        <v>970.28335195184263</v>
      </c>
      <c r="J904" s="125">
        <v>644.51194526017753</v>
      </c>
      <c r="K904" s="125">
        <v>786.5333553445638</v>
      </c>
      <c r="L904" s="164">
        <v>2401.3286525565841</v>
      </c>
      <c r="M904" s="125">
        <v>-80</v>
      </c>
      <c r="N904" s="115">
        <v>14495</v>
      </c>
      <c r="P904" s="125">
        <v>-1229584.6305</v>
      </c>
      <c r="Q904" s="125">
        <v>0</v>
      </c>
      <c r="S904" s="125">
        <v>-2130095.8000012403</v>
      </c>
      <c r="T904" s="125">
        <v>0</v>
      </c>
      <c r="V904" s="125"/>
      <c r="W904" s="125"/>
    </row>
    <row r="905" spans="1:23">
      <c r="A905" s="121">
        <v>44294</v>
      </c>
      <c r="B905" s="125">
        <v>144649143.69720981</v>
      </c>
      <c r="C905" s="125">
        <v>48050406.599919789</v>
      </c>
      <c r="D905" s="125">
        <v>57817273.72816579</v>
      </c>
      <c r="E905" s="125">
        <v>63621491.942783348</v>
      </c>
      <c r="F905" s="123">
        <v>169489172.27086893</v>
      </c>
      <c r="G905" s="125">
        <v>-1100000</v>
      </c>
      <c r="H905" s="125">
        <v>1437.5859928886553</v>
      </c>
      <c r="I905" s="125">
        <v>961.38363652393787</v>
      </c>
      <c r="J905" s="125">
        <v>643.21037060552635</v>
      </c>
      <c r="K905" s="125">
        <v>786.1307649747182</v>
      </c>
      <c r="L905" s="164">
        <v>2390.7247721041822</v>
      </c>
      <c r="M905" s="125">
        <v>-80</v>
      </c>
      <c r="N905" s="115">
        <v>14535</v>
      </c>
      <c r="P905" s="125">
        <v>-1229584.6305</v>
      </c>
      <c r="Q905" s="125">
        <v>0</v>
      </c>
      <c r="S905" s="125">
        <v>-2130095.8000012403</v>
      </c>
      <c r="T905" s="125">
        <v>0</v>
      </c>
      <c r="V905" s="125"/>
      <c r="W905" s="125"/>
    </row>
    <row r="906" spans="1:23">
      <c r="A906" s="121">
        <v>44295</v>
      </c>
      <c r="B906" s="125">
        <v>144378716.93428823</v>
      </c>
      <c r="C906" s="125">
        <v>46345257.328552432</v>
      </c>
      <c r="D906" s="125">
        <v>57876547.908065706</v>
      </c>
      <c r="E906" s="125">
        <v>63767788.145546153</v>
      </c>
      <c r="F906" s="123">
        <v>167989593.3821643</v>
      </c>
      <c r="G906" s="125">
        <v>-1100000</v>
      </c>
      <c r="H906" s="125">
        <v>1426.636497477022</v>
      </c>
      <c r="I906" s="125">
        <v>983.15526669985354</v>
      </c>
      <c r="J906" s="125">
        <v>641.60454412213483</v>
      </c>
      <c r="K906" s="125">
        <v>789.0109129753356</v>
      </c>
      <c r="L906" s="164">
        <v>2413.7707237973241</v>
      </c>
      <c r="M906" s="125">
        <v>-80</v>
      </c>
      <c r="N906" s="115">
        <v>14565</v>
      </c>
      <c r="P906" s="125">
        <v>-1135659.7305000001</v>
      </c>
      <c r="Q906" s="125">
        <v>0</v>
      </c>
      <c r="S906" s="125">
        <v>-2130095.8000012403</v>
      </c>
      <c r="T906" s="125">
        <v>0</v>
      </c>
      <c r="V906" s="125"/>
      <c r="W906" s="125"/>
    </row>
    <row r="907" spans="1:23">
      <c r="A907" s="121">
        <v>44298</v>
      </c>
      <c r="B907" s="125">
        <v>144318178.45301235</v>
      </c>
      <c r="C907" s="125">
        <v>47613487.242948703</v>
      </c>
      <c r="D907" s="125">
        <v>57591366.477120526</v>
      </c>
      <c r="E907" s="125">
        <v>63801683.73878403</v>
      </c>
      <c r="F907" s="123">
        <v>169006537.45885324</v>
      </c>
      <c r="G907" s="125">
        <v>-1100000</v>
      </c>
      <c r="H907" s="125">
        <v>1425.8207797890816</v>
      </c>
      <c r="I907" s="125">
        <v>960.57082193720726</v>
      </c>
      <c r="J907" s="125">
        <v>638.22335968554182</v>
      </c>
      <c r="K907" s="125">
        <v>785.10579675789882</v>
      </c>
      <c r="L907" s="164">
        <v>2383.8999783806476</v>
      </c>
      <c r="M907" s="125">
        <v>-80</v>
      </c>
      <c r="N907" s="115">
        <v>14595</v>
      </c>
      <c r="P907" s="125">
        <v>-1135659.7305000001</v>
      </c>
      <c r="Q907" s="125">
        <v>0</v>
      </c>
      <c r="S907" s="125">
        <v>-2130095.8000012403</v>
      </c>
      <c r="T907" s="125">
        <v>0</v>
      </c>
      <c r="V907" s="125"/>
      <c r="W907" s="125"/>
    </row>
    <row r="908" spans="1:23">
      <c r="A908" s="121">
        <v>44299</v>
      </c>
      <c r="B908" s="125">
        <v>144124716.70086941</v>
      </c>
      <c r="C908" s="125">
        <v>48623269.003688388</v>
      </c>
      <c r="D908" s="125">
        <v>57135122.852821104</v>
      </c>
      <c r="E908" s="125">
        <v>64189027.000238314</v>
      </c>
      <c r="F908" s="123">
        <v>169947418.85674781</v>
      </c>
      <c r="G908" s="125">
        <v>-1100000</v>
      </c>
      <c r="H908" s="125">
        <v>1413.9082170383936</v>
      </c>
      <c r="I908" s="125">
        <v>954.8610278996415</v>
      </c>
      <c r="J908" s="125">
        <v>637.80816090810595</v>
      </c>
      <c r="K908" s="125">
        <v>787.85453172770383</v>
      </c>
      <c r="L908" s="164">
        <v>2380.5237205354515</v>
      </c>
      <c r="M908" s="125">
        <v>-80</v>
      </c>
      <c r="N908" s="115">
        <v>14605</v>
      </c>
      <c r="P908" s="125">
        <v>-595884.15</v>
      </c>
      <c r="Q908" s="125">
        <v>0</v>
      </c>
      <c r="S908" s="125">
        <v>-1193750.8000012401</v>
      </c>
      <c r="T908" s="125">
        <v>0</v>
      </c>
      <c r="V908" s="125"/>
      <c r="W908" s="125"/>
    </row>
    <row r="909" spans="1:23">
      <c r="A909" s="121">
        <v>44300</v>
      </c>
      <c r="B909" s="125">
        <v>144095694.3330799</v>
      </c>
      <c r="C909" s="125">
        <v>48170756.212624401</v>
      </c>
      <c r="D909" s="125">
        <v>57079389.931972548</v>
      </c>
      <c r="E909" s="125">
        <v>64714919.857816607</v>
      </c>
      <c r="F909" s="123">
        <v>169965066.00241357</v>
      </c>
      <c r="G909" s="125">
        <v>-1100000</v>
      </c>
      <c r="H909" s="125">
        <v>1427.7085201760528</v>
      </c>
      <c r="I909" s="125">
        <v>957.82046797503665</v>
      </c>
      <c r="J909" s="125">
        <v>642.85586912988333</v>
      </c>
      <c r="K909" s="125">
        <v>777.81970556465023</v>
      </c>
      <c r="L909" s="164">
        <v>2378.4960426695702</v>
      </c>
      <c r="M909" s="125">
        <v>-80</v>
      </c>
      <c r="N909" s="115">
        <v>14602.5</v>
      </c>
      <c r="P909" s="125">
        <v>-595884.15</v>
      </c>
      <c r="Q909" s="125">
        <v>0</v>
      </c>
      <c r="S909" s="125">
        <v>-1.2400000000000002E-6</v>
      </c>
      <c r="T909" s="125">
        <v>0</v>
      </c>
      <c r="V909" s="125"/>
      <c r="W909" s="125"/>
    </row>
    <row r="910" spans="1:23">
      <c r="A910" s="121">
        <v>44301</v>
      </c>
      <c r="B910" s="125">
        <v>144074466.24179372</v>
      </c>
      <c r="C910" s="125">
        <v>47891426.045054674</v>
      </c>
      <c r="D910" s="125">
        <v>57320349.41424901</v>
      </c>
      <c r="E910" s="125">
        <v>64573663.024824947</v>
      </c>
      <c r="F910" s="123">
        <v>169785438.48412862</v>
      </c>
      <c r="G910" s="125">
        <v>-1100000</v>
      </c>
      <c r="H910" s="125">
        <v>1394.1218030653754</v>
      </c>
      <c r="I910" s="125">
        <v>939.5127208159887</v>
      </c>
      <c r="J910" s="125">
        <v>642.81325367042484</v>
      </c>
      <c r="K910" s="125">
        <v>777.86076567713678</v>
      </c>
      <c r="L910" s="164">
        <v>2360.1867401635504</v>
      </c>
      <c r="M910" s="125">
        <v>-80</v>
      </c>
      <c r="N910" s="115">
        <v>14610</v>
      </c>
      <c r="P910" s="125">
        <v>-462586.5</v>
      </c>
      <c r="Q910" s="125">
        <v>0</v>
      </c>
      <c r="S910" s="125">
        <v>-1.2400000000000002E-6</v>
      </c>
      <c r="T910" s="125">
        <v>0</v>
      </c>
      <c r="V910" s="125"/>
      <c r="W910" s="125"/>
    </row>
    <row r="911" spans="1:23">
      <c r="A911" s="121">
        <v>44302</v>
      </c>
      <c r="B911" s="125">
        <v>143857188.29854566</v>
      </c>
      <c r="C911" s="125">
        <v>47456180.578735843</v>
      </c>
      <c r="D911" s="125">
        <v>57236223.862945996</v>
      </c>
      <c r="E911" s="125">
        <v>64302129.028971329</v>
      </c>
      <c r="F911" s="123">
        <v>168994533.47065318</v>
      </c>
      <c r="G911" s="125">
        <v>-1100000</v>
      </c>
      <c r="H911" s="125">
        <v>1414.96298309341</v>
      </c>
      <c r="I911" s="125">
        <v>980.23243428134629</v>
      </c>
      <c r="J911" s="125">
        <v>641.7409669740515</v>
      </c>
      <c r="K911" s="125">
        <v>777.58753177166534</v>
      </c>
      <c r="L911" s="164">
        <v>2399.5609330270631</v>
      </c>
      <c r="M911" s="125">
        <v>-80</v>
      </c>
      <c r="N911" s="115">
        <v>14565</v>
      </c>
      <c r="P911" s="125">
        <v>-462586.5</v>
      </c>
      <c r="Q911" s="125">
        <v>0</v>
      </c>
      <c r="S911" s="125">
        <v>-1.2400000000000002E-6</v>
      </c>
      <c r="T911" s="125">
        <v>0</v>
      </c>
      <c r="V911" s="125"/>
      <c r="W911" s="125"/>
    </row>
    <row r="912" spans="1:23">
      <c r="A912" s="121">
        <v>44305</v>
      </c>
      <c r="B912" s="125">
        <v>144319501.17573184</v>
      </c>
      <c r="C912" s="125">
        <v>48641526.571382694</v>
      </c>
      <c r="D912" s="125">
        <v>57044098.828640923</v>
      </c>
      <c r="E912" s="125">
        <v>64399528.012270942</v>
      </c>
      <c r="F912" s="123">
        <v>170085153.41229457</v>
      </c>
      <c r="G912" s="125">
        <v>-1100000</v>
      </c>
      <c r="H912" s="125">
        <v>1397.3394621661419</v>
      </c>
      <c r="I912" s="125">
        <v>984.79880194843361</v>
      </c>
      <c r="J912" s="125">
        <v>638.92543600181398</v>
      </c>
      <c r="K912" s="125">
        <v>773.29825526760783</v>
      </c>
      <c r="L912" s="164">
        <v>2397.0224932178553</v>
      </c>
      <c r="M912" s="125">
        <v>-80</v>
      </c>
      <c r="N912" s="115">
        <v>14547.5</v>
      </c>
      <c r="P912" s="125">
        <v>-462586.5</v>
      </c>
      <c r="Q912" s="125">
        <v>0</v>
      </c>
      <c r="S912" s="125">
        <v>-1.2400000000000002E-6</v>
      </c>
      <c r="T912" s="125">
        <v>0</v>
      </c>
      <c r="V912" s="125"/>
      <c r="W912" s="125"/>
    </row>
    <row r="913" spans="1:23">
      <c r="A913" s="121">
        <v>44306</v>
      </c>
      <c r="B913" s="125">
        <v>144214119.85217193</v>
      </c>
      <c r="C913" s="125">
        <v>48248919.906741619</v>
      </c>
      <c r="D913" s="125">
        <v>56964624.345149495</v>
      </c>
      <c r="E913" s="125">
        <v>64452332.38110555</v>
      </c>
      <c r="F913" s="123">
        <v>169665876.63299665</v>
      </c>
      <c r="G913" s="125">
        <v>-1100000</v>
      </c>
      <c r="H913" s="125">
        <v>1399.5571715546748</v>
      </c>
      <c r="I913" s="125">
        <v>980.5625658869377</v>
      </c>
      <c r="J913" s="125">
        <v>641.02020130709752</v>
      </c>
      <c r="K913" s="125">
        <v>778.53298801076573</v>
      </c>
      <c r="L913" s="164">
        <v>2400.1157552048007</v>
      </c>
      <c r="M913" s="125">
        <v>-80</v>
      </c>
      <c r="N913" s="115">
        <v>14497.5</v>
      </c>
      <c r="P913" s="125">
        <v>-462586.5</v>
      </c>
      <c r="Q913" s="125">
        <v>0</v>
      </c>
      <c r="S913" s="125">
        <v>-1.2400000000000002E-6</v>
      </c>
      <c r="T913" s="125">
        <v>0</v>
      </c>
      <c r="V913" s="125"/>
      <c r="W913" s="125"/>
    </row>
    <row r="914" spans="1:23">
      <c r="A914" s="121">
        <v>44307</v>
      </c>
      <c r="B914" s="125">
        <v>144248735.95968881</v>
      </c>
      <c r="C914" s="125">
        <v>48623629.062854297</v>
      </c>
      <c r="D914" s="125">
        <v>56692698.240319006</v>
      </c>
      <c r="E914" s="125">
        <v>64431662.159089789</v>
      </c>
      <c r="F914" s="123">
        <v>169747989.46226311</v>
      </c>
      <c r="G914" s="125">
        <v>-1100000</v>
      </c>
      <c r="H914" s="125">
        <v>1409.2244664187413</v>
      </c>
      <c r="I914" s="125">
        <v>981.49851987464103</v>
      </c>
      <c r="J914" s="125">
        <v>640.78342149143589</v>
      </c>
      <c r="K914" s="125">
        <v>778.2661519430643</v>
      </c>
      <c r="L914" s="164">
        <v>2400.5480933091412</v>
      </c>
      <c r="M914" s="125">
        <v>-80</v>
      </c>
      <c r="N914" s="115">
        <v>14530</v>
      </c>
      <c r="P914" s="125">
        <v>-462586.5</v>
      </c>
      <c r="Q914" s="125">
        <v>0</v>
      </c>
      <c r="S914" s="125">
        <v>-1.2400000000000002E-6</v>
      </c>
      <c r="T914" s="125">
        <v>0</v>
      </c>
      <c r="V914" s="125"/>
      <c r="W914" s="125"/>
    </row>
    <row r="915" spans="1:23">
      <c r="A915" s="121">
        <v>44308</v>
      </c>
      <c r="B915" s="125">
        <v>144242134.57144183</v>
      </c>
      <c r="C915" s="125">
        <v>49568968.878508791</v>
      </c>
      <c r="D915" s="125">
        <v>56742926.246797182</v>
      </c>
      <c r="E915" s="125">
        <v>64321526.425568283</v>
      </c>
      <c r="F915" s="123">
        <v>170633421.55087426</v>
      </c>
      <c r="G915" s="125">
        <v>-1100000</v>
      </c>
      <c r="H915" s="125">
        <v>1412.6139944238362</v>
      </c>
      <c r="I915" s="125">
        <v>959.77456058402231</v>
      </c>
      <c r="J915" s="125">
        <v>641.52691153358035</v>
      </c>
      <c r="K915" s="125">
        <v>768.72678786150834</v>
      </c>
      <c r="L915" s="164">
        <v>2370.0282599791112</v>
      </c>
      <c r="M915" s="125">
        <v>-80</v>
      </c>
      <c r="N915" s="115">
        <v>14520</v>
      </c>
      <c r="P915" s="125">
        <v>-465936.3</v>
      </c>
      <c r="Q915" s="125">
        <v>0</v>
      </c>
      <c r="S915" s="125">
        <v>-1.2400000000000002E-6</v>
      </c>
      <c r="T915" s="125">
        <v>0</v>
      </c>
      <c r="V915" s="125"/>
      <c r="W915" s="125"/>
    </row>
    <row r="916" spans="1:23">
      <c r="A916" s="121">
        <v>44309</v>
      </c>
      <c r="B916" s="125">
        <v>144170125.1107294</v>
      </c>
      <c r="C916" s="125">
        <v>49402752.826921284</v>
      </c>
      <c r="D916" s="125">
        <v>57664450.181707501</v>
      </c>
      <c r="E916" s="125">
        <v>64496565.741450176</v>
      </c>
      <c r="F916" s="123">
        <v>171563768.75007898</v>
      </c>
      <c r="G916" s="125">
        <v>-1100000</v>
      </c>
      <c r="H916" s="125">
        <v>1432.5047636942923</v>
      </c>
      <c r="I916" s="125">
        <v>949.70064342951741</v>
      </c>
      <c r="J916" s="125">
        <v>640.85801142473588</v>
      </c>
      <c r="K916" s="125">
        <v>763.77879394648812</v>
      </c>
      <c r="L916" s="164">
        <v>2354.3374488007412</v>
      </c>
      <c r="M916" s="125">
        <v>-80</v>
      </c>
      <c r="N916" s="115">
        <v>14525</v>
      </c>
      <c r="P916" s="125">
        <v>-465936.3</v>
      </c>
      <c r="Q916" s="125">
        <v>0</v>
      </c>
      <c r="S916" s="125">
        <v>-1.2400000000000002E-6</v>
      </c>
      <c r="T916" s="125">
        <v>0</v>
      </c>
      <c r="V916" s="125"/>
      <c r="W916" s="125"/>
    </row>
    <row r="917" spans="1:23">
      <c r="A917" s="121">
        <v>44312</v>
      </c>
      <c r="B917" s="125">
        <v>144124129.60460606</v>
      </c>
      <c r="C917" s="125">
        <v>49352125.773050599</v>
      </c>
      <c r="D917" s="125">
        <v>58978420.636204682</v>
      </c>
      <c r="E917" s="125">
        <v>64246628.193761162</v>
      </c>
      <c r="F917" s="123">
        <v>172577174.60301644</v>
      </c>
      <c r="G917" s="125">
        <v>-1100000</v>
      </c>
      <c r="H917" s="125">
        <v>1436.9162021687353</v>
      </c>
      <c r="I917" s="125">
        <v>959.44392232218388</v>
      </c>
      <c r="J917" s="125">
        <v>642.19070153754467</v>
      </c>
      <c r="K917" s="125">
        <v>780.81160451675521</v>
      </c>
      <c r="L917" s="164">
        <v>2382.4462283764838</v>
      </c>
      <c r="M917" s="125">
        <v>-80</v>
      </c>
      <c r="N917" s="115">
        <v>14485</v>
      </c>
      <c r="P917" s="125">
        <v>-189955.8</v>
      </c>
      <c r="Q917" s="125">
        <v>0</v>
      </c>
      <c r="S917" s="125">
        <v>-1.2400000000000002E-6</v>
      </c>
      <c r="T917" s="125">
        <v>0</v>
      </c>
      <c r="V917" s="125"/>
      <c r="W917" s="125"/>
    </row>
    <row r="918" spans="1:23">
      <c r="A918" s="121">
        <v>44313</v>
      </c>
      <c r="B918" s="125">
        <v>144178298.69413072</v>
      </c>
      <c r="C918" s="125">
        <v>49043502.527043387</v>
      </c>
      <c r="D918" s="125">
        <v>59120038.651201367</v>
      </c>
      <c r="E918" s="125">
        <v>64091805.981296375</v>
      </c>
      <c r="F918" s="123">
        <v>172255347.15954113</v>
      </c>
      <c r="G918" s="125">
        <v>-1100000</v>
      </c>
      <c r="H918" s="125">
        <v>1454.5787492435527</v>
      </c>
      <c r="I918" s="125">
        <v>948.32127658326442</v>
      </c>
      <c r="J918" s="125">
        <v>645.04883070467361</v>
      </c>
      <c r="K918" s="125">
        <v>787.39079117010488</v>
      </c>
      <c r="L918" s="164">
        <v>2380.7608984580429</v>
      </c>
      <c r="M918" s="125">
        <v>-80</v>
      </c>
      <c r="N918" s="115">
        <v>14485</v>
      </c>
      <c r="P918" s="125">
        <v>-189955.8</v>
      </c>
      <c r="Q918" s="125">
        <v>0</v>
      </c>
      <c r="S918" s="125">
        <v>-1.2400000000000002E-6</v>
      </c>
      <c r="T918" s="125">
        <v>0</v>
      </c>
      <c r="V918" s="125"/>
      <c r="W918" s="125"/>
    </row>
    <row r="919" spans="1:23">
      <c r="A919" s="121">
        <v>44314</v>
      </c>
      <c r="B919" s="125">
        <v>144162718.11933637</v>
      </c>
      <c r="C919" s="125">
        <v>48606696.387954913</v>
      </c>
      <c r="D919" s="125">
        <v>59577875.940144844</v>
      </c>
      <c r="E919" s="125">
        <v>63727660.196551144</v>
      </c>
      <c r="F919" s="123">
        <v>171912232.5246509</v>
      </c>
      <c r="G919" s="125">
        <v>-1100000</v>
      </c>
      <c r="H919" s="125">
        <v>1443.7255815404467</v>
      </c>
      <c r="I919" s="125">
        <v>951.87714483181446</v>
      </c>
      <c r="J919" s="125">
        <v>645.93379271442211</v>
      </c>
      <c r="K919" s="125">
        <v>787.62430558826907</v>
      </c>
      <c r="L919" s="164">
        <v>2385.4352431345055</v>
      </c>
      <c r="M919" s="125">
        <v>-80</v>
      </c>
      <c r="N919" s="115">
        <v>14500</v>
      </c>
      <c r="P919" s="125">
        <v>-189955.8</v>
      </c>
      <c r="Q919" s="125">
        <v>0</v>
      </c>
      <c r="S919" s="125">
        <v>-1.2400000000000002E-6</v>
      </c>
      <c r="T919" s="125">
        <v>0</v>
      </c>
      <c r="V919" s="125"/>
      <c r="W919" s="125"/>
    </row>
    <row r="920" spans="1:23">
      <c r="A920" s="121">
        <v>44315</v>
      </c>
      <c r="B920" s="125">
        <v>144239304.37411559</v>
      </c>
      <c r="C920" s="125">
        <v>47756839.172948763</v>
      </c>
      <c r="D920" s="125">
        <v>59766702.908374198</v>
      </c>
      <c r="E920" s="125">
        <v>63160713.984185405</v>
      </c>
      <c r="F920" s="123">
        <v>170684256.06550837</v>
      </c>
      <c r="G920" s="125">
        <v>-1100000</v>
      </c>
      <c r="H920" s="125">
        <v>1445.2498975321271</v>
      </c>
      <c r="I920" s="125">
        <v>940.16318190364564</v>
      </c>
      <c r="J920" s="125">
        <v>647.78553034191475</v>
      </c>
      <c r="K920" s="125">
        <v>785.81034000755551</v>
      </c>
      <c r="L920" s="164">
        <v>2373.7590522531159</v>
      </c>
      <c r="M920" s="125">
        <v>-80</v>
      </c>
      <c r="N920" s="115">
        <v>14450</v>
      </c>
      <c r="P920" s="125">
        <v>-189955.8</v>
      </c>
      <c r="Q920" s="125">
        <v>0</v>
      </c>
      <c r="S920" s="125">
        <v>-1.2400000000000002E-6</v>
      </c>
      <c r="T920" s="125">
        <v>0</v>
      </c>
      <c r="V920" s="125"/>
      <c r="W920" s="125"/>
    </row>
    <row r="921" spans="1:23">
      <c r="A921" s="121">
        <v>44316</v>
      </c>
      <c r="B921" s="136">
        <v>145988462.149874</v>
      </c>
      <c r="C921" s="136">
        <v>44465638.803221002</v>
      </c>
      <c r="D921" s="136">
        <v>60261551.648192003</v>
      </c>
      <c r="E921" s="136">
        <v>64544777.795271002</v>
      </c>
      <c r="F921" s="137">
        <v>169271968.24668401</v>
      </c>
      <c r="G921" s="125">
        <v>-1100000</v>
      </c>
      <c r="H921" s="136">
        <v>1462.9171076722741</v>
      </c>
      <c r="I921" s="136">
        <v>958.28925130681898</v>
      </c>
      <c r="J921" s="136">
        <v>643.24097659958454</v>
      </c>
      <c r="K921" s="136">
        <v>793.6565715931464</v>
      </c>
      <c r="L921" s="165">
        <v>2395.18679949955</v>
      </c>
      <c r="M921" s="125">
        <v>-80</v>
      </c>
      <c r="N921" s="115">
        <v>14445</v>
      </c>
      <c r="O921" s="116">
        <v>3517.81</v>
      </c>
      <c r="P921" s="125">
        <v>-189955.8</v>
      </c>
      <c r="Q921" s="125">
        <v>0</v>
      </c>
      <c r="S921" s="125">
        <v>-1.2400000000000002E-6</v>
      </c>
      <c r="T921" s="125">
        <v>0</v>
      </c>
      <c r="V921" s="125"/>
      <c r="W921" s="125"/>
    </row>
    <row r="922" spans="1:23">
      <c r="A922" s="121">
        <v>44319</v>
      </c>
      <c r="B922" s="125">
        <v>144902874.26342577</v>
      </c>
      <c r="C922" s="125">
        <v>45319936.206641383</v>
      </c>
      <c r="D922" s="125">
        <v>59563445.07181365</v>
      </c>
      <c r="E922" s="125">
        <v>64029133.732658222</v>
      </c>
      <c r="F922" s="123">
        <v>168912515.01111326</v>
      </c>
      <c r="G922" s="125">
        <v>-550000</v>
      </c>
      <c r="H922" s="125">
        <v>1407.1676914529364</v>
      </c>
      <c r="I922" s="125">
        <v>941.67296532224566</v>
      </c>
      <c r="J922" s="125">
        <v>639.58629506985062</v>
      </c>
      <c r="K922" s="125">
        <v>802.10206049552244</v>
      </c>
      <c r="L922" s="164">
        <v>2383.3613208876186</v>
      </c>
      <c r="M922" s="125">
        <v>-80</v>
      </c>
      <c r="N922" s="115">
        <v>14450</v>
      </c>
      <c r="P922" s="125">
        <v>-189955.8</v>
      </c>
      <c r="Q922" s="125">
        <v>0</v>
      </c>
      <c r="S922" s="125">
        <v>-1.2400000000000002E-6</v>
      </c>
      <c r="T922" s="125">
        <v>0</v>
      </c>
      <c r="V922" s="125"/>
      <c r="W922" s="125"/>
    </row>
    <row r="923" spans="1:23">
      <c r="A923" s="121">
        <v>44320</v>
      </c>
      <c r="B923" s="125">
        <v>144864636.07251817</v>
      </c>
      <c r="C923" s="125">
        <v>45683451.433407724</v>
      </c>
      <c r="D923" s="125">
        <v>59376142.382905394</v>
      </c>
      <c r="E923" s="125">
        <v>64147553.537418135</v>
      </c>
      <c r="F923" s="123">
        <v>169207147.35373124</v>
      </c>
      <c r="G923" s="125">
        <v>-550000</v>
      </c>
      <c r="H923" s="125">
        <v>1443.8596598629183</v>
      </c>
      <c r="I923" s="125">
        <v>959.21983246434343</v>
      </c>
      <c r="J923" s="125">
        <v>637.88327034388419</v>
      </c>
      <c r="K923" s="125">
        <v>801.54551826014028</v>
      </c>
      <c r="L923" s="164">
        <v>2398.6486210683679</v>
      </c>
      <c r="M923" s="125">
        <v>-80</v>
      </c>
      <c r="N923" s="115">
        <v>14430</v>
      </c>
      <c r="P923" s="125">
        <v>-189955.8</v>
      </c>
      <c r="Q923" s="125">
        <v>0</v>
      </c>
      <c r="S923" s="125">
        <v>-1.2400000000000002E-6</v>
      </c>
      <c r="T923" s="125">
        <v>0</v>
      </c>
      <c r="V923" s="125"/>
      <c r="W923" s="125"/>
    </row>
    <row r="924" spans="1:23">
      <c r="A924" s="121">
        <v>44321</v>
      </c>
      <c r="B924" s="125">
        <v>144560593.00531766</v>
      </c>
      <c r="C924" s="125">
        <v>47552353.053096771</v>
      </c>
      <c r="D924" s="125">
        <v>59666184.885218315</v>
      </c>
      <c r="E924" s="125">
        <v>64901770.3655615</v>
      </c>
      <c r="F924" s="123">
        <v>172120308.30387658</v>
      </c>
      <c r="G924" s="125">
        <v>-550000</v>
      </c>
      <c r="H924" s="125">
        <v>1447.16046328831</v>
      </c>
      <c r="I924" s="125">
        <v>965.61241960879534</v>
      </c>
      <c r="J924" s="125">
        <v>637.519254865687</v>
      </c>
      <c r="K924" s="125">
        <v>807.0385884190365</v>
      </c>
      <c r="L924" s="164">
        <v>2410.1702628935186</v>
      </c>
      <c r="M924" s="125">
        <v>-80</v>
      </c>
      <c r="N924" s="115">
        <v>14435</v>
      </c>
      <c r="P924" s="125">
        <v>-189955.8</v>
      </c>
      <c r="Q924" s="125">
        <v>0</v>
      </c>
      <c r="S924" s="125">
        <v>-1.2400000000000002E-6</v>
      </c>
      <c r="T924" s="125">
        <v>0</v>
      </c>
      <c r="V924" s="125"/>
      <c r="W924" s="125"/>
    </row>
    <row r="925" spans="1:23">
      <c r="A925" s="121">
        <v>44322</v>
      </c>
      <c r="B925" s="125">
        <v>145016971.94342032</v>
      </c>
      <c r="C925" s="125">
        <v>47825264.214876875</v>
      </c>
      <c r="D925" s="125">
        <v>59846098.718324929</v>
      </c>
      <c r="E925" s="125">
        <v>64759757.305462651</v>
      </c>
      <c r="F925" s="123">
        <v>172431120.23866445</v>
      </c>
      <c r="G925" s="125">
        <v>-550000</v>
      </c>
      <c r="H925" s="125">
        <v>1459.4283421562327</v>
      </c>
      <c r="I925" s="125">
        <v>1027.1324447444035</v>
      </c>
      <c r="J925" s="125">
        <v>639.23508836892131</v>
      </c>
      <c r="K925" s="125">
        <v>804.60492037432664</v>
      </c>
      <c r="L925" s="164">
        <v>2470.9724534876514</v>
      </c>
      <c r="M925" s="125">
        <v>-80</v>
      </c>
      <c r="N925" s="115">
        <v>14319</v>
      </c>
      <c r="P925" s="125">
        <v>-189955.8</v>
      </c>
      <c r="Q925" s="125">
        <v>0</v>
      </c>
      <c r="S925" s="125">
        <v>-1.2400000000000002E-6</v>
      </c>
      <c r="T925" s="125">
        <v>0</v>
      </c>
      <c r="V925" s="125"/>
      <c r="W925" s="125"/>
    </row>
    <row r="926" spans="1:23">
      <c r="A926" s="121">
        <v>44323</v>
      </c>
      <c r="B926" s="125">
        <v>144973652.39074457</v>
      </c>
      <c r="C926" s="125">
        <v>46707130.336426593</v>
      </c>
      <c r="D926" s="125">
        <v>59955456.153374597</v>
      </c>
      <c r="E926" s="125">
        <v>64321202.247558549</v>
      </c>
      <c r="F926" s="123">
        <v>170983788.73735976</v>
      </c>
      <c r="G926" s="125">
        <v>-550000</v>
      </c>
      <c r="H926" s="125">
        <v>1478.1183831076444</v>
      </c>
      <c r="I926" s="125">
        <v>931.01990591714764</v>
      </c>
      <c r="J926" s="125">
        <v>640.5842057536762</v>
      </c>
      <c r="K926" s="125">
        <v>810.85462609882984</v>
      </c>
      <c r="L926" s="164">
        <v>2382.4587377696535</v>
      </c>
      <c r="M926" s="125">
        <v>-100</v>
      </c>
      <c r="N926" s="115">
        <v>14285</v>
      </c>
      <c r="P926" s="125">
        <v>-189955.8</v>
      </c>
      <c r="Q926" s="125">
        <v>0</v>
      </c>
      <c r="S926" s="125">
        <v>-1.2400000000000002E-6</v>
      </c>
      <c r="T926" s="125">
        <v>0</v>
      </c>
      <c r="V926" s="125"/>
      <c r="W926" s="125"/>
    </row>
    <row r="927" spans="1:23">
      <c r="A927" s="121">
        <v>44326</v>
      </c>
      <c r="B927" s="125">
        <v>145343766.26173511</v>
      </c>
      <c r="C927" s="125">
        <v>46774838.267735243</v>
      </c>
      <c r="D927" s="125">
        <v>59853192.873995587</v>
      </c>
      <c r="E927" s="125">
        <v>65499419.501478113</v>
      </c>
      <c r="F927" s="123">
        <v>172127450.64320895</v>
      </c>
      <c r="G927" s="125">
        <v>-550000</v>
      </c>
      <c r="H927" s="125">
        <v>1469.5357567211315</v>
      </c>
      <c r="I927" s="125">
        <v>913.88615783385194</v>
      </c>
      <c r="J927" s="125">
        <v>642.48382885304409</v>
      </c>
      <c r="K927" s="125">
        <v>810.02866040359118</v>
      </c>
      <c r="L927" s="164">
        <v>2366.3986470904874</v>
      </c>
      <c r="M927" s="125">
        <v>-100</v>
      </c>
      <c r="N927" s="115">
        <v>14197.5</v>
      </c>
      <c r="P927" s="125">
        <v>-189955.8</v>
      </c>
      <c r="Q927" s="125">
        <v>0</v>
      </c>
      <c r="S927" s="125">
        <v>-1.2400000000000002E-6</v>
      </c>
      <c r="T927" s="125">
        <v>0</v>
      </c>
      <c r="V927" s="125"/>
      <c r="W927" s="125"/>
    </row>
    <row r="928" spans="1:23">
      <c r="A928" s="121">
        <v>44327</v>
      </c>
      <c r="B928" s="125">
        <v>145203875.49114448</v>
      </c>
      <c r="C928" s="125">
        <v>46176993.250458173</v>
      </c>
      <c r="D928" s="125">
        <v>59668408.535650447</v>
      </c>
      <c r="E928" s="125">
        <v>65732097.843578875</v>
      </c>
      <c r="F928" s="123">
        <v>171577499.62968749</v>
      </c>
      <c r="G928" s="125">
        <v>-550000</v>
      </c>
      <c r="H928" s="125">
        <v>1487.8329890467394</v>
      </c>
      <c r="I928" s="125">
        <v>979.58182633093566</v>
      </c>
      <c r="J928" s="125">
        <v>646.24618861201225</v>
      </c>
      <c r="K928" s="125">
        <v>811.9167703157143</v>
      </c>
      <c r="L928" s="164">
        <v>2437.744785258662</v>
      </c>
      <c r="M928" s="125">
        <v>-100</v>
      </c>
      <c r="N928" s="115">
        <v>14197.5</v>
      </c>
      <c r="P928" s="125">
        <v>-189955.8</v>
      </c>
      <c r="Q928" s="125">
        <v>0</v>
      </c>
      <c r="S928" s="125">
        <v>-1.2400000000000002E-6</v>
      </c>
      <c r="T928" s="125">
        <v>0</v>
      </c>
      <c r="V928" s="125"/>
      <c r="W928" s="125"/>
    </row>
    <row r="929" spans="1:23">
      <c r="A929" s="121">
        <v>44333</v>
      </c>
      <c r="B929" s="125">
        <v>145253223.9674629</v>
      </c>
      <c r="C929" s="125">
        <v>51078267.467637874</v>
      </c>
      <c r="D929" s="125">
        <v>59901248.684461892</v>
      </c>
      <c r="E929" s="125">
        <v>64129940.07717225</v>
      </c>
      <c r="F929" s="123">
        <v>175109456.22927201</v>
      </c>
      <c r="G929" s="125">
        <v>-550000</v>
      </c>
      <c r="H929" s="125">
        <v>1472.8053591786675</v>
      </c>
      <c r="I929" s="125">
        <v>998.59336587433131</v>
      </c>
      <c r="J929" s="125">
        <v>645.49995587880244</v>
      </c>
      <c r="K929" s="125">
        <v>807.74390016151892</v>
      </c>
      <c r="L929" s="164">
        <v>2451.8372219146527</v>
      </c>
      <c r="M929" s="125">
        <v>-80</v>
      </c>
      <c r="N929" s="115">
        <v>14282.5</v>
      </c>
      <c r="P929" s="125">
        <v>-189955.8</v>
      </c>
      <c r="Q929" s="125">
        <v>0</v>
      </c>
      <c r="S929" s="125">
        <v>-1.2400000000000002E-6</v>
      </c>
      <c r="T929" s="125">
        <v>0</v>
      </c>
      <c r="V929" s="125"/>
      <c r="W929" s="125"/>
    </row>
    <row r="930" spans="1:23">
      <c r="A930" s="121">
        <v>44334</v>
      </c>
      <c r="B930" s="125">
        <v>145146084.09480515</v>
      </c>
      <c r="C930" s="125">
        <v>50046128.603881702</v>
      </c>
      <c r="D930" s="125">
        <v>59955666.064376086</v>
      </c>
      <c r="E930" s="125">
        <v>65269441.434325077</v>
      </c>
      <c r="F930" s="123">
        <v>175271236.10258287</v>
      </c>
      <c r="G930" s="125">
        <v>-550000</v>
      </c>
      <c r="H930" s="125">
        <v>1487.1618196849813</v>
      </c>
      <c r="I930" s="125">
        <v>937.78184566752418</v>
      </c>
      <c r="J930" s="125">
        <v>644.01799636493865</v>
      </c>
      <c r="K930" s="125">
        <v>809.0405418236121</v>
      </c>
      <c r="L930" s="164">
        <v>2390.8403838560753</v>
      </c>
      <c r="M930" s="125">
        <v>-80</v>
      </c>
      <c r="N930" s="115">
        <v>14272.5</v>
      </c>
      <c r="P930" s="125">
        <v>-189955.8</v>
      </c>
      <c r="Q930" s="125">
        <v>0</v>
      </c>
      <c r="S930" s="125">
        <v>-1.2400000000000002E-6</v>
      </c>
      <c r="T930" s="125">
        <v>0</v>
      </c>
      <c r="V930" s="125"/>
      <c r="W930" s="125"/>
    </row>
    <row r="931" spans="1:23">
      <c r="A931" s="121">
        <v>44335</v>
      </c>
      <c r="B931" s="125">
        <v>145025772.77003562</v>
      </c>
      <c r="C931" s="125">
        <v>50904889.221658967</v>
      </c>
      <c r="D931" s="125">
        <v>59984032.609821752</v>
      </c>
      <c r="E931" s="125">
        <v>65782485.166121528</v>
      </c>
      <c r="F931" s="123">
        <v>176671406.99760222</v>
      </c>
      <c r="G931" s="125">
        <v>-550000</v>
      </c>
      <c r="H931" s="125">
        <v>1488.6066938223034</v>
      </c>
      <c r="I931" s="125">
        <v>939.22286542455856</v>
      </c>
      <c r="J931" s="125">
        <v>645.67431414305349</v>
      </c>
      <c r="K931" s="125">
        <v>824.6550662841488</v>
      </c>
      <c r="L931" s="164">
        <v>2409.5522458517607</v>
      </c>
      <c r="M931" s="125">
        <v>-80</v>
      </c>
      <c r="N931" s="115">
        <v>14282.5</v>
      </c>
      <c r="P931" s="125">
        <v>-189955.8</v>
      </c>
      <c r="Q931" s="125">
        <v>0</v>
      </c>
      <c r="S931" s="125">
        <v>-1.2400000000000002E-6</v>
      </c>
      <c r="T931" s="125">
        <v>0</v>
      </c>
      <c r="V931" s="125"/>
      <c r="W931" s="125"/>
    </row>
    <row r="932" spans="1:23">
      <c r="A932" s="121">
        <v>44336</v>
      </c>
      <c r="B932" s="125">
        <v>144423336.81892082</v>
      </c>
      <c r="C932" s="125">
        <v>52043535.608862974</v>
      </c>
      <c r="D932" s="125">
        <v>59970900.027518183</v>
      </c>
      <c r="E932" s="125">
        <v>65391231.469525851</v>
      </c>
      <c r="F932" s="123">
        <v>177405667.10590699</v>
      </c>
      <c r="G932" s="125">
        <v>-1150000</v>
      </c>
      <c r="H932" s="125">
        <v>1466.41302715184</v>
      </c>
      <c r="I932" s="125">
        <v>886.88043947836172</v>
      </c>
      <c r="J932" s="125">
        <v>645.96305335228999</v>
      </c>
      <c r="K932" s="125">
        <v>831.32362141752492</v>
      </c>
      <c r="L932" s="164">
        <v>2364.1671142481764</v>
      </c>
      <c r="M932" s="125">
        <v>-80</v>
      </c>
      <c r="N932" s="115">
        <v>14375</v>
      </c>
      <c r="P932" s="125">
        <v>-189955.8</v>
      </c>
      <c r="Q932" s="125">
        <v>0</v>
      </c>
      <c r="S932" s="125">
        <v>-1.2400000000000002E-6</v>
      </c>
      <c r="T932" s="125">
        <v>0</v>
      </c>
      <c r="V932" s="125"/>
      <c r="W932" s="125"/>
    </row>
    <row r="933" spans="1:23">
      <c r="A933" s="121">
        <v>44337</v>
      </c>
      <c r="B933" s="125">
        <v>144539471.23773512</v>
      </c>
      <c r="C933" s="125">
        <v>51739510.095600031</v>
      </c>
      <c r="D933" s="125">
        <v>59989821.0431614</v>
      </c>
      <c r="E933" s="125">
        <v>65016476.576512516</v>
      </c>
      <c r="F933" s="123">
        <v>176745807.71527395</v>
      </c>
      <c r="G933" s="125">
        <v>-1150000</v>
      </c>
      <c r="H933" s="125">
        <v>1495.2506203270543</v>
      </c>
      <c r="I933" s="125">
        <v>836.32780136768542</v>
      </c>
      <c r="J933" s="125">
        <v>645.16850967688663</v>
      </c>
      <c r="K933" s="125">
        <v>845.30286934871719</v>
      </c>
      <c r="L933" s="164">
        <v>2326.7991803932891</v>
      </c>
      <c r="M933" s="125">
        <v>-80</v>
      </c>
      <c r="N933" s="115">
        <v>14355</v>
      </c>
      <c r="P933" s="125">
        <v>-189955.8</v>
      </c>
      <c r="Q933" s="125">
        <v>0</v>
      </c>
      <c r="S933" s="125">
        <v>-1.2400000000000002E-6</v>
      </c>
      <c r="T933" s="125">
        <v>0</v>
      </c>
      <c r="V933" s="125"/>
      <c r="W933" s="125"/>
    </row>
    <row r="934" spans="1:23">
      <c r="A934" s="121">
        <v>44340</v>
      </c>
      <c r="B934" s="125">
        <v>144609705.50139514</v>
      </c>
      <c r="C934" s="125">
        <v>53488388.910833001</v>
      </c>
      <c r="D934" s="125">
        <v>59682455.911368713</v>
      </c>
      <c r="E934" s="125">
        <v>65019732.860870026</v>
      </c>
      <c r="F934" s="123">
        <v>178190577.68307173</v>
      </c>
      <c r="G934" s="125">
        <v>-1150000</v>
      </c>
      <c r="H934" s="125">
        <v>1497.8352282806502</v>
      </c>
      <c r="I934" s="125">
        <v>851.82074470391979</v>
      </c>
      <c r="J934" s="125">
        <v>645.12220706208871</v>
      </c>
      <c r="K934" s="125">
        <v>849.09481689139193</v>
      </c>
      <c r="L934" s="164">
        <v>2346.0377686574002</v>
      </c>
      <c r="M934" s="125">
        <v>-80</v>
      </c>
      <c r="N934" s="115">
        <v>14355</v>
      </c>
      <c r="P934" s="125">
        <v>0</v>
      </c>
      <c r="Q934" s="125">
        <v>0</v>
      </c>
      <c r="S934" s="125">
        <v>-1.2400000000000002E-6</v>
      </c>
      <c r="T934" s="125">
        <v>0</v>
      </c>
      <c r="V934" s="125"/>
      <c r="W934" s="125"/>
    </row>
    <row r="935" spans="1:23">
      <c r="A935" s="121">
        <v>44341</v>
      </c>
      <c r="B935" s="125">
        <v>144756120.477972</v>
      </c>
      <c r="C935" s="125">
        <v>52156675.80354733</v>
      </c>
      <c r="D935" s="125">
        <v>60257680.544626817</v>
      </c>
      <c r="E935" s="125">
        <v>66339529.329740219</v>
      </c>
      <c r="F935" s="123">
        <v>178753885.67791438</v>
      </c>
      <c r="G935" s="125">
        <v>-1150000</v>
      </c>
      <c r="H935" s="125">
        <v>1498.8177691476935</v>
      </c>
      <c r="I935" s="125">
        <v>839.84723481785727</v>
      </c>
      <c r="J935" s="125">
        <v>642.83846988008725</v>
      </c>
      <c r="K935" s="125">
        <v>855.61070200086374</v>
      </c>
      <c r="L935" s="164">
        <v>2338.2964066988079</v>
      </c>
      <c r="M935" s="125">
        <v>-80</v>
      </c>
      <c r="N935" s="115">
        <v>14327.5</v>
      </c>
      <c r="P935" s="125">
        <v>0</v>
      </c>
      <c r="Q935" s="125">
        <v>0</v>
      </c>
      <c r="S935" s="125">
        <v>-1.2400000000000002E-6</v>
      </c>
      <c r="T935" s="125">
        <v>0</v>
      </c>
      <c r="V935" s="125"/>
      <c r="W935" s="125"/>
    </row>
    <row r="936" spans="1:23">
      <c r="A936" s="121">
        <v>44343</v>
      </c>
      <c r="B936" s="125">
        <v>144949381.81815657</v>
      </c>
      <c r="C936" s="125">
        <v>50769983.117076829</v>
      </c>
      <c r="D936" s="125">
        <v>60648201.197908029</v>
      </c>
      <c r="E936" s="125">
        <v>66040328.960560396</v>
      </c>
      <c r="F936" s="123">
        <v>177458513.27554524</v>
      </c>
      <c r="G936" s="125">
        <v>-1150000</v>
      </c>
      <c r="H936" s="125">
        <v>1495.6230227015071</v>
      </c>
      <c r="I936" s="125">
        <v>886.79169258283878</v>
      </c>
      <c r="J936" s="125">
        <v>643.73445547350832</v>
      </c>
      <c r="K936" s="125">
        <v>801.69778729518362</v>
      </c>
      <c r="L936" s="164">
        <v>2332.2239353515306</v>
      </c>
      <c r="M936" s="125">
        <v>-80</v>
      </c>
      <c r="N936" s="115">
        <v>14287.5</v>
      </c>
      <c r="P936" s="125">
        <v>0</v>
      </c>
      <c r="Q936" s="125">
        <v>0</v>
      </c>
      <c r="S936" s="125">
        <v>-1.2400000000000002E-6</v>
      </c>
      <c r="T936" s="125">
        <v>0</v>
      </c>
      <c r="V936" s="125"/>
      <c r="W936" s="125"/>
    </row>
    <row r="937" spans="1:23">
      <c r="A937" s="121">
        <v>44344</v>
      </c>
      <c r="B937" s="125">
        <v>145142879.2747381</v>
      </c>
      <c r="C937" s="125">
        <v>51095922.978775576</v>
      </c>
      <c r="D937" s="125">
        <v>60763322.782550327</v>
      </c>
      <c r="E937" s="125">
        <v>67143774.219158277</v>
      </c>
      <c r="F937" s="123">
        <v>179003019.98048419</v>
      </c>
      <c r="G937" s="125">
        <v>-1150000</v>
      </c>
      <c r="H937" s="125">
        <v>1507.3721806979552</v>
      </c>
      <c r="I937" s="125">
        <v>917.35352880780283</v>
      </c>
      <c r="J937" s="125">
        <v>643.38107406216955</v>
      </c>
      <c r="K937" s="125">
        <v>807.08422190507349</v>
      </c>
      <c r="L937" s="164">
        <v>2367.8188247750459</v>
      </c>
      <c r="M937" s="125">
        <v>-80</v>
      </c>
      <c r="N937" s="115">
        <v>14285</v>
      </c>
      <c r="P937" s="125">
        <v>0</v>
      </c>
      <c r="Q937" s="125">
        <v>0</v>
      </c>
      <c r="S937" s="125">
        <v>-1.2400000000000002E-6</v>
      </c>
      <c r="T937" s="125">
        <v>0</v>
      </c>
      <c r="V937" s="125"/>
      <c r="W937" s="125"/>
    </row>
    <row r="938" spans="1:23">
      <c r="A938" s="121">
        <v>44347</v>
      </c>
      <c r="B938" s="136">
        <v>147340013.21860901</v>
      </c>
      <c r="C938" s="136">
        <v>51479739.754830003</v>
      </c>
      <c r="D938" s="136">
        <v>60658509.198585004</v>
      </c>
      <c r="E938" s="136">
        <v>67298296.534344003</v>
      </c>
      <c r="F938" s="137">
        <v>179436545.48775899</v>
      </c>
      <c r="G938" s="125">
        <v>-1150000</v>
      </c>
      <c r="H938" s="136">
        <v>1524.3261569632355</v>
      </c>
      <c r="I938" s="136">
        <v>896.57416205679272</v>
      </c>
      <c r="J938" s="136">
        <v>641.27434949600843</v>
      </c>
      <c r="K938" s="136">
        <v>807.85705606505599</v>
      </c>
      <c r="L938" s="165">
        <v>2345.705567617857</v>
      </c>
      <c r="M938" s="125">
        <v>-80</v>
      </c>
      <c r="N938" s="115">
        <v>14280</v>
      </c>
      <c r="O938" s="116">
        <v>3454.28</v>
      </c>
      <c r="P938" s="125">
        <v>0</v>
      </c>
      <c r="Q938" s="125">
        <v>0</v>
      </c>
      <c r="S938" s="125">
        <v>-1.2400000000000002E-6</v>
      </c>
      <c r="T938" s="125">
        <v>0</v>
      </c>
      <c r="V938" s="125"/>
      <c r="W938" s="125"/>
    </row>
    <row r="939" spans="1:23">
      <c r="A939" s="121">
        <v>44349</v>
      </c>
      <c r="B939" s="125">
        <v>145932199.86512506</v>
      </c>
      <c r="C939" s="125">
        <v>51867847.029391542</v>
      </c>
      <c r="D939" s="125">
        <v>60145273.691288859</v>
      </c>
      <c r="E939" s="125">
        <v>67635693.154086381</v>
      </c>
      <c r="F939" s="123">
        <v>179648813.87476677</v>
      </c>
      <c r="G939" s="125">
        <v>-1150000</v>
      </c>
      <c r="H939" s="125">
        <v>1509.773938823799</v>
      </c>
      <c r="I939" s="125">
        <v>972.43899426450707</v>
      </c>
      <c r="J939" s="125">
        <v>644.09444111903997</v>
      </c>
      <c r="K939" s="125">
        <v>805.5183313523263</v>
      </c>
      <c r="L939" s="164">
        <v>2422.0517667358731</v>
      </c>
      <c r="M939" s="125">
        <v>-80</v>
      </c>
      <c r="N939" s="115">
        <v>14280</v>
      </c>
      <c r="P939" s="125">
        <v>0</v>
      </c>
      <c r="Q939" s="125">
        <v>0</v>
      </c>
      <c r="S939" s="125">
        <v>-1.2400000000000002E-6</v>
      </c>
      <c r="T939" s="125">
        <v>0</v>
      </c>
      <c r="V939" s="125"/>
      <c r="W939" s="125"/>
    </row>
    <row r="940" spans="1:23">
      <c r="A940" s="121">
        <v>44350</v>
      </c>
      <c r="B940" s="125">
        <v>145696580.89915493</v>
      </c>
      <c r="C940" s="125">
        <v>51527169.299238987</v>
      </c>
      <c r="D940" s="125">
        <v>60078763.124852419</v>
      </c>
      <c r="E940" s="125">
        <v>68501555.631013438</v>
      </c>
      <c r="F940" s="123">
        <v>180107488.05510485</v>
      </c>
      <c r="G940" s="125">
        <v>-600000</v>
      </c>
      <c r="H940" s="125">
        <v>1495.3666969723108</v>
      </c>
      <c r="I940" s="125">
        <v>969.6570134096462</v>
      </c>
      <c r="J940" s="125">
        <v>645.02248921131934</v>
      </c>
      <c r="K940" s="125">
        <v>816.24534792746488</v>
      </c>
      <c r="L940" s="164">
        <v>2430.9248505484306</v>
      </c>
      <c r="M940" s="125">
        <v>-80</v>
      </c>
      <c r="N940" s="115">
        <v>14285</v>
      </c>
      <c r="P940" s="125">
        <v>0</v>
      </c>
      <c r="Q940" s="125">
        <v>0</v>
      </c>
      <c r="S940" s="125">
        <v>-1.2400000000000002E-6</v>
      </c>
      <c r="T940" s="125">
        <v>0</v>
      </c>
      <c r="V940" s="125"/>
      <c r="W940" s="125"/>
    </row>
    <row r="941" spans="1:23">
      <c r="A941" s="121">
        <v>44351</v>
      </c>
      <c r="B941" s="125">
        <v>145434216.85689643</v>
      </c>
      <c r="C941" s="125">
        <v>51205040.127611257</v>
      </c>
      <c r="D941" s="125">
        <v>60155786.56886436</v>
      </c>
      <c r="E941" s="125">
        <v>69642614.038429469</v>
      </c>
      <c r="F941" s="123">
        <v>181003440.73490509</v>
      </c>
      <c r="G941" s="125">
        <v>-600000</v>
      </c>
      <c r="H941" s="125">
        <v>1498.9151091508038</v>
      </c>
      <c r="I941" s="125">
        <v>898.20227223882307</v>
      </c>
      <c r="J941" s="125">
        <v>647.87222065343849</v>
      </c>
      <c r="K941" s="125">
        <v>819.00809683251418</v>
      </c>
      <c r="L941" s="164">
        <v>2365.082589724776</v>
      </c>
      <c r="M941" s="125">
        <v>-80</v>
      </c>
      <c r="N941" s="115">
        <v>14295</v>
      </c>
      <c r="P941" s="125">
        <v>0</v>
      </c>
      <c r="Q941" s="125">
        <v>0</v>
      </c>
      <c r="S941" s="125">
        <v>-1.2400000000000002E-6</v>
      </c>
      <c r="T941" s="125">
        <v>0</v>
      </c>
      <c r="V941" s="125"/>
      <c r="W941" s="125"/>
    </row>
    <row r="942" spans="1:23">
      <c r="A942" s="121">
        <v>44354</v>
      </c>
      <c r="B942" s="125">
        <v>144559718.12858433</v>
      </c>
      <c r="C942" s="125">
        <v>52399461.795655221</v>
      </c>
      <c r="D942" s="125">
        <v>59642131.756743491</v>
      </c>
      <c r="E942" s="125">
        <v>68296094.922717541</v>
      </c>
      <c r="F942" s="123">
        <v>180337688.47511625</v>
      </c>
      <c r="G942" s="125">
        <v>-600000</v>
      </c>
      <c r="H942" s="125">
        <v>1479.4935590648704</v>
      </c>
      <c r="I942" s="125">
        <v>916.58083357599503</v>
      </c>
      <c r="J942" s="125">
        <v>647.79390572672526</v>
      </c>
      <c r="K942" s="125">
        <v>813.60162586212266</v>
      </c>
      <c r="L942" s="164">
        <v>2377.9763651648427</v>
      </c>
      <c r="M942" s="125">
        <v>-80</v>
      </c>
      <c r="N942" s="115">
        <v>14264</v>
      </c>
      <c r="P942" s="125">
        <v>0</v>
      </c>
      <c r="Q942" s="125">
        <v>0</v>
      </c>
      <c r="S942" s="125">
        <v>-1.2400000000000002E-6</v>
      </c>
      <c r="T942" s="125">
        <v>0</v>
      </c>
      <c r="V942" s="125"/>
      <c r="W942" s="125"/>
    </row>
    <row r="943" spans="1:23">
      <c r="A943" s="121">
        <v>44355</v>
      </c>
      <c r="B943" s="125">
        <v>144592919.60395876</v>
      </c>
      <c r="C943" s="125">
        <v>52323393.359521084</v>
      </c>
      <c r="D943" s="125">
        <v>59626415.561463401</v>
      </c>
      <c r="E943" s="125">
        <v>68202042.747405127</v>
      </c>
      <c r="F943" s="123">
        <v>180151851.66838962</v>
      </c>
      <c r="G943" s="125">
        <v>-600000</v>
      </c>
      <c r="H943" s="125">
        <v>1486.1519493480912</v>
      </c>
      <c r="I943" s="125">
        <v>911.46492417534046</v>
      </c>
      <c r="J943" s="125">
        <v>644.90336556325622</v>
      </c>
      <c r="K943" s="125">
        <v>821.09486853701048</v>
      </c>
      <c r="L943" s="164">
        <v>2377.4631582756069</v>
      </c>
      <c r="M943" s="125">
        <v>-80</v>
      </c>
      <c r="N943" s="115">
        <v>14252.5</v>
      </c>
      <c r="P943" s="125">
        <v>0</v>
      </c>
      <c r="Q943" s="125">
        <v>0</v>
      </c>
      <c r="S943" s="125">
        <v>-1.2400000000000002E-6</v>
      </c>
      <c r="T943" s="125">
        <v>0</v>
      </c>
      <c r="V943" s="125"/>
      <c r="W943" s="125"/>
    </row>
    <row r="944" spans="1:23">
      <c r="A944" s="121">
        <v>44356</v>
      </c>
      <c r="B944" s="125">
        <v>144461276.4518995</v>
      </c>
      <c r="C944" s="125">
        <v>52592468.560719311</v>
      </c>
      <c r="D944" s="125">
        <v>59444208.19143007</v>
      </c>
      <c r="E944" s="125">
        <v>68602776.310331151</v>
      </c>
      <c r="F944" s="123">
        <v>180639453.06248051</v>
      </c>
      <c r="G944" s="125">
        <v>-600000</v>
      </c>
      <c r="H944" s="125">
        <v>1480.3775563663426</v>
      </c>
      <c r="I944" s="125">
        <v>890.78239326054893</v>
      </c>
      <c r="J944" s="125">
        <v>647.35741637493936</v>
      </c>
      <c r="K944" s="125">
        <v>818.23326668233369</v>
      </c>
      <c r="L944" s="164">
        <v>2356.3730763178219</v>
      </c>
      <c r="M944" s="125">
        <v>-80</v>
      </c>
      <c r="N944" s="115">
        <v>14255</v>
      </c>
      <c r="P944" s="125">
        <v>0</v>
      </c>
      <c r="Q944" s="125">
        <v>0</v>
      </c>
      <c r="S944" s="125">
        <v>-1.2400000000000002E-6</v>
      </c>
      <c r="T944" s="125">
        <v>0</v>
      </c>
      <c r="V944" s="125"/>
      <c r="W944" s="125"/>
    </row>
    <row r="945" spans="1:23">
      <c r="A945" s="121">
        <v>44357</v>
      </c>
      <c r="B945" s="125">
        <v>144461585.86871696</v>
      </c>
      <c r="C945" s="125">
        <v>53285618.410147414</v>
      </c>
      <c r="D945" s="125">
        <v>59575149.505085394</v>
      </c>
      <c r="E945" s="125">
        <v>68415700.911480397</v>
      </c>
      <c r="F945" s="123">
        <v>181276468.8267132</v>
      </c>
      <c r="G945" s="125">
        <v>-600000</v>
      </c>
      <c r="H945" s="125">
        <v>1475.6300451468658</v>
      </c>
      <c r="I945" s="125">
        <v>887.55846303422277</v>
      </c>
      <c r="J945" s="125">
        <v>649.28923522858679</v>
      </c>
      <c r="K945" s="125">
        <v>826.98374503994467</v>
      </c>
      <c r="L945" s="164">
        <v>2363.831443302754</v>
      </c>
      <c r="M945" s="125">
        <v>-80</v>
      </c>
      <c r="N945" s="115">
        <v>14247.5</v>
      </c>
      <c r="P945" s="125">
        <v>0</v>
      </c>
      <c r="Q945" s="125">
        <v>0</v>
      </c>
      <c r="S945" s="125">
        <v>-1.2400000000000002E-6</v>
      </c>
      <c r="T945" s="125">
        <v>0</v>
      </c>
      <c r="V945" s="125"/>
      <c r="W945" s="125"/>
    </row>
    <row r="946" spans="1:23">
      <c r="A946" s="121">
        <v>44358</v>
      </c>
      <c r="B946" s="125">
        <v>144495407.45781943</v>
      </c>
      <c r="C946" s="125">
        <v>53435593.99989666</v>
      </c>
      <c r="D946" s="125">
        <v>59855954.833268337</v>
      </c>
      <c r="E946" s="125">
        <v>68876639.611982316</v>
      </c>
      <c r="F946" s="123">
        <v>182168188.44514731</v>
      </c>
      <c r="G946" s="125">
        <v>-600000</v>
      </c>
      <c r="H946" s="125">
        <v>1478.9861934170124</v>
      </c>
      <c r="I946" s="125">
        <v>892.84446461624077</v>
      </c>
      <c r="J946" s="125">
        <v>653.08604243544403</v>
      </c>
      <c r="K946" s="125">
        <v>827.07669929291546</v>
      </c>
      <c r="L946" s="164">
        <v>2373.0072063446005</v>
      </c>
      <c r="M946" s="125">
        <v>-80</v>
      </c>
      <c r="N946" s="115">
        <v>14189</v>
      </c>
      <c r="P946" s="125">
        <v>0</v>
      </c>
      <c r="Q946" s="125">
        <v>0</v>
      </c>
      <c r="S946" s="125">
        <v>-1.2400000000000002E-6</v>
      </c>
      <c r="T946" s="125">
        <v>0</v>
      </c>
      <c r="V946" s="125"/>
      <c r="W946" s="125"/>
    </row>
    <row r="947" spans="1:23">
      <c r="A947" s="121">
        <v>44361</v>
      </c>
      <c r="B947" s="125">
        <v>144733216.67281356</v>
      </c>
      <c r="C947" s="125">
        <v>54667457.951577805</v>
      </c>
      <c r="D947" s="125">
        <v>59728899.77531939</v>
      </c>
      <c r="E947" s="125">
        <v>68587942.079022616</v>
      </c>
      <c r="F947" s="123">
        <v>182984299.80591983</v>
      </c>
      <c r="G947" s="125">
        <v>-600000</v>
      </c>
      <c r="H947" s="125">
        <v>1471.5988797463403</v>
      </c>
      <c r="I947" s="125">
        <v>895.03132941687682</v>
      </c>
      <c r="J947" s="125">
        <v>651.28474491956365</v>
      </c>
      <c r="K947" s="125">
        <v>825.03355268656935</v>
      </c>
      <c r="L947" s="164">
        <v>2371.3496270230098</v>
      </c>
      <c r="M947" s="125">
        <v>-80</v>
      </c>
      <c r="N947" s="115">
        <v>14202.5</v>
      </c>
      <c r="P947" s="125">
        <v>0</v>
      </c>
      <c r="Q947" s="125">
        <v>0</v>
      </c>
      <c r="S947" s="125">
        <v>-1.2400000000000002E-6</v>
      </c>
      <c r="T947" s="125">
        <v>0</v>
      </c>
      <c r="V947" s="125"/>
      <c r="W947" s="125"/>
    </row>
    <row r="948" spans="1:23">
      <c r="A948" s="121">
        <v>44362</v>
      </c>
      <c r="B948" s="125">
        <v>144713528.26657626</v>
      </c>
      <c r="C948" s="125">
        <v>53404949.947102383</v>
      </c>
      <c r="D948" s="125">
        <v>59644548.325641491</v>
      </c>
      <c r="E948" s="125">
        <v>69286450.940038711</v>
      </c>
      <c r="F948" s="123">
        <v>182335949.21278259</v>
      </c>
      <c r="G948" s="125">
        <v>-600000</v>
      </c>
      <c r="H948" s="125">
        <v>1463.7945742352335</v>
      </c>
      <c r="I948" s="125">
        <v>867.95870431465073</v>
      </c>
      <c r="J948" s="125">
        <v>649.19635499658841</v>
      </c>
      <c r="K948" s="125">
        <v>826.48462712644982</v>
      </c>
      <c r="L948" s="164">
        <v>2343.6396864376893</v>
      </c>
      <c r="M948" s="125">
        <v>-80</v>
      </c>
      <c r="N948" s="115">
        <v>14225</v>
      </c>
      <c r="P948" s="125">
        <v>0</v>
      </c>
      <c r="Q948" s="125">
        <v>0</v>
      </c>
      <c r="S948" s="125">
        <v>-1.2400000000000002E-6</v>
      </c>
      <c r="T948" s="125">
        <v>0</v>
      </c>
      <c r="V948" s="125"/>
      <c r="W948" s="125"/>
    </row>
    <row r="949" spans="1:23">
      <c r="A949" s="121">
        <v>44363</v>
      </c>
      <c r="B949" s="125">
        <v>144760404.67630199</v>
      </c>
      <c r="C949" s="125">
        <v>54990723.500851057</v>
      </c>
      <c r="D949" s="125">
        <v>59491942.795771286</v>
      </c>
      <c r="E949" s="125">
        <v>69291308.591769964</v>
      </c>
      <c r="F949" s="123">
        <v>183773974.8883923</v>
      </c>
      <c r="G949" s="125">
        <v>-600000</v>
      </c>
      <c r="H949" s="125">
        <v>1431.9557029921864</v>
      </c>
      <c r="I949" s="125">
        <v>887.81362232463982</v>
      </c>
      <c r="J949" s="125">
        <v>651.29440490109971</v>
      </c>
      <c r="K949" s="125">
        <v>845.92225866194656</v>
      </c>
      <c r="L949" s="164">
        <v>2385.0302858876862</v>
      </c>
      <c r="M949" s="125">
        <v>-80</v>
      </c>
      <c r="N949" s="115">
        <v>14237.5</v>
      </c>
      <c r="P949" s="125">
        <v>0</v>
      </c>
      <c r="Q949" s="125">
        <v>0</v>
      </c>
      <c r="S949" s="125">
        <v>-1.2400000000000002E-6</v>
      </c>
      <c r="T949" s="125">
        <v>0</v>
      </c>
      <c r="V949" s="125"/>
      <c r="W949" s="125"/>
    </row>
    <row r="950" spans="1:23">
      <c r="A950" s="121">
        <v>44364</v>
      </c>
      <c r="B950" s="125">
        <v>144606559.25602669</v>
      </c>
      <c r="C950" s="125">
        <v>52343644.874391988</v>
      </c>
      <c r="D950" s="125">
        <v>59514676.395851135</v>
      </c>
      <c r="E950" s="125">
        <v>68799621.030665278</v>
      </c>
      <c r="F950" s="123">
        <v>180657942.30090839</v>
      </c>
      <c r="G950" s="125">
        <v>-600000</v>
      </c>
      <c r="H950" s="125">
        <v>1455.2514161028857</v>
      </c>
      <c r="I950" s="125">
        <v>883.16161061835817</v>
      </c>
      <c r="J950" s="125">
        <v>649.60976709645763</v>
      </c>
      <c r="K950" s="125">
        <v>847.03966536286134</v>
      </c>
      <c r="L950" s="164">
        <v>2379.8110430776769</v>
      </c>
      <c r="M950" s="125">
        <v>-80</v>
      </c>
      <c r="N950" s="115">
        <v>14355</v>
      </c>
      <c r="P950" s="125">
        <v>0</v>
      </c>
      <c r="Q950" s="125">
        <v>0</v>
      </c>
      <c r="S950" s="125">
        <v>-1.2400000000000002E-6</v>
      </c>
      <c r="T950" s="125">
        <v>0</v>
      </c>
      <c r="V950" s="125"/>
      <c r="W950" s="125"/>
    </row>
    <row r="951" spans="1:23">
      <c r="A951" s="121">
        <v>44365</v>
      </c>
      <c r="B951" s="125">
        <v>144908970.72898939</v>
      </c>
      <c r="C951" s="125">
        <v>53615721.45851095</v>
      </c>
      <c r="D951" s="125">
        <v>59595649.869577736</v>
      </c>
      <c r="E951" s="125">
        <v>69206793.975727275</v>
      </c>
      <c r="F951" s="123">
        <v>182418165.30381596</v>
      </c>
      <c r="G951" s="125">
        <v>-600000</v>
      </c>
      <c r="H951" s="125">
        <v>1450.9748597565094</v>
      </c>
      <c r="I951" s="125">
        <v>885.44617797349497</v>
      </c>
      <c r="J951" s="125">
        <v>649.86137792546072</v>
      </c>
      <c r="K951" s="125">
        <v>851.3299696088759</v>
      </c>
      <c r="L951" s="164">
        <v>2386.6375255078319</v>
      </c>
      <c r="M951" s="125">
        <v>-80</v>
      </c>
      <c r="N951" s="115">
        <v>14375</v>
      </c>
      <c r="P951" s="125">
        <v>0</v>
      </c>
      <c r="Q951" s="125">
        <v>0</v>
      </c>
      <c r="S951" s="125">
        <v>-1.2400000000000002E-6</v>
      </c>
      <c r="T951" s="125">
        <v>0</v>
      </c>
      <c r="V951" s="125"/>
      <c r="W951" s="125"/>
    </row>
    <row r="952" spans="1:23">
      <c r="A952" s="121">
        <v>44368</v>
      </c>
      <c r="B952" s="125">
        <v>145427541.31898302</v>
      </c>
      <c r="C952" s="125">
        <v>53899422.772244081</v>
      </c>
      <c r="D952" s="125">
        <v>59919825.928776607</v>
      </c>
      <c r="E952" s="125">
        <v>68876765.033762097</v>
      </c>
      <c r="F952" s="123">
        <v>182696013.73478279</v>
      </c>
      <c r="G952" s="125">
        <v>0</v>
      </c>
      <c r="H952" s="125">
        <v>1450.4728074750928</v>
      </c>
      <c r="I952" s="125">
        <v>866.39411508246792</v>
      </c>
      <c r="J952" s="125">
        <v>653.76750258309085</v>
      </c>
      <c r="K952" s="125">
        <v>849.20008379550256</v>
      </c>
      <c r="L952" s="164">
        <v>2369.3617014610613</v>
      </c>
      <c r="M952" s="125">
        <v>-80</v>
      </c>
      <c r="N952" s="115">
        <v>14427.5</v>
      </c>
      <c r="P952" s="125">
        <v>0</v>
      </c>
      <c r="Q952" s="125">
        <v>0</v>
      </c>
      <c r="S952" s="125">
        <v>-1.2400000000000002E-6</v>
      </c>
      <c r="T952" s="125">
        <v>0</v>
      </c>
      <c r="V952" s="125"/>
      <c r="W952" s="125"/>
    </row>
    <row r="953" spans="1:23">
      <c r="A953" s="121">
        <v>44369</v>
      </c>
      <c r="B953" s="125">
        <v>145405848.88232031</v>
      </c>
      <c r="C953" s="125">
        <v>53505050.323757686</v>
      </c>
      <c r="D953" s="125">
        <v>59909957.398545943</v>
      </c>
      <c r="E953" s="125">
        <v>69400932.053939581</v>
      </c>
      <c r="F953" s="123">
        <v>182815939.77624321</v>
      </c>
      <c r="G953" s="125">
        <v>0</v>
      </c>
      <c r="H953" s="125">
        <v>1432.2262683877468</v>
      </c>
      <c r="I953" s="125">
        <v>857.27773508134419</v>
      </c>
      <c r="J953" s="125">
        <v>654.5763419457121</v>
      </c>
      <c r="K953" s="125">
        <v>838.9847335093441</v>
      </c>
      <c r="L953" s="164">
        <v>2350.8388105364002</v>
      </c>
      <c r="M953" s="125">
        <v>-80</v>
      </c>
      <c r="N953" s="115">
        <v>14402.5</v>
      </c>
      <c r="P953" s="125">
        <v>0</v>
      </c>
      <c r="Q953" s="125">
        <v>0</v>
      </c>
      <c r="S953" s="125">
        <v>-1.2400000000000002E-6</v>
      </c>
      <c r="T953" s="125">
        <v>0</v>
      </c>
      <c r="V953" s="125"/>
      <c r="W953" s="125"/>
    </row>
    <row r="954" spans="1:23">
      <c r="A954" s="121">
        <v>44370</v>
      </c>
      <c r="B954" s="125">
        <v>145548509.339793</v>
      </c>
      <c r="C954" s="125">
        <v>53322536.920227177</v>
      </c>
      <c r="D954" s="125">
        <v>59756866.781230778</v>
      </c>
      <c r="E954" s="125">
        <v>70564613.071018785</v>
      </c>
      <c r="F954" s="123">
        <v>183644016.77247673</v>
      </c>
      <c r="G954" s="125">
        <v>0</v>
      </c>
      <c r="H954" s="125">
        <v>1392.6313809529611</v>
      </c>
      <c r="I954" s="125">
        <v>871.32922695800744</v>
      </c>
      <c r="J954" s="125">
        <v>654.30893963339042</v>
      </c>
      <c r="K954" s="125">
        <v>847.2997259784496</v>
      </c>
      <c r="L954" s="164">
        <v>2372.9378925698475</v>
      </c>
      <c r="M954" s="125">
        <v>-80</v>
      </c>
      <c r="N954" s="115">
        <v>14432.5</v>
      </c>
      <c r="P954" s="125">
        <v>0</v>
      </c>
      <c r="Q954" s="125">
        <v>0</v>
      </c>
      <c r="S954" s="125">
        <v>-1.2400000000000002E-6</v>
      </c>
      <c r="T954" s="125">
        <v>0</v>
      </c>
      <c r="V954" s="125"/>
      <c r="W954" s="125"/>
    </row>
    <row r="955" spans="1:23">
      <c r="A955" s="121">
        <v>44371</v>
      </c>
      <c r="B955" s="125">
        <v>145913856.47931963</v>
      </c>
      <c r="C955" s="125">
        <v>52828554.769691594</v>
      </c>
      <c r="D955" s="125">
        <v>60222420.29746078</v>
      </c>
      <c r="E955" s="125">
        <v>70461638.547959194</v>
      </c>
      <c r="F955" s="123">
        <v>183512613.61511159</v>
      </c>
      <c r="G955" s="125">
        <v>0</v>
      </c>
      <c r="H955" s="125">
        <v>1391.2947035403704</v>
      </c>
      <c r="I955" s="125">
        <v>847.89619974249774</v>
      </c>
      <c r="J955" s="125">
        <v>657.03487291976091</v>
      </c>
      <c r="K955" s="125">
        <v>840.88867215734933</v>
      </c>
      <c r="L955" s="164">
        <v>2345.8197448196079</v>
      </c>
      <c r="M955" s="125">
        <v>-80.083188908145587</v>
      </c>
      <c r="N955" s="115">
        <v>14440</v>
      </c>
      <c r="P955" s="125">
        <v>0</v>
      </c>
      <c r="Q955" s="125">
        <v>0</v>
      </c>
      <c r="S955" s="125">
        <v>-1.2400000000000002E-6</v>
      </c>
      <c r="T955" s="125">
        <v>0</v>
      </c>
      <c r="V955" s="125"/>
      <c r="W955" s="125"/>
    </row>
    <row r="956" spans="1:23">
      <c r="A956" s="121">
        <v>44372</v>
      </c>
      <c r="B956" s="125">
        <v>145932879.74843538</v>
      </c>
      <c r="C956" s="125">
        <v>52315560.16048529</v>
      </c>
      <c r="D956" s="125">
        <v>61500407.931714982</v>
      </c>
      <c r="E956" s="125">
        <v>70889757.118309468</v>
      </c>
      <c r="F956" s="123">
        <v>184705725.21050975</v>
      </c>
      <c r="G956" s="125">
        <v>0</v>
      </c>
      <c r="H956" s="125">
        <v>1386.2555872097955</v>
      </c>
      <c r="I956" s="125">
        <v>835.28662161330146</v>
      </c>
      <c r="J956" s="125">
        <v>657.72006236896652</v>
      </c>
      <c r="K956" s="125">
        <v>840.47472686715184</v>
      </c>
      <c r="L956" s="164">
        <v>2333.4814108494197</v>
      </c>
      <c r="M956" s="125">
        <v>-79.88923502942194</v>
      </c>
      <c r="N956" s="115">
        <v>14425</v>
      </c>
      <c r="P956" s="125">
        <v>0</v>
      </c>
      <c r="Q956" s="125">
        <v>0</v>
      </c>
      <c r="S956" s="125">
        <v>-1.2400000000000002E-6</v>
      </c>
      <c r="T956" s="125">
        <v>0</v>
      </c>
      <c r="V956" s="125"/>
      <c r="W956" s="125"/>
    </row>
    <row r="957" spans="1:23">
      <c r="A957" s="121">
        <v>44375</v>
      </c>
      <c r="B957" s="125">
        <v>145986851.7639766</v>
      </c>
      <c r="C957" s="125">
        <v>52535085.326884493</v>
      </c>
      <c r="D957" s="125">
        <v>61374161.946982585</v>
      </c>
      <c r="E957" s="125">
        <v>70076602.523615569</v>
      </c>
      <c r="F957" s="123">
        <v>183985849.79748264</v>
      </c>
      <c r="G957" s="125">
        <v>0</v>
      </c>
      <c r="H957" s="125">
        <v>1378.0425570724167</v>
      </c>
      <c r="I957" s="125">
        <v>823.17838594273451</v>
      </c>
      <c r="J957" s="125">
        <v>654.06212170956337</v>
      </c>
      <c r="K957" s="125">
        <v>800.20188386338725</v>
      </c>
      <c r="L957" s="164">
        <v>2277.4423915156849</v>
      </c>
      <c r="M957" s="125">
        <v>-79.779081808767685</v>
      </c>
      <c r="N957" s="115">
        <v>14445</v>
      </c>
      <c r="P957" s="125">
        <v>-139688.54999999999</v>
      </c>
      <c r="Q957" s="125">
        <v>0</v>
      </c>
      <c r="S957" s="125">
        <v>-1.2400000000000002E-6</v>
      </c>
      <c r="T957" s="125">
        <v>0</v>
      </c>
      <c r="V957" s="125"/>
      <c r="W957" s="125"/>
    </row>
    <row r="958" spans="1:23">
      <c r="A958" s="121">
        <v>44376</v>
      </c>
      <c r="B958" s="125">
        <v>146502456.39246801</v>
      </c>
      <c r="C958" s="125">
        <v>50522809.311775513</v>
      </c>
      <c r="D958" s="125">
        <v>61399772.106913209</v>
      </c>
      <c r="E958" s="125">
        <v>69488346.869624674</v>
      </c>
      <c r="F958" s="123">
        <v>181410928.28831339</v>
      </c>
      <c r="G958" s="125">
        <v>0</v>
      </c>
      <c r="H958" s="125">
        <v>1405.1024130897674</v>
      </c>
      <c r="I958" s="125">
        <v>832.10354297059166</v>
      </c>
      <c r="J958" s="125">
        <v>651.43891434697616</v>
      </c>
      <c r="K958" s="125">
        <v>821.52365503216186</v>
      </c>
      <c r="L958" s="164">
        <v>2305.0661123497298</v>
      </c>
      <c r="M958" s="125">
        <v>-79.91724137931034</v>
      </c>
      <c r="N958" s="115">
        <v>14485</v>
      </c>
      <c r="P958" s="125">
        <v>-139688.54999999999</v>
      </c>
      <c r="Q958" s="125">
        <v>0</v>
      </c>
      <c r="S958" s="125">
        <v>-1.2400000000000002E-6</v>
      </c>
      <c r="T958" s="125">
        <v>0</v>
      </c>
      <c r="V958" s="125"/>
      <c r="W958" s="125"/>
    </row>
    <row r="959" spans="1:23">
      <c r="A959" s="121">
        <v>44377</v>
      </c>
      <c r="B959" s="136">
        <v>149666366.30257899</v>
      </c>
      <c r="C959" s="136">
        <v>50019117.065745004</v>
      </c>
      <c r="D959" s="136">
        <v>61880156.555238001</v>
      </c>
      <c r="E959" s="136">
        <v>70130073.898681</v>
      </c>
      <c r="F959" s="137">
        <v>182029347.51966399</v>
      </c>
      <c r="G959" s="125">
        <v>0</v>
      </c>
      <c r="H959" s="136">
        <v>1415.4117491189656</v>
      </c>
      <c r="I959" s="136">
        <v>1040.9504766206896</v>
      </c>
      <c r="J959" s="136">
        <v>652.53586858068968</v>
      </c>
      <c r="K959" s="136">
        <v>822.93745259241382</v>
      </c>
      <c r="L959" s="165">
        <v>2516.4237977937928</v>
      </c>
      <c r="M959" s="125">
        <v>-79.986209274263061</v>
      </c>
      <c r="N959" s="115">
        <v>14500</v>
      </c>
      <c r="O959" s="116">
        <v>3493.14</v>
      </c>
      <c r="P959" s="125">
        <v>-139688.54999999999</v>
      </c>
      <c r="Q959" s="125">
        <v>0</v>
      </c>
      <c r="S959" s="125">
        <v>-1.2400000000000002E-6</v>
      </c>
      <c r="T959" s="125">
        <v>0</v>
      </c>
      <c r="V959" s="125"/>
      <c r="W959" s="125"/>
    </row>
    <row r="960" spans="1:23">
      <c r="A960" s="121">
        <v>44378</v>
      </c>
      <c r="B960" s="125">
        <v>147521493.41041255</v>
      </c>
      <c r="C960" s="125">
        <v>50689037.934581839</v>
      </c>
      <c r="D960" s="125">
        <v>61776480.616790995</v>
      </c>
      <c r="E960" s="125">
        <v>70182090.240670606</v>
      </c>
      <c r="F960" s="123">
        <v>182647608.79204345</v>
      </c>
      <c r="G960" s="125">
        <v>0</v>
      </c>
      <c r="H960" s="125">
        <v>1402.3546710435048</v>
      </c>
      <c r="I960" s="125">
        <v>1052.90055375056</v>
      </c>
      <c r="J960" s="125">
        <v>648.55865895640261</v>
      </c>
      <c r="K960" s="125">
        <v>824.37878916247712</v>
      </c>
      <c r="L960" s="164">
        <v>2525.8380018694397</v>
      </c>
      <c r="M960" s="125">
        <v>-79.834852915878201</v>
      </c>
      <c r="N960" s="115">
        <v>14502.5</v>
      </c>
      <c r="P960" s="125">
        <v>-139688.54999999999</v>
      </c>
      <c r="Q960" s="125">
        <v>0</v>
      </c>
      <c r="S960" s="125">
        <v>-1.2400000000000002E-6</v>
      </c>
      <c r="T960" s="125">
        <v>0</v>
      </c>
      <c r="V960" s="125"/>
      <c r="W960" s="125"/>
    </row>
    <row r="961" spans="1:23">
      <c r="A961" s="121">
        <v>44379</v>
      </c>
      <c r="B961" s="125">
        <v>147230152.31682912</v>
      </c>
      <c r="C961" s="125">
        <v>50519387.329790018</v>
      </c>
      <c r="D961" s="125">
        <v>61207509.019072413</v>
      </c>
      <c r="E961" s="125">
        <v>71562712.333859086</v>
      </c>
      <c r="F961" s="123">
        <v>183289608.68272153</v>
      </c>
      <c r="G961" s="125">
        <v>0</v>
      </c>
      <c r="H961" s="125">
        <v>1395.6560205190337</v>
      </c>
      <c r="I961" s="125">
        <v>1044.5776439778931</v>
      </c>
      <c r="J961" s="125">
        <v>650.29998916540728</v>
      </c>
      <c r="K961" s="125">
        <v>834.84709557515009</v>
      </c>
      <c r="L961" s="164">
        <v>2529.7247287184505</v>
      </c>
      <c r="M961" s="125">
        <v>-80.309467067315992</v>
      </c>
      <c r="N961" s="115">
        <v>14532.5</v>
      </c>
      <c r="P961" s="125">
        <v>-139688.54999999999</v>
      </c>
      <c r="Q961" s="125">
        <v>0</v>
      </c>
      <c r="S961" s="125">
        <v>-1.2400000000000002E-6</v>
      </c>
      <c r="T961" s="125">
        <v>0</v>
      </c>
      <c r="V961" s="125"/>
      <c r="W961" s="125"/>
    </row>
    <row r="962" spans="1:23">
      <c r="A962" s="121">
        <v>44382</v>
      </c>
      <c r="B962" s="125">
        <v>146981015.73794046</v>
      </c>
      <c r="C962" s="125">
        <v>51129215.941691369</v>
      </c>
      <c r="D962" s="125">
        <v>61431904.159450009</v>
      </c>
      <c r="E962" s="125">
        <v>71262418.198777035</v>
      </c>
      <c r="F962" s="123">
        <v>183823538.29991841</v>
      </c>
      <c r="G962" s="125">
        <v>0</v>
      </c>
      <c r="H962" s="125">
        <v>1389.9213902813758</v>
      </c>
      <c r="I962" s="125">
        <v>1032.6493401958728</v>
      </c>
      <c r="J962" s="125">
        <v>647.35543509172328</v>
      </c>
      <c r="K962" s="125">
        <v>832.2831647202047</v>
      </c>
      <c r="L962" s="164">
        <v>2512.2879400078009</v>
      </c>
      <c r="M962" s="125">
        <v>-80.035936420179681</v>
      </c>
      <c r="N962" s="115">
        <v>14476.5</v>
      </c>
      <c r="P962" s="125">
        <v>-139688.54999999999</v>
      </c>
      <c r="Q962" s="125">
        <v>0</v>
      </c>
      <c r="S962" s="125">
        <v>-1.2400000000000002E-6</v>
      </c>
      <c r="T962" s="125">
        <v>0</v>
      </c>
      <c r="V962" s="125"/>
      <c r="W962" s="125"/>
    </row>
    <row r="963" spans="1:23">
      <c r="A963" s="121">
        <v>44383</v>
      </c>
      <c r="B963" s="125">
        <v>146756091.0223859</v>
      </c>
      <c r="C963" s="125">
        <v>51825376.614329048</v>
      </c>
      <c r="D963" s="125">
        <v>61347993.423923187</v>
      </c>
      <c r="E963" s="125">
        <v>71535528.250980452</v>
      </c>
      <c r="F963" s="123">
        <v>184708898.28923267</v>
      </c>
      <c r="G963" s="125">
        <v>0</v>
      </c>
      <c r="H963" s="125">
        <v>1393.4388104783754</v>
      </c>
      <c r="I963" s="125">
        <v>1032.0190042224663</v>
      </c>
      <c r="J963" s="125">
        <v>645.95442496175917</v>
      </c>
      <c r="K963" s="125">
        <v>831.20024799895475</v>
      </c>
      <c r="L963" s="164">
        <v>2509.1736771831802</v>
      </c>
      <c r="M963" s="125">
        <v>-79.930951147937165</v>
      </c>
      <c r="N963" s="115">
        <v>14470</v>
      </c>
      <c r="P963" s="125">
        <v>-139688.54999999999</v>
      </c>
      <c r="Q963" s="125">
        <v>0</v>
      </c>
      <c r="S963" s="125">
        <v>-1.2400000000000002E-6</v>
      </c>
      <c r="T963" s="125">
        <v>0</v>
      </c>
      <c r="V963" s="125"/>
      <c r="W963" s="125"/>
    </row>
    <row r="964" spans="1:23">
      <c r="A964" s="121">
        <v>44384</v>
      </c>
      <c r="B964" s="125">
        <v>146382390.15106311</v>
      </c>
      <c r="C964" s="125">
        <v>52279122.801703639</v>
      </c>
      <c r="D964" s="125">
        <v>61315888.651508778</v>
      </c>
      <c r="E964" s="125">
        <v>71128747.054677665</v>
      </c>
      <c r="F964" s="123">
        <v>184723758.50789008</v>
      </c>
      <c r="G964" s="125">
        <v>0</v>
      </c>
      <c r="H964" s="125">
        <v>1395.5691933818775</v>
      </c>
      <c r="I964" s="125">
        <v>1032.2624690319642</v>
      </c>
      <c r="J964" s="125">
        <v>643.72447072169291</v>
      </c>
      <c r="K964" s="125">
        <v>820.82886020748845</v>
      </c>
      <c r="L964" s="164">
        <v>2496.8157999611458</v>
      </c>
      <c r="M964" s="125">
        <v>-79.765920826161789</v>
      </c>
      <c r="N964" s="115">
        <v>14482.5</v>
      </c>
      <c r="P964" s="125">
        <v>-139688.54999999999</v>
      </c>
      <c r="Q964" s="125">
        <v>0</v>
      </c>
      <c r="S964" s="125">
        <v>-1.2400000000000002E-6</v>
      </c>
      <c r="T964" s="125">
        <v>0</v>
      </c>
      <c r="V964" s="125"/>
      <c r="W964" s="125"/>
    </row>
    <row r="965" spans="1:23">
      <c r="A965" s="121">
        <v>44385</v>
      </c>
      <c r="B965" s="125">
        <v>146267428.60105664</v>
      </c>
      <c r="C965" s="125">
        <v>53734233.083803654</v>
      </c>
      <c r="D965" s="125">
        <v>61277705.476027615</v>
      </c>
      <c r="E965" s="125">
        <v>70579210.180350617</v>
      </c>
      <c r="F965" s="123">
        <v>185591148.74018186</v>
      </c>
      <c r="G965" s="125">
        <v>0</v>
      </c>
      <c r="H965" s="125">
        <v>1413.3612610790665</v>
      </c>
      <c r="I965" s="125">
        <v>1050.7466613238616</v>
      </c>
      <c r="J965" s="125">
        <v>646.13383342319605</v>
      </c>
      <c r="K965" s="125">
        <v>814.73306843138107</v>
      </c>
      <c r="L965" s="164">
        <v>2511.6135631784387</v>
      </c>
      <c r="M965" s="125">
        <v>-79.986233006367229</v>
      </c>
      <c r="N965" s="115">
        <v>14525</v>
      </c>
      <c r="P965" s="125">
        <v>-139688.54999999999</v>
      </c>
      <c r="Q965" s="125">
        <v>0</v>
      </c>
      <c r="S965" s="125">
        <v>-1.2400000000000002E-6</v>
      </c>
      <c r="T965" s="125">
        <v>0</v>
      </c>
      <c r="V965" s="125"/>
      <c r="W965" s="125"/>
    </row>
    <row r="966" spans="1:23">
      <c r="A966" s="121">
        <v>44386</v>
      </c>
      <c r="B966" s="125">
        <v>146200973.6808576</v>
      </c>
      <c r="C966" s="125">
        <v>54527327.071087353</v>
      </c>
      <c r="D966" s="125">
        <v>61194683.327504314</v>
      </c>
      <c r="E966" s="125">
        <v>70882272.998614624</v>
      </c>
      <c r="F966" s="123">
        <v>186604283.39720631</v>
      </c>
      <c r="G966" s="125">
        <v>0</v>
      </c>
      <c r="H966" s="125">
        <v>1409.8594297507182</v>
      </c>
      <c r="I966" s="125">
        <v>1023.8634853866208</v>
      </c>
      <c r="J966" s="125">
        <v>650.00728608102975</v>
      </c>
      <c r="K966" s="125">
        <v>823.12999513613818</v>
      </c>
      <c r="L966" s="164">
        <v>2497.0007666037891</v>
      </c>
      <c r="M966" s="125">
        <v>-80.193203381059163</v>
      </c>
      <c r="N966" s="115">
        <v>14527.5</v>
      </c>
      <c r="P966" s="125">
        <v>-139688.54999999999</v>
      </c>
      <c r="Q966" s="125">
        <v>0</v>
      </c>
      <c r="S966" s="125">
        <v>-1.2400000000000002E-6</v>
      </c>
      <c r="T966" s="125">
        <v>0</v>
      </c>
      <c r="V966" s="125"/>
      <c r="W966" s="125"/>
    </row>
    <row r="967" spans="1:23">
      <c r="A967" s="121">
        <v>44389</v>
      </c>
      <c r="B967" s="125">
        <v>146266586.05508807</v>
      </c>
      <c r="C967" s="125">
        <v>54388579.539504804</v>
      </c>
      <c r="D967" s="125">
        <v>60843861.472909302</v>
      </c>
      <c r="E967" s="125">
        <v>70626015.00804767</v>
      </c>
      <c r="F967" s="123">
        <v>185858456.02046177</v>
      </c>
      <c r="G967" s="125">
        <v>0</v>
      </c>
      <c r="H967" s="125">
        <v>1404.3352813606814</v>
      </c>
      <c r="I967" s="125">
        <v>1035.8884659526614</v>
      </c>
      <c r="J967" s="125">
        <v>649.38242860489436</v>
      </c>
      <c r="K967" s="125">
        <v>822.69162474092002</v>
      </c>
      <c r="L967" s="164">
        <v>2507.9625192984759</v>
      </c>
      <c r="M967" s="125">
        <v>-80.160403775019873</v>
      </c>
      <c r="N967" s="115">
        <v>14492.5</v>
      </c>
      <c r="P967" s="125">
        <v>-139688.54999999999</v>
      </c>
      <c r="Q967" s="125">
        <v>0</v>
      </c>
      <c r="S967" s="125">
        <v>-1.2400000000000002E-6</v>
      </c>
      <c r="T967" s="125">
        <v>0</v>
      </c>
      <c r="V967" s="125"/>
      <c r="W967" s="125"/>
    </row>
    <row r="968" spans="1:23">
      <c r="A968" s="121">
        <v>44390</v>
      </c>
      <c r="B968" s="125">
        <v>146132848.89036641</v>
      </c>
      <c r="C968" s="125">
        <v>54842306.894720308</v>
      </c>
      <c r="D968" s="125">
        <v>60786139.986241125</v>
      </c>
      <c r="E968" s="125">
        <v>70745587.846827462</v>
      </c>
      <c r="F968" s="123">
        <v>186374034.7277889</v>
      </c>
      <c r="G968" s="125">
        <v>0</v>
      </c>
      <c r="H968" s="125">
        <v>1399.3197897477532</v>
      </c>
      <c r="I968" s="125">
        <v>1060.1689665494237</v>
      </c>
      <c r="J968" s="125">
        <v>647.39306218886782</v>
      </c>
      <c r="K968" s="125">
        <v>836.30016350437052</v>
      </c>
      <c r="L968" s="164">
        <v>2543.8621922426619</v>
      </c>
      <c r="M968" s="125">
        <v>-79.908839779005518</v>
      </c>
      <c r="N968" s="115">
        <v>14463.5</v>
      </c>
      <c r="P968" s="125">
        <v>-139688.54999999999</v>
      </c>
      <c r="Q968" s="125">
        <v>0</v>
      </c>
      <c r="S968" s="125">
        <v>-1.2400000000000002E-6</v>
      </c>
      <c r="T968" s="125">
        <v>0</v>
      </c>
      <c r="V968" s="125"/>
      <c r="W968" s="125"/>
    </row>
    <row r="969" spans="1:23">
      <c r="A969" s="121">
        <v>44391</v>
      </c>
      <c r="B969" s="125">
        <v>146340884.49971837</v>
      </c>
      <c r="C969" s="125">
        <v>54929340.915623441</v>
      </c>
      <c r="D969" s="125">
        <v>60869102.939534418</v>
      </c>
      <c r="E969" s="125">
        <v>70977951.870094791</v>
      </c>
      <c r="F969" s="123">
        <v>186776395.72525263</v>
      </c>
      <c r="G969" s="125">
        <v>0</v>
      </c>
      <c r="H969" s="125">
        <v>1400.7632840217057</v>
      </c>
      <c r="I969" s="125">
        <v>900.70481772092558</v>
      </c>
      <c r="J969" s="125">
        <v>647.80219353770303</v>
      </c>
      <c r="K969" s="125">
        <v>1005.0761940716748</v>
      </c>
      <c r="L969" s="164">
        <v>2553.5832053303034</v>
      </c>
      <c r="M969" s="125">
        <v>-79.986190229587436</v>
      </c>
      <c r="N969" s="115">
        <v>14480</v>
      </c>
      <c r="P969" s="125">
        <v>-139688.54999999999</v>
      </c>
      <c r="Q969" s="125">
        <v>0</v>
      </c>
      <c r="S969" s="125">
        <v>-1.2400000000000002E-6</v>
      </c>
      <c r="T969" s="125">
        <v>0</v>
      </c>
      <c r="V969" s="125"/>
      <c r="W969" s="125"/>
    </row>
    <row r="970" spans="1:23" s="141" customFormat="1">
      <c r="A970" s="121">
        <v>44392</v>
      </c>
      <c r="B970" s="125">
        <v>146203317.26417896</v>
      </c>
      <c r="C970" s="125">
        <v>55771352.969830319</v>
      </c>
      <c r="D970" s="125">
        <v>60950744.559648558</v>
      </c>
      <c r="E970" s="125">
        <v>71435162.073812455</v>
      </c>
      <c r="F970" s="123">
        <v>188157259.60329133</v>
      </c>
      <c r="G970" s="125">
        <v>0</v>
      </c>
      <c r="H970" s="125">
        <v>1368.5268169225478</v>
      </c>
      <c r="I970" s="125">
        <v>904.54385658184253</v>
      </c>
      <c r="J970" s="125">
        <v>652.60784404914341</v>
      </c>
      <c r="K970" s="125">
        <v>994.41453512344765</v>
      </c>
      <c r="L970" s="164">
        <v>2551.5662357544334</v>
      </c>
      <c r="M970" s="125">
        <v>-79.917227108122091</v>
      </c>
      <c r="N970" s="115">
        <v>14482.5</v>
      </c>
      <c r="O970" s="139"/>
      <c r="P970" s="125">
        <v>-139688.54999999999</v>
      </c>
      <c r="Q970" s="125">
        <v>0</v>
      </c>
      <c r="R970" s="114"/>
      <c r="S970" s="125">
        <v>-1.2400000000000002E-6</v>
      </c>
      <c r="T970" s="125">
        <v>0</v>
      </c>
      <c r="U970" s="114"/>
      <c r="V970" s="125"/>
      <c r="W970" s="125"/>
    </row>
    <row r="971" spans="1:23" s="141" customFormat="1">
      <c r="A971" s="121">
        <v>44393</v>
      </c>
      <c r="B971" s="125">
        <v>146417664.27094927</v>
      </c>
      <c r="C971" s="125">
        <v>52319236.568118364</v>
      </c>
      <c r="D971" s="125">
        <v>60730349.216897488</v>
      </c>
      <c r="E971" s="125">
        <v>75289911.906408802</v>
      </c>
      <c r="F971" s="123">
        <v>188339497.69142467</v>
      </c>
      <c r="G971" s="125">
        <v>0</v>
      </c>
      <c r="H971" s="125">
        <v>1412.0715991399272</v>
      </c>
      <c r="I971" s="125">
        <v>887.98087921479976</v>
      </c>
      <c r="J971" s="125">
        <v>648.64331313419109</v>
      </c>
      <c r="K971" s="125">
        <v>981.58513973386459</v>
      </c>
      <c r="L971" s="164">
        <v>2518.2093320828553</v>
      </c>
      <c r="M971" s="125">
        <v>-79.889788186671254</v>
      </c>
      <c r="N971" s="115">
        <v>14497.5</v>
      </c>
      <c r="O971" s="139"/>
      <c r="P971" s="125">
        <v>-139688.54999999999</v>
      </c>
      <c r="Q971" s="125">
        <v>0</v>
      </c>
      <c r="R971" s="114"/>
      <c r="S971" s="125">
        <v>-1.2400000000000002E-6</v>
      </c>
      <c r="T971" s="125">
        <v>0</v>
      </c>
      <c r="U971" s="114"/>
      <c r="V971" s="125"/>
      <c r="W971" s="125"/>
    </row>
    <row r="972" spans="1:23" s="141" customFormat="1">
      <c r="A972" s="121">
        <v>44396</v>
      </c>
      <c r="B972" s="125">
        <v>146947985.32655036</v>
      </c>
      <c r="C972" s="125">
        <v>52642183.327639356</v>
      </c>
      <c r="D972" s="125">
        <v>60653827.786180817</v>
      </c>
      <c r="E972" s="125">
        <v>75188355.756726086</v>
      </c>
      <c r="F972" s="123">
        <v>188484366.87054625</v>
      </c>
      <c r="G972" s="125">
        <v>0</v>
      </c>
      <c r="H972" s="125">
        <v>1424.8514966722316</v>
      </c>
      <c r="I972" s="125">
        <v>907.52056611223338</v>
      </c>
      <c r="J972" s="125">
        <v>644.85653566305007</v>
      </c>
      <c r="K972" s="125">
        <v>982.35113736528535</v>
      </c>
      <c r="L972" s="164">
        <v>2534.7282391405688</v>
      </c>
      <c r="M972" s="125">
        <v>-79.862472064638126</v>
      </c>
      <c r="N972" s="115">
        <v>14517.5</v>
      </c>
      <c r="O972" s="139"/>
      <c r="P972" s="125">
        <v>-139688.54999999999</v>
      </c>
      <c r="Q972" s="125">
        <v>0</v>
      </c>
      <c r="R972" s="114"/>
      <c r="S972" s="125">
        <v>-1.2400000000000002E-6</v>
      </c>
      <c r="T972" s="125">
        <v>0</v>
      </c>
      <c r="U972" s="114"/>
      <c r="V972" s="125"/>
      <c r="W972" s="125"/>
    </row>
    <row r="973" spans="1:23" s="141" customFormat="1">
      <c r="A973" s="121">
        <v>44398</v>
      </c>
      <c r="B973" s="125">
        <v>146976534.41415027</v>
      </c>
      <c r="C973" s="125">
        <v>52542262.354581721</v>
      </c>
      <c r="D973" s="125">
        <v>60549394.058841847</v>
      </c>
      <c r="E973" s="125">
        <v>75321815.380395383</v>
      </c>
      <c r="F973" s="123">
        <v>188413471.79381895</v>
      </c>
      <c r="G973" s="125">
        <v>0</v>
      </c>
      <c r="H973" s="125">
        <v>1376.3060286607183</v>
      </c>
      <c r="I973" s="125">
        <v>866.02538896180351</v>
      </c>
      <c r="J973" s="125">
        <v>647.48742999541662</v>
      </c>
      <c r="K973" s="125">
        <v>982.23757454698125</v>
      </c>
      <c r="L973" s="164">
        <v>2495.7503935042014</v>
      </c>
      <c r="M973" s="125">
        <v>-80.331434489901611</v>
      </c>
      <c r="N973" s="115">
        <v>14542.5</v>
      </c>
      <c r="O973" s="139"/>
      <c r="P973" s="125">
        <v>-139688.54999999999</v>
      </c>
      <c r="Q973" s="125">
        <v>0</v>
      </c>
      <c r="R973" s="114"/>
      <c r="S973" s="125">
        <v>-1.2400000000000002E-6</v>
      </c>
      <c r="T973" s="125">
        <v>0</v>
      </c>
      <c r="U973" s="114"/>
      <c r="V973" s="125"/>
      <c r="W973" s="125"/>
    </row>
    <row r="974" spans="1:23" s="141" customFormat="1">
      <c r="A974" s="121">
        <v>44399</v>
      </c>
      <c r="B974" s="125">
        <v>147418794.88041368</v>
      </c>
      <c r="C974" s="125">
        <v>52361762.153798737</v>
      </c>
      <c r="D974" s="125">
        <v>60754451.759006999</v>
      </c>
      <c r="E974" s="125">
        <v>75845067.139074221</v>
      </c>
      <c r="F974" s="123">
        <v>188961281.05187994</v>
      </c>
      <c r="G974" s="125">
        <v>0</v>
      </c>
      <c r="H974" s="125">
        <v>1404.0819852646084</v>
      </c>
      <c r="I974" s="125">
        <v>884.24236958241204</v>
      </c>
      <c r="J974" s="125">
        <v>645.66542459164589</v>
      </c>
      <c r="K974" s="125">
        <v>975.61653552131929</v>
      </c>
      <c r="L974" s="164">
        <v>2505.5243296953772</v>
      </c>
      <c r="M974" s="125">
        <v>-79.944799033983088</v>
      </c>
      <c r="N974" s="115">
        <v>14482.5</v>
      </c>
      <c r="O974" s="139"/>
      <c r="P974" s="125">
        <v>-139688.54999999999</v>
      </c>
      <c r="Q974" s="125">
        <v>0</v>
      </c>
      <c r="R974" s="114"/>
      <c r="S974" s="125">
        <v>-1.2400000000000002E-6</v>
      </c>
      <c r="T974" s="125">
        <v>0</v>
      </c>
      <c r="U974" s="114"/>
      <c r="V974" s="125"/>
      <c r="W974" s="125"/>
    </row>
    <row r="975" spans="1:23" s="141" customFormat="1">
      <c r="A975" s="121">
        <v>44400</v>
      </c>
      <c r="B975" s="125">
        <v>147193941.0449239</v>
      </c>
      <c r="C975" s="125">
        <v>50089946.785492018</v>
      </c>
      <c r="D975" s="125">
        <v>61349389.548992224</v>
      </c>
      <c r="E975" s="125">
        <v>75949379.707944378</v>
      </c>
      <c r="F975" s="123">
        <v>187388716.04242861</v>
      </c>
      <c r="G975" s="125">
        <v>0</v>
      </c>
      <c r="H975" s="125">
        <v>1398.184743175575</v>
      </c>
      <c r="I975" s="125">
        <v>847.11974038094286</v>
      </c>
      <c r="J975" s="125">
        <v>650.67351946810982</v>
      </c>
      <c r="K975" s="125">
        <v>959.26055614637528</v>
      </c>
      <c r="L975" s="164">
        <v>2457.0538159954281</v>
      </c>
      <c r="M975" s="125">
        <v>-80.055239081650271</v>
      </c>
      <c r="N975" s="115">
        <v>14492.5</v>
      </c>
      <c r="O975" s="139"/>
      <c r="P975" s="125">
        <v>-139688.54999999999</v>
      </c>
      <c r="Q975" s="125">
        <v>0</v>
      </c>
      <c r="R975" s="114"/>
      <c r="S975" s="125">
        <v>-1.2400000000000002E-6</v>
      </c>
      <c r="T975" s="125">
        <v>0</v>
      </c>
      <c r="U975" s="114"/>
      <c r="V975" s="125"/>
      <c r="W975" s="125"/>
    </row>
    <row r="976" spans="1:23" s="141" customFormat="1">
      <c r="A976" s="121">
        <v>44403</v>
      </c>
      <c r="B976" s="125">
        <v>147215388.87529927</v>
      </c>
      <c r="C976" s="125">
        <v>48886001.829812258</v>
      </c>
      <c r="D976" s="125">
        <v>60838284.802410893</v>
      </c>
      <c r="E976" s="125">
        <v>75400517.421953455</v>
      </c>
      <c r="F976" s="123">
        <v>185124804.05417663</v>
      </c>
      <c r="G976" s="125">
        <v>0</v>
      </c>
      <c r="H976" s="125">
        <v>1375.9780087494089</v>
      </c>
      <c r="I976" s="125">
        <v>856.78127932451116</v>
      </c>
      <c r="J976" s="125">
        <v>652.92864036267758</v>
      </c>
      <c r="K976" s="125">
        <v>1004.6782000406841</v>
      </c>
      <c r="L976" s="164">
        <v>2514.3881197278729</v>
      </c>
      <c r="M976" s="125">
        <v>-80</v>
      </c>
      <c r="N976" s="115">
        <v>14482.5</v>
      </c>
      <c r="O976" s="139"/>
      <c r="P976" s="125">
        <v>-139688.54999999999</v>
      </c>
      <c r="Q976" s="125">
        <v>0</v>
      </c>
      <c r="R976" s="114"/>
      <c r="S976" s="125">
        <v>-1.2400000000000002E-6</v>
      </c>
      <c r="T976" s="125">
        <v>0</v>
      </c>
      <c r="U976" s="114"/>
      <c r="V976" s="125"/>
      <c r="W976" s="125"/>
    </row>
    <row r="977" spans="1:23" s="141" customFormat="1">
      <c r="A977" s="121">
        <v>44404</v>
      </c>
      <c r="B977" s="125">
        <v>146411718.10030508</v>
      </c>
      <c r="C977" s="125">
        <v>48505275.866134591</v>
      </c>
      <c r="D977" s="125">
        <v>60843364.651120827</v>
      </c>
      <c r="E977" s="125">
        <v>75538099.726487428</v>
      </c>
      <c r="F977" s="123">
        <v>184886740.24374285</v>
      </c>
      <c r="G977" s="125">
        <v>0</v>
      </c>
      <c r="H977" s="125">
        <v>1398.836925348297</v>
      </c>
      <c r="I977" s="125">
        <v>831.89425544912149</v>
      </c>
      <c r="J977" s="125">
        <v>652.69811229762024</v>
      </c>
      <c r="K977" s="125">
        <v>1025.8190643147991</v>
      </c>
      <c r="L977" s="164">
        <v>2510.4114320615408</v>
      </c>
      <c r="M977" s="125">
        <v>-80.02761000862813</v>
      </c>
      <c r="N977" s="115">
        <v>14492.5</v>
      </c>
      <c r="O977" s="139"/>
      <c r="P977" s="125">
        <v>-139688.54999999999</v>
      </c>
      <c r="Q977" s="125">
        <v>0</v>
      </c>
      <c r="R977" s="114"/>
      <c r="S977" s="125">
        <v>-1.2400000000000002E-6</v>
      </c>
      <c r="T977" s="125">
        <v>0</v>
      </c>
      <c r="U977" s="114"/>
      <c r="V977" s="125"/>
      <c r="W977" s="125"/>
    </row>
    <row r="978" spans="1:23" s="141" customFormat="1">
      <c r="A978" s="121">
        <v>44405</v>
      </c>
      <c r="B978" s="125">
        <v>146559286.93205997</v>
      </c>
      <c r="C978" s="125">
        <v>47286421.825211421</v>
      </c>
      <c r="D978" s="125">
        <v>60790645.587380566</v>
      </c>
      <c r="E978" s="125">
        <v>74601369.015922844</v>
      </c>
      <c r="F978" s="123">
        <v>182678436.42851484</v>
      </c>
      <c r="G978" s="125">
        <v>0</v>
      </c>
      <c r="H978" s="125">
        <v>1414.8793636797859</v>
      </c>
      <c r="I978" s="125">
        <v>827.74183012682795</v>
      </c>
      <c r="J978" s="125">
        <v>652.85794297638927</v>
      </c>
      <c r="K978" s="125">
        <v>1019.3802971458549</v>
      </c>
      <c r="L978" s="164">
        <v>2499.980070249072</v>
      </c>
      <c r="M978" s="125">
        <v>-80.027619540825128</v>
      </c>
      <c r="N978" s="115">
        <v>14487.5</v>
      </c>
      <c r="O978" s="139"/>
      <c r="P978" s="125">
        <v>0</v>
      </c>
      <c r="Q978" s="125">
        <v>0</v>
      </c>
      <c r="R978" s="114"/>
      <c r="S978" s="125">
        <v>-1.2400000000000002E-6</v>
      </c>
      <c r="T978" s="125">
        <v>0</v>
      </c>
      <c r="U978" s="114"/>
      <c r="V978" s="125"/>
      <c r="W978" s="125"/>
    </row>
    <row r="979" spans="1:23" s="141" customFormat="1">
      <c r="A979" s="121">
        <v>44406</v>
      </c>
      <c r="B979" s="125">
        <v>146596378.62333253</v>
      </c>
      <c r="C979" s="125">
        <v>51017323.560918421</v>
      </c>
      <c r="D979" s="125">
        <v>60763859.429795809</v>
      </c>
      <c r="E979" s="125">
        <v>74433976.783108279</v>
      </c>
      <c r="F979" s="123">
        <v>186215159.77382249</v>
      </c>
      <c r="G979" s="125">
        <v>0</v>
      </c>
      <c r="H979" s="125">
        <v>1414.7513757062868</v>
      </c>
      <c r="I979" s="125">
        <v>832.30932355106097</v>
      </c>
      <c r="J979" s="125">
        <v>654.95054027041374</v>
      </c>
      <c r="K979" s="125">
        <v>1008.8810999091572</v>
      </c>
      <c r="L979" s="164">
        <v>2496.1409637306319</v>
      </c>
      <c r="M979" s="125">
        <v>-80.110630942091618</v>
      </c>
      <c r="N979" s="115">
        <v>14482.5</v>
      </c>
      <c r="O979" s="139"/>
      <c r="P979" s="125">
        <v>0</v>
      </c>
      <c r="Q979" s="125">
        <v>0</v>
      </c>
      <c r="R979" s="114"/>
      <c r="S979" s="125">
        <v>-1.2400000000000002E-6</v>
      </c>
      <c r="T979" s="125">
        <v>0</v>
      </c>
      <c r="U979" s="114"/>
      <c r="V979" s="125"/>
      <c r="W979" s="125"/>
    </row>
    <row r="980" spans="1:23" s="141" customFormat="1">
      <c r="A980" s="121">
        <v>44407</v>
      </c>
      <c r="B980" s="125">
        <v>147764057.16717353</v>
      </c>
      <c r="C980" s="125">
        <v>51926540.481429636</v>
      </c>
      <c r="D980" s="125">
        <v>60940258.850868642</v>
      </c>
      <c r="E980" s="125">
        <v>74165135.902121127</v>
      </c>
      <c r="F980" s="123">
        <v>187031935.23441941</v>
      </c>
      <c r="G980" s="125">
        <v>0</v>
      </c>
      <c r="H980" s="125">
        <v>1409.759909520337</v>
      </c>
      <c r="I980" s="125">
        <v>846.79655253134842</v>
      </c>
      <c r="J980" s="125">
        <v>654.2355269079942</v>
      </c>
      <c r="K980" s="125">
        <v>1020.8212730461644</v>
      </c>
      <c r="L980" s="164">
        <v>2521.853352485507</v>
      </c>
      <c r="M980" s="125">
        <v>-80</v>
      </c>
      <c r="N980" s="115">
        <v>14462.5</v>
      </c>
      <c r="O980" s="139"/>
      <c r="P980" s="125">
        <v>0</v>
      </c>
      <c r="Q980" s="125">
        <v>0</v>
      </c>
      <c r="R980" s="114"/>
      <c r="S980" s="125">
        <v>-1.2400000000000002E-6</v>
      </c>
      <c r="T980" s="125">
        <v>0</v>
      </c>
      <c r="U980" s="114"/>
      <c r="V980" s="125"/>
      <c r="W980" s="125"/>
    </row>
    <row r="981" spans="1:23" s="141" customFormat="1">
      <c r="A981" s="121">
        <v>44408</v>
      </c>
      <c r="B981" s="136">
        <v>148761118.48355201</v>
      </c>
      <c r="C981" s="136">
        <v>51841786.182043999</v>
      </c>
      <c r="D981" s="136">
        <v>60686506.038655996</v>
      </c>
      <c r="E981" s="136">
        <v>74431949.043859005</v>
      </c>
      <c r="F981" s="137">
        <v>186960241.264559</v>
      </c>
      <c r="G981" s="142">
        <v>0</v>
      </c>
      <c r="H981" s="136">
        <v>1417.0969218610198</v>
      </c>
      <c r="I981" s="136">
        <v>846.07397920912706</v>
      </c>
      <c r="J981" s="136">
        <v>653.36213376076057</v>
      </c>
      <c r="K981" s="136">
        <v>1022.5388700488159</v>
      </c>
      <c r="L981" s="165">
        <v>2521.9749830187038</v>
      </c>
      <c r="M981" s="136">
        <v>-79.986209274263061</v>
      </c>
      <c r="N981" s="115">
        <v>14462.5</v>
      </c>
      <c r="O981" s="139">
        <v>3420.65</v>
      </c>
      <c r="P981" s="125">
        <v>0</v>
      </c>
      <c r="Q981" s="125">
        <v>0</v>
      </c>
      <c r="R981" s="114"/>
      <c r="S981" s="125">
        <v>-1.2400000000000002E-6</v>
      </c>
      <c r="T981" s="125">
        <v>0</v>
      </c>
      <c r="U981" s="114"/>
      <c r="V981" s="125"/>
      <c r="W981" s="125"/>
    </row>
    <row r="982" spans="1:23" s="141" customFormat="1">
      <c r="A982" s="121">
        <v>44410</v>
      </c>
      <c r="B982" s="125">
        <v>147520431.80140343</v>
      </c>
      <c r="C982" s="125">
        <v>52983462.199970268</v>
      </c>
      <c r="D982" s="125">
        <v>60344189.335318267</v>
      </c>
      <c r="E982" s="125">
        <v>73877670.08642377</v>
      </c>
      <c r="F982" s="123">
        <v>187205321.62171233</v>
      </c>
      <c r="G982" s="125">
        <v>0</v>
      </c>
      <c r="H982" s="125">
        <v>1385.8987723615019</v>
      </c>
      <c r="I982" s="125">
        <v>841.29359472966416</v>
      </c>
      <c r="J982" s="125">
        <v>655.60824043688524</v>
      </c>
      <c r="K982" s="125">
        <v>1020.4914172315925</v>
      </c>
      <c r="L982" s="164">
        <v>2517.3932523981421</v>
      </c>
      <c r="M982" s="125">
        <v>-80</v>
      </c>
      <c r="N982" s="115">
        <v>14422.5</v>
      </c>
      <c r="O982" s="139"/>
      <c r="P982" s="125">
        <v>0</v>
      </c>
      <c r="Q982" s="125">
        <v>0</v>
      </c>
      <c r="R982" s="114"/>
      <c r="S982" s="125">
        <v>-1.2400000000000002E-6</v>
      </c>
      <c r="T982" s="125">
        <v>0</v>
      </c>
      <c r="U982" s="114"/>
      <c r="V982" s="125"/>
      <c r="W982" s="125"/>
    </row>
    <row r="983" spans="1:23" s="141" customFormat="1">
      <c r="A983" s="121">
        <v>44411</v>
      </c>
      <c r="B983" s="125">
        <v>146936573.40383652</v>
      </c>
      <c r="C983" s="125">
        <v>52437863.818064325</v>
      </c>
      <c r="D983" s="125">
        <v>60143193.064804479</v>
      </c>
      <c r="E983" s="125">
        <v>74006773.183974266</v>
      </c>
      <c r="F983" s="123">
        <v>186587830.06684306</v>
      </c>
      <c r="G983" s="125">
        <v>0</v>
      </c>
      <c r="H983" s="125">
        <v>1436.2066785077943</v>
      </c>
      <c r="I983" s="125">
        <v>851.90527848083855</v>
      </c>
      <c r="J983" s="125">
        <v>654.14750798318971</v>
      </c>
      <c r="K983" s="125">
        <v>1018.803943219788</v>
      </c>
      <c r="L983" s="164">
        <v>2524.8567296838164</v>
      </c>
      <c r="M983" s="125">
        <v>-79.997211085933415</v>
      </c>
      <c r="N983" s="115">
        <v>14342.5</v>
      </c>
      <c r="O983" s="139"/>
      <c r="P983" s="125">
        <v>0</v>
      </c>
      <c r="Q983" s="125">
        <v>0</v>
      </c>
      <c r="R983" s="114"/>
      <c r="S983" s="125">
        <v>-1.2400000000000002E-6</v>
      </c>
      <c r="T983" s="125">
        <v>0</v>
      </c>
      <c r="U983" s="114"/>
      <c r="V983" s="125"/>
      <c r="W983" s="125"/>
    </row>
    <row r="984" spans="1:23" s="141" customFormat="1">
      <c r="A984" s="121">
        <v>44412</v>
      </c>
      <c r="B984" s="125">
        <v>146701221.47876623</v>
      </c>
      <c r="C984" s="125">
        <v>52540043.829429239</v>
      </c>
      <c r="D984" s="125">
        <v>60014097.16040168</v>
      </c>
      <c r="E984" s="125">
        <v>73262938.433612123</v>
      </c>
      <c r="F984" s="123">
        <v>185817079.42344302</v>
      </c>
      <c r="G984" s="125">
        <v>0</v>
      </c>
      <c r="H984" s="125">
        <v>1428.8127023612674</v>
      </c>
      <c r="I984" s="125">
        <v>850.39438189318332</v>
      </c>
      <c r="J984" s="125">
        <v>654.19157249199532</v>
      </c>
      <c r="K984" s="125">
        <v>1020.6893721745075</v>
      </c>
      <c r="L984" s="164">
        <v>2525.2753265596862</v>
      </c>
      <c r="M984" s="125">
        <v>-80</v>
      </c>
      <c r="N984" s="115">
        <v>14312.5</v>
      </c>
      <c r="O984" s="139"/>
      <c r="P984" s="125">
        <v>0</v>
      </c>
      <c r="Q984" s="125">
        <v>0</v>
      </c>
      <c r="R984" s="114"/>
      <c r="S984" s="125">
        <v>-2024035.20000104</v>
      </c>
      <c r="T984" s="125">
        <v>0</v>
      </c>
      <c r="U984" s="114"/>
      <c r="V984" s="125"/>
      <c r="W984" s="125"/>
    </row>
    <row r="985" spans="1:23" s="141" customFormat="1">
      <c r="A985" s="121">
        <v>44413</v>
      </c>
      <c r="B985" s="125">
        <v>146478631.11813605</v>
      </c>
      <c r="C985" s="125">
        <v>53713063.843402304</v>
      </c>
      <c r="D985" s="125">
        <v>60610130.603002131</v>
      </c>
      <c r="E985" s="125">
        <v>72838740.114704102</v>
      </c>
      <c r="F985" s="123">
        <v>187161934.56110853</v>
      </c>
      <c r="G985" s="125">
        <v>0</v>
      </c>
      <c r="H985" s="125">
        <v>1460.945223927014</v>
      </c>
      <c r="I985" s="125">
        <v>885.64692968457746</v>
      </c>
      <c r="J985" s="125">
        <v>656.59438255593352</v>
      </c>
      <c r="K985" s="125">
        <v>1019.4673087099051</v>
      </c>
      <c r="L985" s="164">
        <v>2561.7086209504159</v>
      </c>
      <c r="M985" s="125">
        <v>-80</v>
      </c>
      <c r="N985" s="115">
        <v>14342.5</v>
      </c>
      <c r="O985" s="139"/>
      <c r="P985" s="125">
        <v>0</v>
      </c>
      <c r="Q985" s="125">
        <v>0</v>
      </c>
      <c r="R985" s="114"/>
      <c r="S985" s="125">
        <v>-3284013.40000166</v>
      </c>
      <c r="T985" s="125">
        <v>0</v>
      </c>
      <c r="U985" s="114"/>
      <c r="V985" s="125"/>
      <c r="W985" s="125"/>
    </row>
    <row r="986" spans="1:23" s="141" customFormat="1">
      <c r="A986" s="121">
        <v>44414</v>
      </c>
      <c r="B986" s="125">
        <v>146289789.66010645</v>
      </c>
      <c r="C986" s="125">
        <v>54427755.631298549</v>
      </c>
      <c r="D986" s="125">
        <v>60681081.641288429</v>
      </c>
      <c r="E986" s="125">
        <v>72755620.681491792</v>
      </c>
      <c r="F986" s="123">
        <v>187864457.95407876</v>
      </c>
      <c r="G986" s="125">
        <v>0</v>
      </c>
      <c r="H986" s="125">
        <v>1454.9814259275845</v>
      </c>
      <c r="I986" s="125">
        <v>864.45666368691752</v>
      </c>
      <c r="J986" s="125">
        <v>652.99979263903117</v>
      </c>
      <c r="K986" s="125">
        <v>1034.6555222139521</v>
      </c>
      <c r="L986" s="164">
        <v>2552.1119785399005</v>
      </c>
      <c r="M986" s="125">
        <v>-80.055778281331712</v>
      </c>
      <c r="N986" s="115">
        <v>14342.5</v>
      </c>
      <c r="O986" s="139"/>
      <c r="P986" s="125">
        <v>0</v>
      </c>
      <c r="Q986" s="125">
        <v>0</v>
      </c>
      <c r="R986" s="114"/>
      <c r="S986" s="125">
        <v>-3284013.40000166</v>
      </c>
      <c r="T986" s="125">
        <v>0</v>
      </c>
      <c r="U986" s="114"/>
      <c r="V986" s="125"/>
      <c r="W986" s="125"/>
    </row>
    <row r="987" spans="1:23" s="141" customFormat="1">
      <c r="A987" s="121">
        <v>44417</v>
      </c>
      <c r="B987" s="125">
        <v>146362611.57342431</v>
      </c>
      <c r="C987" s="125">
        <v>53594138.663570665</v>
      </c>
      <c r="D987" s="125">
        <v>60419875.443699114</v>
      </c>
      <c r="E987" s="125">
        <v>71149127.777816385</v>
      </c>
      <c r="F987" s="123">
        <v>185163141.88508618</v>
      </c>
      <c r="G987" s="125">
        <v>0</v>
      </c>
      <c r="H987" s="125">
        <v>1473.7192397754436</v>
      </c>
      <c r="I987" s="125">
        <v>863.70326798227916</v>
      </c>
      <c r="J987" s="125">
        <v>652.04646854544774</v>
      </c>
      <c r="K987" s="125">
        <v>1045.6852733521864</v>
      </c>
      <c r="L987" s="164">
        <v>2561.4350098799132</v>
      </c>
      <c r="M987" s="125">
        <v>-80</v>
      </c>
      <c r="N987" s="115">
        <v>14362.5</v>
      </c>
      <c r="O987" s="139"/>
      <c r="P987" s="125">
        <v>0</v>
      </c>
      <c r="Q987" s="125">
        <v>0</v>
      </c>
      <c r="R987" s="114"/>
      <c r="S987" s="125">
        <v>-3284013.40000166</v>
      </c>
      <c r="T987" s="125">
        <v>0</v>
      </c>
      <c r="U987" s="114"/>
      <c r="V987" s="125"/>
      <c r="W987" s="125"/>
    </row>
    <row r="988" spans="1:23" s="141" customFormat="1">
      <c r="A988" s="121">
        <v>44418</v>
      </c>
      <c r="B988" s="125">
        <v>146053116.14746135</v>
      </c>
      <c r="C988" s="125">
        <v>53833154.127289429</v>
      </c>
      <c r="D988" s="125">
        <v>60378724.39480713</v>
      </c>
      <c r="E988" s="125">
        <v>71087699.886210248</v>
      </c>
      <c r="F988" s="123">
        <v>185299578.40830681</v>
      </c>
      <c r="G988" s="125">
        <v>0</v>
      </c>
      <c r="H988" s="125">
        <v>1485.9245994734733</v>
      </c>
      <c r="I988" s="125">
        <v>868.58261111115269</v>
      </c>
      <c r="J988" s="125">
        <v>657.3203024703879</v>
      </c>
      <c r="K988" s="125">
        <v>1046.9031557107307</v>
      </c>
      <c r="L988" s="164">
        <v>2572.8060692922713</v>
      </c>
      <c r="M988" s="125">
        <v>-80</v>
      </c>
      <c r="N988" s="115">
        <v>14382.5</v>
      </c>
      <c r="O988" s="139"/>
      <c r="P988" s="125">
        <v>0</v>
      </c>
      <c r="Q988" s="125">
        <v>0</v>
      </c>
      <c r="R988" s="114"/>
      <c r="S988" s="125">
        <v>-3284013.40000166</v>
      </c>
      <c r="T988" s="125">
        <v>0</v>
      </c>
      <c r="U988" s="114"/>
      <c r="V988" s="125"/>
      <c r="W988" s="125"/>
    </row>
    <row r="989" spans="1:23" s="141" customFormat="1">
      <c r="A989" s="121">
        <v>44420</v>
      </c>
      <c r="B989" s="125">
        <v>146075324.50343382</v>
      </c>
      <c r="C989" s="125">
        <v>53630698.148220316</v>
      </c>
      <c r="D989" s="125">
        <v>60650318.907734945</v>
      </c>
      <c r="E989" s="125">
        <v>71025626.968952417</v>
      </c>
      <c r="F989" s="123">
        <v>185306644.02490768</v>
      </c>
      <c r="G989" s="125">
        <v>0</v>
      </c>
      <c r="H989" s="125">
        <v>1492.5073690565036</v>
      </c>
      <c r="I989" s="125">
        <v>885.55748199276093</v>
      </c>
      <c r="J989" s="125">
        <v>656.76744662422152</v>
      </c>
      <c r="K989" s="125">
        <v>1055.6396638176832</v>
      </c>
      <c r="L989" s="164">
        <v>2597.964592434666</v>
      </c>
      <c r="M989" s="125">
        <v>-80</v>
      </c>
      <c r="N989" s="115">
        <v>14382.5</v>
      </c>
      <c r="O989" s="139"/>
      <c r="P989" s="125">
        <v>0</v>
      </c>
      <c r="Q989" s="125">
        <v>0</v>
      </c>
      <c r="R989" s="114"/>
      <c r="S989" s="125">
        <v>-3284013.40000166</v>
      </c>
      <c r="T989" s="125">
        <v>0</v>
      </c>
      <c r="U989" s="114"/>
      <c r="V989" s="125"/>
      <c r="W989" s="125"/>
    </row>
    <row r="990" spans="1:23" s="141" customFormat="1">
      <c r="A990" s="121">
        <v>44421</v>
      </c>
      <c r="B990" s="125">
        <v>146372584.74445748</v>
      </c>
      <c r="C990" s="125">
        <v>53985472.368345402</v>
      </c>
      <c r="D990" s="125">
        <v>60850851.896602593</v>
      </c>
      <c r="E990" s="125">
        <v>70800158.322469801</v>
      </c>
      <c r="F990" s="123">
        <v>185636482.58741778</v>
      </c>
      <c r="G990" s="125">
        <v>0</v>
      </c>
      <c r="H990" s="125">
        <v>1476.2207448402241</v>
      </c>
      <c r="I990" s="125">
        <v>875.41833399573102</v>
      </c>
      <c r="J990" s="125">
        <v>654.79341489727085</v>
      </c>
      <c r="K990" s="125">
        <v>1057.3535048715241</v>
      </c>
      <c r="L990" s="164">
        <v>2587.565253764526</v>
      </c>
      <c r="M990" s="125">
        <v>-80</v>
      </c>
      <c r="N990" s="115">
        <v>14387.5</v>
      </c>
      <c r="O990" s="139"/>
      <c r="P990" s="125">
        <v>0</v>
      </c>
      <c r="Q990" s="125">
        <v>0</v>
      </c>
      <c r="R990" s="114"/>
      <c r="S990" s="125">
        <v>-3284013.40000166</v>
      </c>
      <c r="T990" s="125">
        <v>0</v>
      </c>
      <c r="U990" s="114"/>
      <c r="V990" s="125"/>
      <c r="W990" s="125"/>
    </row>
    <row r="991" spans="1:23" s="141" customFormat="1">
      <c r="A991" s="121">
        <v>44424</v>
      </c>
      <c r="B991" s="125">
        <v>146431526.83990374</v>
      </c>
      <c r="C991" s="125">
        <v>53915388.946366742</v>
      </c>
      <c r="D991" s="125">
        <v>60705184.558164231</v>
      </c>
      <c r="E991" s="125">
        <v>69993636.789451793</v>
      </c>
      <c r="F991" s="123">
        <v>184614210.29398274</v>
      </c>
      <c r="G991" s="125">
        <v>0</v>
      </c>
      <c r="H991" s="125">
        <v>1484.999459441837</v>
      </c>
      <c r="I991" s="125">
        <v>904.54156535952677</v>
      </c>
      <c r="J991" s="125">
        <v>653.54337773060479</v>
      </c>
      <c r="K991" s="125">
        <v>1041.3663305423438</v>
      </c>
      <c r="L991" s="164">
        <v>2599.4512736324755</v>
      </c>
      <c r="M991" s="125">
        <v>-80</v>
      </c>
      <c r="N991" s="115">
        <v>14372</v>
      </c>
      <c r="O991" s="139"/>
      <c r="P991" s="125">
        <v>0</v>
      </c>
      <c r="Q991" s="125">
        <v>0</v>
      </c>
      <c r="R991" s="114"/>
      <c r="S991" s="125">
        <v>-3284013.40000166</v>
      </c>
      <c r="T991" s="125">
        <v>0</v>
      </c>
      <c r="U991" s="114"/>
      <c r="V991" s="125"/>
      <c r="W991" s="125"/>
    </row>
    <row r="992" spans="1:23" s="141" customFormat="1">
      <c r="A992" s="121">
        <v>44426</v>
      </c>
      <c r="B992" s="125">
        <v>146342863.32178068</v>
      </c>
      <c r="C992" s="125">
        <v>54298475.6255619</v>
      </c>
      <c r="D992" s="125">
        <v>60846503.193941444</v>
      </c>
      <c r="E992" s="125">
        <v>71104918.116789222</v>
      </c>
      <c r="F992" s="123">
        <v>186249896.93629256</v>
      </c>
      <c r="G992" s="125">
        <v>0</v>
      </c>
      <c r="H992" s="125">
        <v>1472.2882303035692</v>
      </c>
      <c r="I992" s="125">
        <v>928.56841997037657</v>
      </c>
      <c r="J992" s="125">
        <v>655.89548021116411</v>
      </c>
      <c r="K992" s="125">
        <v>1036.787603174964</v>
      </c>
      <c r="L992" s="164">
        <v>2621.2515033565051</v>
      </c>
      <c r="M992" s="125">
        <v>-80</v>
      </c>
      <c r="N992" s="115">
        <v>14372.5</v>
      </c>
      <c r="O992" s="139"/>
      <c r="P992" s="125">
        <v>0</v>
      </c>
      <c r="Q992" s="125">
        <v>0</v>
      </c>
      <c r="R992" s="114"/>
      <c r="S992" s="125">
        <v>-3284013.40000166</v>
      </c>
      <c r="T992" s="125">
        <v>0</v>
      </c>
      <c r="U992" s="114"/>
      <c r="V992" s="125"/>
      <c r="W992" s="125"/>
    </row>
    <row r="993" spans="1:26" s="141" customFormat="1">
      <c r="A993" s="121">
        <v>44427</v>
      </c>
      <c r="B993" s="125">
        <v>146297133.97176746</v>
      </c>
      <c r="C993" s="125">
        <v>55025760.137103193</v>
      </c>
      <c r="D993" s="125">
        <v>60964264.829689689</v>
      </c>
      <c r="E993" s="125">
        <v>70315404.411424085</v>
      </c>
      <c r="F993" s="123">
        <v>186305429.37821698</v>
      </c>
      <c r="G993" s="125">
        <v>0</v>
      </c>
      <c r="H993" s="125">
        <v>1501.5454988867705</v>
      </c>
      <c r="I993" s="125">
        <v>939.11371986158463</v>
      </c>
      <c r="J993" s="125">
        <v>654.94371912541908</v>
      </c>
      <c r="K993" s="125">
        <v>1035.648502020533</v>
      </c>
      <c r="L993" s="164">
        <v>2629.7059410075367</v>
      </c>
      <c r="M993" s="125">
        <v>-80</v>
      </c>
      <c r="N993" s="115">
        <v>14402.5</v>
      </c>
      <c r="O993" s="139"/>
      <c r="P993" s="125">
        <v>0</v>
      </c>
      <c r="Q993" s="125">
        <v>0</v>
      </c>
      <c r="R993" s="114"/>
      <c r="S993" s="125">
        <v>-3284013.40000166</v>
      </c>
      <c r="T993" s="125">
        <v>0</v>
      </c>
      <c r="U993" s="114"/>
      <c r="V993" s="125"/>
      <c r="W993" s="125"/>
    </row>
    <row r="994" spans="1:26" s="141" customFormat="1">
      <c r="A994" s="121">
        <v>44428</v>
      </c>
      <c r="B994" s="125">
        <v>146195788.90568018</v>
      </c>
      <c r="C994" s="125">
        <v>55603922.617351368</v>
      </c>
      <c r="D994" s="125">
        <v>61050307.815154746</v>
      </c>
      <c r="E994" s="125">
        <v>70350112.531210139</v>
      </c>
      <c r="F994" s="123">
        <v>187004342.96371627</v>
      </c>
      <c r="G994" s="125">
        <v>0</v>
      </c>
      <c r="H994" s="125">
        <v>1493.4403094881977</v>
      </c>
      <c r="I994" s="125">
        <v>927.10521724210753</v>
      </c>
      <c r="J994" s="125">
        <v>653.60224473153221</v>
      </c>
      <c r="K994" s="125">
        <v>1021.0236503322101</v>
      </c>
      <c r="L994" s="164">
        <v>2601.7311123058498</v>
      </c>
      <c r="M994" s="125">
        <v>-80</v>
      </c>
      <c r="N994" s="115">
        <v>14452.5</v>
      </c>
      <c r="O994" s="139"/>
      <c r="P994" s="125">
        <v>0</v>
      </c>
      <c r="Q994" s="125">
        <v>0</v>
      </c>
      <c r="R994" s="114"/>
      <c r="S994" s="125">
        <v>-3284013.40000166</v>
      </c>
      <c r="T994" s="125">
        <v>0</v>
      </c>
      <c r="U994" s="114"/>
      <c r="V994" s="125"/>
      <c r="W994" s="125"/>
    </row>
    <row r="995" spans="1:26" s="141" customFormat="1">
      <c r="A995" s="121">
        <v>44431</v>
      </c>
      <c r="B995" s="125">
        <v>146089299.58543599</v>
      </c>
      <c r="C995" s="125">
        <v>56198285.781726591</v>
      </c>
      <c r="D995" s="125">
        <v>61262204.326175675</v>
      </c>
      <c r="E995" s="125">
        <v>70275406.91976665</v>
      </c>
      <c r="F995" s="123">
        <v>187735897.02766889</v>
      </c>
      <c r="G995" s="125">
        <v>0</v>
      </c>
      <c r="H995" s="125">
        <v>1493.031619569759</v>
      </c>
      <c r="I995" s="125">
        <v>925.15303485977654</v>
      </c>
      <c r="J995" s="125">
        <v>649.61580032280676</v>
      </c>
      <c r="K995" s="125">
        <v>1014.4836385469268</v>
      </c>
      <c r="L995" s="164">
        <v>2589.2524737295098</v>
      </c>
      <c r="M995" s="125">
        <v>-75</v>
      </c>
      <c r="N995" s="115">
        <v>14412.5</v>
      </c>
      <c r="O995" s="139"/>
      <c r="P995" s="125">
        <v>0</v>
      </c>
      <c r="Q995" s="125">
        <v>0</v>
      </c>
      <c r="R995" s="114"/>
      <c r="S995" s="125">
        <v>-3284013.40000166</v>
      </c>
      <c r="T995" s="125">
        <v>0</v>
      </c>
      <c r="U995" s="114"/>
      <c r="V995" s="125"/>
      <c r="W995" s="125"/>
    </row>
    <row r="996" spans="1:26" s="141" customFormat="1">
      <c r="A996" s="121">
        <v>44432</v>
      </c>
      <c r="B996" s="125">
        <v>146014854.51439485</v>
      </c>
      <c r="C996" s="125">
        <v>55826993.270608127</v>
      </c>
      <c r="D996" s="125">
        <v>61346827.571211651</v>
      </c>
      <c r="E996" s="125">
        <v>69783461.769594818</v>
      </c>
      <c r="F996" s="123">
        <v>186957282.61141461</v>
      </c>
      <c r="G996" s="125">
        <v>0</v>
      </c>
      <c r="H996" s="125">
        <v>1495.745977021282</v>
      </c>
      <c r="I996" s="125">
        <v>1215.5074078670862</v>
      </c>
      <c r="J996" s="125">
        <v>651.56697057207259</v>
      </c>
      <c r="K996" s="125">
        <v>1004.4077077837105</v>
      </c>
      <c r="L996" s="164">
        <v>2871.4820862228694</v>
      </c>
      <c r="M996" s="125">
        <v>-75</v>
      </c>
      <c r="N996" s="115">
        <v>14392.5</v>
      </c>
      <c r="O996" s="139"/>
      <c r="P996" s="125">
        <v>0</v>
      </c>
      <c r="Q996" s="125">
        <v>0</v>
      </c>
      <c r="R996" s="114"/>
      <c r="S996" s="125">
        <v>-3284013.40000166</v>
      </c>
      <c r="T996" s="125">
        <v>0</v>
      </c>
      <c r="U996" s="114"/>
      <c r="V996" s="125"/>
      <c r="W996" s="125"/>
    </row>
    <row r="997" spans="1:26" s="141" customFormat="1">
      <c r="A997" s="121">
        <v>44433</v>
      </c>
      <c r="B997" s="125">
        <v>145801333.80771586</v>
      </c>
      <c r="C997" s="125">
        <v>53957265.018828183</v>
      </c>
      <c r="D997" s="125">
        <v>62047976.823952861</v>
      </c>
      <c r="E997" s="125">
        <v>69538415.534401953</v>
      </c>
      <c r="F997" s="123">
        <v>185543657.37718299</v>
      </c>
      <c r="G997" s="125">
        <v>0</v>
      </c>
      <c r="H997" s="125">
        <v>1492.475268498998</v>
      </c>
      <c r="I997" s="125">
        <v>929.47064521015989</v>
      </c>
      <c r="J997" s="125">
        <v>651.77988263090231</v>
      </c>
      <c r="K997" s="125">
        <v>986.87242504919936</v>
      </c>
      <c r="L997" s="164">
        <v>2568.1229528902613</v>
      </c>
      <c r="M997" s="125">
        <v>-75</v>
      </c>
      <c r="N997" s="115">
        <v>14397.5</v>
      </c>
      <c r="O997" s="139"/>
      <c r="P997" s="125">
        <v>0</v>
      </c>
      <c r="Q997" s="125">
        <v>0</v>
      </c>
      <c r="R997" s="114"/>
      <c r="S997" s="125">
        <v>-3284013.40000166</v>
      </c>
      <c r="T997" s="125">
        <v>0</v>
      </c>
      <c r="U997" s="114"/>
      <c r="V997" s="125"/>
      <c r="W997" s="125"/>
    </row>
    <row r="998" spans="1:26" s="141" customFormat="1">
      <c r="A998" s="121">
        <v>44434</v>
      </c>
      <c r="B998" s="125">
        <v>145469894.53267026</v>
      </c>
      <c r="C998" s="125">
        <v>54089116.416899681</v>
      </c>
      <c r="D998" s="125">
        <v>62078950.139441013</v>
      </c>
      <c r="E998" s="125">
        <v>69214703.264444664</v>
      </c>
      <c r="F998" s="123">
        <v>185382769.82078534</v>
      </c>
      <c r="G998" s="125">
        <v>0</v>
      </c>
      <c r="H998" s="125">
        <v>1511.6597529630717</v>
      </c>
      <c r="I998" s="125">
        <v>938.03589525358996</v>
      </c>
      <c r="J998" s="125">
        <v>654.43870548345649</v>
      </c>
      <c r="K998" s="125">
        <v>973.3451779182991</v>
      </c>
      <c r="L998" s="164">
        <v>2565.8197786553455</v>
      </c>
      <c r="M998" s="125">
        <v>-75</v>
      </c>
      <c r="N998" s="115">
        <v>14417.5</v>
      </c>
      <c r="O998" s="139"/>
      <c r="P998" s="125">
        <v>0</v>
      </c>
      <c r="Q998" s="125">
        <v>0</v>
      </c>
      <c r="R998" s="114"/>
      <c r="S998" s="125">
        <v>-3284013.40000166</v>
      </c>
      <c r="T998" s="125">
        <v>0</v>
      </c>
      <c r="U998" s="114"/>
      <c r="V998" s="125"/>
      <c r="W998" s="125"/>
    </row>
    <row r="999" spans="1:26" s="141" customFormat="1">
      <c r="A999" s="121">
        <v>44435</v>
      </c>
      <c r="B999" s="125">
        <v>145344007.77654567</v>
      </c>
      <c r="C999" s="125">
        <v>52708045.226928696</v>
      </c>
      <c r="D999" s="125">
        <v>62529287.56188339</v>
      </c>
      <c r="E999" s="125">
        <v>69216209.072542131</v>
      </c>
      <c r="F999" s="123">
        <v>184453541.86135423</v>
      </c>
      <c r="G999" s="125">
        <v>0</v>
      </c>
      <c r="H999" s="125">
        <v>1464.7807867115555</v>
      </c>
      <c r="I999" s="125">
        <v>909.30336036899712</v>
      </c>
      <c r="J999" s="125">
        <v>654.67010445174628</v>
      </c>
      <c r="K999" s="125">
        <v>975.30541307079034</v>
      </c>
      <c r="L999" s="164">
        <v>2539.2788778915337</v>
      </c>
      <c r="M999" s="125">
        <v>-45</v>
      </c>
      <c r="N999" s="115">
        <v>14417.5</v>
      </c>
      <c r="O999" s="139"/>
      <c r="P999" s="125">
        <v>0</v>
      </c>
      <c r="Q999" s="125">
        <v>0</v>
      </c>
      <c r="R999" s="114"/>
      <c r="S999" s="125">
        <v>-3284013.40000166</v>
      </c>
      <c r="T999" s="125">
        <v>0</v>
      </c>
      <c r="U999" s="114"/>
      <c r="V999" s="125"/>
      <c r="W999" s="125"/>
    </row>
    <row r="1000" spans="1:26" s="141" customFormat="1">
      <c r="A1000" s="121">
        <v>44438</v>
      </c>
      <c r="B1000" s="125">
        <v>145882071.65303463</v>
      </c>
      <c r="C1000" s="125">
        <v>53104326.969165817</v>
      </c>
      <c r="D1000" s="125">
        <v>63851030.537002616</v>
      </c>
      <c r="E1000" s="125">
        <v>69049608.778382555</v>
      </c>
      <c r="F1000" s="123">
        <v>186004966.28455096</v>
      </c>
      <c r="G1000" s="125">
        <v>0</v>
      </c>
      <c r="H1000" s="125">
        <v>1483.5481106917523</v>
      </c>
      <c r="I1000" s="125">
        <v>933.52631467017954</v>
      </c>
      <c r="J1000" s="125">
        <v>654.35290249245031</v>
      </c>
      <c r="K1000" s="125">
        <v>961.8727531472249</v>
      </c>
      <c r="L1000" s="164">
        <v>2549.7519703098546</v>
      </c>
      <c r="M1000" s="125">
        <v>-45</v>
      </c>
      <c r="N1000" s="115">
        <v>14370</v>
      </c>
      <c r="O1000" s="139"/>
      <c r="P1000" s="125">
        <v>0</v>
      </c>
      <c r="Q1000" s="125">
        <v>0</v>
      </c>
      <c r="R1000" s="114"/>
      <c r="S1000" s="125">
        <v>-3284013.40000166</v>
      </c>
      <c r="T1000" s="125">
        <v>0</v>
      </c>
      <c r="U1000" s="114"/>
      <c r="V1000" s="125"/>
      <c r="W1000" s="125"/>
    </row>
    <row r="1001" spans="1:26" s="141" customFormat="1">
      <c r="A1001" s="121">
        <v>44439</v>
      </c>
      <c r="B1001" s="136">
        <v>148392269.771961</v>
      </c>
      <c r="C1001" s="136">
        <v>52407905.634600997</v>
      </c>
      <c r="D1001" s="136">
        <v>64560589.146148004</v>
      </c>
      <c r="E1001" s="136">
        <v>69219498.327921003</v>
      </c>
      <c r="F1001" s="137">
        <v>186187993.10867</v>
      </c>
      <c r="G1001" s="125">
        <v>0</v>
      </c>
      <c r="H1001" s="136">
        <v>1493.9788530309443</v>
      </c>
      <c r="I1001" s="136">
        <v>972.22220408894339</v>
      </c>
      <c r="J1001" s="136">
        <v>654.16594057431223</v>
      </c>
      <c r="K1001" s="136">
        <v>981.34022155304012</v>
      </c>
      <c r="L1001" s="165">
        <v>2607.7283662162959</v>
      </c>
      <c r="M1001" s="125">
        <v>-45</v>
      </c>
      <c r="N1001" s="115">
        <v>14267.5</v>
      </c>
      <c r="O1001" s="139">
        <v>3432.17</v>
      </c>
      <c r="P1001" s="125">
        <v>0</v>
      </c>
      <c r="Q1001" s="125">
        <v>0</v>
      </c>
      <c r="R1001" s="114"/>
      <c r="S1001" s="125">
        <v>-3284013.40000166</v>
      </c>
      <c r="T1001" s="125">
        <v>0</v>
      </c>
      <c r="U1001" s="114"/>
      <c r="V1001" s="125"/>
      <c r="W1001" s="125"/>
    </row>
    <row r="1002" spans="1:26" s="141" customFormat="1">
      <c r="A1002" s="121">
        <v>44440</v>
      </c>
      <c r="B1002" s="125">
        <v>146456685.03074217</v>
      </c>
      <c r="C1002" s="125">
        <v>52315319.233084053</v>
      </c>
      <c r="D1002" s="125">
        <v>64384533.893738337</v>
      </c>
      <c r="E1002" s="125">
        <v>69169098.971282482</v>
      </c>
      <c r="F1002" s="123">
        <v>185868952.09810486</v>
      </c>
      <c r="G1002" s="125">
        <v>0</v>
      </c>
      <c r="H1002" s="125">
        <v>1483.7042217119306</v>
      </c>
      <c r="I1002" s="125">
        <v>932.63627052972356</v>
      </c>
      <c r="J1002" s="125">
        <v>658.52399948057086</v>
      </c>
      <c r="K1002" s="125">
        <v>983.36999931233561</v>
      </c>
      <c r="L1002" s="164">
        <v>2574.5302693226299</v>
      </c>
      <c r="M1002" s="125">
        <v>-45</v>
      </c>
      <c r="N1002" s="115">
        <v>14282.5</v>
      </c>
      <c r="O1002" s="139"/>
      <c r="P1002" s="125">
        <v>0</v>
      </c>
      <c r="Q1002" s="125">
        <v>0</v>
      </c>
      <c r="R1002" s="114"/>
      <c r="S1002" s="125">
        <v>-1259978.2000016598</v>
      </c>
      <c r="T1002" s="125">
        <v>0</v>
      </c>
      <c r="U1002" s="114"/>
      <c r="V1002" s="125"/>
      <c r="W1002" s="125"/>
    </row>
    <row r="1003" spans="1:26" s="141" customFormat="1">
      <c r="A1003" s="121">
        <v>44441</v>
      </c>
      <c r="B1003" s="125">
        <v>146306999.16302076</v>
      </c>
      <c r="C1003" s="125">
        <v>53396632.916593164</v>
      </c>
      <c r="D1003" s="125">
        <v>62729844.216250017</v>
      </c>
      <c r="E1003" s="125">
        <v>69189291.2623941</v>
      </c>
      <c r="F1003" s="123">
        <v>185315768.39523727</v>
      </c>
      <c r="G1003" s="125">
        <v>-885000</v>
      </c>
      <c r="H1003" s="125">
        <v>1454.8328162615012</v>
      </c>
      <c r="I1003" s="125">
        <v>961.38158041466977</v>
      </c>
      <c r="J1003" s="125">
        <v>701.24121984812803</v>
      </c>
      <c r="K1003" s="125">
        <v>982.9391437546451</v>
      </c>
      <c r="L1003" s="164">
        <v>2645.5619440174428</v>
      </c>
      <c r="M1003" s="125">
        <v>-45</v>
      </c>
      <c r="N1003" s="115">
        <v>14272.5</v>
      </c>
      <c r="O1003" s="139"/>
      <c r="P1003" s="125">
        <v>0</v>
      </c>
      <c r="Q1003" s="125">
        <v>0</v>
      </c>
      <c r="R1003" s="114"/>
      <c r="S1003" s="125">
        <v>-1224314.40000123</v>
      </c>
      <c r="T1003" s="125">
        <v>0</v>
      </c>
      <c r="U1003" s="114"/>
      <c r="V1003" s="125"/>
      <c r="W1003" s="125"/>
    </row>
    <row r="1004" spans="1:26" s="141" customFormat="1">
      <c r="A1004" s="121">
        <v>44442</v>
      </c>
      <c r="B1004" s="125">
        <v>146156467.43544522</v>
      </c>
      <c r="C1004" s="125">
        <v>52963829.249082066</v>
      </c>
      <c r="D1004" s="125">
        <v>62910350.533049434</v>
      </c>
      <c r="E1004" s="125">
        <v>70602074.627936304</v>
      </c>
      <c r="F1004" s="123">
        <v>186476254.4100678</v>
      </c>
      <c r="G1004" s="125">
        <v>-885000</v>
      </c>
      <c r="H1004" s="125">
        <v>1455.7830305604032</v>
      </c>
      <c r="I1004" s="125">
        <v>984.62727751068041</v>
      </c>
      <c r="J1004" s="125">
        <v>700.52928631719124</v>
      </c>
      <c r="K1004" s="125">
        <v>1122.261227467149</v>
      </c>
      <c r="L1004" s="164">
        <v>2807.4177912950208</v>
      </c>
      <c r="M1004" s="125">
        <v>-45</v>
      </c>
      <c r="N1004" s="115">
        <v>14262.5</v>
      </c>
      <c r="O1004" s="139"/>
      <c r="P1004" s="125">
        <v>-662927.49179999996</v>
      </c>
      <c r="Q1004" s="125">
        <v>0</v>
      </c>
      <c r="R1004" s="114"/>
      <c r="S1004" s="125">
        <v>-2025871.2000015599</v>
      </c>
      <c r="T1004" s="125">
        <v>0</v>
      </c>
      <c r="U1004" s="125">
        <v>3576563.1143219001</v>
      </c>
      <c r="V1004" s="125">
        <v>0</v>
      </c>
      <c r="W1004" s="142">
        <v>618336</v>
      </c>
      <c r="X1004" s="142">
        <v>3.6623831084487288</v>
      </c>
      <c r="Y1004" s="142">
        <v>71256394.065810919</v>
      </c>
      <c r="Z1004" s="142">
        <v>415.5336531118129</v>
      </c>
    </row>
    <row r="1005" spans="1:26" s="141" customFormat="1">
      <c r="A1005" s="121">
        <v>44445</v>
      </c>
      <c r="B1005" s="125">
        <v>146223840.69184259</v>
      </c>
      <c r="C1005" s="125">
        <v>54967633.348076306</v>
      </c>
      <c r="D1005" s="125">
        <v>61119957.420643725</v>
      </c>
      <c r="E1005" s="125">
        <v>69213218.632559612</v>
      </c>
      <c r="F1005" s="123">
        <v>185300809.40127963</v>
      </c>
      <c r="G1005" s="125">
        <v>-885000</v>
      </c>
      <c r="H1005" s="125">
        <v>1457.6738502566297</v>
      </c>
      <c r="I1005" s="125">
        <v>975.23251345429139</v>
      </c>
      <c r="J1005" s="125">
        <v>710.28444753117003</v>
      </c>
      <c r="K1005" s="125">
        <v>1112.8271655490671</v>
      </c>
      <c r="L1005" s="164">
        <v>2798.3441265345286</v>
      </c>
      <c r="M1005" s="125">
        <v>-45</v>
      </c>
      <c r="N1005" s="115">
        <v>14222.5</v>
      </c>
      <c r="O1005" s="139"/>
      <c r="P1005" s="125">
        <v>-662927.49179999996</v>
      </c>
      <c r="Q1005" s="125">
        <v>0</v>
      </c>
      <c r="R1005" s="114"/>
      <c r="S1005" s="125">
        <v>-2025871.2000015599</v>
      </c>
      <c r="T1005" s="125">
        <v>0</v>
      </c>
      <c r="U1005" s="125">
        <v>5696660.2467019008</v>
      </c>
      <c r="V1005" s="125">
        <v>0</v>
      </c>
      <c r="W1005" s="142">
        <v>618336</v>
      </c>
      <c r="X1005" s="142">
        <v>3.6642367796554751</v>
      </c>
      <c r="Y1005" s="142">
        <v>71145481.124978229</v>
      </c>
      <c r="Z1005" s="142">
        <v>415.49399784033267</v>
      </c>
    </row>
    <row r="1006" spans="1:26" s="141" customFormat="1">
      <c r="A1006" s="121">
        <v>44446</v>
      </c>
      <c r="B1006" s="125">
        <v>146291355.06331384</v>
      </c>
      <c r="C1006" s="125">
        <v>55249356.673261821</v>
      </c>
      <c r="D1006" s="125">
        <v>61598982.593295336</v>
      </c>
      <c r="E1006" s="125">
        <v>69444632.857121408</v>
      </c>
      <c r="F1006" s="123">
        <v>186292972.12367857</v>
      </c>
      <c r="G1006" s="125">
        <v>-885000</v>
      </c>
      <c r="H1006" s="125">
        <v>1438.895283987616</v>
      </c>
      <c r="I1006" s="125">
        <v>961.35466448134196</v>
      </c>
      <c r="J1006" s="125">
        <v>715.43378462248143</v>
      </c>
      <c r="K1006" s="125">
        <v>1111.2219466409367</v>
      </c>
      <c r="L1006" s="164">
        <v>2788.01039574476</v>
      </c>
      <c r="M1006" s="125">
        <v>-45</v>
      </c>
      <c r="N1006" s="115">
        <v>14212.5</v>
      </c>
      <c r="O1006" s="139"/>
      <c r="P1006" s="125">
        <v>-662927.49179999996</v>
      </c>
      <c r="Q1006" s="125">
        <v>0</v>
      </c>
      <c r="R1006" s="114"/>
      <c r="S1006" s="125">
        <v>-2025871.2000015599</v>
      </c>
      <c r="T1006" s="125">
        <v>0</v>
      </c>
      <c r="U1006" s="125">
        <v>5696658.7467019008</v>
      </c>
      <c r="V1006" s="125">
        <v>0</v>
      </c>
      <c r="W1006" s="142">
        <v>618336</v>
      </c>
      <c r="X1006" s="142">
        <v>3.6624626017414252</v>
      </c>
      <c r="Y1006" s="142">
        <v>70789787.682550117</v>
      </c>
      <c r="Z1006" s="142">
        <v>416.59223549443038</v>
      </c>
    </row>
    <row r="1007" spans="1:26" s="141" customFormat="1">
      <c r="A1007" s="121">
        <v>44447</v>
      </c>
      <c r="B1007" s="125">
        <v>146195647.30295008</v>
      </c>
      <c r="C1007" s="125">
        <v>55287462.333257236</v>
      </c>
      <c r="D1007" s="125">
        <v>62415400.29966978</v>
      </c>
      <c r="E1007" s="125">
        <v>68921387.811097756</v>
      </c>
      <c r="F1007" s="123">
        <v>186624250.44402477</v>
      </c>
      <c r="G1007" s="125">
        <v>-885000</v>
      </c>
      <c r="H1007" s="125">
        <v>1445.6002129459962</v>
      </c>
      <c r="I1007" s="125">
        <v>966.00533258870269</v>
      </c>
      <c r="J1007" s="125">
        <v>714.99010187032297</v>
      </c>
      <c r="K1007" s="125">
        <v>1104.1168464761017</v>
      </c>
      <c r="L1007" s="164">
        <v>2785.1122809351273</v>
      </c>
      <c r="M1007" s="125">
        <v>-45</v>
      </c>
      <c r="N1007" s="115">
        <v>14252.5</v>
      </c>
      <c r="O1007" s="139"/>
      <c r="P1007" s="125">
        <v>-662927.49179999996</v>
      </c>
      <c r="Q1007" s="125">
        <v>0</v>
      </c>
      <c r="R1007" s="114"/>
      <c r="S1007" s="125">
        <v>-2025871.2000015599</v>
      </c>
      <c r="T1007" s="125">
        <v>0</v>
      </c>
      <c r="U1007" s="125">
        <v>5563168.5848874999</v>
      </c>
      <c r="V1007" s="125">
        <v>0</v>
      </c>
      <c r="W1007" s="142">
        <v>618336</v>
      </c>
      <c r="X1007" s="142">
        <v>3.6606336581547096</v>
      </c>
      <c r="Y1007" s="142">
        <v>70958039.233877495</v>
      </c>
      <c r="Z1007" s="142">
        <v>415.20011669916295</v>
      </c>
    </row>
    <row r="1008" spans="1:26" s="141" customFormat="1">
      <c r="A1008" s="121">
        <v>44448</v>
      </c>
      <c r="B1008" s="125">
        <v>146594319.96744776</v>
      </c>
      <c r="C1008" s="125">
        <v>55064007.664500318</v>
      </c>
      <c r="D1008" s="125">
        <v>61558136.737464353</v>
      </c>
      <c r="E1008" s="125">
        <v>68619139.213861525</v>
      </c>
      <c r="F1008" s="123">
        <v>185241283.61582619</v>
      </c>
      <c r="G1008" s="125">
        <v>-885000</v>
      </c>
      <c r="H1008" s="125">
        <v>1429.5333284757091</v>
      </c>
      <c r="I1008" s="125">
        <v>992.67265801195754</v>
      </c>
      <c r="J1008" s="125">
        <v>718.56996600282957</v>
      </c>
      <c r="K1008" s="125">
        <v>1102.6068394452277</v>
      </c>
      <c r="L1008" s="164">
        <v>2813.8494634600147</v>
      </c>
      <c r="M1008" s="125">
        <v>-45</v>
      </c>
      <c r="N1008" s="115">
        <v>14252.5</v>
      </c>
      <c r="O1008" s="139"/>
      <c r="P1008" s="125">
        <v>-662927.49179999996</v>
      </c>
      <c r="Q1008" s="125">
        <v>0</v>
      </c>
      <c r="R1008" s="114"/>
      <c r="S1008" s="125">
        <v>-2025871.2000015599</v>
      </c>
      <c r="T1008" s="125">
        <v>0</v>
      </c>
      <c r="U1008" s="125">
        <v>5546141.0024474999</v>
      </c>
      <c r="V1008" s="125">
        <v>0</v>
      </c>
      <c r="W1008" s="142">
        <v>618336</v>
      </c>
      <c r="X1008" s="142">
        <v>3.663370020196457</v>
      </c>
      <c r="Y1008" s="142">
        <v>71121688.050952658</v>
      </c>
      <c r="Z1008" s="142">
        <v>414.18205573585533</v>
      </c>
    </row>
    <row r="1009" spans="1:26" s="141" customFormat="1">
      <c r="A1009" s="121">
        <v>44449</v>
      </c>
      <c r="B1009" s="125">
        <v>146505859.38223186</v>
      </c>
      <c r="C1009" s="125">
        <v>54168395.147132441</v>
      </c>
      <c r="D1009" s="125">
        <v>61398718.077858083</v>
      </c>
      <c r="E1009" s="125">
        <v>69078775.913400576</v>
      </c>
      <c r="F1009" s="123">
        <v>184645889.13839108</v>
      </c>
      <c r="G1009" s="125">
        <v>-885000</v>
      </c>
      <c r="H1009" s="125">
        <v>1432.4802039615699</v>
      </c>
      <c r="I1009" s="125">
        <v>988.64916838474392</v>
      </c>
      <c r="J1009" s="125">
        <v>718.6750747844784</v>
      </c>
      <c r="K1009" s="125">
        <v>1099.888702996348</v>
      </c>
      <c r="L1009" s="164">
        <v>2807.2129461655704</v>
      </c>
      <c r="M1009" s="125">
        <v>-45</v>
      </c>
      <c r="N1009" s="115">
        <v>14202.5</v>
      </c>
      <c r="O1009" s="139"/>
      <c r="P1009" s="125">
        <v>-662927.49179999996</v>
      </c>
      <c r="Q1009" s="125">
        <v>0</v>
      </c>
      <c r="R1009" s="114"/>
      <c r="S1009" s="125">
        <v>-2025871.2000015599</v>
      </c>
      <c r="T1009" s="125">
        <v>0</v>
      </c>
      <c r="U1009" s="125">
        <v>5138128.6845194995</v>
      </c>
      <c r="V1009" s="125">
        <v>0</v>
      </c>
      <c r="W1009" s="142">
        <v>618336</v>
      </c>
      <c r="X1009" s="142">
        <v>3.6713037743953527</v>
      </c>
      <c r="Y1009" s="142">
        <v>70660106.702740446</v>
      </c>
      <c r="Z1009" s="142">
        <v>415.35388868654479</v>
      </c>
    </row>
    <row r="1010" spans="1:26" s="141" customFormat="1">
      <c r="A1010" s="121">
        <v>44452</v>
      </c>
      <c r="B1010" s="125">
        <v>147808533.07817018</v>
      </c>
      <c r="C1010" s="125">
        <v>54786234.314904168</v>
      </c>
      <c r="D1010" s="125">
        <v>61180342.068915576</v>
      </c>
      <c r="E1010" s="125">
        <v>68811503.793581113</v>
      </c>
      <c r="F1010" s="123">
        <v>184778080.17740086</v>
      </c>
      <c r="G1010" s="125">
        <v>-885000</v>
      </c>
      <c r="H1010" s="125">
        <v>1403.406688445383</v>
      </c>
      <c r="I1010" s="125">
        <v>992.95849077622745</v>
      </c>
      <c r="J1010" s="125">
        <v>720.45034718486886</v>
      </c>
      <c r="K1010" s="125">
        <v>1080.5410231837568</v>
      </c>
      <c r="L1010" s="164">
        <v>2793.949861144853</v>
      </c>
      <c r="M1010" s="125">
        <v>-45</v>
      </c>
      <c r="N1010" s="115">
        <v>14252.5</v>
      </c>
      <c r="O1010" s="139"/>
      <c r="P1010" s="125">
        <v>-662927.49179999996</v>
      </c>
      <c r="Q1010" s="125">
        <v>0</v>
      </c>
      <c r="R1010" s="114"/>
      <c r="S1010" s="125">
        <v>-2025871.2000015599</v>
      </c>
      <c r="T1010" s="125">
        <v>0</v>
      </c>
      <c r="U1010" s="125">
        <v>3334478.4036582997</v>
      </c>
      <c r="V1010" s="125">
        <v>0</v>
      </c>
      <c r="W1010" s="142">
        <v>618336</v>
      </c>
      <c r="X1010" s="142">
        <v>3.6652433757481142</v>
      </c>
      <c r="Y1010" s="142">
        <v>70471547.716015682</v>
      </c>
      <c r="Z1010" s="142">
        <v>414.96202541834839</v>
      </c>
    </row>
    <row r="1011" spans="1:26" s="141" customFormat="1">
      <c r="A1011" s="121">
        <v>44453</v>
      </c>
      <c r="B1011" s="125">
        <v>147206966.74444434</v>
      </c>
      <c r="C1011" s="125">
        <v>55163561.337731697</v>
      </c>
      <c r="D1011" s="125">
        <v>60932748.840336658</v>
      </c>
      <c r="E1011" s="125">
        <v>68541036.413850218</v>
      </c>
      <c r="F1011" s="123">
        <v>184637346.59191859</v>
      </c>
      <c r="G1011" s="125">
        <v>-885000</v>
      </c>
      <c r="H1011" s="125">
        <v>1406.9597542194838</v>
      </c>
      <c r="I1011" s="125">
        <v>985.44923183221636</v>
      </c>
      <c r="J1011" s="125">
        <v>715.42241876452556</v>
      </c>
      <c r="K1011" s="125">
        <v>1088.3233570481877</v>
      </c>
      <c r="L1011" s="164">
        <v>2789.1950076449293</v>
      </c>
      <c r="M1011" s="125">
        <v>-45</v>
      </c>
      <c r="N1011" s="115">
        <v>14247.5</v>
      </c>
      <c r="O1011" s="139"/>
      <c r="P1011" s="125">
        <v>-662927.49179999996</v>
      </c>
      <c r="Q1011" s="125">
        <v>0</v>
      </c>
      <c r="R1011" s="114"/>
      <c r="S1011" s="125">
        <v>-2025871.2000015599</v>
      </c>
      <c r="T1011" s="125">
        <v>0</v>
      </c>
      <c r="U1011" s="125">
        <v>3433703.2712697</v>
      </c>
      <c r="V1011" s="125">
        <v>0</v>
      </c>
      <c r="W1011" s="142">
        <v>618336</v>
      </c>
      <c r="X1011" s="142">
        <v>3.670121233700649</v>
      </c>
      <c r="Y1011" s="142">
        <v>70841802.696567923</v>
      </c>
      <c r="Z1011" s="142">
        <v>413.06780295563294</v>
      </c>
    </row>
    <row r="1012" spans="1:26" s="141" customFormat="1">
      <c r="A1012" s="121">
        <v>44454</v>
      </c>
      <c r="B1012" s="125">
        <v>147303845.82289279</v>
      </c>
      <c r="C1012" s="125">
        <v>55684544.536688</v>
      </c>
      <c r="D1012" s="125">
        <v>60859984.312312528</v>
      </c>
      <c r="E1012" s="125">
        <v>68901863.923966303</v>
      </c>
      <c r="F1012" s="123">
        <v>185446392.77296683</v>
      </c>
      <c r="G1012" s="125">
        <v>-885000</v>
      </c>
      <c r="H1012" s="125">
        <v>1388.8457602487736</v>
      </c>
      <c r="I1012" s="125">
        <v>975.56957482569294</v>
      </c>
      <c r="J1012" s="125">
        <v>713.03263196176954</v>
      </c>
      <c r="K1012" s="125">
        <v>1093.7881276528519</v>
      </c>
      <c r="L1012" s="164">
        <v>2782.3903344403143</v>
      </c>
      <c r="M1012" s="125">
        <v>-45</v>
      </c>
      <c r="N1012" s="115">
        <v>14242.5</v>
      </c>
      <c r="O1012" s="139"/>
      <c r="P1012" s="125">
        <v>-662927.49179999996</v>
      </c>
      <c r="Q1012" s="125">
        <v>0</v>
      </c>
      <c r="R1012" s="114"/>
      <c r="S1012" s="125">
        <v>-2025871.2000015597</v>
      </c>
      <c r="T1012" s="125">
        <v>0</v>
      </c>
      <c r="U1012" s="125">
        <v>3454091.6336188</v>
      </c>
      <c r="V1012" s="125">
        <v>0</v>
      </c>
      <c r="W1012" s="142">
        <v>618336</v>
      </c>
      <c r="X1012" s="142">
        <v>3.6727767836721084</v>
      </c>
      <c r="Y1012" s="142">
        <v>70144341.45944795</v>
      </c>
      <c r="Z1012" s="142">
        <v>410.8155080227051</v>
      </c>
    </row>
    <row r="1013" spans="1:26" s="141" customFormat="1">
      <c r="A1013" s="121">
        <v>44455</v>
      </c>
      <c r="B1013" s="125">
        <v>147341923.10429874</v>
      </c>
      <c r="C1013" s="125">
        <v>55955156.800757997</v>
      </c>
      <c r="D1013" s="125">
        <v>60761013.55657877</v>
      </c>
      <c r="E1013" s="125">
        <v>68999280.779443562</v>
      </c>
      <c r="F1013" s="123">
        <v>185715451.13678032</v>
      </c>
      <c r="G1013" s="125">
        <v>0</v>
      </c>
      <c r="H1013" s="125">
        <v>1408.8555637709803</v>
      </c>
      <c r="I1013" s="125">
        <v>977.28949218803473</v>
      </c>
      <c r="J1013" s="125">
        <v>712.95464219207349</v>
      </c>
      <c r="K1013" s="125">
        <v>1093.7635414774099</v>
      </c>
      <c r="L1013" s="164">
        <v>2784.0076758575183</v>
      </c>
      <c r="M1013" s="125">
        <v>-45</v>
      </c>
      <c r="N1013" s="115">
        <v>14252.5</v>
      </c>
      <c r="O1013" s="139"/>
      <c r="P1013" s="125">
        <v>-662927.49179999996</v>
      </c>
      <c r="Q1013" s="125">
        <v>0</v>
      </c>
      <c r="R1013" s="114"/>
      <c r="S1013" s="125">
        <v>-801556.80000156001</v>
      </c>
      <c r="T1013" s="125">
        <v>0</v>
      </c>
      <c r="U1013" s="125">
        <v>3481144.7892227997</v>
      </c>
      <c r="V1013" s="125">
        <v>0</v>
      </c>
      <c r="W1013" s="142">
        <v>618336</v>
      </c>
      <c r="X1013" s="142">
        <v>3.6692567067426767</v>
      </c>
      <c r="Y1013" s="142">
        <v>70227089.598597467</v>
      </c>
      <c r="Z1013" s="142">
        <v>409.74375045593473</v>
      </c>
    </row>
    <row r="1014" spans="1:26" s="141" customFormat="1">
      <c r="A1014" s="121">
        <v>44456</v>
      </c>
      <c r="B1014" s="125">
        <v>147416107.21535245</v>
      </c>
      <c r="C1014" s="125">
        <v>55676017.575579166</v>
      </c>
      <c r="D1014" s="125">
        <v>60656190.805442899</v>
      </c>
      <c r="E1014" s="125">
        <v>68867936.423748255</v>
      </c>
      <c r="F1014" s="123">
        <v>185200144.80477032</v>
      </c>
      <c r="G1014" s="125">
        <v>0</v>
      </c>
      <c r="H1014" s="125">
        <v>1433.6218994782967</v>
      </c>
      <c r="I1014" s="125">
        <v>966.58508632132168</v>
      </c>
      <c r="J1014" s="125">
        <v>709.89627266748016</v>
      </c>
      <c r="K1014" s="125">
        <v>1097.9181936411735</v>
      </c>
      <c r="L1014" s="164">
        <v>2774.399552629975</v>
      </c>
      <c r="M1014" s="125">
        <v>-45</v>
      </c>
      <c r="N1014" s="115">
        <v>14227.5</v>
      </c>
      <c r="O1014" s="139"/>
      <c r="P1014" s="125">
        <v>-662927.49179999996</v>
      </c>
      <c r="Q1014" s="125">
        <v>0</v>
      </c>
      <c r="R1014" s="114"/>
      <c r="S1014" s="125">
        <v>-801556.80000156001</v>
      </c>
      <c r="T1014" s="125">
        <v>0</v>
      </c>
      <c r="U1014" s="125">
        <v>3989281.4313907996</v>
      </c>
      <c r="V1014" s="125">
        <v>0</v>
      </c>
      <c r="W1014" s="142">
        <v>618336</v>
      </c>
      <c r="X1014" s="142">
        <v>3.6655095086522582</v>
      </c>
      <c r="Y1014" s="142">
        <v>70360516.400216788</v>
      </c>
      <c r="Z1014" s="142">
        <v>410.51963112680568</v>
      </c>
    </row>
    <row r="1015" spans="1:26" s="141" customFormat="1">
      <c r="A1015" s="121">
        <v>44459</v>
      </c>
      <c r="B1015" s="125">
        <v>148098824.84494412</v>
      </c>
      <c r="C1015" s="125">
        <v>56850094.827921957</v>
      </c>
      <c r="D1015" s="125">
        <v>60508685.383464821</v>
      </c>
      <c r="E1015" s="125">
        <v>69051813.692366064</v>
      </c>
      <c r="F1015" s="123">
        <v>186410593.90375283</v>
      </c>
      <c r="G1015" s="125">
        <v>0</v>
      </c>
      <c r="H1015" s="125">
        <v>1447.5195716498611</v>
      </c>
      <c r="I1015" s="125">
        <v>971.73575072960728</v>
      </c>
      <c r="J1015" s="125">
        <v>712.63870461893794</v>
      </c>
      <c r="K1015" s="125">
        <v>1098.2009268244533</v>
      </c>
      <c r="L1015" s="164">
        <v>2782.5753821729986</v>
      </c>
      <c r="M1015" s="125">
        <v>-45</v>
      </c>
      <c r="N1015" s="115">
        <v>14242.5</v>
      </c>
      <c r="O1015" s="139"/>
      <c r="P1015" s="125">
        <v>-662927.49179999996</v>
      </c>
      <c r="Q1015" s="125">
        <v>0</v>
      </c>
      <c r="R1015" s="114"/>
      <c r="S1015" s="125">
        <v>-801556.80000156001</v>
      </c>
      <c r="T1015" s="125">
        <v>0</v>
      </c>
      <c r="U1015" s="125">
        <v>4629182.4601224</v>
      </c>
      <c r="V1015" s="125">
        <v>0</v>
      </c>
      <c r="W1015" s="142">
        <v>618336</v>
      </c>
      <c r="X1015" s="142">
        <v>3.6587694113708973</v>
      </c>
      <c r="Y1015" s="142">
        <v>70184569.006092206</v>
      </c>
      <c r="Z1015" s="142">
        <v>410.71844675006781</v>
      </c>
    </row>
    <row r="1016" spans="1:26" s="141" customFormat="1">
      <c r="A1016" s="121">
        <v>44460</v>
      </c>
      <c r="B1016" s="125">
        <v>148210028.65029794</v>
      </c>
      <c r="C1016" s="125">
        <v>57702675.733950645</v>
      </c>
      <c r="D1016" s="125">
        <v>60503173.651515201</v>
      </c>
      <c r="E1016" s="125">
        <v>69674270.478509292</v>
      </c>
      <c r="F1016" s="123">
        <v>187880119.86397514</v>
      </c>
      <c r="G1016" s="125">
        <v>0</v>
      </c>
      <c r="H1016" s="125">
        <v>1460.0577006416775</v>
      </c>
      <c r="I1016" s="125">
        <v>969.27672302902124</v>
      </c>
      <c r="J1016" s="125">
        <v>714.18067760497161</v>
      </c>
      <c r="K1016" s="125">
        <v>1103.096471601802</v>
      </c>
      <c r="L1016" s="164">
        <v>2786.5538722357951</v>
      </c>
      <c r="M1016" s="125">
        <v>-45</v>
      </c>
      <c r="N1016" s="115">
        <v>14237.5</v>
      </c>
      <c r="O1016" s="139"/>
      <c r="P1016" s="125">
        <v>-662927.49179999996</v>
      </c>
      <c r="Q1016" s="125">
        <v>0</v>
      </c>
      <c r="R1016" s="114"/>
      <c r="S1016" s="125">
        <v>-801556.80000156001</v>
      </c>
      <c r="T1016" s="125">
        <v>0</v>
      </c>
      <c r="U1016" s="125">
        <v>4938561.8667073008</v>
      </c>
      <c r="V1016" s="125">
        <v>0</v>
      </c>
      <c r="W1016" s="142">
        <v>618336</v>
      </c>
      <c r="X1016" s="142">
        <v>3.6587739705531166</v>
      </c>
      <c r="Y1016" s="142">
        <v>69470800.475674137</v>
      </c>
      <c r="Z1016" s="142">
        <v>410.72781408974197</v>
      </c>
    </row>
    <row r="1017" spans="1:26" s="141" customFormat="1">
      <c r="A1017" s="121">
        <v>44461</v>
      </c>
      <c r="B1017" s="125">
        <v>148197914.19826022</v>
      </c>
      <c r="C1017" s="125">
        <v>56489311.827835515</v>
      </c>
      <c r="D1017" s="125">
        <v>60602719.284658238</v>
      </c>
      <c r="E1017" s="125">
        <v>69799276.333037078</v>
      </c>
      <c r="F1017" s="123">
        <v>186891307.44553083</v>
      </c>
      <c r="G1017" s="125">
        <v>0</v>
      </c>
      <c r="H1017" s="125">
        <v>1460.203300239237</v>
      </c>
      <c r="I1017" s="125">
        <v>982.36150068831228</v>
      </c>
      <c r="J1017" s="125">
        <v>713.78290970955118</v>
      </c>
      <c r="K1017" s="125">
        <v>1093.3348442055119</v>
      </c>
      <c r="L1017" s="164">
        <v>2789.479254603375</v>
      </c>
      <c r="M1017" s="125">
        <v>-45</v>
      </c>
      <c r="N1017" s="115">
        <v>14242.5</v>
      </c>
      <c r="O1017" s="139"/>
      <c r="P1017" s="125">
        <v>-662927.49179999996</v>
      </c>
      <c r="Q1017" s="125">
        <v>0</v>
      </c>
      <c r="R1017" s="114"/>
      <c r="S1017" s="125">
        <v>-801556.80000156001</v>
      </c>
      <c r="T1017" s="125">
        <v>0</v>
      </c>
      <c r="U1017" s="125">
        <v>5197672.1269119</v>
      </c>
      <c r="V1017" s="125">
        <v>0</v>
      </c>
      <c r="W1017" s="142">
        <v>618336</v>
      </c>
      <c r="X1017" s="142">
        <v>3.657716225483588</v>
      </c>
      <c r="Y1017" s="142">
        <v>69390039.439261377</v>
      </c>
      <c r="Z1017" s="142">
        <v>411.58694542469584</v>
      </c>
    </row>
    <row r="1018" spans="1:26" s="141" customFormat="1">
      <c r="A1018" s="121">
        <v>44462</v>
      </c>
      <c r="B1018" s="125">
        <v>148402327.68069029</v>
      </c>
      <c r="C1018" s="125">
        <v>57876531.863246508</v>
      </c>
      <c r="D1018" s="125">
        <v>60674508.246864215</v>
      </c>
      <c r="E1018" s="125">
        <v>69603488.544031516</v>
      </c>
      <c r="F1018" s="123">
        <v>188154528.65414226</v>
      </c>
      <c r="G1018" s="125">
        <v>0</v>
      </c>
      <c r="H1018" s="125">
        <v>1461.2224700936586</v>
      </c>
      <c r="I1018" s="125">
        <v>957.06899138963945</v>
      </c>
      <c r="J1018" s="125">
        <v>717.67224407365677</v>
      </c>
      <c r="K1018" s="125">
        <v>1095.6187303262493</v>
      </c>
      <c r="L1018" s="164">
        <v>2770.3599657895456</v>
      </c>
      <c r="M1018" s="125">
        <v>-45</v>
      </c>
      <c r="N1018" s="115">
        <v>14242.5</v>
      </c>
      <c r="O1018" s="139"/>
      <c r="P1018" s="125">
        <v>-662927.49179999996</v>
      </c>
      <c r="Q1018" s="125">
        <v>0</v>
      </c>
      <c r="R1018" s="114"/>
      <c r="S1018" s="125">
        <v>-801556.80000156001</v>
      </c>
      <c r="T1018" s="125">
        <v>0</v>
      </c>
      <c r="U1018" s="125">
        <v>5420924.5934094004</v>
      </c>
      <c r="V1018" s="125">
        <v>0</v>
      </c>
      <c r="W1018" s="142">
        <v>609144.75</v>
      </c>
      <c r="X1018" s="142">
        <v>3.6593943016640336</v>
      </c>
      <c r="Y1018" s="142">
        <v>68944391.546229586</v>
      </c>
      <c r="Z1018" s="142">
        <v>411.66194414303607</v>
      </c>
    </row>
    <row r="1019" spans="1:26" s="141" customFormat="1">
      <c r="A1019" s="121">
        <v>44463</v>
      </c>
      <c r="B1019" s="125">
        <v>148264657.35419247</v>
      </c>
      <c r="C1019" s="125">
        <v>57625473.168055169</v>
      </c>
      <c r="D1019" s="125">
        <v>61651323.860880345</v>
      </c>
      <c r="E1019" s="125">
        <v>69795946.537585944</v>
      </c>
      <c r="F1019" s="123">
        <v>189072743.56652147</v>
      </c>
      <c r="G1019" s="125">
        <v>0</v>
      </c>
      <c r="H1019" s="125">
        <v>1464.807686130599</v>
      </c>
      <c r="I1019" s="125">
        <v>960.96824070101866</v>
      </c>
      <c r="J1019" s="125">
        <v>715.59545767263126</v>
      </c>
      <c r="K1019" s="125">
        <v>1108.136185594065</v>
      </c>
      <c r="L1019" s="164">
        <v>2784.6998839677149</v>
      </c>
      <c r="M1019" s="125">
        <v>-45</v>
      </c>
      <c r="N1019" s="115">
        <v>14257.5</v>
      </c>
      <c r="O1019" s="139"/>
      <c r="P1019" s="125">
        <v>-92574</v>
      </c>
      <c r="Q1019" s="125">
        <v>0</v>
      </c>
      <c r="R1019" s="114"/>
      <c r="S1019" s="125">
        <v>-801556.80000156001</v>
      </c>
      <c r="T1019" s="125">
        <v>0</v>
      </c>
      <c r="U1019" s="125">
        <v>5451079.2484134007</v>
      </c>
      <c r="V1019" s="125">
        <v>0</v>
      </c>
      <c r="W1019" s="142">
        <v>609144.75</v>
      </c>
      <c r="X1019" s="142">
        <v>3.6606635208521832</v>
      </c>
      <c r="Y1019" s="142">
        <v>68974676.869259596</v>
      </c>
      <c r="Z1019" s="142">
        <v>412.97210831156735</v>
      </c>
    </row>
    <row r="1020" spans="1:26" s="141" customFormat="1">
      <c r="A1020" s="121">
        <v>44466</v>
      </c>
      <c r="B1020" s="125">
        <v>149319975.36143699</v>
      </c>
      <c r="C1020" s="125">
        <v>57738860.873173609</v>
      </c>
      <c r="D1020" s="125">
        <v>61949012.040125147</v>
      </c>
      <c r="E1020" s="125">
        <v>70518450.424247548</v>
      </c>
      <c r="F1020" s="123">
        <v>190206323.33754629</v>
      </c>
      <c r="G1020" s="125">
        <v>0</v>
      </c>
      <c r="H1020" s="125">
        <v>1477.5031342843674</v>
      </c>
      <c r="I1020" s="125">
        <v>982.22407621801381</v>
      </c>
      <c r="J1020" s="125">
        <v>711.69529819881154</v>
      </c>
      <c r="K1020" s="125">
        <v>1112.7740961906561</v>
      </c>
      <c r="L1020" s="164">
        <v>2806.6934706074817</v>
      </c>
      <c r="M1020" s="125">
        <v>-45</v>
      </c>
      <c r="N1020" s="115">
        <v>14252.5</v>
      </c>
      <c r="O1020" s="139"/>
      <c r="P1020" s="125">
        <v>-92574</v>
      </c>
      <c r="Q1020" s="125">
        <v>0</v>
      </c>
      <c r="R1020" s="114"/>
      <c r="S1020" s="125">
        <v>-801556.80000156001</v>
      </c>
      <c r="T1020" s="125">
        <v>0</v>
      </c>
      <c r="U1020" s="125">
        <v>4593142.8437529998</v>
      </c>
      <c r="V1020" s="125">
        <v>0</v>
      </c>
      <c r="W1020" s="142">
        <v>609144.75</v>
      </c>
      <c r="X1020" s="142">
        <v>3.6618615129170324</v>
      </c>
      <c r="Y1020" s="142">
        <v>68687820.192050382</v>
      </c>
      <c r="Z1020" s="142">
        <v>412.12526351997826</v>
      </c>
    </row>
    <row r="1021" spans="1:26" s="141" customFormat="1">
      <c r="A1021" s="121">
        <v>44467</v>
      </c>
      <c r="B1021" s="125">
        <v>149622900.5514763</v>
      </c>
      <c r="C1021" s="125">
        <v>55365285.128427692</v>
      </c>
      <c r="D1021" s="125">
        <v>62270495.509703629</v>
      </c>
      <c r="E1021" s="125">
        <v>71481066.309140176</v>
      </c>
      <c r="F1021" s="123">
        <v>189116846.9472715</v>
      </c>
      <c r="G1021" s="125">
        <v>0</v>
      </c>
      <c r="H1021" s="125">
        <v>1455.7274733288687</v>
      </c>
      <c r="I1021" s="125">
        <v>981.99602904161827</v>
      </c>
      <c r="J1021" s="125">
        <v>711.8110364140889</v>
      </c>
      <c r="K1021" s="125">
        <v>1109.4437623541228</v>
      </c>
      <c r="L1021" s="164">
        <v>2803.2508278098303</v>
      </c>
      <c r="M1021" s="125">
        <v>-45</v>
      </c>
      <c r="N1021" s="115">
        <v>14272.5</v>
      </c>
      <c r="O1021" s="139"/>
      <c r="P1021" s="125">
        <v>-92574</v>
      </c>
      <c r="Q1021" s="125">
        <v>0</v>
      </c>
      <c r="R1021" s="114"/>
      <c r="S1021" s="125">
        <v>-1291876.80000156</v>
      </c>
      <c r="T1021" s="125">
        <v>0</v>
      </c>
      <c r="U1021" s="125">
        <v>4184538.5695567001</v>
      </c>
      <c r="V1021" s="125">
        <v>0</v>
      </c>
      <c r="W1021" s="142">
        <v>609144.75</v>
      </c>
      <c r="X1021" s="142">
        <v>3.6635836017270975</v>
      </c>
      <c r="Y1021" s="142">
        <v>68390605.298770532</v>
      </c>
      <c r="Z1021" s="142">
        <v>410.88487751846833</v>
      </c>
    </row>
    <row r="1022" spans="1:26" s="141" customFormat="1">
      <c r="A1022" s="121">
        <v>44468</v>
      </c>
      <c r="B1022" s="125">
        <v>150060200.68538022</v>
      </c>
      <c r="C1022" s="125">
        <v>53568834.774274454</v>
      </c>
      <c r="D1022" s="125">
        <v>62424027.718842484</v>
      </c>
      <c r="E1022" s="125">
        <v>71500639.515212968</v>
      </c>
      <c r="F1022" s="123">
        <v>187493502.00832993</v>
      </c>
      <c r="G1022" s="125">
        <v>0</v>
      </c>
      <c r="H1022" s="125">
        <v>1462.6730123409152</v>
      </c>
      <c r="I1022" s="125">
        <v>975.02020295425825</v>
      </c>
      <c r="J1022" s="125">
        <v>711.014675755702</v>
      </c>
      <c r="K1022" s="125">
        <v>1111.6671083882661</v>
      </c>
      <c r="L1022" s="164">
        <v>2797.7019870982263</v>
      </c>
      <c r="M1022" s="125">
        <v>-45</v>
      </c>
      <c r="N1022" s="115">
        <v>14292.5</v>
      </c>
      <c r="O1022" s="139"/>
      <c r="P1022" s="125">
        <v>-92574</v>
      </c>
      <c r="Q1022" s="125">
        <v>0</v>
      </c>
      <c r="R1022" s="114"/>
      <c r="S1022" s="125">
        <v>-1291876.80000156</v>
      </c>
      <c r="T1022" s="125">
        <v>0</v>
      </c>
      <c r="U1022" s="125">
        <v>3710733.0182655002</v>
      </c>
      <c r="V1022" s="125">
        <v>0</v>
      </c>
      <c r="W1022" s="142">
        <v>609144.75</v>
      </c>
      <c r="X1022" s="142">
        <v>3.6578564070981288</v>
      </c>
      <c r="Y1022" s="142">
        <v>67827101.987982124</v>
      </c>
      <c r="Z1022" s="142">
        <v>409.24376291415638</v>
      </c>
    </row>
    <row r="1023" spans="1:26" s="141" customFormat="1">
      <c r="A1023" s="121">
        <v>44469</v>
      </c>
      <c r="B1023" s="136">
        <v>152623392.48905</v>
      </c>
      <c r="C1023" s="136">
        <v>53461139.423430003</v>
      </c>
      <c r="D1023" s="136">
        <v>63257510.219209</v>
      </c>
      <c r="E1023" s="136">
        <v>71450799.614207998</v>
      </c>
      <c r="F1023" s="137">
        <v>188169449.25684702</v>
      </c>
      <c r="G1023" s="125">
        <v>0</v>
      </c>
      <c r="H1023" s="136">
        <v>1478.222209252332</v>
      </c>
      <c r="I1023" s="136">
        <v>1007.7076848823057</v>
      </c>
      <c r="J1023" s="136">
        <v>713.6944542216944</v>
      </c>
      <c r="K1023" s="136">
        <v>1101.7275182951266</v>
      </c>
      <c r="L1023" s="165">
        <v>2823.1296573991267</v>
      </c>
      <c r="M1023" s="125">
        <v>-45</v>
      </c>
      <c r="N1023" s="115">
        <v>14312.5</v>
      </c>
      <c r="O1023" s="139">
        <v>3417.5</v>
      </c>
      <c r="P1023" s="125">
        <v>-92574</v>
      </c>
      <c r="Q1023" s="125">
        <v>0</v>
      </c>
      <c r="R1023" s="114"/>
      <c r="S1023" s="125">
        <v>-1291876.80000156</v>
      </c>
      <c r="T1023" s="125">
        <v>0</v>
      </c>
      <c r="U1023" s="125">
        <v>3124797.2550240001</v>
      </c>
      <c r="V1023" s="125">
        <v>0</v>
      </c>
      <c r="W1023" s="142">
        <v>609144.75</v>
      </c>
      <c r="X1023" s="142">
        <v>3.6600124675109167</v>
      </c>
      <c r="Y1023" s="142">
        <v>67395107.568337321</v>
      </c>
      <c r="Z1023" s="142">
        <v>407.46994744226095</v>
      </c>
    </row>
    <row r="1024" spans="1:26" s="141" customFormat="1">
      <c r="A1024" s="121">
        <v>44470</v>
      </c>
      <c r="B1024" s="125">
        <v>150604784.34375042</v>
      </c>
      <c r="C1024" s="125">
        <v>51941709.91396413</v>
      </c>
      <c r="D1024" s="125">
        <v>63060504.626579128</v>
      </c>
      <c r="E1024" s="125">
        <v>72574792.379211694</v>
      </c>
      <c r="F1024" s="123">
        <v>187577006.91975495</v>
      </c>
      <c r="G1024" s="125">
        <v>0</v>
      </c>
      <c r="H1024" s="125">
        <v>1489.2885091987741</v>
      </c>
      <c r="I1024" s="125">
        <v>1000.6649076373515</v>
      </c>
      <c r="J1024" s="125">
        <v>707.96671907871485</v>
      </c>
      <c r="K1024" s="125">
        <v>1128.8365363193072</v>
      </c>
      <c r="L1024" s="164">
        <v>2837.4681630353734</v>
      </c>
      <c r="M1024" s="125">
        <v>-45</v>
      </c>
      <c r="N1024" s="115">
        <v>14307.5</v>
      </c>
      <c r="O1024" s="139"/>
      <c r="P1024" s="125">
        <v>-92574</v>
      </c>
      <c r="Q1024" s="125">
        <v>0</v>
      </c>
      <c r="R1024" s="114"/>
      <c r="S1024" s="125">
        <v>-490320.00000155997</v>
      </c>
      <c r="T1024" s="125">
        <v>0</v>
      </c>
      <c r="U1024" s="125">
        <v>2143635.0758819999</v>
      </c>
      <c r="V1024" s="125">
        <v>0</v>
      </c>
      <c r="W1024" s="142">
        <v>609144.75</v>
      </c>
      <c r="X1024" s="142">
        <v>3.6681740000384413</v>
      </c>
      <c r="Y1024" s="142">
        <v>67097570.18741741</v>
      </c>
      <c r="Z1024" s="142">
        <v>406.76926083458125</v>
      </c>
    </row>
    <row r="1025" spans="1:26" s="141" customFormat="1">
      <c r="A1025" s="121">
        <v>44473</v>
      </c>
      <c r="B1025" s="125">
        <v>149945023.40762892</v>
      </c>
      <c r="C1025" s="125">
        <v>53989957.278595433</v>
      </c>
      <c r="D1025" s="125">
        <v>62739901.325227551</v>
      </c>
      <c r="E1025" s="125">
        <v>72816726.81831789</v>
      </c>
      <c r="F1025" s="123">
        <v>189546585.42214087</v>
      </c>
      <c r="G1025" s="125">
        <v>0</v>
      </c>
      <c r="H1025" s="125">
        <v>1489.8050966183946</v>
      </c>
      <c r="I1025" s="125">
        <v>989.63434847496387</v>
      </c>
      <c r="J1025" s="125">
        <v>708.88739387288319</v>
      </c>
      <c r="K1025" s="125">
        <v>1130.3903945590516</v>
      </c>
      <c r="L1025" s="164">
        <v>2828.9121369068989</v>
      </c>
      <c r="M1025" s="125">
        <v>-45</v>
      </c>
      <c r="N1025" s="115">
        <v>14266.5</v>
      </c>
      <c r="O1025" s="139"/>
      <c r="P1025" s="125">
        <v>0</v>
      </c>
      <c r="Q1025" s="125">
        <v>0</v>
      </c>
      <c r="R1025" s="114"/>
      <c r="S1025" s="125">
        <v>-490320.00000155997</v>
      </c>
      <c r="T1025" s="125">
        <v>0</v>
      </c>
      <c r="U1025" s="125">
        <v>2661120.4172499999</v>
      </c>
      <c r="V1025" s="125">
        <v>0</v>
      </c>
      <c r="W1025" s="142">
        <v>609144.75</v>
      </c>
      <c r="X1025" s="142">
        <v>3.6681738501251178</v>
      </c>
      <c r="Y1025" s="142">
        <v>66286858.2185845</v>
      </c>
      <c r="Z1025" s="142">
        <v>406.12938142530197</v>
      </c>
    </row>
    <row r="1026" spans="1:26" s="141" customFormat="1">
      <c r="A1026" s="121">
        <v>44474</v>
      </c>
      <c r="B1026" s="125">
        <v>149837176.37972879</v>
      </c>
      <c r="C1026" s="125">
        <v>53096747.43062669</v>
      </c>
      <c r="D1026" s="125">
        <v>62694492.138577208</v>
      </c>
      <c r="E1026" s="125">
        <v>72417701.075358987</v>
      </c>
      <c r="F1026" s="123">
        <v>188208940.6445629</v>
      </c>
      <c r="G1026" s="125">
        <v>0</v>
      </c>
      <c r="H1026" s="125">
        <v>1490.0099164870671</v>
      </c>
      <c r="I1026" s="125">
        <v>1007.1206454234109</v>
      </c>
      <c r="J1026" s="125">
        <v>703.44313022954498</v>
      </c>
      <c r="K1026" s="125">
        <v>1105.2937544069923</v>
      </c>
      <c r="L1026" s="164">
        <v>2815.8575300599482</v>
      </c>
      <c r="M1026" s="125">
        <v>-45</v>
      </c>
      <c r="N1026" s="115">
        <v>14253</v>
      </c>
      <c r="O1026" s="139"/>
      <c r="P1026" s="125">
        <v>0</v>
      </c>
      <c r="Q1026" s="125">
        <v>0</v>
      </c>
      <c r="R1026" s="114"/>
      <c r="S1026" s="125">
        <v>-490320.00000155997</v>
      </c>
      <c r="T1026" s="125">
        <v>0</v>
      </c>
      <c r="U1026" s="125">
        <v>3272063.0573161002</v>
      </c>
      <c r="V1026" s="125">
        <v>0</v>
      </c>
      <c r="W1026" s="142">
        <v>609144.75</v>
      </c>
      <c r="X1026" s="142">
        <v>3.6681726027096051</v>
      </c>
      <c r="Y1026" s="142">
        <v>65933306.934850484</v>
      </c>
      <c r="Z1026" s="142">
        <v>406.98623438643108</v>
      </c>
    </row>
    <row r="1027" spans="1:26" s="141" customFormat="1">
      <c r="A1027" s="121">
        <v>44475</v>
      </c>
      <c r="B1027" s="125">
        <v>149531885.41243124</v>
      </c>
      <c r="C1027" s="125">
        <v>53008713.735279523</v>
      </c>
      <c r="D1027" s="125">
        <v>62469138.620147556</v>
      </c>
      <c r="E1027" s="125">
        <v>72672760.442023009</v>
      </c>
      <c r="F1027" s="123">
        <v>188150612.7974501</v>
      </c>
      <c r="G1027" s="125">
        <v>0</v>
      </c>
      <c r="H1027" s="125">
        <v>1499.9249304645925</v>
      </c>
      <c r="I1027" s="125">
        <v>998.2630342101935</v>
      </c>
      <c r="J1027" s="125">
        <v>702.47605961573527</v>
      </c>
      <c r="K1027" s="125">
        <v>1098.9288980893868</v>
      </c>
      <c r="L1027" s="164">
        <v>2799.6679919153157</v>
      </c>
      <c r="M1027" s="125">
        <v>-45</v>
      </c>
      <c r="N1027" s="115">
        <v>14252.5</v>
      </c>
      <c r="O1027" s="139"/>
      <c r="P1027" s="125">
        <v>0</v>
      </c>
      <c r="Q1027" s="125">
        <v>0</v>
      </c>
      <c r="R1027" s="114"/>
      <c r="S1027" s="125">
        <v>-490320.00000155997</v>
      </c>
      <c r="T1027" s="125">
        <v>0</v>
      </c>
      <c r="U1027" s="125">
        <v>4014921.6373161003</v>
      </c>
      <c r="V1027" s="125">
        <v>0</v>
      </c>
      <c r="W1027" s="142">
        <v>609144.75</v>
      </c>
      <c r="X1027" s="142">
        <v>3.6681691782389052</v>
      </c>
      <c r="Y1027" s="142">
        <v>66207093.807563461</v>
      </c>
      <c r="Z1027" s="142">
        <v>405.73378413485295</v>
      </c>
    </row>
    <row r="1028" spans="1:26" s="141" customFormat="1">
      <c r="A1028" s="121">
        <v>44476</v>
      </c>
      <c r="B1028" s="125">
        <v>149704211.63773608</v>
      </c>
      <c r="C1028" s="125">
        <v>53224165.964786902</v>
      </c>
      <c r="D1028" s="125">
        <v>62685515.811928265</v>
      </c>
      <c r="E1028" s="125">
        <v>70957234.987982646</v>
      </c>
      <c r="F1028" s="123">
        <v>186866916.76469779</v>
      </c>
      <c r="G1028" s="125">
        <v>0</v>
      </c>
      <c r="H1028" s="125">
        <v>1486.9192143821342</v>
      </c>
      <c r="I1028" s="125">
        <v>1044.1395931611962</v>
      </c>
      <c r="J1028" s="125">
        <v>702.70369827556624</v>
      </c>
      <c r="K1028" s="125">
        <v>1129.4092840408791</v>
      </c>
      <c r="L1028" s="164">
        <v>2876.2525754776416</v>
      </c>
      <c r="M1028" s="125">
        <v>-45</v>
      </c>
      <c r="N1028" s="115">
        <v>14216.5</v>
      </c>
      <c r="O1028" s="139"/>
      <c r="P1028" s="125">
        <v>0</v>
      </c>
      <c r="Q1028" s="125">
        <v>0</v>
      </c>
      <c r="R1028" s="114"/>
      <c r="S1028" s="125">
        <v>-490320.00000155997</v>
      </c>
      <c r="T1028" s="125">
        <v>0</v>
      </c>
      <c r="U1028" s="125">
        <v>4014921.6373161003</v>
      </c>
      <c r="V1028" s="125">
        <v>0</v>
      </c>
      <c r="W1028" s="142">
        <v>609144.75</v>
      </c>
      <c r="X1028" s="142">
        <v>3.6681752102001193</v>
      </c>
      <c r="Y1028" s="142">
        <v>66048579.080938607</v>
      </c>
      <c r="Z1028" s="142">
        <v>405.12370916270748</v>
      </c>
    </row>
    <row r="1029" spans="1:26" s="141" customFormat="1">
      <c r="A1029" s="121">
        <v>44477</v>
      </c>
      <c r="B1029" s="125">
        <v>149679575.40009552</v>
      </c>
      <c r="C1029" s="125">
        <v>49545377.342194185</v>
      </c>
      <c r="D1029" s="125">
        <v>63921637.356627978</v>
      </c>
      <c r="E1029" s="125">
        <v>71238908.696550906</v>
      </c>
      <c r="F1029" s="123">
        <v>184705923.39537308</v>
      </c>
      <c r="G1029" s="125">
        <v>0</v>
      </c>
      <c r="H1029" s="125">
        <v>1467.968530868186</v>
      </c>
      <c r="I1029" s="125">
        <v>1031.1037389610785</v>
      </c>
      <c r="J1029" s="125">
        <v>702.0688593897496</v>
      </c>
      <c r="K1029" s="125">
        <v>1144.7561608082767</v>
      </c>
      <c r="L1029" s="164">
        <v>2877.9287591591046</v>
      </c>
      <c r="M1029" s="125">
        <v>-45</v>
      </c>
      <c r="N1029" s="115">
        <v>14222.5</v>
      </c>
      <c r="O1029" s="139"/>
      <c r="P1029" s="125">
        <v>0</v>
      </c>
      <c r="Q1029" s="125">
        <v>0</v>
      </c>
      <c r="R1029" s="114"/>
      <c r="S1029" s="125">
        <v>-490320.00000155997</v>
      </c>
      <c r="T1029" s="125">
        <v>0</v>
      </c>
      <c r="U1029" s="125">
        <v>3282480.9701541001</v>
      </c>
      <c r="V1029" s="125">
        <v>0</v>
      </c>
      <c r="W1029" s="142">
        <v>609144.75</v>
      </c>
      <c r="X1029" s="142">
        <v>3.6674499981473021</v>
      </c>
      <c r="Y1029" s="142">
        <v>65223851.689906515</v>
      </c>
      <c r="Z1029" s="142">
        <v>404.27712720084372</v>
      </c>
    </row>
    <row r="1030" spans="1:26" s="141" customFormat="1">
      <c r="A1030" s="121">
        <v>44480</v>
      </c>
      <c r="B1030" s="125">
        <v>149621491.99948749</v>
      </c>
      <c r="C1030" s="125">
        <v>51139694.144389175</v>
      </c>
      <c r="D1030" s="125">
        <v>63762682.444402397</v>
      </c>
      <c r="E1030" s="125">
        <v>69499627.026371509</v>
      </c>
      <c r="F1030" s="123">
        <v>184402003.61516309</v>
      </c>
      <c r="G1030" s="125">
        <v>0</v>
      </c>
      <c r="H1030" s="125">
        <v>1469.900025458518</v>
      </c>
      <c r="I1030" s="125">
        <v>1027.8691694209356</v>
      </c>
      <c r="J1030" s="125">
        <v>702.72868087936286</v>
      </c>
      <c r="K1030" s="125">
        <v>1106.7261413726026</v>
      </c>
      <c r="L1030" s="164">
        <v>2837.3239916729008</v>
      </c>
      <c r="M1030" s="125">
        <v>-45</v>
      </c>
      <c r="N1030" s="115">
        <v>14207.5</v>
      </c>
      <c r="O1030" s="139"/>
      <c r="P1030" s="125">
        <v>0</v>
      </c>
      <c r="Q1030" s="125">
        <v>0</v>
      </c>
      <c r="R1030" s="114"/>
      <c r="S1030" s="125">
        <v>-490320.00000155997</v>
      </c>
      <c r="T1030" s="125">
        <v>0</v>
      </c>
      <c r="U1030" s="125">
        <v>2594998.8544361</v>
      </c>
      <c r="V1030" s="125">
        <v>0</v>
      </c>
      <c r="W1030" s="142">
        <v>609144.75</v>
      </c>
      <c r="X1030" s="142">
        <v>3.6730896210839346</v>
      </c>
      <c r="Y1030" s="142">
        <v>65020888.556725152</v>
      </c>
      <c r="Z1030" s="142">
        <v>404.2587845371113</v>
      </c>
    </row>
    <row r="1031" spans="1:26" s="141" customFormat="1">
      <c r="A1031" s="121">
        <v>44481</v>
      </c>
      <c r="B1031" s="125">
        <v>149719273.07382682</v>
      </c>
      <c r="C1031" s="125">
        <v>52343457.001624376</v>
      </c>
      <c r="D1031" s="125">
        <v>63842803.074891321</v>
      </c>
      <c r="E1031" s="125">
        <v>69506545.645685241</v>
      </c>
      <c r="F1031" s="123">
        <v>185692805.72220093</v>
      </c>
      <c r="G1031" s="125">
        <v>0</v>
      </c>
      <c r="H1031" s="125">
        <v>1469.0701934628646</v>
      </c>
      <c r="I1031" s="125">
        <v>1085.4626184772433</v>
      </c>
      <c r="J1031" s="125">
        <v>711.93940610736115</v>
      </c>
      <c r="K1031" s="125">
        <v>1097.2980220951399</v>
      </c>
      <c r="L1031" s="164">
        <v>2894.7000466797444</v>
      </c>
      <c r="M1031" s="125">
        <v>-45</v>
      </c>
      <c r="N1031" s="115">
        <v>14217.5</v>
      </c>
      <c r="O1031" s="139"/>
      <c r="P1031" s="125">
        <v>0</v>
      </c>
      <c r="Q1031" s="125">
        <v>0</v>
      </c>
      <c r="R1031" s="114"/>
      <c r="S1031" s="125">
        <v>-1.5600000000000003E-6</v>
      </c>
      <c r="T1031" s="125">
        <v>0</v>
      </c>
      <c r="U1031" s="125">
        <v>2462266.4697500002</v>
      </c>
      <c r="V1031" s="125">
        <v>0</v>
      </c>
      <c r="W1031" s="142">
        <v>609144.75</v>
      </c>
      <c r="X1031" s="142">
        <v>3.6633429690838755</v>
      </c>
      <c r="Y1031" s="142">
        <v>64373860.578092888</v>
      </c>
      <c r="Z1031" s="142">
        <v>402.00825974912743</v>
      </c>
    </row>
    <row r="1032" spans="1:26" s="141" customFormat="1">
      <c r="A1032" s="121">
        <v>44482</v>
      </c>
      <c r="B1032" s="125">
        <v>149804988.5156481</v>
      </c>
      <c r="C1032" s="125">
        <v>53079270.242183007</v>
      </c>
      <c r="D1032" s="125">
        <v>63754900.460200638</v>
      </c>
      <c r="E1032" s="125">
        <v>70454119.319390088</v>
      </c>
      <c r="F1032" s="123">
        <v>187288290.02177373</v>
      </c>
      <c r="G1032" s="125">
        <v>0</v>
      </c>
      <c r="H1032" s="125">
        <v>1485.7355711008579</v>
      </c>
      <c r="I1032" s="125">
        <v>1091.9903732046428</v>
      </c>
      <c r="J1032" s="125">
        <v>704.72546907841661</v>
      </c>
      <c r="K1032" s="125">
        <v>1137.1563723563058</v>
      </c>
      <c r="L1032" s="164">
        <v>2933.8722146393652</v>
      </c>
      <c r="M1032" s="125">
        <v>-45</v>
      </c>
      <c r="N1032" s="115">
        <v>14217.5</v>
      </c>
      <c r="O1032" s="139"/>
      <c r="P1032" s="125">
        <v>0</v>
      </c>
      <c r="Q1032" s="125">
        <v>0</v>
      </c>
      <c r="R1032" s="114"/>
      <c r="S1032" s="125">
        <v>-1.5599999999999999E-6</v>
      </c>
      <c r="T1032" s="125">
        <v>0</v>
      </c>
      <c r="U1032" s="125">
        <v>2188924.7274155999</v>
      </c>
      <c r="V1032" s="125">
        <v>0</v>
      </c>
      <c r="W1032" s="142">
        <v>609144.75</v>
      </c>
      <c r="X1032" s="142">
        <v>3.6680062361842802</v>
      </c>
      <c r="Y1032" s="142">
        <v>63809954.284538604</v>
      </c>
      <c r="Z1032" s="142">
        <v>403.31783215107498</v>
      </c>
    </row>
    <row r="1033" spans="1:26" s="141" customFormat="1">
      <c r="A1033" s="121">
        <v>44483</v>
      </c>
      <c r="B1033" s="125">
        <v>149684371.33552557</v>
      </c>
      <c r="C1033" s="125">
        <v>53390722.452918276</v>
      </c>
      <c r="D1033" s="125">
        <v>63713125.840521589</v>
      </c>
      <c r="E1033" s="125">
        <v>70231499.710710451</v>
      </c>
      <c r="F1033" s="123">
        <v>187335348.00415033</v>
      </c>
      <c r="G1033" s="125">
        <v>0</v>
      </c>
      <c r="H1033" s="125">
        <v>1465.222055401877</v>
      </c>
      <c r="I1033" s="125">
        <v>1090.1586517680437</v>
      </c>
      <c r="J1033" s="125">
        <v>703.73534193156843</v>
      </c>
      <c r="K1033" s="125">
        <v>1127.3167505696208</v>
      </c>
      <c r="L1033" s="164">
        <v>2921.2107442692331</v>
      </c>
      <c r="M1033" s="125">
        <v>-45</v>
      </c>
      <c r="N1033" s="115">
        <v>14117.5</v>
      </c>
      <c r="O1033" s="139"/>
      <c r="P1033" s="125">
        <v>0</v>
      </c>
      <c r="Q1033" s="125">
        <v>0</v>
      </c>
      <c r="R1033" s="114"/>
      <c r="S1033" s="125">
        <v>-1.5600000000000003E-6</v>
      </c>
      <c r="T1033" s="125">
        <v>0</v>
      </c>
      <c r="U1033" s="125">
        <v>2712794.6190127004</v>
      </c>
      <c r="V1033" s="125">
        <v>0</v>
      </c>
      <c r="W1033" s="142">
        <v>609144.75</v>
      </c>
      <c r="X1033" s="142">
        <v>3.6729945067434033</v>
      </c>
      <c r="Y1033" s="142">
        <v>63558305.34566994</v>
      </c>
      <c r="Z1033" s="142">
        <v>395.91890961598091</v>
      </c>
    </row>
    <row r="1034" spans="1:26" s="141" customFormat="1">
      <c r="A1034" s="121">
        <v>44484</v>
      </c>
      <c r="B1034" s="125">
        <v>150093239.71009937</v>
      </c>
      <c r="C1034" s="125">
        <v>50808278.359782912</v>
      </c>
      <c r="D1034" s="125">
        <v>64085295.49388285</v>
      </c>
      <c r="E1034" s="125">
        <v>71498350.457524881</v>
      </c>
      <c r="F1034" s="123">
        <v>186391924.31119066</v>
      </c>
      <c r="G1034" s="125">
        <v>-300000</v>
      </c>
      <c r="H1034" s="125">
        <v>1466.6217475690767</v>
      </c>
      <c r="I1034" s="125">
        <v>1100.3716257393689</v>
      </c>
      <c r="J1034" s="125">
        <v>699.66026246138551</v>
      </c>
      <c r="K1034" s="125">
        <v>1131.8125116327431</v>
      </c>
      <c r="L1034" s="164">
        <v>2931.8443998334978</v>
      </c>
      <c r="M1034" s="125">
        <v>-45</v>
      </c>
      <c r="N1034" s="115">
        <v>14074</v>
      </c>
      <c r="O1034" s="139"/>
      <c r="P1034" s="125">
        <v>0</v>
      </c>
      <c r="Q1034" s="125">
        <v>0</v>
      </c>
      <c r="R1034" s="114"/>
      <c r="S1034" s="125">
        <v>-1.5600000000000003E-6</v>
      </c>
      <c r="T1034" s="125">
        <v>0</v>
      </c>
      <c r="U1034" s="125">
        <v>3700814.0207544998</v>
      </c>
      <c r="V1034" s="125">
        <v>0</v>
      </c>
      <c r="W1034" s="142">
        <v>609144.75</v>
      </c>
      <c r="X1034" s="142">
        <v>3.6768856194656809</v>
      </c>
      <c r="Y1034" s="142">
        <v>63678216.233225822</v>
      </c>
      <c r="Z1034" s="142">
        <v>388.5329565849417</v>
      </c>
    </row>
    <row r="1035" spans="1:26" s="141" customFormat="1">
      <c r="A1035" s="121">
        <v>44487</v>
      </c>
      <c r="B1035" s="125">
        <v>150180084.66791216</v>
      </c>
      <c r="C1035" s="125">
        <v>51930510.269602634</v>
      </c>
      <c r="D1035" s="125">
        <v>63976330.701585941</v>
      </c>
      <c r="E1035" s="125">
        <v>73109600.370998174</v>
      </c>
      <c r="F1035" s="123">
        <v>189016441.34218675</v>
      </c>
      <c r="G1035" s="125">
        <v>0</v>
      </c>
      <c r="H1035" s="125">
        <v>1396.3495015195067</v>
      </c>
      <c r="I1035" s="125">
        <v>1111.4707618104012</v>
      </c>
      <c r="J1035" s="125">
        <v>705.74639586705894</v>
      </c>
      <c r="K1035" s="125">
        <v>1088.9314262971386</v>
      </c>
      <c r="L1035" s="164">
        <v>2906.1485839745988</v>
      </c>
      <c r="M1035" s="125">
        <v>-45</v>
      </c>
      <c r="N1035" s="115">
        <v>14110</v>
      </c>
      <c r="O1035" s="139"/>
      <c r="P1035" s="125">
        <v>0</v>
      </c>
      <c r="Q1035" s="125">
        <v>0</v>
      </c>
      <c r="R1035" s="114"/>
      <c r="S1035" s="125">
        <v>-1.5600000000000003E-6</v>
      </c>
      <c r="T1035" s="125">
        <v>0</v>
      </c>
      <c r="U1035" s="125">
        <v>3927140.9512445</v>
      </c>
      <c r="V1035" s="125">
        <v>0</v>
      </c>
      <c r="W1035" s="142">
        <v>609144.75</v>
      </c>
      <c r="X1035" s="142">
        <v>3.6743200953508151</v>
      </c>
      <c r="Y1035" s="142">
        <v>63720364.352092408</v>
      </c>
      <c r="Z1035" s="142">
        <v>386.45815210524449</v>
      </c>
    </row>
    <row r="1036" spans="1:26" s="141" customFormat="1">
      <c r="A1036" s="121">
        <v>44488</v>
      </c>
      <c r="B1036" s="125">
        <v>150059681.54574525</v>
      </c>
      <c r="C1036" s="125">
        <v>51642000.01145307</v>
      </c>
      <c r="D1036" s="125">
        <v>63862032.13882263</v>
      </c>
      <c r="E1036" s="125">
        <v>73127905.539686933</v>
      </c>
      <c r="F1036" s="123">
        <v>188631937.68996263</v>
      </c>
      <c r="G1036" s="125">
        <v>0</v>
      </c>
      <c r="H1036" s="125">
        <v>1387.748963293167</v>
      </c>
      <c r="I1036" s="125">
        <v>1154.9351301923953</v>
      </c>
      <c r="J1036" s="125">
        <v>706.57303866347797</v>
      </c>
      <c r="K1036" s="125">
        <v>1181.3213277742263</v>
      </c>
      <c r="L1036" s="164">
        <v>3042.8294966300996</v>
      </c>
      <c r="M1036" s="125">
        <v>-45</v>
      </c>
      <c r="N1036" s="115">
        <v>14075.5</v>
      </c>
      <c r="O1036" s="139"/>
      <c r="P1036" s="125">
        <v>0</v>
      </c>
      <c r="Q1036" s="125">
        <v>0</v>
      </c>
      <c r="R1036" s="114"/>
      <c r="S1036" s="125">
        <v>-1.5600000000000003E-6</v>
      </c>
      <c r="T1036" s="125">
        <v>0</v>
      </c>
      <c r="U1036" s="125">
        <v>4396319.6546045002</v>
      </c>
      <c r="V1036" s="125">
        <v>0</v>
      </c>
      <c r="W1036" s="142">
        <v>609144.75</v>
      </c>
      <c r="X1036" s="142">
        <v>3.6906210712990659</v>
      </c>
      <c r="Y1036" s="142">
        <v>63688473.351699203</v>
      </c>
      <c r="Z1036" s="142">
        <v>380.93830347973</v>
      </c>
    </row>
    <row r="1037" spans="1:26" s="141" customFormat="1">
      <c r="A1037" s="121">
        <v>44490</v>
      </c>
      <c r="B1037" s="125">
        <v>150086250.08305573</v>
      </c>
      <c r="C1037" s="125">
        <v>53381949.475157171</v>
      </c>
      <c r="D1037" s="125">
        <v>63795703.901949577</v>
      </c>
      <c r="E1037" s="125">
        <v>73091476.945111811</v>
      </c>
      <c r="F1037" s="123">
        <v>190269130.32221857</v>
      </c>
      <c r="G1037" s="125">
        <v>0</v>
      </c>
      <c r="H1037" s="125">
        <v>1374.0801184991983</v>
      </c>
      <c r="I1037" s="125">
        <v>1140.9474134433385</v>
      </c>
      <c r="J1037" s="125">
        <v>706.4848940446833</v>
      </c>
      <c r="K1037" s="125">
        <v>1181.9162500721689</v>
      </c>
      <c r="L1037" s="164">
        <v>3029.3485575601908</v>
      </c>
      <c r="M1037" s="125">
        <v>-45</v>
      </c>
      <c r="N1037" s="115">
        <v>14122.5</v>
      </c>
      <c r="O1037" s="139"/>
      <c r="P1037" s="125">
        <v>0</v>
      </c>
      <c r="Q1037" s="125">
        <v>0</v>
      </c>
      <c r="R1037" s="114"/>
      <c r="S1037" s="125">
        <v>-1.5600000000000003E-6</v>
      </c>
      <c r="T1037" s="125">
        <v>0</v>
      </c>
      <c r="U1037" s="125">
        <v>4117879.2820098</v>
      </c>
      <c r="V1037" s="125">
        <v>0</v>
      </c>
      <c r="W1037" s="142">
        <v>609144.75</v>
      </c>
      <c r="X1037" s="142">
        <v>3.6910270054629137</v>
      </c>
      <c r="Y1037" s="142">
        <v>63664943.012095414</v>
      </c>
      <c r="Z1037" s="142">
        <v>381.21889857942011</v>
      </c>
    </row>
    <row r="1038" spans="1:26" s="141" customFormat="1">
      <c r="A1038" s="121">
        <v>44491</v>
      </c>
      <c r="B1038" s="125">
        <v>150051295.37704873</v>
      </c>
      <c r="C1038" s="125">
        <v>53921616.2040665</v>
      </c>
      <c r="D1038" s="125">
        <v>63656330.804231919</v>
      </c>
      <c r="E1038" s="125">
        <v>72005510.613172323</v>
      </c>
      <c r="F1038" s="123">
        <v>189583457.62147075</v>
      </c>
      <c r="G1038" s="125">
        <v>0</v>
      </c>
      <c r="H1038" s="125">
        <v>1373.9649660019568</v>
      </c>
      <c r="I1038" s="125">
        <v>1148.8802643647696</v>
      </c>
      <c r="J1038" s="125">
        <v>701.88198311738915</v>
      </c>
      <c r="K1038" s="125">
        <v>1185.1665484494545</v>
      </c>
      <c r="L1038" s="164">
        <v>3035.9287959316134</v>
      </c>
      <c r="M1038" s="125">
        <v>-45</v>
      </c>
      <c r="N1038" s="115">
        <v>14122.5</v>
      </c>
      <c r="O1038" s="139"/>
      <c r="P1038" s="125">
        <v>0</v>
      </c>
      <c r="Q1038" s="125">
        <v>0</v>
      </c>
      <c r="R1038" s="114"/>
      <c r="S1038" s="125">
        <v>-1.5600000000000003E-6</v>
      </c>
      <c r="T1038" s="125">
        <v>0</v>
      </c>
      <c r="U1038" s="125">
        <v>4076339.9377076002</v>
      </c>
      <c r="V1038" s="125">
        <v>0</v>
      </c>
      <c r="W1038" s="142">
        <v>604185.75</v>
      </c>
      <c r="X1038" s="142">
        <v>3.6949852281571958</v>
      </c>
      <c r="Y1038" s="142">
        <v>63834788.619605929</v>
      </c>
      <c r="Z1038" s="142">
        <v>384.61469819622164</v>
      </c>
    </row>
    <row r="1039" spans="1:26" s="141" customFormat="1">
      <c r="A1039" s="121">
        <v>44494</v>
      </c>
      <c r="B1039" s="125">
        <v>150042069.45807424</v>
      </c>
      <c r="C1039" s="125">
        <v>53107756.094570816</v>
      </c>
      <c r="D1039" s="125">
        <v>64148137.098822042</v>
      </c>
      <c r="E1039" s="125">
        <v>71807403.835917398</v>
      </c>
      <c r="F1039" s="123">
        <v>189063297.02931026</v>
      </c>
      <c r="G1039" s="125">
        <v>0</v>
      </c>
      <c r="H1039" s="125">
        <v>1389.8949721521976</v>
      </c>
      <c r="I1039" s="125">
        <v>1173.7455345743651</v>
      </c>
      <c r="J1039" s="125">
        <v>703.68142853742052</v>
      </c>
      <c r="K1039" s="125">
        <v>1163.9593596766354</v>
      </c>
      <c r="L1039" s="164">
        <v>3041.3863227884212</v>
      </c>
      <c r="M1039" s="125">
        <v>-45</v>
      </c>
      <c r="N1039" s="115">
        <v>14157.5</v>
      </c>
      <c r="O1039" s="139"/>
      <c r="P1039" s="125">
        <v>0</v>
      </c>
      <c r="Q1039" s="125">
        <v>0</v>
      </c>
      <c r="R1039" s="114"/>
      <c r="S1039" s="125">
        <v>-1.5600000000000003E-6</v>
      </c>
      <c r="T1039" s="125">
        <v>0</v>
      </c>
      <c r="U1039" s="125">
        <v>4288501.6593150999</v>
      </c>
      <c r="V1039" s="125">
        <v>0</v>
      </c>
      <c r="W1039" s="142">
        <v>604185.75</v>
      </c>
      <c r="X1039" s="142">
        <v>3.7001399565283419</v>
      </c>
      <c r="Y1039" s="142">
        <v>63762805.916254014</v>
      </c>
      <c r="Z1039" s="142">
        <v>385.12780481608837</v>
      </c>
    </row>
    <row r="1040" spans="1:26" s="141" customFormat="1">
      <c r="A1040" s="121">
        <v>44495</v>
      </c>
      <c r="B1040" s="125">
        <v>150126778.32181337</v>
      </c>
      <c r="C1040" s="125">
        <v>51010791.66100648</v>
      </c>
      <c r="D1040" s="125">
        <v>64413653.427000478</v>
      </c>
      <c r="E1040" s="125">
        <v>71901819.849461168</v>
      </c>
      <c r="F1040" s="123">
        <v>187326264.93746811</v>
      </c>
      <c r="G1040" s="125">
        <v>0</v>
      </c>
      <c r="H1040" s="125">
        <v>1381.5673466549895</v>
      </c>
      <c r="I1040" s="125">
        <v>1190.0601540239234</v>
      </c>
      <c r="J1040" s="125">
        <v>703.34595709122334</v>
      </c>
      <c r="K1040" s="125">
        <v>1163.5573098790424</v>
      </c>
      <c r="L1040" s="164">
        <v>3056.9634209941892</v>
      </c>
      <c r="M1040" s="125">
        <v>-45</v>
      </c>
      <c r="N1040" s="115">
        <v>14152.5</v>
      </c>
      <c r="O1040" s="139"/>
      <c r="P1040" s="125">
        <v>0</v>
      </c>
      <c r="Q1040" s="125">
        <v>0</v>
      </c>
      <c r="R1040" s="114"/>
      <c r="S1040" s="125">
        <v>-1.5600000000000003E-6</v>
      </c>
      <c r="T1040" s="125">
        <v>0</v>
      </c>
      <c r="U1040" s="125">
        <v>3501571.8656791002</v>
      </c>
      <c r="V1040" s="125">
        <v>0</v>
      </c>
      <c r="W1040" s="142">
        <v>604185.75</v>
      </c>
      <c r="X1040" s="142">
        <v>3.6988872989825117</v>
      </c>
      <c r="Y1040" s="142">
        <v>65328443.793804802</v>
      </c>
      <c r="Z1040" s="142">
        <v>387.71916198532813</v>
      </c>
    </row>
    <row r="1041" spans="1:26" s="141" customFormat="1">
      <c r="A1041" s="121">
        <v>44496</v>
      </c>
      <c r="B1041" s="125">
        <v>150321208.66285837</v>
      </c>
      <c r="C1041" s="125">
        <v>50983849.42857229</v>
      </c>
      <c r="D1041" s="125">
        <v>64483637.878369287</v>
      </c>
      <c r="E1041" s="125">
        <v>72031704.807302132</v>
      </c>
      <c r="F1041" s="123">
        <v>187499192.11424369</v>
      </c>
      <c r="G1041" s="125">
        <v>0</v>
      </c>
      <c r="H1041" s="125">
        <v>1398.2855761521914</v>
      </c>
      <c r="I1041" s="125">
        <v>1168.0784029861954</v>
      </c>
      <c r="J1041" s="125">
        <v>707.480376227183</v>
      </c>
      <c r="K1041" s="125">
        <v>1164.9908400048041</v>
      </c>
      <c r="L1041" s="164">
        <v>3040.5496192181827</v>
      </c>
      <c r="M1041" s="125">
        <v>-45</v>
      </c>
      <c r="N1041" s="115">
        <v>14172.5</v>
      </c>
      <c r="O1041" s="139"/>
      <c r="P1041" s="125">
        <v>0</v>
      </c>
      <c r="Q1041" s="125">
        <v>0</v>
      </c>
      <c r="R1041" s="114"/>
      <c r="S1041" s="125">
        <v>-1.5600000000000003E-6</v>
      </c>
      <c r="T1041" s="125">
        <v>0</v>
      </c>
      <c r="U1041" s="125">
        <v>4580988.7558709998</v>
      </c>
      <c r="V1041" s="125">
        <v>0</v>
      </c>
      <c r="W1041" s="142">
        <v>604185.75</v>
      </c>
      <c r="X1041" s="142">
        <v>3.6979092073840185</v>
      </c>
      <c r="Y1041" s="142">
        <v>65584042.154919855</v>
      </c>
      <c r="Z1041" s="142">
        <v>387.68779769973122</v>
      </c>
    </row>
    <row r="1042" spans="1:26" s="141" customFormat="1">
      <c r="A1042" s="121">
        <v>44497</v>
      </c>
      <c r="B1042" s="125">
        <v>150487760.00770429</v>
      </c>
      <c r="C1042" s="125">
        <v>51300110.853850126</v>
      </c>
      <c r="D1042" s="125">
        <v>64389435.178810239</v>
      </c>
      <c r="E1042" s="125">
        <v>72593024.26519601</v>
      </c>
      <c r="F1042" s="123">
        <v>188282570.29785639</v>
      </c>
      <c r="G1042" s="125">
        <v>0</v>
      </c>
      <c r="H1042" s="125">
        <v>1392.8615574255539</v>
      </c>
      <c r="I1042" s="125">
        <v>1130.135408276941</v>
      </c>
      <c r="J1042" s="125">
        <v>705.97180378307053</v>
      </c>
      <c r="K1042" s="125">
        <v>1167.792913510817</v>
      </c>
      <c r="L1042" s="164">
        <v>3003.9001255708285</v>
      </c>
      <c r="M1042" s="125">
        <v>-45</v>
      </c>
      <c r="N1042" s="115">
        <v>14172.5</v>
      </c>
      <c r="O1042" s="139"/>
      <c r="P1042" s="125">
        <v>0</v>
      </c>
      <c r="Q1042" s="125">
        <v>0</v>
      </c>
      <c r="R1042" s="114"/>
      <c r="S1042" s="125">
        <v>-1.5600000000000003E-6</v>
      </c>
      <c r="T1042" s="125">
        <v>0</v>
      </c>
      <c r="U1042" s="125">
        <v>4320616.8434380004</v>
      </c>
      <c r="V1042" s="125">
        <v>0</v>
      </c>
      <c r="W1042" s="142">
        <v>604185.75</v>
      </c>
      <c r="X1042" s="142">
        <v>3.6935274822120308</v>
      </c>
      <c r="Y1042" s="142">
        <v>65843048.484847717</v>
      </c>
      <c r="Z1042" s="142">
        <v>390.38013722507998</v>
      </c>
    </row>
    <row r="1043" spans="1:26" s="141" customFormat="1">
      <c r="A1043" s="121">
        <v>44498</v>
      </c>
      <c r="B1043" s="125">
        <v>151474981.12523517</v>
      </c>
      <c r="C1043" s="125">
        <v>50130187.037788048</v>
      </c>
      <c r="D1043" s="125">
        <v>65007228.717833698</v>
      </c>
      <c r="E1043" s="125">
        <v>72176618.289338499</v>
      </c>
      <c r="F1043" s="123">
        <v>187314034.04496026</v>
      </c>
      <c r="G1043" s="125">
        <v>0</v>
      </c>
      <c r="H1043" s="125">
        <v>1438.2619842340087</v>
      </c>
      <c r="I1043" s="125">
        <v>1185.3048704533455</v>
      </c>
      <c r="J1043" s="125">
        <v>701.39404702278216</v>
      </c>
      <c r="K1043" s="125">
        <v>1162.5657444979802</v>
      </c>
      <c r="L1043" s="164">
        <v>3049.2646619741081</v>
      </c>
      <c r="M1043" s="125">
        <v>-45</v>
      </c>
      <c r="N1043" s="115">
        <v>14167.5</v>
      </c>
      <c r="O1043" s="139"/>
      <c r="P1043" s="125">
        <v>0</v>
      </c>
      <c r="Q1043" s="125">
        <v>0</v>
      </c>
      <c r="R1043" s="114"/>
      <c r="S1043" s="125">
        <v>-1.5600000000000003E-6</v>
      </c>
      <c r="T1043" s="125">
        <v>0</v>
      </c>
      <c r="U1043" s="125">
        <v>3521117.8335524001</v>
      </c>
      <c r="V1043" s="125">
        <v>0</v>
      </c>
      <c r="W1043" s="142">
        <v>604185.75</v>
      </c>
      <c r="X1043" s="142">
        <v>3.6953583416940177</v>
      </c>
      <c r="Y1043" s="142">
        <v>65558146.686581776</v>
      </c>
      <c r="Z1043" s="142">
        <v>395.81254631046761</v>
      </c>
    </row>
    <row r="1044" spans="1:26" s="141" customFormat="1">
      <c r="A1044" s="121">
        <v>44500</v>
      </c>
      <c r="B1044" s="136">
        <v>152451597.83248401</v>
      </c>
      <c r="C1044" s="136">
        <v>51283325.531558</v>
      </c>
      <c r="D1044" s="136">
        <v>64701511.372202002</v>
      </c>
      <c r="E1044" s="136">
        <v>72252598.261723995</v>
      </c>
      <c r="F1044" s="137">
        <v>188237435.16548401</v>
      </c>
      <c r="G1044" s="125">
        <v>0</v>
      </c>
      <c r="H1044" s="136">
        <v>1440.8535875039352</v>
      </c>
      <c r="I1044" s="136">
        <v>1183.3033948564673</v>
      </c>
      <c r="J1044" s="136">
        <v>700.97399262212809</v>
      </c>
      <c r="K1044" s="136">
        <v>1165.1332192889358</v>
      </c>
      <c r="L1044" s="165">
        <v>3049.4106067675311</v>
      </c>
      <c r="M1044" s="125">
        <v>-45</v>
      </c>
      <c r="N1044" s="115">
        <v>14167.5</v>
      </c>
      <c r="O1044" s="139">
        <v>3422.52</v>
      </c>
      <c r="P1044" s="125">
        <v>0</v>
      </c>
      <c r="Q1044" s="125">
        <v>0</v>
      </c>
      <c r="R1044" s="114"/>
      <c r="S1044" s="125">
        <v>-1.5600000000000003E-6</v>
      </c>
      <c r="T1044" s="125">
        <v>0</v>
      </c>
      <c r="U1044" s="125">
        <v>3521117.8335524001</v>
      </c>
      <c r="V1044" s="125">
        <v>0</v>
      </c>
      <c r="W1044" s="142">
        <v>604185.75</v>
      </c>
      <c r="X1044" s="142">
        <v>3.6953583416940177</v>
      </c>
      <c r="Y1044" s="142">
        <v>65558146.686581776</v>
      </c>
      <c r="Z1044" s="142">
        <v>395.81254631046761</v>
      </c>
    </row>
    <row r="1045" spans="1:26" s="141" customFormat="1">
      <c r="A1045" s="121">
        <v>44501</v>
      </c>
      <c r="B1045" s="125">
        <v>150300884.74811226</v>
      </c>
      <c r="C1045" s="125">
        <v>51835852.640905574</v>
      </c>
      <c r="D1045" s="125">
        <v>64538972.124257855</v>
      </c>
      <c r="E1045" s="125">
        <v>72522502.323176265</v>
      </c>
      <c r="F1045" s="123">
        <v>188897327.08833969</v>
      </c>
      <c r="G1045" s="125">
        <v>0</v>
      </c>
      <c r="H1045" s="125">
        <v>1413.6156368974148</v>
      </c>
      <c r="I1045" s="125">
        <v>1177.0911245408759</v>
      </c>
      <c r="J1045" s="125">
        <v>697.99902902639872</v>
      </c>
      <c r="K1045" s="125">
        <v>1174.6821475973652</v>
      </c>
      <c r="L1045" s="164">
        <v>3049.7723011646399</v>
      </c>
      <c r="M1045" s="125">
        <v>-44.984213295913001</v>
      </c>
      <c r="N1045" s="115">
        <v>14247.5</v>
      </c>
      <c r="O1045" s="139"/>
      <c r="P1045" s="125">
        <v>0</v>
      </c>
      <c r="Q1045" s="125">
        <v>0</v>
      </c>
      <c r="R1045" s="114"/>
      <c r="S1045" s="125">
        <v>-1.5600000000000003E-6</v>
      </c>
      <c r="T1045" s="125">
        <v>0</v>
      </c>
      <c r="U1045" s="125">
        <v>3874975.7034989004</v>
      </c>
      <c r="V1045" s="125">
        <v>0</v>
      </c>
      <c r="W1045" s="142">
        <v>604185.75</v>
      </c>
      <c r="X1045" s="142">
        <v>3.6880724277951233</v>
      </c>
      <c r="Y1045" s="142">
        <v>65269865.365599781</v>
      </c>
      <c r="Z1045" s="142">
        <v>395.96510475381996</v>
      </c>
    </row>
    <row r="1046" spans="1:26" s="141" customFormat="1">
      <c r="A1046" s="121">
        <v>44502</v>
      </c>
      <c r="B1046" s="125">
        <v>150167355.43411487</v>
      </c>
      <c r="C1046" s="125">
        <v>51875965.520257883</v>
      </c>
      <c r="D1046" s="125">
        <v>64415171.017355606</v>
      </c>
      <c r="E1046" s="125">
        <v>72746204.652116701</v>
      </c>
      <c r="F1046" s="123">
        <v>189037341.18973017</v>
      </c>
      <c r="G1046" s="125">
        <v>0</v>
      </c>
      <c r="H1046" s="125">
        <v>1418.276530823272</v>
      </c>
      <c r="I1046" s="125">
        <v>1156.7329073460824</v>
      </c>
      <c r="J1046" s="125">
        <v>697.03043452797647</v>
      </c>
      <c r="K1046" s="125">
        <v>1173.2860187467134</v>
      </c>
      <c r="L1046" s="164">
        <v>3027.0493606207719</v>
      </c>
      <c r="M1046" s="125">
        <v>-45</v>
      </c>
      <c r="N1046" s="115">
        <v>14252.5</v>
      </c>
      <c r="O1046" s="139"/>
      <c r="P1046" s="125">
        <v>0</v>
      </c>
      <c r="Q1046" s="125">
        <v>0</v>
      </c>
      <c r="R1046" s="114"/>
      <c r="S1046" s="125">
        <v>-1.5600000000000003E-6</v>
      </c>
      <c r="T1046" s="125">
        <v>0</v>
      </c>
      <c r="U1046" s="125">
        <v>4871067.1824090993</v>
      </c>
      <c r="V1046" s="125">
        <v>0</v>
      </c>
      <c r="W1046" s="142">
        <v>604185.75</v>
      </c>
      <c r="X1046" s="142">
        <v>3.6910072768181017</v>
      </c>
      <c r="Y1046" s="142">
        <v>66083076.629661344</v>
      </c>
      <c r="Z1046" s="142">
        <v>402.75727927812034</v>
      </c>
    </row>
    <row r="1047" spans="1:26" s="141" customFormat="1">
      <c r="A1047" s="121">
        <v>44503</v>
      </c>
      <c r="B1047" s="125">
        <v>149851000.35089907</v>
      </c>
      <c r="C1047" s="125">
        <v>52952680.824651524</v>
      </c>
      <c r="D1047" s="125">
        <v>64351887.900005616</v>
      </c>
      <c r="E1047" s="125">
        <v>73505645.938517794</v>
      </c>
      <c r="F1047" s="123">
        <v>190810214.66317493</v>
      </c>
      <c r="G1047" s="125">
        <v>0</v>
      </c>
      <c r="H1047" s="125">
        <v>1420.4460192374759</v>
      </c>
      <c r="I1047" s="125">
        <v>1159.5106568265678</v>
      </c>
      <c r="J1047" s="125">
        <v>696.86862943117592</v>
      </c>
      <c r="K1047" s="125">
        <v>1171.7840119951647</v>
      </c>
      <c r="L1047" s="164">
        <v>3028.1632982529086</v>
      </c>
      <c r="M1047" s="125">
        <v>-45</v>
      </c>
      <c r="N1047" s="115">
        <v>14297.5</v>
      </c>
      <c r="O1047" s="139"/>
      <c r="P1047" s="125">
        <v>0</v>
      </c>
      <c r="Q1047" s="125">
        <v>0</v>
      </c>
      <c r="R1047" s="114"/>
      <c r="S1047" s="125">
        <v>-1.5600000000000003E-6</v>
      </c>
      <c r="T1047" s="125">
        <v>0</v>
      </c>
      <c r="U1047" s="125">
        <v>6083433.0382511998</v>
      </c>
      <c r="V1047" s="125">
        <v>0</v>
      </c>
      <c r="W1047" s="142">
        <v>604185.75</v>
      </c>
      <c r="X1047" s="142">
        <v>3.6910258180905751</v>
      </c>
      <c r="Y1047" s="142">
        <v>66483206.962840453</v>
      </c>
      <c r="Z1047" s="142">
        <v>408.62284759152982</v>
      </c>
    </row>
    <row r="1048" spans="1:26" s="141" customFormat="1">
      <c r="A1048" s="121">
        <v>44504</v>
      </c>
      <c r="B1048" s="125">
        <v>149699911.74847269</v>
      </c>
      <c r="C1048" s="125">
        <v>53190161.302678354</v>
      </c>
      <c r="D1048" s="125">
        <v>64403247.668244645</v>
      </c>
      <c r="E1048" s="125">
        <v>73172438.960166842</v>
      </c>
      <c r="F1048" s="123">
        <v>190765847.93108985</v>
      </c>
      <c r="G1048" s="125">
        <v>0</v>
      </c>
      <c r="H1048" s="125">
        <v>1421.1880505803617</v>
      </c>
      <c r="I1048" s="125">
        <v>1199.6191709143709</v>
      </c>
      <c r="J1048" s="125">
        <v>697.27203249267245</v>
      </c>
      <c r="K1048" s="125">
        <v>1159.4483673677178</v>
      </c>
      <c r="L1048" s="164">
        <v>3056.3395707747613</v>
      </c>
      <c r="M1048" s="125">
        <v>-45</v>
      </c>
      <c r="N1048" s="115">
        <v>14337.5</v>
      </c>
      <c r="O1048" s="139"/>
      <c r="P1048" s="125">
        <v>0</v>
      </c>
      <c r="Q1048" s="125">
        <v>0</v>
      </c>
      <c r="R1048" s="114"/>
      <c r="S1048" s="125">
        <v>-1.5600000000000003E-6</v>
      </c>
      <c r="T1048" s="125">
        <v>0</v>
      </c>
      <c r="U1048" s="125">
        <v>6627443.3655513991</v>
      </c>
      <c r="V1048" s="125">
        <v>0</v>
      </c>
      <c r="W1048" s="142">
        <v>604185.75</v>
      </c>
      <c r="X1048" s="142">
        <v>3.693082693618134</v>
      </c>
      <c r="Y1048" s="142">
        <v>66609402.998889834</v>
      </c>
      <c r="Z1048" s="142">
        <v>411.22094215959476</v>
      </c>
    </row>
    <row r="1049" spans="1:26" s="141" customFormat="1">
      <c r="A1049" s="121">
        <v>44505</v>
      </c>
      <c r="B1049" s="125">
        <v>149320647.43185347</v>
      </c>
      <c r="C1049" s="125">
        <v>52329179.990092076</v>
      </c>
      <c r="D1049" s="125">
        <v>64465447.962114908</v>
      </c>
      <c r="E1049" s="125">
        <v>72628867.250233382</v>
      </c>
      <c r="F1049" s="123">
        <v>189423495.20244038</v>
      </c>
      <c r="G1049" s="125">
        <v>0</v>
      </c>
      <c r="H1049" s="125">
        <v>1423.3305819944528</v>
      </c>
      <c r="I1049" s="125">
        <v>1198.9091868329731</v>
      </c>
      <c r="J1049" s="125">
        <v>693.41273511052543</v>
      </c>
      <c r="K1049" s="125">
        <v>1160.3060449850905</v>
      </c>
      <c r="L1049" s="164">
        <v>3052.6279669285891</v>
      </c>
      <c r="M1049" s="125">
        <v>-45</v>
      </c>
      <c r="N1049" s="115">
        <v>14327.5</v>
      </c>
      <c r="O1049" s="139"/>
      <c r="P1049" s="125">
        <v>0</v>
      </c>
      <c r="Q1049" s="125">
        <v>0</v>
      </c>
      <c r="R1049" s="114"/>
      <c r="S1049" s="125">
        <v>-1.5600000000000003E-6</v>
      </c>
      <c r="T1049" s="125">
        <v>0</v>
      </c>
      <c r="U1049" s="125">
        <v>8118293.6185573991</v>
      </c>
      <c r="V1049" s="125">
        <v>0</v>
      </c>
      <c r="W1049" s="142">
        <v>604185.75</v>
      </c>
      <c r="X1049" s="142">
        <v>3.690644930961438</v>
      </c>
      <c r="Y1049" s="142">
        <v>66969068.094414808</v>
      </c>
      <c r="Z1049" s="142">
        <v>414.43517446263553</v>
      </c>
    </row>
    <row r="1050" spans="1:26" s="141" customFormat="1">
      <c r="A1050" s="121">
        <v>44508</v>
      </c>
      <c r="B1050" s="125">
        <v>149240562.05260673</v>
      </c>
      <c r="C1050" s="125">
        <v>51479796.772891864</v>
      </c>
      <c r="D1050" s="125">
        <v>64130319.773846306</v>
      </c>
      <c r="E1050" s="125">
        <v>72253618.050969094</v>
      </c>
      <c r="F1050" s="123">
        <v>187863734.59770727</v>
      </c>
      <c r="G1050" s="125">
        <v>0</v>
      </c>
      <c r="H1050" s="125">
        <v>1411.3168707321897</v>
      </c>
      <c r="I1050" s="125">
        <v>1209.9371217077273</v>
      </c>
      <c r="J1050" s="125">
        <v>695.08539807868135</v>
      </c>
      <c r="K1050" s="125">
        <v>1150.986668010489</v>
      </c>
      <c r="L1050" s="164">
        <v>3056.009187796898</v>
      </c>
      <c r="M1050" s="125">
        <v>-45</v>
      </c>
      <c r="N1050" s="115">
        <v>14257.5</v>
      </c>
      <c r="O1050" s="139"/>
      <c r="P1050" s="125">
        <v>0</v>
      </c>
      <c r="Q1050" s="125">
        <v>0</v>
      </c>
      <c r="R1050" s="114"/>
      <c r="S1050" s="125">
        <v>-1.5600000000000003E-6</v>
      </c>
      <c r="T1050" s="125">
        <v>0</v>
      </c>
      <c r="U1050" s="125">
        <v>7974951.2012400003</v>
      </c>
      <c r="V1050" s="125">
        <v>0</v>
      </c>
      <c r="W1050" s="142">
        <v>604185.75</v>
      </c>
      <c r="X1050" s="142">
        <v>3.6918120391758729</v>
      </c>
      <c r="Y1050" s="142">
        <v>66581764.817996085</v>
      </c>
      <c r="Z1050" s="142">
        <v>409.06958764590638</v>
      </c>
    </row>
    <row r="1051" spans="1:26" s="141" customFormat="1">
      <c r="A1051" s="121">
        <v>44509</v>
      </c>
      <c r="B1051" s="125">
        <v>149112919.50608394</v>
      </c>
      <c r="C1051" s="125">
        <v>50722109.020329282</v>
      </c>
      <c r="D1051" s="125">
        <v>64236603.39007061</v>
      </c>
      <c r="E1051" s="125">
        <v>72356313.377038464</v>
      </c>
      <c r="F1051" s="123">
        <v>187315025.78743833</v>
      </c>
      <c r="G1051" s="125">
        <v>0</v>
      </c>
      <c r="H1051" s="125">
        <v>1406.7714082817001</v>
      </c>
      <c r="I1051" s="125">
        <v>1223.3453928752911</v>
      </c>
      <c r="J1051" s="125">
        <v>699.1974077321006</v>
      </c>
      <c r="K1051" s="125">
        <v>1150.8917153837529</v>
      </c>
      <c r="L1051" s="164">
        <v>3073.4345159911445</v>
      </c>
      <c r="M1051" s="125">
        <v>-45</v>
      </c>
      <c r="N1051" s="115">
        <v>14242.5</v>
      </c>
      <c r="O1051" s="139"/>
      <c r="P1051" s="125">
        <v>0</v>
      </c>
      <c r="Q1051" s="125">
        <v>0</v>
      </c>
      <c r="R1051" s="114"/>
      <c r="S1051" s="125">
        <v>-1.5600000000000003E-6</v>
      </c>
      <c r="T1051" s="125">
        <v>0</v>
      </c>
      <c r="U1051" s="125">
        <v>7363296.8937043007</v>
      </c>
      <c r="V1051" s="125">
        <v>0</v>
      </c>
      <c r="W1051" s="142">
        <v>604185.75</v>
      </c>
      <c r="X1051" s="142">
        <v>3.6929628465121995</v>
      </c>
      <c r="Y1051" s="142">
        <v>66574173.724648677</v>
      </c>
      <c r="Z1051" s="142">
        <v>411.6750928124444</v>
      </c>
    </row>
    <row r="1052" spans="1:26" s="141" customFormat="1">
      <c r="A1052" s="121">
        <v>44510</v>
      </c>
      <c r="B1052" s="125">
        <v>149260249.3886463</v>
      </c>
      <c r="C1052" s="125">
        <v>51247732.97610984</v>
      </c>
      <c r="D1052" s="125">
        <v>64586050.081651546</v>
      </c>
      <c r="E1052" s="125">
        <v>72537163.816675767</v>
      </c>
      <c r="F1052" s="123">
        <v>188370946.87443715</v>
      </c>
      <c r="G1052" s="125">
        <v>0</v>
      </c>
      <c r="H1052" s="125">
        <v>1397.6372857539345</v>
      </c>
      <c r="I1052" s="125">
        <v>1192.7816678358879</v>
      </c>
      <c r="J1052" s="125">
        <v>698.64103564144727</v>
      </c>
      <c r="K1052" s="125">
        <v>1140.0775580281149</v>
      </c>
      <c r="L1052" s="164">
        <v>3031.50026150545</v>
      </c>
      <c r="M1052" s="125">
        <v>-45</v>
      </c>
      <c r="N1052" s="115">
        <v>14252.5</v>
      </c>
      <c r="O1052" s="139"/>
      <c r="P1052" s="125">
        <v>0</v>
      </c>
      <c r="Q1052" s="125">
        <v>0</v>
      </c>
      <c r="R1052" s="114"/>
      <c r="S1052" s="125">
        <v>-1.5600000000000003E-6</v>
      </c>
      <c r="T1052" s="125">
        <v>0</v>
      </c>
      <c r="U1052" s="125">
        <v>6724249.6737123001</v>
      </c>
      <c r="V1052" s="125">
        <v>0</v>
      </c>
      <c r="W1052" s="142">
        <v>604185.75</v>
      </c>
      <c r="X1052" s="142">
        <v>3.6942838949552712</v>
      </c>
      <c r="Y1052" s="142">
        <v>66677260.425542049</v>
      </c>
      <c r="Z1052" s="142">
        <v>410.5701039178727</v>
      </c>
    </row>
    <row r="1053" spans="1:26" s="141" customFormat="1">
      <c r="A1053" s="121">
        <v>44511</v>
      </c>
      <c r="B1053" s="125">
        <v>149194511.79015496</v>
      </c>
      <c r="C1053" s="125">
        <v>51926459.394170433</v>
      </c>
      <c r="D1053" s="125">
        <v>64835277.312776044</v>
      </c>
      <c r="E1053" s="125">
        <v>72489295.772890121</v>
      </c>
      <c r="F1053" s="123">
        <v>189251032.47983658</v>
      </c>
      <c r="G1053" s="125">
        <v>0</v>
      </c>
      <c r="H1053" s="125">
        <v>1397.0739590427506</v>
      </c>
      <c r="I1053" s="125">
        <v>1168.0717641198944</v>
      </c>
      <c r="J1053" s="125">
        <v>695.77162954990149</v>
      </c>
      <c r="K1053" s="125">
        <v>1126.3437164375662</v>
      </c>
      <c r="L1053" s="164">
        <v>2990.1871101073621</v>
      </c>
      <c r="M1053" s="125">
        <v>-45</v>
      </c>
      <c r="N1053" s="115">
        <v>14262.5</v>
      </c>
      <c r="O1053" s="139"/>
      <c r="P1053" s="125">
        <v>0</v>
      </c>
      <c r="Q1053" s="125">
        <v>0</v>
      </c>
      <c r="R1053" s="114"/>
      <c r="S1053" s="125">
        <v>-1.5600000000000003E-6</v>
      </c>
      <c r="T1053" s="125">
        <v>0</v>
      </c>
      <c r="U1053" s="125">
        <v>6880553.7950260993</v>
      </c>
      <c r="V1053" s="125">
        <v>0</v>
      </c>
      <c r="W1053" s="142">
        <v>604185.75</v>
      </c>
      <c r="X1053" s="142">
        <v>3.6886197429798422</v>
      </c>
      <c r="Y1053" s="142">
        <v>66780799.143339396</v>
      </c>
      <c r="Z1053" s="142">
        <v>409.94193812599542</v>
      </c>
    </row>
    <row r="1054" spans="1:26" s="141" customFormat="1">
      <c r="A1054" s="121">
        <v>44512</v>
      </c>
      <c r="B1054" s="125">
        <v>148838577.75001469</v>
      </c>
      <c r="C1054" s="125">
        <v>52182635.45800741</v>
      </c>
      <c r="D1054" s="125">
        <v>64813555.015993983</v>
      </c>
      <c r="E1054" s="125">
        <v>72283093.892875761</v>
      </c>
      <c r="F1054" s="123">
        <v>189279284.36687714</v>
      </c>
      <c r="G1054" s="125">
        <v>0</v>
      </c>
      <c r="H1054" s="125">
        <v>1394.1202531677698</v>
      </c>
      <c r="I1054" s="125">
        <v>1146.7663953943832</v>
      </c>
      <c r="J1054" s="125">
        <v>696.12455095522148</v>
      </c>
      <c r="K1054" s="125">
        <v>1129.6757703712767</v>
      </c>
      <c r="L1054" s="164">
        <v>2972.5667167208812</v>
      </c>
      <c r="M1054" s="125">
        <v>-45</v>
      </c>
      <c r="N1054" s="115">
        <v>14235.5</v>
      </c>
      <c r="O1054" s="139"/>
      <c r="P1054" s="125">
        <v>0</v>
      </c>
      <c r="Q1054" s="125">
        <v>0</v>
      </c>
      <c r="R1054" s="114"/>
      <c r="S1054" s="125">
        <v>-1.5600000000000003E-6</v>
      </c>
      <c r="T1054" s="125">
        <v>0</v>
      </c>
      <c r="U1054" s="125">
        <v>6453156.087398801</v>
      </c>
      <c r="V1054" s="125">
        <v>0</v>
      </c>
      <c r="W1054" s="142">
        <v>604185.75</v>
      </c>
      <c r="X1054" s="142">
        <v>3.6944092467050682</v>
      </c>
      <c r="Y1054" s="142">
        <v>65820849.927195631</v>
      </c>
      <c r="Z1054" s="142">
        <v>425.42054921974494</v>
      </c>
    </row>
    <row r="1055" spans="1:26" s="141" customFormat="1">
      <c r="A1055" s="121">
        <v>44515</v>
      </c>
      <c r="B1055" s="125">
        <v>148878312.17544022</v>
      </c>
      <c r="C1055" s="125">
        <v>52503787.753245465</v>
      </c>
      <c r="D1055" s="125">
        <v>64620167.863975368</v>
      </c>
      <c r="E1055" s="125">
        <v>73170874.840803966</v>
      </c>
      <c r="F1055" s="123">
        <v>190294830.4580248</v>
      </c>
      <c r="G1055" s="125">
        <v>0</v>
      </c>
      <c r="H1055" s="125">
        <v>1391.4245011979008</v>
      </c>
      <c r="I1055" s="125">
        <v>1150.7642548540348</v>
      </c>
      <c r="J1055" s="125">
        <v>703.3080493620472</v>
      </c>
      <c r="K1055" s="125">
        <v>1223.5790133877708</v>
      </c>
      <c r="L1055" s="164">
        <v>3077.6513176038529</v>
      </c>
      <c r="M1055" s="125">
        <v>-45</v>
      </c>
      <c r="N1055" s="115">
        <v>14212.5</v>
      </c>
      <c r="O1055" s="139"/>
      <c r="P1055" s="125">
        <v>0</v>
      </c>
      <c r="Q1055" s="125">
        <v>0</v>
      </c>
      <c r="R1055" s="114"/>
      <c r="S1055" s="125">
        <v>-1.5600000000000003E-6</v>
      </c>
      <c r="T1055" s="125">
        <v>0</v>
      </c>
      <c r="U1055" s="125">
        <v>6127672.4444677001</v>
      </c>
      <c r="V1055" s="125">
        <v>0</v>
      </c>
      <c r="W1055" s="142">
        <v>604185.75</v>
      </c>
      <c r="X1055" s="142">
        <v>3.6999718365699206</v>
      </c>
      <c r="Y1055" s="142">
        <v>65717751.090762414</v>
      </c>
      <c r="Z1055" s="142">
        <v>429.03041395942591</v>
      </c>
    </row>
    <row r="1056" spans="1:26" s="141" customFormat="1">
      <c r="A1056" s="121">
        <v>44516</v>
      </c>
      <c r="B1056" s="125">
        <v>148809804.5819577</v>
      </c>
      <c r="C1056" s="125">
        <v>52035479.03317716</v>
      </c>
      <c r="D1056" s="125">
        <v>64550433.714153238</v>
      </c>
      <c r="E1056" s="125">
        <v>73394295.134612545</v>
      </c>
      <c r="F1056" s="123">
        <v>189980207.88194293</v>
      </c>
      <c r="G1056" s="125">
        <v>0</v>
      </c>
      <c r="H1056" s="125">
        <v>1393.4483679073612</v>
      </c>
      <c r="I1056" s="125">
        <v>1184.7784173273108</v>
      </c>
      <c r="J1056" s="125">
        <v>697.88210913504827</v>
      </c>
      <c r="K1056" s="125">
        <v>1223.9165146294581</v>
      </c>
      <c r="L1056" s="164">
        <v>3106.5770410918171</v>
      </c>
      <c r="M1056" s="125">
        <v>-45</v>
      </c>
      <c r="N1056" s="115">
        <v>14221.5</v>
      </c>
      <c r="O1056" s="139"/>
      <c r="P1056" s="125">
        <v>0</v>
      </c>
      <c r="Q1056" s="125">
        <v>0</v>
      </c>
      <c r="R1056" s="114"/>
      <c r="S1056" s="125">
        <v>-1.5600000000000003E-6</v>
      </c>
      <c r="T1056" s="125">
        <v>0</v>
      </c>
      <c r="U1056" s="125">
        <v>6730662.3564335993</v>
      </c>
      <c r="V1056" s="125">
        <v>0</v>
      </c>
      <c r="W1056" s="142">
        <v>604185.75</v>
      </c>
      <c r="X1056" s="142">
        <v>8.7006322688541999</v>
      </c>
      <c r="Y1056" s="142">
        <v>65590099.285851449</v>
      </c>
      <c r="Z1056" s="142">
        <v>428.74062146508942</v>
      </c>
    </row>
    <row r="1057" spans="1:26" s="141" customFormat="1">
      <c r="A1057" s="121">
        <v>44517</v>
      </c>
      <c r="B1057" s="125">
        <v>148803714.1910677</v>
      </c>
      <c r="C1057" s="125">
        <v>52440310.316085532</v>
      </c>
      <c r="D1057" s="125">
        <v>64676920.935941219</v>
      </c>
      <c r="E1057" s="125">
        <v>73304797.43696478</v>
      </c>
      <c r="F1057" s="123">
        <v>190422028.68899155</v>
      </c>
      <c r="G1057" s="125">
        <v>0</v>
      </c>
      <c r="H1057" s="125">
        <v>1389.8196631909286</v>
      </c>
      <c r="I1057" s="125">
        <v>1199.1306694505263</v>
      </c>
      <c r="J1057" s="125">
        <v>695.15897005549152</v>
      </c>
      <c r="K1057" s="125">
        <v>1224.4354119798804</v>
      </c>
      <c r="L1057" s="164">
        <v>3118.7250514858983</v>
      </c>
      <c r="M1057" s="125">
        <v>-45</v>
      </c>
      <c r="N1057" s="115">
        <v>14242.5</v>
      </c>
      <c r="O1057" s="139"/>
      <c r="P1057" s="125">
        <v>0</v>
      </c>
      <c r="Q1057" s="125">
        <v>0</v>
      </c>
      <c r="R1057" s="114"/>
      <c r="S1057" s="125">
        <v>-1.5600000000000003E-6</v>
      </c>
      <c r="T1057" s="125">
        <v>0</v>
      </c>
      <c r="U1057" s="125">
        <v>7124505.6804008</v>
      </c>
      <c r="V1057" s="125">
        <v>0</v>
      </c>
      <c r="W1057" s="142">
        <v>604185.75</v>
      </c>
      <c r="X1057" s="142">
        <v>3.6971475051044411</v>
      </c>
      <c r="Y1057" s="142">
        <v>66148511.048185818</v>
      </c>
      <c r="Z1057" s="142">
        <v>429.15410348848735</v>
      </c>
    </row>
    <row r="1058" spans="1:26" s="141" customFormat="1">
      <c r="A1058" s="121">
        <v>44518</v>
      </c>
      <c r="B1058" s="125">
        <v>148954785.44929701</v>
      </c>
      <c r="C1058" s="125">
        <v>53655036.624442346</v>
      </c>
      <c r="D1058" s="125">
        <v>64331986.240409046</v>
      </c>
      <c r="E1058" s="125">
        <v>73126514.492813647</v>
      </c>
      <c r="F1058" s="123">
        <v>191113537.35766503</v>
      </c>
      <c r="G1058" s="125">
        <v>0</v>
      </c>
      <c r="H1058" s="125">
        <v>1379.8757459462106</v>
      </c>
      <c r="I1058" s="125">
        <v>1199.4871498248456</v>
      </c>
      <c r="J1058" s="125">
        <v>695.98332260714255</v>
      </c>
      <c r="K1058" s="125">
        <v>1204.2672560040678</v>
      </c>
      <c r="L1058" s="164">
        <v>3099.7377284360559</v>
      </c>
      <c r="M1058" s="125">
        <v>-45</v>
      </c>
      <c r="N1058" s="115">
        <v>14227</v>
      </c>
      <c r="O1058" s="139"/>
      <c r="P1058" s="125">
        <v>0</v>
      </c>
      <c r="Q1058" s="125">
        <v>0</v>
      </c>
      <c r="R1058" s="114"/>
      <c r="S1058" s="125">
        <v>-1.5600000000000003E-6</v>
      </c>
      <c r="T1058" s="125">
        <v>0</v>
      </c>
      <c r="U1058" s="125">
        <v>7647463.073326</v>
      </c>
      <c r="V1058" s="125">
        <v>0</v>
      </c>
      <c r="W1058" s="142">
        <v>604185.75</v>
      </c>
      <c r="X1058" s="142">
        <v>3.7018101947550428</v>
      </c>
      <c r="Y1058" s="142">
        <v>65668051.981445089</v>
      </c>
      <c r="Z1058" s="142">
        <v>428.40659975753499</v>
      </c>
    </row>
    <row r="1059" spans="1:26" s="141" customFormat="1">
      <c r="A1059" s="121">
        <v>44519</v>
      </c>
      <c r="B1059" s="125">
        <v>148748312.48936278</v>
      </c>
      <c r="C1059" s="125">
        <v>55135448.639129572</v>
      </c>
      <c r="D1059" s="125">
        <v>64517524.888011225</v>
      </c>
      <c r="E1059" s="125">
        <v>72782320.40391922</v>
      </c>
      <c r="F1059" s="123">
        <v>192435293.93106002</v>
      </c>
      <c r="G1059" s="125">
        <v>0</v>
      </c>
      <c r="H1059" s="125">
        <v>1371.9782143487134</v>
      </c>
      <c r="I1059" s="125">
        <v>1170.4340103034372</v>
      </c>
      <c r="J1059" s="125">
        <v>696.50285168493622</v>
      </c>
      <c r="K1059" s="125">
        <v>1214.5915945540712</v>
      </c>
      <c r="L1059" s="164">
        <v>3081.5284565424445</v>
      </c>
      <c r="M1059" s="125">
        <v>-45</v>
      </c>
      <c r="N1059" s="115">
        <v>14237.5</v>
      </c>
      <c r="O1059" s="139"/>
      <c r="P1059" s="125">
        <v>0</v>
      </c>
      <c r="Q1059" s="125">
        <v>0</v>
      </c>
      <c r="R1059" s="114"/>
      <c r="S1059" s="125">
        <v>-1.5600000000000003E-6</v>
      </c>
      <c r="T1059" s="125">
        <v>0</v>
      </c>
      <c r="U1059" s="125">
        <v>8086034.0280452995</v>
      </c>
      <c r="V1059" s="125">
        <v>0</v>
      </c>
      <c r="W1059" s="142">
        <v>604185.75</v>
      </c>
      <c r="X1059" s="142">
        <v>3.6988652787181735</v>
      </c>
      <c r="Y1059" s="142">
        <v>65536764.225693271</v>
      </c>
      <c r="Z1059" s="142">
        <v>428.27194660182982</v>
      </c>
    </row>
    <row r="1060" spans="1:26" s="141" customFormat="1">
      <c r="A1060" s="121">
        <v>44522</v>
      </c>
      <c r="B1060" s="125">
        <v>149067446.61746755</v>
      </c>
      <c r="C1060" s="125">
        <v>57471801.247999027</v>
      </c>
      <c r="D1060" s="125">
        <v>64537398.036689058</v>
      </c>
      <c r="E1060" s="125">
        <v>72713589.040704086</v>
      </c>
      <c r="F1060" s="123">
        <v>194722788.32539219</v>
      </c>
      <c r="G1060" s="125">
        <v>0</v>
      </c>
      <c r="H1060" s="125">
        <v>1359.0896032966868</v>
      </c>
      <c r="I1060" s="125">
        <v>1172.849138724871</v>
      </c>
      <c r="J1060" s="125">
        <v>698.84526626909405</v>
      </c>
      <c r="K1060" s="125">
        <v>1214.8336113077321</v>
      </c>
      <c r="L1060" s="164">
        <v>3086.5280163016969</v>
      </c>
      <c r="M1060" s="125">
        <v>-45</v>
      </c>
      <c r="N1060" s="115">
        <v>14247.5</v>
      </c>
      <c r="O1060" s="139"/>
      <c r="P1060" s="125">
        <v>0</v>
      </c>
      <c r="Q1060" s="125">
        <v>0</v>
      </c>
      <c r="R1060" s="114"/>
      <c r="S1060" s="125">
        <v>-1.5600000000000003E-6</v>
      </c>
      <c r="T1060" s="125">
        <v>0</v>
      </c>
      <c r="U1060" s="125">
        <v>9388221.1058486011</v>
      </c>
      <c r="V1060" s="125">
        <v>0</v>
      </c>
      <c r="W1060" s="142">
        <v>608631.75</v>
      </c>
      <c r="X1060" s="142">
        <v>3.6993754888331285</v>
      </c>
      <c r="Y1060" s="142">
        <v>65631249.535455897</v>
      </c>
      <c r="Z1060" s="142">
        <v>428.30541454554617</v>
      </c>
    </row>
    <row r="1061" spans="1:26" s="141" customFormat="1">
      <c r="A1061" s="121">
        <v>44523</v>
      </c>
      <c r="B1061" s="125">
        <v>149318961.39904344</v>
      </c>
      <c r="C1061" s="125">
        <v>57707356.00831417</v>
      </c>
      <c r="D1061" s="125">
        <v>64350330.131323762</v>
      </c>
      <c r="E1061" s="125">
        <v>72902858.980658829</v>
      </c>
      <c r="F1061" s="123">
        <v>194960545.12029678</v>
      </c>
      <c r="G1061" s="125">
        <v>0</v>
      </c>
      <c r="H1061" s="125">
        <v>1358.9173311739553</v>
      </c>
      <c r="I1061" s="125">
        <v>1206.8568150188419</v>
      </c>
      <c r="J1061" s="125">
        <v>697.45308341740508</v>
      </c>
      <c r="K1061" s="125">
        <v>1215.5447849209531</v>
      </c>
      <c r="L1061" s="164">
        <v>3119.8546833572</v>
      </c>
      <c r="M1061" s="125">
        <v>-45</v>
      </c>
      <c r="N1061" s="115">
        <v>14257.5</v>
      </c>
      <c r="O1061" s="139"/>
      <c r="P1061" s="125">
        <v>0</v>
      </c>
      <c r="Q1061" s="125">
        <v>0</v>
      </c>
      <c r="R1061" s="114"/>
      <c r="S1061" s="125">
        <v>-1.5600000000000003E-6</v>
      </c>
      <c r="T1061" s="125">
        <v>0</v>
      </c>
      <c r="U1061" s="125">
        <v>9546259.4992900006</v>
      </c>
      <c r="V1061" s="125">
        <v>0</v>
      </c>
      <c r="W1061" s="142">
        <v>608631.75</v>
      </c>
      <c r="X1061" s="142">
        <v>3.6986926283394705</v>
      </c>
      <c r="Y1061" s="142">
        <v>65720046.664597556</v>
      </c>
      <c r="Z1061" s="142">
        <v>428.73173344700132</v>
      </c>
    </row>
    <row r="1062" spans="1:26" s="141" customFormat="1">
      <c r="A1062" s="121">
        <v>44524</v>
      </c>
      <c r="B1062" s="125">
        <v>149328078.91519493</v>
      </c>
      <c r="C1062" s="125">
        <v>56471508.879739329</v>
      </c>
      <c r="D1062" s="125">
        <v>64680422.997996703</v>
      </c>
      <c r="E1062" s="125">
        <v>72895508.347960845</v>
      </c>
      <c r="F1062" s="123">
        <v>194047440.22569686</v>
      </c>
      <c r="G1062" s="125">
        <v>0</v>
      </c>
      <c r="H1062" s="125">
        <v>1316.3529093744835</v>
      </c>
      <c r="I1062" s="125">
        <v>1198.2298321405012</v>
      </c>
      <c r="J1062" s="125">
        <v>696.0526138505428</v>
      </c>
      <c r="K1062" s="125">
        <v>1217.4996042409352</v>
      </c>
      <c r="L1062" s="164">
        <v>3111.7820502319792</v>
      </c>
      <c r="M1062" s="125">
        <v>-45</v>
      </c>
      <c r="N1062" s="115">
        <v>14257.5</v>
      </c>
      <c r="O1062" s="139"/>
      <c r="P1062" s="125">
        <v>0</v>
      </c>
      <c r="Q1062" s="125">
        <v>0</v>
      </c>
      <c r="R1062" s="114"/>
      <c r="S1062" s="125">
        <v>-1.5600000000000003E-6</v>
      </c>
      <c r="T1062" s="125">
        <v>0</v>
      </c>
      <c r="U1062" s="125">
        <v>9749696.0648110006</v>
      </c>
      <c r="V1062" s="125">
        <v>0</v>
      </c>
      <c r="W1062" s="142">
        <v>608631.75</v>
      </c>
      <c r="X1062" s="142">
        <v>3.6962868769805368</v>
      </c>
      <c r="Y1062" s="142">
        <v>65907701.657121353</v>
      </c>
      <c r="Z1062" s="142">
        <v>427.86463572496496</v>
      </c>
    </row>
    <row r="1063" spans="1:26" s="141" customFormat="1">
      <c r="A1063" s="121">
        <v>44525</v>
      </c>
      <c r="B1063" s="125">
        <v>148929880.70005059</v>
      </c>
      <c r="C1063" s="125">
        <v>55526577.506407946</v>
      </c>
      <c r="D1063" s="125">
        <v>65247666.078555606</v>
      </c>
      <c r="E1063" s="125">
        <v>73008590.284596354</v>
      </c>
      <c r="F1063" s="123">
        <v>193782833.86955991</v>
      </c>
      <c r="G1063" s="125">
        <v>0</v>
      </c>
      <c r="H1063" s="125">
        <v>1318.2426839921934</v>
      </c>
      <c r="I1063" s="125">
        <v>1186.285658740848</v>
      </c>
      <c r="J1063" s="125">
        <v>695.1128239914475</v>
      </c>
      <c r="K1063" s="125">
        <v>1207.3271425021053</v>
      </c>
      <c r="L1063" s="164">
        <v>3088.7256252344009</v>
      </c>
      <c r="M1063" s="125">
        <v>-45</v>
      </c>
      <c r="N1063" s="115">
        <v>14267.5</v>
      </c>
      <c r="O1063" s="139"/>
      <c r="P1063" s="125">
        <v>0</v>
      </c>
      <c r="Q1063" s="125">
        <v>0</v>
      </c>
      <c r="R1063" s="114"/>
      <c r="S1063" s="125">
        <v>-1.5600000000000003E-6</v>
      </c>
      <c r="T1063" s="125">
        <v>0</v>
      </c>
      <c r="U1063" s="125">
        <v>8925412.0230368003</v>
      </c>
      <c r="V1063" s="125">
        <v>0</v>
      </c>
      <c r="W1063" s="142">
        <v>608631.75</v>
      </c>
      <c r="X1063" s="142">
        <v>3.6972187152584546</v>
      </c>
      <c r="Y1063" s="142">
        <v>65519896.159668967</v>
      </c>
      <c r="Z1063" s="142">
        <v>428.03460293081343</v>
      </c>
    </row>
    <row r="1064" spans="1:26" s="141" customFormat="1">
      <c r="A1064" s="121">
        <v>44526</v>
      </c>
      <c r="B1064" s="125">
        <v>148985763.50429335</v>
      </c>
      <c r="C1064" s="125">
        <v>54647305.428535551</v>
      </c>
      <c r="D1064" s="125">
        <v>64131014.451458856</v>
      </c>
      <c r="E1064" s="125">
        <v>74606479.208825067</v>
      </c>
      <c r="F1064" s="123">
        <v>193384799.08881947</v>
      </c>
      <c r="G1064" s="125">
        <v>0</v>
      </c>
      <c r="H1064" s="125">
        <v>1338.0523220913055</v>
      </c>
      <c r="I1064" s="125">
        <v>1186.388946755935</v>
      </c>
      <c r="J1064" s="125">
        <v>697.20225557162723</v>
      </c>
      <c r="K1064" s="125">
        <v>1210.4027676740936</v>
      </c>
      <c r="L1064" s="164">
        <v>3093.9939700016557</v>
      </c>
      <c r="M1064" s="125">
        <v>-45</v>
      </c>
      <c r="N1064" s="115">
        <v>14302.5</v>
      </c>
      <c r="O1064" s="139"/>
      <c r="P1064" s="125">
        <v>0</v>
      </c>
      <c r="Q1064" s="125">
        <v>0</v>
      </c>
      <c r="R1064" s="114"/>
      <c r="S1064" s="125">
        <v>-1.5600000000000003E-6</v>
      </c>
      <c r="T1064" s="125">
        <v>0</v>
      </c>
      <c r="U1064" s="125">
        <v>8570908.9568617996</v>
      </c>
      <c r="V1064" s="125">
        <v>0</v>
      </c>
      <c r="W1064" s="142">
        <v>608631.75</v>
      </c>
      <c r="X1064" s="142">
        <v>3.6948205257717182</v>
      </c>
      <c r="Y1064" s="142">
        <v>65563725.184865527</v>
      </c>
      <c r="Z1064" s="142">
        <v>429.25852062874179</v>
      </c>
    </row>
    <row r="1065" spans="1:26" s="141" customFormat="1">
      <c r="A1065" s="121">
        <v>44529</v>
      </c>
      <c r="B1065" s="125">
        <v>149565548.55179527</v>
      </c>
      <c r="C1065" s="125">
        <v>54691475.61458417</v>
      </c>
      <c r="D1065" s="125">
        <v>64038741.247400612</v>
      </c>
      <c r="E1065" s="125">
        <v>74390355.115513116</v>
      </c>
      <c r="F1065" s="123">
        <v>193120571.97749791</v>
      </c>
      <c r="G1065" s="125">
        <v>0</v>
      </c>
      <c r="H1065" s="125">
        <v>1338.7118013889642</v>
      </c>
      <c r="I1065" s="125">
        <v>1201.3918166687629</v>
      </c>
      <c r="J1065" s="125">
        <v>698.04466689865899</v>
      </c>
      <c r="K1065" s="125">
        <v>1186.7176793823892</v>
      </c>
      <c r="L1065" s="164">
        <v>3086.1541629498111</v>
      </c>
      <c r="M1065" s="125">
        <v>-45</v>
      </c>
      <c r="N1065" s="115">
        <v>14322.5</v>
      </c>
      <c r="O1065" s="139"/>
      <c r="P1065" s="125">
        <v>0</v>
      </c>
      <c r="Q1065" s="125">
        <v>0</v>
      </c>
      <c r="R1065" s="114"/>
      <c r="S1065" s="125">
        <v>-1.5600000000000003E-6</v>
      </c>
      <c r="T1065" s="125">
        <v>0</v>
      </c>
      <c r="U1065" s="125">
        <v>7835122.2912405003</v>
      </c>
      <c r="V1065" s="125">
        <v>0</v>
      </c>
      <c r="W1065" s="142">
        <v>608631.75</v>
      </c>
      <c r="X1065" s="142">
        <v>3.6983966704590681</v>
      </c>
      <c r="Y1065" s="142">
        <v>65345808.346698768</v>
      </c>
      <c r="Z1065" s="142">
        <v>429.2292051566215</v>
      </c>
    </row>
    <row r="1066" spans="1:26" s="141" customFormat="1">
      <c r="A1066" s="121">
        <v>44530</v>
      </c>
      <c r="B1066" s="136">
        <v>151807552.286266</v>
      </c>
      <c r="C1066" s="136">
        <v>53618315.675117001</v>
      </c>
      <c r="D1066" s="136">
        <v>64320770.464064002</v>
      </c>
      <c r="E1066" s="136">
        <v>74112435.462533996</v>
      </c>
      <c r="F1066" s="137">
        <v>192051521.601715</v>
      </c>
      <c r="G1066" s="125">
        <v>0</v>
      </c>
      <c r="H1066" s="136">
        <v>1336.586140740932</v>
      </c>
      <c r="I1066" s="136">
        <v>1207.865178758457</v>
      </c>
      <c r="J1066" s="136">
        <v>696.41949026545649</v>
      </c>
      <c r="K1066" s="136">
        <v>1184.8332967021818</v>
      </c>
      <c r="L1066" s="165">
        <v>3089.1179657260955</v>
      </c>
      <c r="M1066" s="125">
        <v>-45</v>
      </c>
      <c r="N1066" s="115">
        <v>14322.5</v>
      </c>
      <c r="O1066" s="139">
        <v>3395.165</v>
      </c>
      <c r="P1066" s="125">
        <v>-91696.5</v>
      </c>
      <c r="Q1066" s="125">
        <v>0</v>
      </c>
      <c r="R1066" s="114"/>
      <c r="S1066" s="125">
        <v>-1.5600000000000003E-6</v>
      </c>
      <c r="T1066" s="125">
        <v>0</v>
      </c>
      <c r="U1066" s="125">
        <v>6735835.6459400002</v>
      </c>
      <c r="V1066" s="125">
        <v>0</v>
      </c>
      <c r="W1066" s="142">
        <v>608631.75</v>
      </c>
      <c r="X1066" s="142">
        <v>3.7047153997311923</v>
      </c>
      <c r="Y1066" s="142">
        <v>65417724.75915271</v>
      </c>
      <c r="Z1066" s="142">
        <v>427.29334021498209</v>
      </c>
    </row>
    <row r="1067" spans="1:26" s="141" customFormat="1">
      <c r="A1067" s="121">
        <v>44531</v>
      </c>
      <c r="B1067" s="125">
        <v>150421060.13323897</v>
      </c>
      <c r="C1067" s="125">
        <v>54978347.225900017</v>
      </c>
      <c r="D1067" s="125">
        <v>64104783.958380193</v>
      </c>
      <c r="E1067" s="125">
        <v>73714002.318882123</v>
      </c>
      <c r="F1067" s="123">
        <v>192797133.50316232</v>
      </c>
      <c r="G1067" s="125">
        <v>0</v>
      </c>
      <c r="H1067" s="125">
        <v>1327.2309993640297</v>
      </c>
      <c r="I1067" s="125">
        <v>1187.7280872824756</v>
      </c>
      <c r="J1067" s="125">
        <v>698.90599717557825</v>
      </c>
      <c r="K1067" s="125">
        <v>1168.4104588051848</v>
      </c>
      <c r="L1067" s="164">
        <v>3055.0445432632387</v>
      </c>
      <c r="M1067" s="125">
        <v>-45</v>
      </c>
      <c r="N1067" s="115">
        <v>14342.5</v>
      </c>
      <c r="O1067" s="139"/>
      <c r="P1067" s="125">
        <v>-91696.5</v>
      </c>
      <c r="Q1067" s="125">
        <v>0</v>
      </c>
      <c r="R1067" s="114"/>
      <c r="S1067" s="125">
        <v>-1.5600000000000003E-6</v>
      </c>
      <c r="T1067" s="125">
        <v>0</v>
      </c>
      <c r="U1067" s="125">
        <v>5816792.1124257995</v>
      </c>
      <c r="V1067" s="125">
        <v>0</v>
      </c>
      <c r="W1067" s="142">
        <v>608631.75</v>
      </c>
      <c r="X1067" s="142">
        <v>3.7075267251490329</v>
      </c>
      <c r="Y1067" s="142">
        <v>64767035.168424875</v>
      </c>
      <c r="Z1067" s="142">
        <v>429.04173753374027</v>
      </c>
    </row>
    <row r="1068" spans="1:26" s="141" customFormat="1">
      <c r="A1068" s="121">
        <v>44532</v>
      </c>
      <c r="B1068" s="125">
        <v>149983813.95432141</v>
      </c>
      <c r="C1068" s="125">
        <v>56393226.42050527</v>
      </c>
      <c r="D1068" s="125">
        <v>63926323.515667289</v>
      </c>
      <c r="E1068" s="125">
        <v>73756942.296877861</v>
      </c>
      <c r="F1068" s="123">
        <v>194076492.23305041</v>
      </c>
      <c r="G1068" s="125">
        <v>0</v>
      </c>
      <c r="H1068" s="125">
        <v>1324.7775147938273</v>
      </c>
      <c r="I1068" s="125">
        <v>1262.02590437617</v>
      </c>
      <c r="J1068" s="125">
        <v>700.89938896771116</v>
      </c>
      <c r="K1068" s="125">
        <v>1148.6896762047147</v>
      </c>
      <c r="L1068" s="164">
        <v>3111.6149695485956</v>
      </c>
      <c r="M1068" s="125">
        <v>-45</v>
      </c>
      <c r="N1068" s="115">
        <v>14377.5</v>
      </c>
      <c r="O1068" s="139"/>
      <c r="P1068" s="125">
        <v>-91696.5</v>
      </c>
      <c r="Q1068" s="125">
        <v>0</v>
      </c>
      <c r="R1068" s="114"/>
      <c r="S1068" s="125">
        <v>-1.5600000000000003E-6</v>
      </c>
      <c r="T1068" s="125">
        <v>0</v>
      </c>
      <c r="U1068" s="125">
        <v>6129072.0999528002</v>
      </c>
      <c r="V1068" s="125">
        <v>0</v>
      </c>
      <c r="W1068" s="142">
        <v>608631.75</v>
      </c>
      <c r="X1068" s="142">
        <v>3.7025703081446708</v>
      </c>
      <c r="Y1068" s="142">
        <v>64430505.395251177</v>
      </c>
      <c r="Z1068" s="142">
        <v>427.71163058362032</v>
      </c>
    </row>
    <row r="1069" spans="1:26" s="141" customFormat="1">
      <c r="A1069" s="121">
        <v>44533</v>
      </c>
      <c r="B1069" s="125">
        <v>149696318.66466281</v>
      </c>
      <c r="C1069" s="125">
        <v>56427676.504926175</v>
      </c>
      <c r="D1069" s="125">
        <v>64310082.80981046</v>
      </c>
      <c r="E1069" s="125">
        <v>73047502.191772193</v>
      </c>
      <c r="F1069" s="123">
        <v>193785261.50650883</v>
      </c>
      <c r="G1069" s="125">
        <v>0</v>
      </c>
      <c r="H1069" s="125">
        <v>1325.4132931849877</v>
      </c>
      <c r="I1069" s="125">
        <v>1252.823595388134</v>
      </c>
      <c r="J1069" s="125">
        <v>703.20021614581765</v>
      </c>
      <c r="K1069" s="125">
        <v>1149.0114250636002</v>
      </c>
      <c r="L1069" s="164">
        <v>3105.0352365975518</v>
      </c>
      <c r="M1069" s="125">
        <v>-45</v>
      </c>
      <c r="N1069" s="115">
        <v>14397.5</v>
      </c>
      <c r="O1069" s="139"/>
      <c r="P1069" s="125">
        <v>-273921.3</v>
      </c>
      <c r="Q1069" s="125">
        <v>0</v>
      </c>
      <c r="R1069" s="114"/>
      <c r="S1069" s="125">
        <v>-1.5600000000000003E-6</v>
      </c>
      <c r="T1069" s="125">
        <v>0</v>
      </c>
      <c r="U1069" s="125">
        <v>7595703.8645257996</v>
      </c>
      <c r="V1069" s="125">
        <v>0</v>
      </c>
      <c r="W1069" s="142">
        <v>608631.75</v>
      </c>
      <c r="X1069" s="142">
        <v>3.7058253410765758</v>
      </c>
      <c r="Y1069" s="142">
        <v>63563967.377457678</v>
      </c>
      <c r="Z1069" s="142">
        <v>429.26288091426346</v>
      </c>
    </row>
    <row r="1070" spans="1:26" s="141" customFormat="1">
      <c r="A1070" s="121">
        <v>44536</v>
      </c>
      <c r="B1070" s="125">
        <v>149839119.83051324</v>
      </c>
      <c r="C1070" s="125">
        <v>59600113.007276893</v>
      </c>
      <c r="D1070" s="125">
        <v>63692951.088698655</v>
      </c>
      <c r="E1070" s="125">
        <v>73123019.080711454</v>
      </c>
      <c r="F1070" s="123">
        <v>196416083.176687</v>
      </c>
      <c r="G1070" s="125">
        <v>0</v>
      </c>
      <c r="H1070" s="125">
        <v>1308.7922445881675</v>
      </c>
      <c r="I1070" s="125">
        <v>1263.5264081323194</v>
      </c>
      <c r="J1070" s="125">
        <v>699.69888431074139</v>
      </c>
      <c r="K1070" s="125">
        <v>1147.9199877314827</v>
      </c>
      <c r="L1070" s="164">
        <v>3111.1452801745436</v>
      </c>
      <c r="M1070" s="125">
        <v>-45</v>
      </c>
      <c r="N1070" s="115">
        <v>14437.5</v>
      </c>
      <c r="O1070" s="139"/>
      <c r="P1070" s="125">
        <v>-273921.3</v>
      </c>
      <c r="Q1070" s="125">
        <v>0</v>
      </c>
      <c r="R1070" s="114"/>
      <c r="S1070" s="125">
        <v>-1.5600000000000003E-6</v>
      </c>
      <c r="T1070" s="125">
        <v>0</v>
      </c>
      <c r="U1070" s="125">
        <v>7908615.7568732994</v>
      </c>
      <c r="V1070" s="125">
        <v>0</v>
      </c>
      <c r="W1070" s="142">
        <v>608631.75</v>
      </c>
      <c r="X1070" s="142">
        <v>3.7042737200865803</v>
      </c>
      <c r="Y1070" s="142">
        <v>63421911.103432208</v>
      </c>
      <c r="Z1070" s="142">
        <v>429.21416735838955</v>
      </c>
    </row>
    <row r="1071" spans="1:26" s="141" customFormat="1">
      <c r="A1071" s="121">
        <v>44537</v>
      </c>
      <c r="B1071" s="125">
        <v>149616375.40863359</v>
      </c>
      <c r="C1071" s="125">
        <v>59775196.410471119</v>
      </c>
      <c r="D1071" s="125">
        <v>63713697.852708504</v>
      </c>
      <c r="E1071" s="125">
        <v>72005880.605064049</v>
      </c>
      <c r="F1071" s="123">
        <v>195494774.86824369</v>
      </c>
      <c r="G1071" s="125">
        <v>0</v>
      </c>
      <c r="H1071" s="125">
        <v>1321.6388384483453</v>
      </c>
      <c r="I1071" s="125">
        <v>1254.552155675319</v>
      </c>
      <c r="J1071" s="125">
        <v>700.80870226321406</v>
      </c>
      <c r="K1071" s="125">
        <v>1151.6885099464725</v>
      </c>
      <c r="L1071" s="164">
        <v>3107.0493678850057</v>
      </c>
      <c r="M1071" s="125">
        <v>-45</v>
      </c>
      <c r="N1071" s="115">
        <v>14377.5</v>
      </c>
      <c r="O1071" s="139"/>
      <c r="P1071" s="125">
        <v>-273921.3</v>
      </c>
      <c r="Q1071" s="125">
        <v>0</v>
      </c>
      <c r="R1071" s="114"/>
      <c r="S1071" s="125">
        <v>-1.5600000000000003E-6</v>
      </c>
      <c r="T1071" s="125">
        <v>0</v>
      </c>
      <c r="U1071" s="125">
        <v>9217665.4913669992</v>
      </c>
      <c r="V1071" s="125">
        <v>0</v>
      </c>
      <c r="W1071" s="142">
        <v>608631.75</v>
      </c>
      <c r="X1071" s="142">
        <v>3.7066391657346549</v>
      </c>
      <c r="Y1071" s="142">
        <v>64509298.425476626</v>
      </c>
      <c r="Z1071" s="142">
        <v>428.33126329576419</v>
      </c>
    </row>
    <row r="1072" spans="1:26" s="141" customFormat="1">
      <c r="A1072" s="121">
        <v>44538</v>
      </c>
      <c r="B1072" s="125">
        <v>150601076.12943381</v>
      </c>
      <c r="C1072" s="125">
        <v>59432172.204282269</v>
      </c>
      <c r="D1072" s="125">
        <v>63235918.319612212</v>
      </c>
      <c r="E1072" s="125">
        <v>72120749.670039222</v>
      </c>
      <c r="F1072" s="123">
        <v>194788840.19393373</v>
      </c>
      <c r="G1072" s="125">
        <v>0</v>
      </c>
      <c r="H1072" s="125">
        <v>1315.5632169700086</v>
      </c>
      <c r="I1072" s="125">
        <v>1243.8562603888647</v>
      </c>
      <c r="J1072" s="125">
        <v>700.03549539743358</v>
      </c>
      <c r="K1072" s="125">
        <v>1151.8328171466972</v>
      </c>
      <c r="L1072" s="164">
        <v>3095.7245729329952</v>
      </c>
      <c r="M1072" s="125">
        <v>-45</v>
      </c>
      <c r="N1072" s="115">
        <v>14357.5</v>
      </c>
      <c r="O1072" s="139"/>
      <c r="P1072" s="125">
        <v>-273921.3</v>
      </c>
      <c r="Q1072" s="125">
        <v>0</v>
      </c>
      <c r="R1072" s="114"/>
      <c r="S1072" s="125">
        <v>-1.5600000000000003E-6</v>
      </c>
      <c r="T1072" s="125">
        <v>0</v>
      </c>
      <c r="U1072" s="125">
        <v>9361643.8638421986</v>
      </c>
      <c r="V1072" s="125">
        <v>0</v>
      </c>
      <c r="W1072" s="142">
        <v>608631.75</v>
      </c>
      <c r="X1072" s="142">
        <v>3.712372548323176</v>
      </c>
      <c r="Y1072" s="142">
        <v>63978002.647038601</v>
      </c>
      <c r="Z1072" s="142">
        <v>427.86248303109653</v>
      </c>
    </row>
    <row r="1073" spans="1:26" s="141" customFormat="1">
      <c r="A1073" s="121">
        <v>44539</v>
      </c>
      <c r="B1073" s="125">
        <v>149984030.38573912</v>
      </c>
      <c r="C1073" s="125">
        <v>59044875.50381434</v>
      </c>
      <c r="D1073" s="125">
        <v>63029696.644771129</v>
      </c>
      <c r="E1073" s="125">
        <v>72747470.743075728</v>
      </c>
      <c r="F1073" s="123">
        <v>194822042.8916612</v>
      </c>
      <c r="G1073" s="125">
        <v>0</v>
      </c>
      <c r="H1073" s="125">
        <v>1311.7831933729954</v>
      </c>
      <c r="I1073" s="125">
        <v>1271.6995156318253</v>
      </c>
      <c r="J1073" s="125">
        <v>699.23734424014231</v>
      </c>
      <c r="K1073" s="125">
        <v>1151.2552214223429</v>
      </c>
      <c r="L1073" s="164">
        <v>3122.1920812943104</v>
      </c>
      <c r="M1073" s="125">
        <v>-45</v>
      </c>
      <c r="N1073" s="115">
        <v>14352.5</v>
      </c>
      <c r="O1073" s="139"/>
      <c r="P1073" s="125">
        <v>-273921.3</v>
      </c>
      <c r="Q1073" s="125">
        <v>0</v>
      </c>
      <c r="R1073" s="114"/>
      <c r="S1073" s="125">
        <v>-1.5600000000000003E-6</v>
      </c>
      <c r="T1073" s="125">
        <v>0</v>
      </c>
      <c r="U1073" s="125">
        <v>8935045.8424301986</v>
      </c>
      <c r="V1073" s="125">
        <v>0</v>
      </c>
      <c r="W1073" s="142">
        <v>608631.75</v>
      </c>
      <c r="X1073" s="142">
        <v>3.7186942990315277</v>
      </c>
      <c r="Y1073" s="142">
        <v>64195675.390202366</v>
      </c>
      <c r="Z1073" s="142">
        <v>429.00697844740915</v>
      </c>
    </row>
    <row r="1074" spans="1:26" s="141" customFormat="1">
      <c r="A1074" s="121">
        <v>44540</v>
      </c>
      <c r="B1074" s="125">
        <v>150573067.54469106</v>
      </c>
      <c r="C1074" s="125">
        <v>57632892.186751403</v>
      </c>
      <c r="D1074" s="125">
        <v>62843587.409238733</v>
      </c>
      <c r="E1074" s="125">
        <v>71618006.510012373</v>
      </c>
      <c r="F1074" s="123">
        <v>192094486.10600251</v>
      </c>
      <c r="G1074" s="125">
        <v>0</v>
      </c>
      <c r="H1074" s="125">
        <v>1316.8976999943345</v>
      </c>
      <c r="I1074" s="125">
        <v>1284.6577437230133</v>
      </c>
      <c r="J1074" s="125">
        <v>690.90208030343115</v>
      </c>
      <c r="K1074" s="125">
        <v>1153.6811875507804</v>
      </c>
      <c r="L1074" s="164">
        <v>3129.2410115772245</v>
      </c>
      <c r="M1074" s="125">
        <v>-45</v>
      </c>
      <c r="N1074" s="115">
        <v>14372.5</v>
      </c>
      <c r="O1074" s="139"/>
      <c r="P1074" s="125">
        <v>-273921.3</v>
      </c>
      <c r="Q1074" s="125">
        <v>0</v>
      </c>
      <c r="R1074" s="114"/>
      <c r="S1074" s="125">
        <v>-1.5600000000000003E-6</v>
      </c>
      <c r="T1074" s="125">
        <v>0</v>
      </c>
      <c r="U1074" s="125">
        <v>6972505.221039</v>
      </c>
      <c r="V1074" s="125">
        <v>0</v>
      </c>
      <c r="W1074" s="142">
        <v>608631.75</v>
      </c>
      <c r="X1074" s="142">
        <v>3.706757743583232</v>
      </c>
      <c r="Y1074" s="142">
        <v>64106944.105566852</v>
      </c>
      <c r="Z1074" s="142">
        <v>427.99232735168687</v>
      </c>
    </row>
    <row r="1075" spans="1:26" s="141" customFormat="1">
      <c r="A1075" s="121">
        <v>44543</v>
      </c>
      <c r="B1075" s="125">
        <v>150986923.38512072</v>
      </c>
      <c r="C1075" s="125">
        <v>58372042.584361531</v>
      </c>
      <c r="D1075" s="125">
        <v>62566418.67454119</v>
      </c>
      <c r="E1075" s="125">
        <v>71012146.237618238</v>
      </c>
      <c r="F1075" s="123">
        <v>191950607.49652097</v>
      </c>
      <c r="G1075" s="125">
        <v>0</v>
      </c>
      <c r="H1075" s="125">
        <v>1312.8380728104239</v>
      </c>
      <c r="I1075" s="125">
        <v>1308.7176735350217</v>
      </c>
      <c r="J1075" s="125">
        <v>690.90352226770801</v>
      </c>
      <c r="K1075" s="125">
        <v>1147.6713649427738</v>
      </c>
      <c r="L1075" s="164">
        <v>3147.2925607455036</v>
      </c>
      <c r="M1075" s="125">
        <v>-45</v>
      </c>
      <c r="N1075" s="115">
        <v>14342.5</v>
      </c>
      <c r="O1075" s="139"/>
      <c r="P1075" s="125">
        <v>-273921.3</v>
      </c>
      <c r="Q1075" s="125">
        <v>0</v>
      </c>
      <c r="R1075" s="114"/>
      <c r="S1075" s="125">
        <v>-1.5600000000000003E-6</v>
      </c>
      <c r="T1075" s="125">
        <v>0</v>
      </c>
      <c r="U1075" s="125">
        <v>6167379.6665642997</v>
      </c>
      <c r="V1075" s="125">
        <v>0</v>
      </c>
      <c r="W1075" s="142">
        <v>608631.75</v>
      </c>
      <c r="X1075" s="142">
        <v>3.7087887087641622</v>
      </c>
      <c r="Y1075" s="142">
        <v>64699438.154499069</v>
      </c>
      <c r="Z1075" s="142">
        <v>428.76499121625233</v>
      </c>
    </row>
    <row r="1076" spans="1:26" s="141" customFormat="1">
      <c r="A1076" s="121">
        <v>44544</v>
      </c>
      <c r="B1076" s="125">
        <v>151357198.43709451</v>
      </c>
      <c r="C1076" s="125">
        <v>58854719.312661201</v>
      </c>
      <c r="D1076" s="125">
        <v>62373876.635568634</v>
      </c>
      <c r="E1076" s="125">
        <v>71721886.708210066</v>
      </c>
      <c r="F1076" s="123">
        <v>192950482.6564399</v>
      </c>
      <c r="G1076" s="125">
        <v>0</v>
      </c>
      <c r="H1076" s="125">
        <v>1324.9517111634502</v>
      </c>
      <c r="I1076" s="125">
        <v>1274.3728117939988</v>
      </c>
      <c r="J1076" s="125">
        <v>692.60881661907013</v>
      </c>
      <c r="K1076" s="125">
        <v>1146.6612710578752</v>
      </c>
      <c r="L1076" s="164">
        <v>3113.642899470944</v>
      </c>
      <c r="M1076" s="125">
        <v>-45</v>
      </c>
      <c r="N1076" s="115">
        <v>14332.5</v>
      </c>
      <c r="O1076" s="139"/>
      <c r="P1076" s="125">
        <v>-273921.3</v>
      </c>
      <c r="Q1076" s="125">
        <v>0</v>
      </c>
      <c r="R1076" s="114"/>
      <c r="S1076" s="125">
        <v>-1.5600000000000003E-6</v>
      </c>
      <c r="T1076" s="125">
        <v>0</v>
      </c>
      <c r="U1076" s="125">
        <v>5580454.9863969004</v>
      </c>
      <c r="V1076" s="125">
        <v>0</v>
      </c>
      <c r="W1076" s="142">
        <v>608631.75</v>
      </c>
      <c r="X1076" s="142">
        <v>3.7089582545996858</v>
      </c>
      <c r="Y1076" s="142">
        <v>64571507.406590231</v>
      </c>
      <c r="Z1076" s="142">
        <v>428.24973183528903</v>
      </c>
    </row>
    <row r="1077" spans="1:26" s="141" customFormat="1">
      <c r="A1077" s="121">
        <v>44545</v>
      </c>
      <c r="B1077" s="125">
        <v>151715693.6262688</v>
      </c>
      <c r="C1077" s="125">
        <v>58798023.676509902</v>
      </c>
      <c r="D1077" s="125">
        <v>62694578.018550247</v>
      </c>
      <c r="E1077" s="125">
        <v>71684683.173298523</v>
      </c>
      <c r="F1077" s="123">
        <v>193177284.86835867</v>
      </c>
      <c r="G1077" s="125">
        <v>0</v>
      </c>
      <c r="H1077" s="125">
        <v>1344.512370883376</v>
      </c>
      <c r="I1077" s="125">
        <v>1297.0452533072792</v>
      </c>
      <c r="J1077" s="125">
        <v>689.01232778057238</v>
      </c>
      <c r="K1077" s="125">
        <v>1144.4748767002018</v>
      </c>
      <c r="L1077" s="164">
        <v>3130.5324577880533</v>
      </c>
      <c r="M1077" s="125">
        <v>-45</v>
      </c>
      <c r="N1077" s="115">
        <v>14332.5</v>
      </c>
      <c r="O1077" s="139"/>
      <c r="P1077" s="125">
        <v>-273921.3</v>
      </c>
      <c r="Q1077" s="125">
        <v>0</v>
      </c>
      <c r="R1077" s="114"/>
      <c r="S1077" s="125">
        <v>-1.5600000000000003E-6</v>
      </c>
      <c r="T1077" s="125">
        <v>0</v>
      </c>
      <c r="U1077" s="125">
        <v>4868039.5318346992</v>
      </c>
      <c r="V1077" s="125">
        <v>0</v>
      </c>
      <c r="W1077" s="142">
        <v>608631.75</v>
      </c>
      <c r="X1077" s="142">
        <v>3.7081698366684104</v>
      </c>
      <c r="Y1077" s="142">
        <v>65125546.942913875</v>
      </c>
      <c r="Z1077" s="142">
        <v>430.31977617701642</v>
      </c>
    </row>
    <row r="1078" spans="1:26" s="141" customFormat="1">
      <c r="A1078" s="121">
        <v>44546</v>
      </c>
      <c r="B1078" s="125">
        <v>151800445.42112255</v>
      </c>
      <c r="C1078" s="125">
        <v>57830289.550789848</v>
      </c>
      <c r="D1078" s="125">
        <v>62639531.253524207</v>
      </c>
      <c r="E1078" s="125">
        <v>71896412.964808449</v>
      </c>
      <c r="F1078" s="123">
        <v>192366233.76912248</v>
      </c>
      <c r="G1078" s="125">
        <v>0</v>
      </c>
      <c r="H1078" s="125">
        <v>1338.8649731075527</v>
      </c>
      <c r="I1078" s="125">
        <v>1302.8729499144176</v>
      </c>
      <c r="J1078" s="125">
        <v>691.54627385786432</v>
      </c>
      <c r="K1078" s="125">
        <v>1142.9474152858832</v>
      </c>
      <c r="L1078" s="164">
        <v>3137.3666390581648</v>
      </c>
      <c r="M1078" s="125">
        <v>-45</v>
      </c>
      <c r="N1078" s="115">
        <v>14342.5</v>
      </c>
      <c r="O1078" s="139"/>
      <c r="P1078" s="125">
        <v>-273921.3</v>
      </c>
      <c r="Q1078" s="125">
        <v>0</v>
      </c>
      <c r="R1078" s="114"/>
      <c r="S1078" s="125">
        <v>-1.5600000000000003E-6</v>
      </c>
      <c r="T1078" s="125">
        <v>0</v>
      </c>
      <c r="U1078" s="125">
        <v>4306332.4672724996</v>
      </c>
      <c r="V1078" s="125">
        <v>0</v>
      </c>
      <c r="W1078" s="142">
        <v>608631.75</v>
      </c>
      <c r="X1078" s="142">
        <v>3.7072060000313751</v>
      </c>
      <c r="Y1078" s="142">
        <v>64774871.474512935</v>
      </c>
      <c r="Z1078" s="142">
        <v>430.38102500999412</v>
      </c>
    </row>
    <row r="1079" spans="1:26" s="141" customFormat="1">
      <c r="A1079" s="121">
        <v>44547</v>
      </c>
      <c r="B1079" s="125">
        <v>151907534.8224698</v>
      </c>
      <c r="C1079" s="125">
        <v>59037386.958324999</v>
      </c>
      <c r="D1079" s="125">
        <v>62772400.172384955</v>
      </c>
      <c r="E1079" s="125">
        <v>72160559.885057181</v>
      </c>
      <c r="F1079" s="123">
        <v>193970347.01576713</v>
      </c>
      <c r="G1079" s="125">
        <v>0</v>
      </c>
      <c r="H1079" s="125">
        <v>1339.0134648790147</v>
      </c>
      <c r="I1079" s="125">
        <v>1307.8365064566422</v>
      </c>
      <c r="J1079" s="125">
        <v>687.53080197409747</v>
      </c>
      <c r="K1079" s="125">
        <v>1143.0471283735778</v>
      </c>
      <c r="L1079" s="164">
        <v>3138.4144368043176</v>
      </c>
      <c r="M1079" s="125">
        <v>-45</v>
      </c>
      <c r="N1079" s="115">
        <v>14367.5</v>
      </c>
      <c r="O1079" s="139"/>
      <c r="P1079" s="125">
        <v>-273921.3</v>
      </c>
      <c r="Q1079" s="125">
        <v>0</v>
      </c>
      <c r="R1079" s="114"/>
      <c r="S1079" s="125">
        <v>-1.5600000000000003E-6</v>
      </c>
      <c r="T1079" s="125">
        <v>0</v>
      </c>
      <c r="U1079" s="125">
        <v>3689741.1426137001</v>
      </c>
      <c r="V1079" s="125">
        <v>0</v>
      </c>
      <c r="W1079" s="142">
        <v>608631.75</v>
      </c>
      <c r="X1079" s="142">
        <v>3.7045934737393424</v>
      </c>
      <c r="Y1079" s="142">
        <v>64695780.89696531</v>
      </c>
      <c r="Z1079" s="142">
        <v>429.94873534929593</v>
      </c>
    </row>
    <row r="1080" spans="1:26" s="141" customFormat="1">
      <c r="A1080" s="121">
        <v>44550</v>
      </c>
      <c r="B1080" s="125">
        <v>152839758.55179051</v>
      </c>
      <c r="C1080" s="125">
        <v>59355040.018351875</v>
      </c>
      <c r="D1080" s="125">
        <v>62322291.73427204</v>
      </c>
      <c r="E1080" s="125">
        <v>73134690.839217216</v>
      </c>
      <c r="F1080" s="123">
        <v>194812022.59184113</v>
      </c>
      <c r="G1080" s="125">
        <v>0</v>
      </c>
      <c r="H1080" s="125">
        <v>1362.629599708572</v>
      </c>
      <c r="I1080" s="125">
        <v>1301.2500992884779</v>
      </c>
      <c r="J1080" s="125">
        <v>686.70810002086671</v>
      </c>
      <c r="K1080" s="125">
        <v>1145.9436771343123</v>
      </c>
      <c r="L1080" s="164">
        <v>3133.9018764436569</v>
      </c>
      <c r="M1080" s="125">
        <v>-45</v>
      </c>
      <c r="N1080" s="115">
        <v>14377.5</v>
      </c>
      <c r="O1080" s="139"/>
      <c r="P1080" s="125">
        <v>-273921.3</v>
      </c>
      <c r="Q1080" s="125">
        <v>0</v>
      </c>
      <c r="R1080" s="114"/>
      <c r="S1080" s="125">
        <v>-1.5600000000000003E-6</v>
      </c>
      <c r="T1080" s="125">
        <v>0</v>
      </c>
      <c r="U1080" s="125">
        <v>3649306.1060762</v>
      </c>
      <c r="V1080" s="125">
        <v>0</v>
      </c>
      <c r="W1080" s="142">
        <v>608631.75</v>
      </c>
      <c r="X1080" s="142">
        <v>2.9174929302973398</v>
      </c>
      <c r="Y1080" s="142">
        <v>64843878.524320535</v>
      </c>
      <c r="Z1080" s="142">
        <v>430.92279656987944</v>
      </c>
    </row>
    <row r="1081" spans="1:26" s="141" customFormat="1">
      <c r="A1081" s="121">
        <v>44551</v>
      </c>
      <c r="B1081" s="125">
        <v>154016436.16927367</v>
      </c>
      <c r="C1081" s="125">
        <v>59149239.639059894</v>
      </c>
      <c r="D1081" s="125">
        <v>62688648.273020253</v>
      </c>
      <c r="E1081" s="125">
        <v>74125785.478514999</v>
      </c>
      <c r="F1081" s="123">
        <v>195963673.39059514</v>
      </c>
      <c r="G1081" s="125">
        <v>0</v>
      </c>
      <c r="H1081" s="125">
        <v>1338.7246195845291</v>
      </c>
      <c r="I1081" s="125">
        <v>1288.2450936821876</v>
      </c>
      <c r="J1081" s="125">
        <v>690.48715192416967</v>
      </c>
      <c r="K1081" s="125">
        <v>1136.6931811798313</v>
      </c>
      <c r="L1081" s="164">
        <v>3115.4254267861888</v>
      </c>
      <c r="M1081" s="125">
        <v>-45</v>
      </c>
      <c r="N1081" s="115">
        <v>14314</v>
      </c>
      <c r="O1081" s="139"/>
      <c r="P1081" s="125">
        <v>-273921.3</v>
      </c>
      <c r="Q1081" s="125">
        <v>0</v>
      </c>
      <c r="R1081" s="114"/>
      <c r="S1081" s="125">
        <v>-1.5600000000000003E-6</v>
      </c>
      <c r="T1081" s="125">
        <v>0</v>
      </c>
      <c r="U1081" s="125">
        <v>2812211.0551646003</v>
      </c>
      <c r="V1081" s="125">
        <v>0</v>
      </c>
      <c r="W1081" s="142">
        <v>608631.75</v>
      </c>
      <c r="X1081" s="142">
        <v>2.9200190108956265</v>
      </c>
      <c r="Y1081" s="142">
        <v>64888844.194463514</v>
      </c>
      <c r="Z1081" s="142">
        <v>430.02324544995673</v>
      </c>
    </row>
    <row r="1082" spans="1:26" s="141" customFormat="1">
      <c r="A1082" s="121">
        <v>44552</v>
      </c>
      <c r="B1082" s="125">
        <v>155129513.68074274</v>
      </c>
      <c r="C1082" s="125">
        <v>59967466.350171261</v>
      </c>
      <c r="D1082" s="125">
        <v>62573372.024207845</v>
      </c>
      <c r="E1082" s="125">
        <v>73814228.398616344</v>
      </c>
      <c r="F1082" s="123">
        <v>196355066.77299544</v>
      </c>
      <c r="G1082" s="125">
        <v>0</v>
      </c>
      <c r="H1082" s="125">
        <v>1328.992611591694</v>
      </c>
      <c r="I1082" s="125">
        <v>1314.2909491537512</v>
      </c>
      <c r="J1082" s="125">
        <v>690.36105189341311</v>
      </c>
      <c r="K1082" s="125">
        <v>1128.668709720899</v>
      </c>
      <c r="L1082" s="164">
        <v>3133.3207107680632</v>
      </c>
      <c r="M1082" s="125">
        <v>-45</v>
      </c>
      <c r="N1082" s="115">
        <v>14287.5</v>
      </c>
      <c r="O1082" s="139"/>
      <c r="P1082" s="125">
        <v>-273921.3</v>
      </c>
      <c r="Q1082" s="125">
        <v>0</v>
      </c>
      <c r="R1082" s="114"/>
      <c r="S1082" s="125">
        <v>-1.5600000000000003E-6</v>
      </c>
      <c r="T1082" s="125">
        <v>0</v>
      </c>
      <c r="U1082" s="125">
        <v>2318307.2802356002</v>
      </c>
      <c r="V1082" s="125">
        <v>0</v>
      </c>
      <c r="W1082" s="142">
        <v>608631.75</v>
      </c>
      <c r="X1082" s="142">
        <v>2.9193566938057742</v>
      </c>
      <c r="Y1082" s="142">
        <v>65139805.178765342</v>
      </c>
      <c r="Z1082" s="142">
        <v>428.63736162560343</v>
      </c>
    </row>
    <row r="1083" spans="1:26" s="141" customFormat="1">
      <c r="A1083" s="121">
        <v>44553</v>
      </c>
      <c r="B1083" s="125">
        <v>154250870.79576713</v>
      </c>
      <c r="C1083" s="125">
        <v>59834471.673117839</v>
      </c>
      <c r="D1083" s="125">
        <v>62809561.075957157</v>
      </c>
      <c r="E1083" s="125">
        <v>73695997.366387427</v>
      </c>
      <c r="F1083" s="123">
        <v>196340030.11546242</v>
      </c>
      <c r="G1083" s="125">
        <v>0</v>
      </c>
      <c r="H1083" s="125">
        <v>1330.0795544649393</v>
      </c>
      <c r="I1083" s="125">
        <v>1306.6474092833535</v>
      </c>
      <c r="J1083" s="125">
        <v>693.33207704115932</v>
      </c>
      <c r="K1083" s="125">
        <v>1127.0522366207026</v>
      </c>
      <c r="L1083" s="164">
        <v>3127.0317229452157</v>
      </c>
      <c r="M1083" s="125">
        <v>-45</v>
      </c>
      <c r="N1083" s="115">
        <v>14248.5</v>
      </c>
      <c r="O1083" s="139"/>
      <c r="P1083" s="125">
        <v>-273921.3</v>
      </c>
      <c r="Q1083" s="125">
        <v>0</v>
      </c>
      <c r="R1083" s="114"/>
      <c r="S1083" s="125">
        <v>-1.5600000000000003E-6</v>
      </c>
      <c r="T1083" s="125">
        <v>0</v>
      </c>
      <c r="U1083" s="125">
        <v>2140768.6346827997</v>
      </c>
      <c r="V1083" s="125">
        <v>0</v>
      </c>
      <c r="W1083" s="142">
        <v>609786</v>
      </c>
      <c r="X1083" s="142">
        <v>2.9204455250931676</v>
      </c>
      <c r="Y1083" s="142">
        <v>64837459.745535284</v>
      </c>
      <c r="Z1083" s="142">
        <v>429.20811676973437</v>
      </c>
    </row>
    <row r="1084" spans="1:26" s="141" customFormat="1">
      <c r="A1084" s="121">
        <v>44554</v>
      </c>
      <c r="B1084" s="125">
        <v>153857728.46107259</v>
      </c>
      <c r="C1084" s="125">
        <v>57785483.024319641</v>
      </c>
      <c r="D1084" s="125">
        <v>62763495.817148045</v>
      </c>
      <c r="E1084" s="125">
        <v>74036932.595017672</v>
      </c>
      <c r="F1084" s="123">
        <v>194585911.43648535</v>
      </c>
      <c r="G1084" s="125">
        <v>0</v>
      </c>
      <c r="H1084" s="125">
        <v>1327.8665132600006</v>
      </c>
      <c r="I1084" s="125">
        <v>1312.7870124157719</v>
      </c>
      <c r="J1084" s="125">
        <v>695.85436211410945</v>
      </c>
      <c r="K1084" s="125">
        <v>1127.7536016591059</v>
      </c>
      <c r="L1084" s="164">
        <v>3136.3949761889871</v>
      </c>
      <c r="M1084" s="125">
        <v>-45</v>
      </c>
      <c r="N1084" s="115">
        <v>14221</v>
      </c>
      <c r="O1084" s="139"/>
      <c r="P1084" s="125">
        <v>-273921.3</v>
      </c>
      <c r="Q1084" s="125">
        <v>0</v>
      </c>
      <c r="R1084" s="114"/>
      <c r="S1084" s="125">
        <v>-1.5600000000000003E-6</v>
      </c>
      <c r="T1084" s="125">
        <v>0</v>
      </c>
      <c r="U1084" s="125">
        <v>2140768.6346827997</v>
      </c>
      <c r="V1084" s="125">
        <v>0</v>
      </c>
      <c r="W1084" s="142">
        <v>609786</v>
      </c>
      <c r="X1084" s="142">
        <v>2.9207428393179096</v>
      </c>
      <c r="Y1084" s="142">
        <v>64521129.650752522</v>
      </c>
      <c r="Z1084" s="142">
        <v>428.93953875761468</v>
      </c>
    </row>
    <row r="1085" spans="1:26" s="141" customFormat="1">
      <c r="A1085" s="121">
        <v>44557</v>
      </c>
      <c r="B1085" s="125">
        <v>155046909.1710254</v>
      </c>
      <c r="C1085" s="125">
        <v>59745196.056507409</v>
      </c>
      <c r="D1085" s="125">
        <v>62741832.613325775</v>
      </c>
      <c r="E1085" s="125">
        <v>73395034.873812214</v>
      </c>
      <c r="F1085" s="123">
        <v>195882063.54364538</v>
      </c>
      <c r="G1085" s="125">
        <v>0</v>
      </c>
      <c r="H1085" s="125">
        <v>1323.306758217379</v>
      </c>
      <c r="I1085" s="125">
        <v>1277.5956724315413</v>
      </c>
      <c r="J1085" s="125">
        <v>694.4581890500308</v>
      </c>
      <c r="K1085" s="125">
        <v>1127.5926633955542</v>
      </c>
      <c r="L1085" s="164">
        <v>3099.6465248771265</v>
      </c>
      <c r="M1085" s="125">
        <v>-45</v>
      </c>
      <c r="N1085" s="115">
        <v>14226.5</v>
      </c>
      <c r="O1085" s="139"/>
      <c r="P1085" s="125">
        <v>-273921.3</v>
      </c>
      <c r="Q1085" s="125">
        <v>0</v>
      </c>
      <c r="R1085" s="114"/>
      <c r="S1085" s="125">
        <v>-1.5600000000000003E-6</v>
      </c>
      <c r="T1085" s="125">
        <v>0</v>
      </c>
      <c r="U1085" s="125">
        <v>1589824.855</v>
      </c>
      <c r="V1085" s="125">
        <v>0</v>
      </c>
      <c r="W1085" s="142">
        <v>609786</v>
      </c>
      <c r="X1085" s="142">
        <v>2.9200749128183321</v>
      </c>
      <c r="Y1085" s="142">
        <v>64455811.916458867</v>
      </c>
      <c r="Z1085" s="142">
        <v>428.34094033147801</v>
      </c>
    </row>
    <row r="1086" spans="1:26" s="141" customFormat="1">
      <c r="A1086" s="121">
        <v>44558</v>
      </c>
      <c r="B1086" s="125">
        <v>156434872.09247813</v>
      </c>
      <c r="C1086" s="125">
        <v>59822561.251039356</v>
      </c>
      <c r="D1086" s="125">
        <v>63445323.826771937</v>
      </c>
      <c r="E1086" s="125">
        <v>73312192.856494859</v>
      </c>
      <c r="F1086" s="123">
        <v>196580077.93430614</v>
      </c>
      <c r="G1086" s="125">
        <v>0</v>
      </c>
      <c r="H1086" s="125">
        <v>1327.4426339275774</v>
      </c>
      <c r="I1086" s="125">
        <v>1256.9558562877717</v>
      </c>
      <c r="J1086" s="125">
        <v>696.94095489420238</v>
      </c>
      <c r="K1086" s="125">
        <v>1121.469085718004</v>
      </c>
      <c r="L1086" s="164">
        <v>3075.365896899978</v>
      </c>
      <c r="M1086" s="125">
        <v>-45</v>
      </c>
      <c r="N1086" s="115">
        <v>14227.5</v>
      </c>
      <c r="O1086" s="139"/>
      <c r="P1086" s="125">
        <v>-273921.3</v>
      </c>
      <c r="Q1086" s="125">
        <v>0</v>
      </c>
      <c r="R1086" s="114"/>
      <c r="S1086" s="125">
        <v>-1.5600000000000003E-6</v>
      </c>
      <c r="T1086" s="125">
        <v>0</v>
      </c>
      <c r="U1086" s="125">
        <v>1589824.855</v>
      </c>
      <c r="V1086" s="125">
        <v>0</v>
      </c>
      <c r="W1086" s="142">
        <v>609786</v>
      </c>
      <c r="X1086" s="142">
        <v>2.9202626276120189</v>
      </c>
      <c r="Y1086" s="142">
        <v>64239311.041739322</v>
      </c>
      <c r="Z1086" s="142">
        <v>429.13954107100955</v>
      </c>
    </row>
    <row r="1087" spans="1:26" s="141" customFormat="1">
      <c r="A1087" s="121">
        <v>44559</v>
      </c>
      <c r="B1087" s="125">
        <v>156629965.5980888</v>
      </c>
      <c r="C1087" s="125">
        <v>59003877.811361797</v>
      </c>
      <c r="D1087" s="125">
        <v>61934288.845414899</v>
      </c>
      <c r="E1087" s="125">
        <v>73777837.14546892</v>
      </c>
      <c r="F1087" s="123">
        <v>194716003.80224562</v>
      </c>
      <c r="G1087" s="125">
        <v>0</v>
      </c>
      <c r="H1087" s="125">
        <v>1335.2564332369163</v>
      </c>
      <c r="I1087" s="125">
        <v>1257.2993672900184</v>
      </c>
      <c r="J1087" s="125">
        <v>693.48870829884038</v>
      </c>
      <c r="K1087" s="125">
        <v>1121.239995889051</v>
      </c>
      <c r="L1087" s="164">
        <v>3072.0280714779096</v>
      </c>
      <c r="M1087" s="125">
        <v>-45</v>
      </c>
      <c r="N1087" s="115">
        <v>14252.5</v>
      </c>
      <c r="O1087" s="139"/>
      <c r="P1087" s="125">
        <v>-365447.7</v>
      </c>
      <c r="Q1087" s="125">
        <v>0</v>
      </c>
      <c r="R1087" s="114"/>
      <c r="S1087" s="125">
        <v>-1.5600000000000003E-6</v>
      </c>
      <c r="T1087" s="125">
        <v>0</v>
      </c>
      <c r="U1087" s="125">
        <v>1681324.2549999999</v>
      </c>
      <c r="V1087" s="125">
        <v>0</v>
      </c>
      <c r="W1087" s="142">
        <v>609786</v>
      </c>
      <c r="X1087" s="142">
        <v>2.9199478135660413</v>
      </c>
      <c r="Y1087" s="142">
        <v>64248475.613124654</v>
      </c>
      <c r="Z1087" s="142">
        <v>428.11532674052347</v>
      </c>
    </row>
    <row r="1088" spans="1:26" s="141" customFormat="1">
      <c r="A1088" s="121">
        <v>44560</v>
      </c>
      <c r="B1088" s="125">
        <v>157392941.99858555</v>
      </c>
      <c r="C1088" s="125">
        <v>57651262.77286604</v>
      </c>
      <c r="D1088" s="125">
        <v>62335860.297157273</v>
      </c>
      <c r="E1088" s="125">
        <v>77727106.767382205</v>
      </c>
      <c r="F1088" s="123">
        <v>197714229.8374055</v>
      </c>
      <c r="G1088" s="125">
        <v>0</v>
      </c>
      <c r="H1088" s="125">
        <v>1328.4355088023092</v>
      </c>
      <c r="I1088" s="125">
        <v>1338.1013177875932</v>
      </c>
      <c r="J1088" s="125">
        <v>693.45927101304642</v>
      </c>
      <c r="K1088" s="125">
        <v>1123.7062481702371</v>
      </c>
      <c r="L1088" s="164">
        <v>3155.2668369708767</v>
      </c>
      <c r="M1088" s="125">
        <v>-45</v>
      </c>
      <c r="N1088" s="115">
        <v>14267.5</v>
      </c>
      <c r="O1088" s="139"/>
      <c r="P1088" s="125">
        <v>-273751.2</v>
      </c>
      <c r="Q1088" s="125">
        <v>0</v>
      </c>
      <c r="R1088" s="114"/>
      <c r="S1088" s="125">
        <v>-988481.00000139</v>
      </c>
      <c r="T1088" s="125">
        <v>0</v>
      </c>
      <c r="U1088" s="125">
        <v>1589654.7549999999</v>
      </c>
      <c r="V1088" s="125">
        <v>0</v>
      </c>
      <c r="W1088" s="142">
        <v>609786</v>
      </c>
      <c r="X1088" s="142">
        <v>2.9205006497248993</v>
      </c>
      <c r="Y1088" s="142">
        <v>63958224.408709139</v>
      </c>
      <c r="Z1088" s="142">
        <v>428.8851345429278</v>
      </c>
    </row>
    <row r="1089" spans="1:26" s="141" customFormat="1">
      <c r="A1089" s="121">
        <v>44561</v>
      </c>
      <c r="B1089" s="136">
        <v>159113721.25666901</v>
      </c>
      <c r="C1089" s="136">
        <v>56592777.672752</v>
      </c>
      <c r="D1089" s="136">
        <v>62701362.271357998</v>
      </c>
      <c r="E1089" s="136">
        <v>77272516.258876994</v>
      </c>
      <c r="F1089" s="137">
        <v>196566656.20298702</v>
      </c>
      <c r="G1089" s="125">
        <v>-1100000</v>
      </c>
      <c r="H1089" s="136">
        <v>1329.0634206739869</v>
      </c>
      <c r="I1089" s="136">
        <v>1338.2113421948432</v>
      </c>
      <c r="J1089" s="136">
        <v>692.07300510036839</v>
      </c>
      <c r="K1089" s="136">
        <v>1124.9644045998248</v>
      </c>
      <c r="L1089" s="165">
        <v>3155.2487518950365</v>
      </c>
      <c r="M1089" s="125">
        <v>-45</v>
      </c>
      <c r="N1089" s="115">
        <v>14252.5</v>
      </c>
      <c r="O1089" s="139">
        <v>3417.665</v>
      </c>
      <c r="P1089" s="125">
        <v>-273751.2</v>
      </c>
      <c r="Q1089" s="125">
        <v>0</v>
      </c>
      <c r="R1089" s="114"/>
      <c r="S1089" s="125">
        <v>-988481.00000139</v>
      </c>
      <c r="T1089" s="125">
        <v>0</v>
      </c>
      <c r="U1089" s="125">
        <v>1589654.7549999999</v>
      </c>
      <c r="V1089" s="125">
        <v>0</v>
      </c>
      <c r="W1089" s="142">
        <v>609786</v>
      </c>
      <c r="X1089" s="142">
        <v>2.9187638107595162</v>
      </c>
      <c r="Y1089" s="142">
        <v>63967738.597391762</v>
      </c>
      <c r="Z1089" s="142">
        <v>428.18292626201935</v>
      </c>
    </row>
    <row r="1090" spans="1:26" s="141" customFormat="1">
      <c r="A1090" s="121">
        <v>44564</v>
      </c>
      <c r="B1090" s="125">
        <v>156663014.59756953</v>
      </c>
      <c r="C1090" s="125">
        <v>56591467.934597187</v>
      </c>
      <c r="D1090" s="125">
        <v>62077076.214337848</v>
      </c>
      <c r="E1090" s="125">
        <v>76425984.835792348</v>
      </c>
      <c r="F1090" s="123">
        <v>195094528.98472738</v>
      </c>
      <c r="G1090" s="125">
        <v>-1100000</v>
      </c>
      <c r="H1090" s="125">
        <v>1314.9948713284291</v>
      </c>
      <c r="I1090" s="125">
        <v>1336.5076388216619</v>
      </c>
      <c r="J1090" s="125">
        <v>693.03113440837501</v>
      </c>
      <c r="K1090" s="125">
        <v>1123.2006336882957</v>
      </c>
      <c r="L1090" s="164">
        <v>3152.7394069183329</v>
      </c>
      <c r="M1090" s="125">
        <v>-45</v>
      </c>
      <c r="N1090" s="115">
        <v>14266</v>
      </c>
      <c r="O1090" s="139"/>
      <c r="P1090" s="125">
        <v>-273751.2</v>
      </c>
      <c r="Q1090" s="125">
        <v>0</v>
      </c>
      <c r="R1090" s="114"/>
      <c r="S1090" s="125">
        <v>-988481.00000139</v>
      </c>
      <c r="T1090" s="125">
        <v>0</v>
      </c>
      <c r="U1090" s="125">
        <v>2732718.4688169998</v>
      </c>
      <c r="V1090" s="125">
        <v>0</v>
      </c>
      <c r="W1090" s="142">
        <v>609786</v>
      </c>
      <c r="X1090" s="142">
        <v>2.925726856809197</v>
      </c>
      <c r="Y1090" s="142">
        <v>63864989.796212636</v>
      </c>
      <c r="Z1090" s="142">
        <v>427.53607919953794</v>
      </c>
    </row>
    <row r="1091" spans="1:26" s="141" customFormat="1">
      <c r="A1091" s="121">
        <v>44565</v>
      </c>
      <c r="B1091" s="125">
        <v>156155774.60052803</v>
      </c>
      <c r="C1091" s="125">
        <v>58151204.943782344</v>
      </c>
      <c r="D1091" s="125">
        <v>62187175.32250385</v>
      </c>
      <c r="E1091" s="125">
        <v>76672599.630202606</v>
      </c>
      <c r="F1091" s="123">
        <v>197010979.89648879</v>
      </c>
      <c r="G1091" s="125">
        <v>-1100000</v>
      </c>
      <c r="H1091" s="125">
        <v>1311.8190307060247</v>
      </c>
      <c r="I1091" s="125">
        <v>1311.9788287113329</v>
      </c>
      <c r="J1091" s="125">
        <v>692.24077651572043</v>
      </c>
      <c r="K1091" s="125">
        <v>1123.3799499329089</v>
      </c>
      <c r="L1091" s="164">
        <v>3127.5995551599622</v>
      </c>
      <c r="M1091" s="125">
        <v>-45</v>
      </c>
      <c r="N1091" s="115">
        <v>14302.5</v>
      </c>
      <c r="O1091" s="139"/>
      <c r="P1091" s="125">
        <v>-273751.2</v>
      </c>
      <c r="Q1091" s="125">
        <v>0</v>
      </c>
      <c r="R1091" s="114"/>
      <c r="S1091" s="125">
        <v>-988481.00000139</v>
      </c>
      <c r="T1091" s="125">
        <v>0</v>
      </c>
      <c r="U1091" s="125">
        <v>3465231.8746209</v>
      </c>
      <c r="V1091" s="125">
        <v>0</v>
      </c>
      <c r="W1091" s="142">
        <v>609786</v>
      </c>
      <c r="X1091" s="142">
        <v>2.9186555196539068</v>
      </c>
      <c r="Y1091" s="142">
        <v>63835035.24927675</v>
      </c>
      <c r="Z1091" s="142">
        <v>427.87530201388154</v>
      </c>
    </row>
    <row r="1092" spans="1:26" s="141" customFormat="1">
      <c r="A1092" s="121">
        <v>44566</v>
      </c>
      <c r="B1092" s="125">
        <v>155557444.50791165</v>
      </c>
      <c r="C1092" s="125">
        <v>58877756.026274182</v>
      </c>
      <c r="D1092" s="125">
        <v>62182752.914581738</v>
      </c>
      <c r="E1092" s="125">
        <v>76662340.480190441</v>
      </c>
      <c r="F1092" s="123">
        <v>197722849.42104638</v>
      </c>
      <c r="G1092" s="125">
        <v>-1100000</v>
      </c>
      <c r="H1092" s="125">
        <v>1304.4026990786942</v>
      </c>
      <c r="I1092" s="125">
        <v>1264.4481437169045</v>
      </c>
      <c r="J1092" s="125">
        <v>690.97176533551783</v>
      </c>
      <c r="K1092" s="125">
        <v>1123.9450395468284</v>
      </c>
      <c r="L1092" s="164">
        <v>3079.364948599251</v>
      </c>
      <c r="M1092" s="125">
        <v>-45</v>
      </c>
      <c r="N1092" s="115">
        <v>14357.5</v>
      </c>
      <c r="O1092" s="139"/>
      <c r="P1092" s="125">
        <v>-273751.2</v>
      </c>
      <c r="Q1092" s="125">
        <v>0</v>
      </c>
      <c r="R1092" s="114"/>
      <c r="S1092" s="125">
        <v>-988481.00000139</v>
      </c>
      <c r="T1092" s="125">
        <v>0</v>
      </c>
      <c r="U1092" s="125">
        <v>4881338.8182005994</v>
      </c>
      <c r="V1092" s="125">
        <v>0</v>
      </c>
      <c r="W1092" s="142">
        <v>609786</v>
      </c>
      <c r="X1092" s="142">
        <v>2.9197972392512619</v>
      </c>
      <c r="Y1092" s="142">
        <v>64448769.038248196</v>
      </c>
      <c r="Z1092" s="142">
        <v>428.15844165890235</v>
      </c>
    </row>
    <row r="1093" spans="1:26" s="141" customFormat="1">
      <c r="A1093" s="121">
        <v>44567</v>
      </c>
      <c r="B1093" s="125">
        <v>155000687.0141722</v>
      </c>
      <c r="C1093" s="125">
        <v>59725504.218891189</v>
      </c>
      <c r="D1093" s="125">
        <v>61979593.500124022</v>
      </c>
      <c r="E1093" s="125">
        <v>76005892.135454863</v>
      </c>
      <c r="F1093" s="123">
        <v>197710989.85447007</v>
      </c>
      <c r="G1093" s="125">
        <v>-1100000</v>
      </c>
      <c r="H1093" s="125">
        <v>1299.9023736454665</v>
      </c>
      <c r="I1093" s="125">
        <v>1257.9222256906808</v>
      </c>
      <c r="J1093" s="125">
        <v>691.84634771708829</v>
      </c>
      <c r="K1093" s="125">
        <v>1123.3143377913764</v>
      </c>
      <c r="L1093" s="164">
        <v>3073.0829111991452</v>
      </c>
      <c r="M1093" s="125">
        <v>-45</v>
      </c>
      <c r="N1093" s="115">
        <v>14392.5</v>
      </c>
      <c r="O1093" s="139"/>
      <c r="P1093" s="125">
        <v>-273751.2</v>
      </c>
      <c r="Q1093" s="125">
        <v>0</v>
      </c>
      <c r="R1093" s="114"/>
      <c r="S1093" s="125">
        <v>-1.39E-6</v>
      </c>
      <c r="T1093" s="125">
        <v>0</v>
      </c>
      <c r="U1093" s="125">
        <v>5523981.3336605998</v>
      </c>
      <c r="V1093" s="125">
        <v>0</v>
      </c>
      <c r="W1093" s="142">
        <v>609786</v>
      </c>
      <c r="X1093" s="142">
        <v>2.9190440446378321</v>
      </c>
      <c r="Y1093" s="142">
        <v>64359036.003954455</v>
      </c>
      <c r="Z1093" s="142">
        <v>428.19238948331349</v>
      </c>
    </row>
    <row r="1094" spans="1:26" s="141" customFormat="1">
      <c r="A1094" s="121">
        <v>44568</v>
      </c>
      <c r="B1094" s="125">
        <v>154377989.47548476</v>
      </c>
      <c r="C1094" s="125">
        <v>57737127.262169607</v>
      </c>
      <c r="D1094" s="125">
        <v>62007836.600576453</v>
      </c>
      <c r="E1094" s="125">
        <v>75548437.068397582</v>
      </c>
      <c r="F1094" s="123">
        <v>195293400.93114364</v>
      </c>
      <c r="G1094" s="125">
        <v>-1100000</v>
      </c>
      <c r="H1094" s="125">
        <v>1292.4621056159185</v>
      </c>
      <c r="I1094" s="125">
        <v>1268.7710315126494</v>
      </c>
      <c r="J1094" s="125">
        <v>689.6426935346351</v>
      </c>
      <c r="K1094" s="125">
        <v>1123.6216780708219</v>
      </c>
      <c r="L1094" s="164">
        <v>3082.0354031181064</v>
      </c>
      <c r="M1094" s="125">
        <v>-45</v>
      </c>
      <c r="N1094" s="115">
        <v>14357.5</v>
      </c>
      <c r="O1094" s="139"/>
      <c r="P1094" s="125">
        <v>-273751.2</v>
      </c>
      <c r="Q1094" s="125">
        <v>0</v>
      </c>
      <c r="R1094" s="114"/>
      <c r="S1094" s="125">
        <v>-1.39E-6</v>
      </c>
      <c r="T1094" s="125">
        <v>0</v>
      </c>
      <c r="U1094" s="125">
        <v>7632864.5339629008</v>
      </c>
      <c r="V1094" s="125">
        <v>0</v>
      </c>
      <c r="W1094" s="142">
        <v>609786</v>
      </c>
      <c r="X1094" s="142">
        <v>2.9192487454327005</v>
      </c>
      <c r="Y1094" s="142">
        <v>64251929.723088987</v>
      </c>
      <c r="Z1094" s="142">
        <v>426.05334227028459</v>
      </c>
    </row>
    <row r="1095" spans="1:26" s="141" customFormat="1">
      <c r="A1095" s="121">
        <v>44571</v>
      </c>
      <c r="B1095" s="125">
        <v>154240208.59509349</v>
      </c>
      <c r="C1095" s="125">
        <v>58521743.899861597</v>
      </c>
      <c r="D1095" s="125">
        <v>61789128.141778454</v>
      </c>
      <c r="E1095" s="125">
        <v>76330490.571923256</v>
      </c>
      <c r="F1095" s="123">
        <v>196641362.6135633</v>
      </c>
      <c r="G1095" s="125">
        <v>-1100000</v>
      </c>
      <c r="H1095" s="125">
        <v>1269.8351185681631</v>
      </c>
      <c r="I1095" s="125">
        <v>1191.1921685178245</v>
      </c>
      <c r="J1095" s="125">
        <v>693.39543846199092</v>
      </c>
      <c r="K1095" s="125">
        <v>1116.2646296226226</v>
      </c>
      <c r="L1095" s="164">
        <v>3000.8522366024381</v>
      </c>
      <c r="M1095" s="125">
        <v>-45</v>
      </c>
      <c r="N1095" s="115">
        <v>14307.5</v>
      </c>
      <c r="O1095" s="139"/>
      <c r="P1095" s="125">
        <v>-363996.9</v>
      </c>
      <c r="Q1095" s="125">
        <v>0</v>
      </c>
      <c r="R1095" s="114"/>
      <c r="S1095" s="125">
        <v>-1.39E-6</v>
      </c>
      <c r="T1095" s="125">
        <v>0</v>
      </c>
      <c r="U1095" s="125">
        <v>8078245.8721539006</v>
      </c>
      <c r="V1095" s="125">
        <v>0</v>
      </c>
      <c r="W1095" s="142">
        <v>609786</v>
      </c>
      <c r="X1095" s="142">
        <v>0.56578714000000008</v>
      </c>
      <c r="Y1095" s="142">
        <v>64815164.173173942</v>
      </c>
      <c r="Z1095" s="142">
        <v>425.34597065100326</v>
      </c>
    </row>
    <row r="1096" spans="1:26" s="141" customFormat="1">
      <c r="A1096" s="121">
        <v>44572</v>
      </c>
      <c r="B1096" s="125">
        <v>153980776.5231066</v>
      </c>
      <c r="C1096" s="125">
        <v>56636067.670273229</v>
      </c>
      <c r="D1096" s="125">
        <v>61932474.721784458</v>
      </c>
      <c r="E1096" s="125">
        <v>76389729.606232837</v>
      </c>
      <c r="F1096" s="123">
        <v>194958271.99829054</v>
      </c>
      <c r="G1096" s="125">
        <v>-1100000</v>
      </c>
      <c r="H1096" s="125">
        <v>1266.2679079820066</v>
      </c>
      <c r="I1096" s="125">
        <v>1181.8833253686091</v>
      </c>
      <c r="J1096" s="125">
        <v>693.47608962238064</v>
      </c>
      <c r="K1096" s="125">
        <v>1113.5369611797753</v>
      </c>
      <c r="L1096" s="164">
        <v>2988.8963761707651</v>
      </c>
      <c r="M1096" s="125">
        <v>-126.5</v>
      </c>
      <c r="N1096" s="115">
        <v>14302.5</v>
      </c>
      <c r="O1096" s="139"/>
      <c r="P1096" s="125">
        <v>-363996.9</v>
      </c>
      <c r="Q1096" s="125">
        <v>0</v>
      </c>
      <c r="R1096" s="114"/>
      <c r="S1096" s="125">
        <v>-1.39E-6</v>
      </c>
      <c r="T1096" s="125">
        <v>0</v>
      </c>
      <c r="U1096" s="125">
        <v>8342521.4995510001</v>
      </c>
      <c r="V1096" s="125">
        <v>0</v>
      </c>
      <c r="W1096" s="142">
        <v>609786</v>
      </c>
      <c r="X1096" s="142">
        <v>0.56578713999999997</v>
      </c>
      <c r="Y1096" s="142">
        <v>65104610.615998402</v>
      </c>
      <c r="Z1096" s="142">
        <v>425.55574380920189</v>
      </c>
    </row>
    <row r="1097" spans="1:26" s="141" customFormat="1">
      <c r="A1097" s="121">
        <v>44573</v>
      </c>
      <c r="B1097" s="125">
        <v>154062539.89939186</v>
      </c>
      <c r="C1097" s="125">
        <v>57390313.914561629</v>
      </c>
      <c r="D1097" s="125">
        <v>62013960.367216356</v>
      </c>
      <c r="E1097" s="125">
        <v>76445360.76168631</v>
      </c>
      <c r="F1097" s="123">
        <v>195849635.0434643</v>
      </c>
      <c r="G1097" s="125">
        <v>-1100000</v>
      </c>
      <c r="H1097" s="125">
        <v>1239.9851827443706</v>
      </c>
      <c r="I1097" s="125">
        <v>1175.3794490586099</v>
      </c>
      <c r="J1097" s="125">
        <v>690.75728099075423</v>
      </c>
      <c r="K1097" s="125">
        <v>1116.6216414513865</v>
      </c>
      <c r="L1097" s="164">
        <v>2982.7583715007504</v>
      </c>
      <c r="M1097" s="125">
        <v>-75</v>
      </c>
      <c r="N1097" s="115">
        <v>14317.5</v>
      </c>
      <c r="O1097" s="139"/>
      <c r="P1097" s="125">
        <v>-363996.9</v>
      </c>
      <c r="Q1097" s="125">
        <v>0</v>
      </c>
      <c r="R1097" s="114"/>
      <c r="S1097" s="125">
        <v>-1.39E-6</v>
      </c>
      <c r="T1097" s="125">
        <v>0</v>
      </c>
      <c r="U1097" s="125">
        <v>9246738.2013494</v>
      </c>
      <c r="V1097" s="125">
        <v>0</v>
      </c>
      <c r="W1097" s="142">
        <v>609786</v>
      </c>
      <c r="X1097" s="142">
        <v>0.56578713999999997</v>
      </c>
      <c r="Y1097" s="142">
        <v>63919923.249422453</v>
      </c>
      <c r="Z1097" s="142">
        <v>426.4508229203941</v>
      </c>
    </row>
    <row r="1098" spans="1:26" s="141" customFormat="1">
      <c r="A1098" s="121">
        <v>44574</v>
      </c>
      <c r="B1098" s="125">
        <v>153942889.98410833</v>
      </c>
      <c r="C1098" s="125">
        <v>57435639.405841745</v>
      </c>
      <c r="D1098" s="125">
        <v>62145919.441141427</v>
      </c>
      <c r="E1098" s="125">
        <v>77974890.583384827</v>
      </c>
      <c r="F1098" s="123">
        <v>197556449.43036801</v>
      </c>
      <c r="G1098" s="125">
        <v>-1100000</v>
      </c>
      <c r="H1098" s="125">
        <v>1266.3143894099614</v>
      </c>
      <c r="I1098" s="125">
        <v>1176.30059157344</v>
      </c>
      <c r="J1098" s="125">
        <v>691.32049538207252</v>
      </c>
      <c r="K1098" s="125">
        <v>1105.4505465843165</v>
      </c>
      <c r="L1098" s="164">
        <v>2973.0716335398292</v>
      </c>
      <c r="M1098" s="125">
        <v>-45</v>
      </c>
      <c r="N1098" s="115">
        <v>14292.5</v>
      </c>
      <c r="O1098" s="139"/>
      <c r="P1098" s="125">
        <v>-453528</v>
      </c>
      <c r="Q1098" s="125">
        <v>0</v>
      </c>
      <c r="R1098" s="114"/>
      <c r="S1098" s="125">
        <v>-1.39E-6</v>
      </c>
      <c r="T1098" s="125">
        <v>0</v>
      </c>
      <c r="U1098" s="125">
        <v>10071456.6704174</v>
      </c>
      <c r="V1098" s="125">
        <v>0</v>
      </c>
      <c r="W1098" s="142">
        <v>609786</v>
      </c>
      <c r="X1098" s="142">
        <v>2.9241324259891552</v>
      </c>
      <c r="Y1098" s="142">
        <v>64224709.241012461</v>
      </c>
      <c r="Z1098" s="142">
        <v>428.14969752011126</v>
      </c>
    </row>
    <row r="1099" spans="1:26" s="141" customFormat="1">
      <c r="A1099" s="121">
        <v>44575</v>
      </c>
      <c r="B1099" s="125">
        <v>153958022.58001769</v>
      </c>
      <c r="C1099" s="125">
        <v>57470310.34486533</v>
      </c>
      <c r="D1099" s="125">
        <v>62289325.60151922</v>
      </c>
      <c r="E1099" s="125">
        <v>78092345.019519567</v>
      </c>
      <c r="F1099" s="123">
        <v>197851980.96590412</v>
      </c>
      <c r="G1099" s="125">
        <v>-1100000</v>
      </c>
      <c r="H1099" s="125">
        <v>1264.4161493335369</v>
      </c>
      <c r="I1099" s="125">
        <v>1183.390911976498</v>
      </c>
      <c r="J1099" s="125">
        <v>688.3925369216397</v>
      </c>
      <c r="K1099" s="125">
        <v>1092.2684186288611</v>
      </c>
      <c r="L1099" s="164">
        <v>2964.0518675269986</v>
      </c>
      <c r="M1099" s="125">
        <v>-45</v>
      </c>
      <c r="N1099" s="115">
        <v>14297</v>
      </c>
      <c r="O1099" s="139"/>
      <c r="P1099" s="125">
        <v>-453528</v>
      </c>
      <c r="Q1099" s="125">
        <v>0</v>
      </c>
      <c r="R1099" s="114"/>
      <c r="S1099" s="125">
        <v>-1.39E-6</v>
      </c>
      <c r="T1099" s="125">
        <v>0</v>
      </c>
      <c r="U1099" s="125">
        <v>9493700.7896520998</v>
      </c>
      <c r="V1099" s="125">
        <v>0</v>
      </c>
      <c r="W1099" s="142">
        <v>609786</v>
      </c>
      <c r="X1099" s="142">
        <v>2.9294281136308311</v>
      </c>
      <c r="Y1099" s="142">
        <v>64052605.527370311</v>
      </c>
      <c r="Z1099" s="142">
        <v>426.8676605279008</v>
      </c>
    </row>
    <row r="1100" spans="1:26" s="141" customFormat="1">
      <c r="A1100" s="121">
        <v>44578</v>
      </c>
      <c r="B1100" s="125">
        <v>154149539.81192669</v>
      </c>
      <c r="C1100" s="125">
        <v>59196981.228561811</v>
      </c>
      <c r="D1100" s="125">
        <v>62179293.148066781</v>
      </c>
      <c r="E1100" s="125">
        <v>77566789.05036363</v>
      </c>
      <c r="F1100" s="123">
        <v>198943063.42699224</v>
      </c>
      <c r="G1100" s="125">
        <v>-1100000</v>
      </c>
      <c r="H1100" s="125">
        <v>1267.917991287977</v>
      </c>
      <c r="I1100" s="125">
        <v>1156.4686456781528</v>
      </c>
      <c r="J1100" s="125">
        <v>692.31477972118955</v>
      </c>
      <c r="K1100" s="125">
        <v>1085.0471232662073</v>
      </c>
      <c r="L1100" s="164">
        <v>2933.8305486655499</v>
      </c>
      <c r="M1100" s="125">
        <v>-45</v>
      </c>
      <c r="N1100" s="115">
        <v>14317.5</v>
      </c>
      <c r="O1100" s="139"/>
      <c r="P1100" s="125">
        <v>-271303.2</v>
      </c>
      <c r="Q1100" s="125">
        <v>0</v>
      </c>
      <c r="R1100" s="114"/>
      <c r="S1100" s="125">
        <v>-1.39E-6</v>
      </c>
      <c r="T1100" s="125">
        <v>0</v>
      </c>
      <c r="U1100" s="125">
        <v>8814356.9790761005</v>
      </c>
      <c r="V1100" s="125">
        <v>0</v>
      </c>
      <c r="W1100" s="142">
        <v>609786</v>
      </c>
      <c r="X1100" s="142">
        <v>2.9287729964693563</v>
      </c>
      <c r="Y1100" s="142">
        <v>62734764.01550702</v>
      </c>
      <c r="Z1100" s="142">
        <v>426.39095786364368</v>
      </c>
    </row>
    <row r="1101" spans="1:26" s="141" customFormat="1">
      <c r="A1101" s="121">
        <v>44579</v>
      </c>
      <c r="B1101" s="125">
        <v>154206862.49575371</v>
      </c>
      <c r="C1101" s="125">
        <v>59094682.898066603</v>
      </c>
      <c r="D1101" s="125">
        <v>62377006.928377509</v>
      </c>
      <c r="E1101" s="125">
        <v>77346812.829972342</v>
      </c>
      <c r="F1101" s="123">
        <v>198818502.65641648</v>
      </c>
      <c r="G1101" s="125">
        <v>-1100000</v>
      </c>
      <c r="H1101" s="125">
        <v>1263.8890805599051</v>
      </c>
      <c r="I1101" s="125">
        <v>1178.630669254781</v>
      </c>
      <c r="J1101" s="125">
        <v>698.1811623727092</v>
      </c>
      <c r="K1101" s="125">
        <v>1087.1611131505665</v>
      </c>
      <c r="L1101" s="164">
        <v>2963.9729447780564</v>
      </c>
      <c r="M1101" s="125">
        <v>-45</v>
      </c>
      <c r="N1101" s="115">
        <v>14337.5</v>
      </c>
      <c r="O1101" s="139"/>
      <c r="P1101" s="125">
        <v>-271303.2</v>
      </c>
      <c r="Q1101" s="125">
        <v>0</v>
      </c>
      <c r="R1101" s="114"/>
      <c r="S1101" s="125">
        <v>-1.39E-6</v>
      </c>
      <c r="T1101" s="125">
        <v>0</v>
      </c>
      <c r="U1101" s="125">
        <v>9315035.5363151003</v>
      </c>
      <c r="V1101" s="125">
        <v>0</v>
      </c>
      <c r="W1101" s="142">
        <v>609786</v>
      </c>
      <c r="X1101" s="142">
        <v>17.927971969991283</v>
      </c>
      <c r="Y1101" s="142">
        <v>62714567.550470024</v>
      </c>
      <c r="Z1101" s="142">
        <v>425.72369652587003</v>
      </c>
    </row>
    <row r="1102" spans="1:26" s="141" customFormat="1">
      <c r="A1102" s="121">
        <v>44580</v>
      </c>
      <c r="B1102" s="125">
        <v>153975844.11058554</v>
      </c>
      <c r="C1102" s="125">
        <v>59478213.40405535</v>
      </c>
      <c r="D1102" s="125">
        <v>62515380.934701934</v>
      </c>
      <c r="E1102" s="125">
        <v>77110134.846384168</v>
      </c>
      <c r="F1102" s="123">
        <v>199103729.18514144</v>
      </c>
      <c r="G1102" s="125">
        <v>-1100000</v>
      </c>
      <c r="H1102" s="125">
        <v>1267.747540396419</v>
      </c>
      <c r="I1102" s="125">
        <v>1241.4900509821689</v>
      </c>
      <c r="J1102" s="125">
        <v>697.31048363803131</v>
      </c>
      <c r="K1102" s="125">
        <v>1088.4114375395332</v>
      </c>
      <c r="L1102" s="164">
        <v>3027.2119721597337</v>
      </c>
      <c r="M1102" s="125">
        <v>-45</v>
      </c>
      <c r="N1102" s="115">
        <v>14362.5</v>
      </c>
      <c r="O1102" s="139"/>
      <c r="P1102" s="125">
        <v>-271303.2</v>
      </c>
      <c r="Q1102" s="125">
        <v>0</v>
      </c>
      <c r="R1102" s="114"/>
      <c r="S1102" s="125">
        <v>-1.39E-6</v>
      </c>
      <c r="T1102" s="125">
        <v>0</v>
      </c>
      <c r="U1102" s="125">
        <v>9099869.1208643001</v>
      </c>
      <c r="V1102" s="125">
        <v>0</v>
      </c>
      <c r="W1102" s="142">
        <v>609786</v>
      </c>
      <c r="X1102" s="142">
        <v>17.927045625639686</v>
      </c>
      <c r="Y1102" s="142">
        <v>63437421.152007394</v>
      </c>
      <c r="Z1102" s="142">
        <v>425.37494033145686</v>
      </c>
    </row>
    <row r="1103" spans="1:26" s="141" customFormat="1">
      <c r="A1103" s="121">
        <v>44581</v>
      </c>
      <c r="B1103" s="125">
        <v>153562719.60245824</v>
      </c>
      <c r="C1103" s="125">
        <v>60410435.111808129</v>
      </c>
      <c r="D1103" s="125">
        <v>62837931.054814197</v>
      </c>
      <c r="E1103" s="125">
        <v>77172993.718630731</v>
      </c>
      <c r="F1103" s="123">
        <v>200421359.88525307</v>
      </c>
      <c r="G1103" s="125">
        <v>-1100000</v>
      </c>
      <c r="H1103" s="125">
        <v>1288.6698239773486</v>
      </c>
      <c r="I1103" s="125">
        <v>1195.1135352241154</v>
      </c>
      <c r="J1103" s="125">
        <v>696.88478775085537</v>
      </c>
      <c r="K1103" s="125">
        <v>1087.9334934409292</v>
      </c>
      <c r="L1103" s="164">
        <v>2979.9318164158999</v>
      </c>
      <c r="M1103" s="125">
        <v>-45</v>
      </c>
      <c r="N1103" s="115">
        <v>14337.5</v>
      </c>
      <c r="O1103" s="139"/>
      <c r="P1103" s="125">
        <v>-450842.4</v>
      </c>
      <c r="Q1103" s="125">
        <v>0</v>
      </c>
      <c r="R1103" s="114"/>
      <c r="S1103" s="125">
        <v>-1.39E-6</v>
      </c>
      <c r="T1103" s="125">
        <v>0</v>
      </c>
      <c r="U1103" s="125">
        <v>9249762.5758163016</v>
      </c>
      <c r="V1103" s="125">
        <v>0</v>
      </c>
      <c r="W1103" s="142">
        <v>609786</v>
      </c>
      <c r="X1103" s="142">
        <v>17.930749650897994</v>
      </c>
      <c r="Y1103" s="142">
        <v>62922902.441599011</v>
      </c>
      <c r="Z1103" s="142">
        <v>426.05217327121761</v>
      </c>
    </row>
    <row r="1104" spans="1:26" s="141" customFormat="1">
      <c r="A1104" s="121">
        <v>44582</v>
      </c>
      <c r="B1104" s="125">
        <v>153465313.36158404</v>
      </c>
      <c r="C1104" s="125">
        <v>60452782.730598502</v>
      </c>
      <c r="D1104" s="125">
        <v>62579895.430657774</v>
      </c>
      <c r="E1104" s="125">
        <v>77078848.440437973</v>
      </c>
      <c r="F1104" s="123">
        <v>200111526.60169426</v>
      </c>
      <c r="G1104" s="125">
        <v>-1100000</v>
      </c>
      <c r="H1104" s="125">
        <v>1289.6254512585056</v>
      </c>
      <c r="I1104" s="125">
        <v>1194.0804881377387</v>
      </c>
      <c r="J1104" s="125">
        <v>694.41622427652737</v>
      </c>
      <c r="K1104" s="125">
        <v>1088.981002684319</v>
      </c>
      <c r="L1104" s="164">
        <v>2977.4777150985851</v>
      </c>
      <c r="M1104" s="125">
        <v>-45</v>
      </c>
      <c r="N1104" s="115">
        <v>14337.5</v>
      </c>
      <c r="O1104" s="139"/>
      <c r="P1104" s="125">
        <v>-450842.4</v>
      </c>
      <c r="Q1104" s="125">
        <v>0</v>
      </c>
      <c r="R1104" s="114"/>
      <c r="S1104" s="125">
        <v>-1.39E-6</v>
      </c>
      <c r="T1104" s="125">
        <v>0</v>
      </c>
      <c r="U1104" s="125">
        <v>9329924.5966215003</v>
      </c>
      <c r="V1104" s="125">
        <v>0</v>
      </c>
      <c r="W1104" s="142">
        <v>613633.5</v>
      </c>
      <c r="X1104" s="142">
        <v>22.93123090634699</v>
      </c>
      <c r="Y1104" s="142">
        <v>63101733.164743789</v>
      </c>
      <c r="Z1104" s="142">
        <v>425.53736793825698</v>
      </c>
    </row>
    <row r="1105" spans="1:28" s="141" customFormat="1">
      <c r="A1105" s="121">
        <v>44585</v>
      </c>
      <c r="B1105" s="125">
        <v>153432742.5065386</v>
      </c>
      <c r="C1105" s="125">
        <v>60919579.733011261</v>
      </c>
      <c r="D1105" s="125">
        <v>63241493.796437077</v>
      </c>
      <c r="E1105" s="125">
        <v>76255437.370140761</v>
      </c>
      <c r="F1105" s="123">
        <v>200416510.89958909</v>
      </c>
      <c r="G1105" s="125">
        <v>-1100000</v>
      </c>
      <c r="H1105" s="125">
        <v>1301.7817132061136</v>
      </c>
      <c r="I1105" s="125">
        <v>1185.6946893561144</v>
      </c>
      <c r="J1105" s="125">
        <v>695.67856093519254</v>
      </c>
      <c r="K1105" s="125">
        <v>1084.9560281712538</v>
      </c>
      <c r="L1105" s="164">
        <v>2966.329278462561</v>
      </c>
      <c r="M1105" s="125">
        <v>-45</v>
      </c>
      <c r="N1105" s="115">
        <v>14342.5</v>
      </c>
      <c r="O1105" s="139"/>
      <c r="P1105" s="125">
        <v>-450842.4</v>
      </c>
      <c r="Q1105" s="125">
        <v>0</v>
      </c>
      <c r="R1105" s="114"/>
      <c r="S1105" s="125">
        <v>-1.39E-6</v>
      </c>
      <c r="T1105" s="125">
        <v>0</v>
      </c>
      <c r="U1105" s="125">
        <v>9753640.2864678986</v>
      </c>
      <c r="V1105" s="125">
        <v>0</v>
      </c>
      <c r="W1105" s="142">
        <v>613633.5</v>
      </c>
      <c r="X1105" s="142">
        <v>17.934819735433155</v>
      </c>
      <c r="Y1105" s="142">
        <v>63072008.512893476</v>
      </c>
      <c r="Z1105" s="142">
        <v>424.2781233019013</v>
      </c>
    </row>
    <row r="1106" spans="1:28" s="141" customFormat="1">
      <c r="A1106" s="121">
        <v>44586</v>
      </c>
      <c r="B1106" s="125">
        <v>152878823.08943138</v>
      </c>
      <c r="C1106" s="125">
        <v>58358157.580640651</v>
      </c>
      <c r="D1106" s="125">
        <v>64280349.192450404</v>
      </c>
      <c r="E1106" s="125">
        <v>76714999.953923941</v>
      </c>
      <c r="F1106" s="123">
        <v>199353506.72701499</v>
      </c>
      <c r="G1106" s="125">
        <v>-1100000</v>
      </c>
      <c r="H1106" s="125">
        <v>1312.8183588073875</v>
      </c>
      <c r="I1106" s="125">
        <v>1165.1598294453102</v>
      </c>
      <c r="J1106" s="125">
        <v>694.9360524946145</v>
      </c>
      <c r="K1106" s="125">
        <v>1084.9448396993143</v>
      </c>
      <c r="L1106" s="164">
        <v>2945.0407216392391</v>
      </c>
      <c r="M1106" s="125">
        <v>-45</v>
      </c>
      <c r="N1106" s="115">
        <v>14350.5</v>
      </c>
      <c r="O1106" s="139"/>
      <c r="P1106" s="125">
        <v>-450842.4</v>
      </c>
      <c r="Q1106" s="125">
        <v>0</v>
      </c>
      <c r="R1106" s="114"/>
      <c r="S1106" s="125">
        <v>-1.39E-6</v>
      </c>
      <c r="T1106" s="125">
        <v>0</v>
      </c>
      <c r="U1106" s="125">
        <v>10038335.9452939</v>
      </c>
      <c r="V1106" s="125">
        <v>0</v>
      </c>
      <c r="W1106" s="142">
        <v>613633.5</v>
      </c>
      <c r="X1106" s="142">
        <v>2.9359972372091563</v>
      </c>
      <c r="Y1106" s="142">
        <v>63170358.596955426</v>
      </c>
      <c r="Z1106" s="142">
        <v>424.00534024087602</v>
      </c>
    </row>
    <row r="1107" spans="1:28" s="141" customFormat="1">
      <c r="A1107" s="121">
        <v>44587</v>
      </c>
      <c r="B1107" s="125">
        <v>152780295.92944375</v>
      </c>
      <c r="C1107" s="125">
        <v>57666559.724740371</v>
      </c>
      <c r="D1107" s="125">
        <v>64106237.987645894</v>
      </c>
      <c r="E1107" s="125">
        <v>76508440.914867729</v>
      </c>
      <c r="F1107" s="123">
        <v>198281238.62725401</v>
      </c>
      <c r="G1107" s="125">
        <v>-1100000</v>
      </c>
      <c r="H1107" s="125">
        <v>1308.9838868242787</v>
      </c>
      <c r="I1107" s="125">
        <v>1173.1770029872353</v>
      </c>
      <c r="J1107" s="125">
        <v>694.8645895912191</v>
      </c>
      <c r="K1107" s="125">
        <v>1084.7183177327647</v>
      </c>
      <c r="L1107" s="164">
        <v>2952.7599103112188</v>
      </c>
      <c r="M1107" s="125">
        <v>-45</v>
      </c>
      <c r="N1107" s="115">
        <v>14352.5</v>
      </c>
      <c r="O1107" s="139"/>
      <c r="P1107" s="125">
        <v>-450842.4</v>
      </c>
      <c r="Q1107" s="125">
        <v>0</v>
      </c>
      <c r="R1107" s="114"/>
      <c r="S1107" s="125">
        <v>-1.39E-6</v>
      </c>
      <c r="T1107" s="125">
        <v>0</v>
      </c>
      <c r="U1107" s="125">
        <v>9695911.6613654997</v>
      </c>
      <c r="V1107" s="125">
        <v>0</v>
      </c>
      <c r="W1107" s="142">
        <v>613633.5</v>
      </c>
      <c r="X1107" s="142">
        <v>2.9379662028810309</v>
      </c>
      <c r="Y1107" s="142">
        <v>62632744.567559563</v>
      </c>
      <c r="Z1107" s="142">
        <v>423.70228259162593</v>
      </c>
    </row>
    <row r="1108" spans="1:28" s="141" customFormat="1">
      <c r="A1108" s="121">
        <v>44588</v>
      </c>
      <c r="B1108" s="125">
        <v>153059071.32308519</v>
      </c>
      <c r="C1108" s="125">
        <v>58237164.510501117</v>
      </c>
      <c r="D1108" s="125">
        <v>64155846.534293994</v>
      </c>
      <c r="E1108" s="125">
        <v>76493054.360427603</v>
      </c>
      <c r="F1108" s="123">
        <v>198886065.40522271</v>
      </c>
      <c r="G1108" s="125">
        <v>-1100000</v>
      </c>
      <c r="H1108" s="125">
        <v>1311.5798537103938</v>
      </c>
      <c r="I1108" s="125">
        <v>1159.9655285536726</v>
      </c>
      <c r="J1108" s="125">
        <v>694.41576829495136</v>
      </c>
      <c r="K1108" s="125">
        <v>1083.8651211009571</v>
      </c>
      <c r="L1108" s="164">
        <v>2938.246417949581</v>
      </c>
      <c r="M1108" s="125">
        <v>-45</v>
      </c>
      <c r="N1108" s="115">
        <v>14386</v>
      </c>
      <c r="O1108" s="139"/>
      <c r="P1108" s="125">
        <v>-361311.3</v>
      </c>
      <c r="Q1108" s="125">
        <v>0</v>
      </c>
      <c r="R1108" s="114"/>
      <c r="S1108" s="125">
        <v>-1.39E-6</v>
      </c>
      <c r="T1108" s="125">
        <v>0</v>
      </c>
      <c r="U1108" s="125">
        <v>9474638.8885597009</v>
      </c>
      <c r="V1108" s="125">
        <v>0</v>
      </c>
      <c r="W1108" s="142">
        <v>613633.5</v>
      </c>
      <c r="X1108" s="142">
        <v>2.9236107184790772</v>
      </c>
      <c r="Y1108" s="142">
        <v>62436034.405105524</v>
      </c>
      <c r="Z1108" s="142">
        <v>423.47677446042218</v>
      </c>
    </row>
    <row r="1109" spans="1:28" s="141" customFormat="1">
      <c r="A1109" s="121">
        <v>44589</v>
      </c>
      <c r="B1109" s="125">
        <v>153053567.50352082</v>
      </c>
      <c r="C1109" s="125">
        <v>56835472.32540492</v>
      </c>
      <c r="D1109" s="125">
        <v>64238516.810863473</v>
      </c>
      <c r="E1109" s="125">
        <v>77126998.802120224</v>
      </c>
      <c r="F1109" s="123">
        <v>198200987.93838862</v>
      </c>
      <c r="G1109" s="125">
        <v>-1100000</v>
      </c>
      <c r="H1109" s="125">
        <v>1317.2720233467519</v>
      </c>
      <c r="I1109" s="125">
        <v>1146.4030381030791</v>
      </c>
      <c r="J1109" s="125">
        <v>691.91230780092417</v>
      </c>
      <c r="K1109" s="125">
        <v>1088.5537436880368</v>
      </c>
      <c r="L1109" s="164">
        <v>2926.8690895920399</v>
      </c>
      <c r="M1109" s="125">
        <v>-45</v>
      </c>
      <c r="N1109" s="115">
        <v>14387.5</v>
      </c>
      <c r="O1109" s="139"/>
      <c r="P1109" s="125">
        <v>-451494.9</v>
      </c>
      <c r="Q1109" s="125">
        <v>0</v>
      </c>
      <c r="R1109" s="114"/>
      <c r="S1109" s="125">
        <v>-1.39E-6</v>
      </c>
      <c r="T1109" s="125">
        <v>0</v>
      </c>
      <c r="U1109" s="125">
        <v>9389058.8967554998</v>
      </c>
      <c r="V1109" s="125">
        <v>0</v>
      </c>
      <c r="W1109" s="142">
        <v>613633.5</v>
      </c>
      <c r="X1109" s="142">
        <v>2.9227549940399653</v>
      </c>
      <c r="Y1109" s="142">
        <v>62453287.801462203</v>
      </c>
      <c r="Z1109" s="142">
        <v>423.70060478602943</v>
      </c>
    </row>
    <row r="1110" spans="1:28" s="141" customFormat="1">
      <c r="A1110" s="121">
        <v>44592</v>
      </c>
      <c r="B1110" s="136">
        <v>154533161.16773126</v>
      </c>
      <c r="C1110" s="136">
        <v>57414002.622908004</v>
      </c>
      <c r="D1110" s="136">
        <v>64584918.162878998</v>
      </c>
      <c r="E1110" s="136">
        <v>77620486.138431996</v>
      </c>
      <c r="F1110" s="137">
        <v>199619406.92421901</v>
      </c>
      <c r="G1110" s="125">
        <v>-1100000</v>
      </c>
      <c r="H1110" s="136">
        <v>1326.4216446853707</v>
      </c>
      <c r="I1110" s="136">
        <v>1172.6775583461967</v>
      </c>
      <c r="J1110" s="136">
        <v>692.52241911201497</v>
      </c>
      <c r="K1110" s="136">
        <v>1098.2960766295369</v>
      </c>
      <c r="L1110" s="165">
        <v>2963.4960540877487</v>
      </c>
      <c r="M1110" s="125">
        <v>-45</v>
      </c>
      <c r="N1110" s="115">
        <v>14382</v>
      </c>
      <c r="O1110" s="139">
        <v>3436.15</v>
      </c>
      <c r="P1110" s="125">
        <v>-451494.9</v>
      </c>
      <c r="Q1110" s="125">
        <v>0</v>
      </c>
      <c r="R1110" s="114"/>
      <c r="S1110" s="125">
        <v>-1.39E-6</v>
      </c>
      <c r="T1110" s="125">
        <v>0</v>
      </c>
      <c r="U1110" s="125">
        <v>9377517.9352998007</v>
      </c>
      <c r="V1110" s="125">
        <v>0</v>
      </c>
      <c r="W1110" s="142">
        <v>613633.5</v>
      </c>
      <c r="X1110" s="142">
        <v>2.9239066644055067</v>
      </c>
      <c r="Y1110" s="142">
        <v>62789745.525557227</v>
      </c>
      <c r="Z1110" s="142">
        <v>423.60391032265051</v>
      </c>
      <c r="AB1110" s="144">
        <f>F1110+L1110*N1110</f>
        <v>242240407.17410901</v>
      </c>
    </row>
    <row r="1111" spans="1:28" s="141" customFormat="1">
      <c r="A1111" s="121">
        <v>44594</v>
      </c>
      <c r="B1111" s="125">
        <v>153374516.67492852</v>
      </c>
      <c r="C1111" s="125">
        <v>57737439.534908883</v>
      </c>
      <c r="D1111" s="125">
        <v>63979180.982323013</v>
      </c>
      <c r="E1111" s="125">
        <v>76840193.6657933</v>
      </c>
      <c r="F1111" s="123">
        <v>198556814.18302518</v>
      </c>
      <c r="G1111" s="125">
        <v>-1100000</v>
      </c>
      <c r="H1111" s="125">
        <v>1349.3242137876423</v>
      </c>
      <c r="I1111" s="125">
        <v>1171.8232051451891</v>
      </c>
      <c r="J1111" s="125">
        <v>693.96247875070833</v>
      </c>
      <c r="K1111" s="125">
        <v>1121.3201417674422</v>
      </c>
      <c r="L1111" s="164">
        <v>2987.1058256633396</v>
      </c>
      <c r="M1111" s="125">
        <v>-45</v>
      </c>
      <c r="N1111" s="115">
        <v>14357.5</v>
      </c>
      <c r="O1111" s="139"/>
      <c r="P1111" s="125">
        <v>-451494.9</v>
      </c>
      <c r="Q1111" s="125">
        <v>0</v>
      </c>
      <c r="R1111" s="114"/>
      <c r="S1111" s="125">
        <v>-1.39E-6</v>
      </c>
      <c r="T1111" s="125">
        <v>0</v>
      </c>
      <c r="U1111" s="125">
        <v>9633331.6631889008</v>
      </c>
      <c r="V1111" s="125">
        <v>0</v>
      </c>
      <c r="W1111" s="142">
        <v>613633.5</v>
      </c>
      <c r="X1111" s="142">
        <v>2.9239031072644961</v>
      </c>
      <c r="Y1111" s="142">
        <v>62843592.284919776</v>
      </c>
      <c r="Z1111" s="142">
        <v>424.62632154539858</v>
      </c>
    </row>
    <row r="1112" spans="1:28" s="141" customFormat="1">
      <c r="A1112" s="121">
        <v>44595</v>
      </c>
      <c r="B1112" s="125">
        <v>153161536.94937027</v>
      </c>
      <c r="C1112" s="125">
        <v>57940020.913814232</v>
      </c>
      <c r="D1112" s="125">
        <v>63754924.94187177</v>
      </c>
      <c r="E1112" s="125">
        <v>76669246.760043591</v>
      </c>
      <c r="F1112" s="123">
        <v>198364192.6157296</v>
      </c>
      <c r="G1112" s="125">
        <v>-1100000</v>
      </c>
      <c r="H1112" s="125">
        <v>1369.0831954707637</v>
      </c>
      <c r="I1112" s="125">
        <v>1182.2478442278891</v>
      </c>
      <c r="J1112" s="125">
        <v>693.28671600840892</v>
      </c>
      <c r="K1112" s="125">
        <v>1146.8533424270772</v>
      </c>
      <c r="L1112" s="164">
        <v>3022.3879026633754</v>
      </c>
      <c r="M1112" s="125">
        <v>-45</v>
      </c>
      <c r="N1112" s="115">
        <v>14377.5</v>
      </c>
      <c r="O1112" s="139"/>
      <c r="P1112" s="125">
        <v>-451494.9</v>
      </c>
      <c r="Q1112" s="125">
        <v>0</v>
      </c>
      <c r="R1112" s="114"/>
      <c r="S1112" s="125">
        <v>-1.39E-6</v>
      </c>
      <c r="T1112" s="125">
        <v>0</v>
      </c>
      <c r="U1112" s="125">
        <v>9829455.7417866997</v>
      </c>
      <c r="V1112" s="125">
        <v>0</v>
      </c>
      <c r="W1112" s="142">
        <v>613633.5</v>
      </c>
      <c r="X1112" s="142">
        <v>12.9239092057277</v>
      </c>
      <c r="Y1112" s="142">
        <v>63490223.765285</v>
      </c>
      <c r="Z1112" s="142">
        <v>425.14372820955583</v>
      </c>
    </row>
    <row r="1113" spans="1:28" s="141" customFormat="1">
      <c r="A1113" s="121">
        <v>44596</v>
      </c>
      <c r="B1113" s="125">
        <v>152816139.45661849</v>
      </c>
      <c r="C1113" s="125">
        <v>57646482.968474478</v>
      </c>
      <c r="D1113" s="125">
        <v>64197935.273268521</v>
      </c>
      <c r="E1113" s="125">
        <v>73310800.13633503</v>
      </c>
      <c r="F1113" s="123">
        <v>195155218.37807804</v>
      </c>
      <c r="G1113" s="125">
        <v>-1100000</v>
      </c>
      <c r="H1113" s="125">
        <v>1378.7584552557146</v>
      </c>
      <c r="I1113" s="125">
        <v>1153.9731260168601</v>
      </c>
      <c r="J1113" s="125">
        <v>691.99941665073936</v>
      </c>
      <c r="K1113" s="125">
        <v>1147.4304184509979</v>
      </c>
      <c r="L1113" s="164">
        <v>2993.4029611185974</v>
      </c>
      <c r="M1113" s="125">
        <v>-45</v>
      </c>
      <c r="N1113" s="115">
        <v>14380</v>
      </c>
      <c r="O1113" s="139"/>
      <c r="P1113" s="125">
        <v>-451494.9</v>
      </c>
      <c r="Q1113" s="125">
        <v>0</v>
      </c>
      <c r="R1113" s="114"/>
      <c r="S1113" s="125">
        <v>-1.39E-6</v>
      </c>
      <c r="T1113" s="125">
        <v>0</v>
      </c>
      <c r="U1113" s="125">
        <v>9731463.2746411003</v>
      </c>
      <c r="V1113" s="125">
        <v>0</v>
      </c>
      <c r="W1113" s="142">
        <v>613633.5</v>
      </c>
      <c r="X1113" s="142">
        <v>2.9239060551599443</v>
      </c>
      <c r="Y1113" s="142">
        <v>63114107.211182952</v>
      </c>
      <c r="Z1113" s="142">
        <v>425.00184874445569</v>
      </c>
    </row>
    <row r="1114" spans="1:28" s="141" customFormat="1">
      <c r="A1114" s="121">
        <v>44599</v>
      </c>
      <c r="B1114" s="125">
        <v>152263449.42946613</v>
      </c>
      <c r="C1114" s="125">
        <v>59484731.879212134</v>
      </c>
      <c r="D1114" s="125">
        <v>63181814.231841147</v>
      </c>
      <c r="E1114" s="125">
        <v>72821340.839880168</v>
      </c>
      <c r="F1114" s="123">
        <v>195487886.95093346</v>
      </c>
      <c r="G1114" s="125">
        <v>-1100000</v>
      </c>
      <c r="H1114" s="125">
        <v>1385.4865501791878</v>
      </c>
      <c r="I1114" s="125">
        <v>1247.7596052477472</v>
      </c>
      <c r="J1114" s="125">
        <v>691.80566164525067</v>
      </c>
      <c r="K1114" s="125">
        <v>1134.1114693054772</v>
      </c>
      <c r="L1114" s="164">
        <v>3073.6767361984748</v>
      </c>
      <c r="M1114" s="125">
        <v>-45</v>
      </c>
      <c r="N1114" s="115">
        <v>14396.5</v>
      </c>
      <c r="O1114" s="139"/>
      <c r="P1114" s="125">
        <v>-451494.9</v>
      </c>
      <c r="Q1114" s="125">
        <v>0</v>
      </c>
      <c r="R1114" s="114"/>
      <c r="S1114" s="125">
        <v>-1.39E-6</v>
      </c>
      <c r="T1114" s="125">
        <v>0</v>
      </c>
      <c r="U1114" s="125">
        <v>9597178.3466285001</v>
      </c>
      <c r="V1114" s="125">
        <v>0</v>
      </c>
      <c r="W1114" s="142">
        <v>613633.5</v>
      </c>
      <c r="X1114" s="142">
        <v>15.565787139999999</v>
      </c>
      <c r="Y1114" s="142">
        <v>62466782.424888946</v>
      </c>
      <c r="Z1114" s="142">
        <v>423.32487504514722</v>
      </c>
    </row>
    <row r="1115" spans="1:28" s="141" customFormat="1">
      <c r="A1115" s="121">
        <v>44600</v>
      </c>
      <c r="B1115" s="125">
        <v>152117149.4023231</v>
      </c>
      <c r="C1115" s="125">
        <v>60366952.707581468</v>
      </c>
      <c r="D1115" s="125">
        <v>63288022.318559721</v>
      </c>
      <c r="E1115" s="125">
        <v>72676755.915531695</v>
      </c>
      <c r="F1115" s="123">
        <v>196331730.94167289</v>
      </c>
      <c r="G1115" s="125">
        <v>-1100000</v>
      </c>
      <c r="H1115" s="125">
        <v>1385.4949346264721</v>
      </c>
      <c r="I1115" s="125">
        <v>1212.475501085305</v>
      </c>
      <c r="J1115" s="125">
        <v>693.74868592897315</v>
      </c>
      <c r="K1115" s="125">
        <v>1142.4399028702755</v>
      </c>
      <c r="L1115" s="164">
        <v>3048.6640898845535</v>
      </c>
      <c r="M1115" s="125">
        <v>-45</v>
      </c>
      <c r="N1115" s="115">
        <v>14392.5</v>
      </c>
      <c r="O1115" s="139"/>
      <c r="P1115" s="125">
        <v>-451494.9</v>
      </c>
      <c r="Q1115" s="125">
        <v>0</v>
      </c>
      <c r="R1115" s="114"/>
      <c r="S1115" s="125">
        <v>-1.39E-6</v>
      </c>
      <c r="T1115" s="125">
        <v>0</v>
      </c>
      <c r="U1115" s="125">
        <v>10888022.301182898</v>
      </c>
      <c r="V1115" s="125">
        <v>0</v>
      </c>
      <c r="W1115" s="142">
        <v>613633.5</v>
      </c>
      <c r="X1115" s="142">
        <v>2.9202061082126103</v>
      </c>
      <c r="Y1115" s="142">
        <v>62713044.812387928</v>
      </c>
      <c r="Z1115" s="142">
        <v>424.08975820490122</v>
      </c>
    </row>
    <row r="1116" spans="1:28" s="141" customFormat="1">
      <c r="A1116" s="121">
        <v>44601</v>
      </c>
      <c r="B1116" s="125">
        <v>152044270.55564281</v>
      </c>
      <c r="C1116" s="125">
        <v>59469131.586009838</v>
      </c>
      <c r="D1116" s="125">
        <v>63448738.62544211</v>
      </c>
      <c r="E1116" s="125">
        <v>72065951.137477934</v>
      </c>
      <c r="F1116" s="123">
        <v>194983821.34892988</v>
      </c>
      <c r="G1116" s="125">
        <v>-1100000</v>
      </c>
      <c r="H1116" s="125">
        <v>1408.2821991817941</v>
      </c>
      <c r="I1116" s="125">
        <v>1239.1394758820388</v>
      </c>
      <c r="J1116" s="125">
        <v>695.05661809239552</v>
      </c>
      <c r="K1116" s="125">
        <v>1177.2264243210163</v>
      </c>
      <c r="L1116" s="164">
        <v>3111.4225182954506</v>
      </c>
      <c r="M1116" s="125">
        <v>-45</v>
      </c>
      <c r="N1116" s="115">
        <v>14357.5</v>
      </c>
      <c r="O1116" s="139"/>
      <c r="P1116" s="125">
        <v>-451494.9</v>
      </c>
      <c r="Q1116" s="125">
        <v>0</v>
      </c>
      <c r="R1116" s="114"/>
      <c r="S1116" s="125">
        <v>-1.39E-6</v>
      </c>
      <c r="T1116" s="125">
        <v>0</v>
      </c>
      <c r="U1116" s="125">
        <v>11058171.7859319</v>
      </c>
      <c r="V1116" s="125">
        <v>0</v>
      </c>
      <c r="W1116" s="142">
        <v>613633.5</v>
      </c>
      <c r="X1116" s="142">
        <v>10.423370284697892</v>
      </c>
      <c r="Y1116" s="142">
        <v>62342838.985503651</v>
      </c>
      <c r="Z1116" s="142">
        <v>425.63387971678992</v>
      </c>
    </row>
    <row r="1117" spans="1:28" s="141" customFormat="1">
      <c r="A1117" s="121">
        <v>44602</v>
      </c>
      <c r="B1117" s="125">
        <v>151993060.64858946</v>
      </c>
      <c r="C1117" s="125">
        <v>59540161.394341879</v>
      </c>
      <c r="D1117" s="125">
        <v>63160648.547798619</v>
      </c>
      <c r="E1117" s="125">
        <v>71616314.703552112</v>
      </c>
      <c r="F1117" s="123">
        <v>194317124.64569259</v>
      </c>
      <c r="G1117" s="125">
        <v>-1100000</v>
      </c>
      <c r="H1117" s="125">
        <v>1406.8878684376793</v>
      </c>
      <c r="I1117" s="125">
        <v>1212.7101143770217</v>
      </c>
      <c r="J1117" s="125">
        <v>694.06361616317429</v>
      </c>
      <c r="K1117" s="125">
        <v>1225.527240145866</v>
      </c>
      <c r="L1117" s="164">
        <v>3132.3009706860621</v>
      </c>
      <c r="M1117" s="125">
        <v>-45</v>
      </c>
      <c r="N1117" s="115">
        <v>14342.5</v>
      </c>
      <c r="O1117" s="139"/>
      <c r="P1117" s="125">
        <v>-540077.4</v>
      </c>
      <c r="Q1117" s="125">
        <v>0</v>
      </c>
      <c r="R1117" s="114"/>
      <c r="S1117" s="125">
        <v>-1.39E-6</v>
      </c>
      <c r="T1117" s="125">
        <v>0</v>
      </c>
      <c r="U1117" s="125">
        <v>11817414.4875711</v>
      </c>
      <c r="V1117" s="125">
        <v>0</v>
      </c>
      <c r="W1117" s="142">
        <v>613633.5</v>
      </c>
      <c r="X1117" s="142">
        <v>2.9250777099843122</v>
      </c>
      <c r="Y1117" s="142">
        <v>62651391.686477162</v>
      </c>
      <c r="Z1117" s="142">
        <v>426.20280751452611</v>
      </c>
    </row>
    <row r="1118" spans="1:28" s="141" customFormat="1">
      <c r="A1118" s="121">
        <v>44603</v>
      </c>
      <c r="B1118" s="125">
        <v>151711685.6411328</v>
      </c>
      <c r="C1118" s="125">
        <v>58797207.943906114</v>
      </c>
      <c r="D1118" s="125">
        <v>63141420.762942538</v>
      </c>
      <c r="E1118" s="125">
        <v>71332225.00326024</v>
      </c>
      <c r="F1118" s="123">
        <v>193270853.71010888</v>
      </c>
      <c r="G1118" s="125">
        <v>-1100000</v>
      </c>
      <c r="H1118" s="125">
        <v>1406.8873826219121</v>
      </c>
      <c r="I1118" s="125">
        <v>1208.0637938026073</v>
      </c>
      <c r="J1118" s="125">
        <v>693.69975323053734</v>
      </c>
      <c r="K1118" s="125">
        <v>1227.0890266208469</v>
      </c>
      <c r="L1118" s="164">
        <v>3128.8525736539914</v>
      </c>
      <c r="M1118" s="125">
        <v>-45</v>
      </c>
      <c r="N1118" s="115">
        <v>14351.5</v>
      </c>
      <c r="O1118" s="139"/>
      <c r="P1118" s="125">
        <v>-540077.4</v>
      </c>
      <c r="Q1118" s="125">
        <v>0</v>
      </c>
      <c r="R1118" s="114"/>
      <c r="S1118" s="125">
        <v>-1.39E-6</v>
      </c>
      <c r="T1118" s="125">
        <v>0</v>
      </c>
      <c r="U1118" s="125">
        <v>11235474.040002901</v>
      </c>
      <c r="V1118" s="125">
        <v>0</v>
      </c>
      <c r="W1118" s="142">
        <v>613633.5</v>
      </c>
      <c r="X1118" s="142">
        <v>2.9239848893641782</v>
      </c>
      <c r="Y1118" s="142">
        <v>62804300.349171363</v>
      </c>
      <c r="Z1118" s="142">
        <v>426.69164867319716</v>
      </c>
    </row>
    <row r="1119" spans="1:28" s="141" customFormat="1">
      <c r="A1119" s="121">
        <v>44606</v>
      </c>
      <c r="B1119" s="125">
        <v>151897387.05990946</v>
      </c>
      <c r="C1119" s="125">
        <v>58470593.296684802</v>
      </c>
      <c r="D1119" s="125">
        <v>62747053.691737123</v>
      </c>
      <c r="E1119" s="125">
        <v>71981342.459043428</v>
      </c>
      <c r="F1119" s="123">
        <v>193198989.44746536</v>
      </c>
      <c r="G1119" s="125">
        <v>-1100000</v>
      </c>
      <c r="H1119" s="125">
        <v>1425.6160258500595</v>
      </c>
      <c r="I1119" s="125">
        <v>1208.6093678865379</v>
      </c>
      <c r="J1119" s="125">
        <v>693.80984576007256</v>
      </c>
      <c r="K1119" s="125">
        <v>1224.6163873213845</v>
      </c>
      <c r="L1119" s="164">
        <v>3127.0356009679949</v>
      </c>
      <c r="M1119" s="125">
        <v>-45</v>
      </c>
      <c r="N1119" s="115">
        <v>14327.5</v>
      </c>
      <c r="O1119" s="139"/>
      <c r="P1119" s="125">
        <v>-540077.4</v>
      </c>
      <c r="Q1119" s="125">
        <v>0</v>
      </c>
      <c r="R1119" s="114"/>
      <c r="S1119" s="125">
        <v>-1.39E-6</v>
      </c>
      <c r="T1119" s="125">
        <v>0</v>
      </c>
      <c r="U1119" s="125">
        <v>11032662.288831901</v>
      </c>
      <c r="V1119" s="125">
        <v>0</v>
      </c>
      <c r="W1119" s="142">
        <v>613633.5</v>
      </c>
      <c r="X1119" s="142">
        <v>2.9247942940743328</v>
      </c>
      <c r="Y1119" s="142">
        <v>63318290.008596815</v>
      </c>
      <c r="Z1119" s="142">
        <v>428.02608614038746</v>
      </c>
    </row>
    <row r="1120" spans="1:28" s="141" customFormat="1">
      <c r="A1120" s="121">
        <v>44607</v>
      </c>
      <c r="B1120" s="125">
        <v>151979346.63401926</v>
      </c>
      <c r="C1120" s="125">
        <v>58364456.975514784</v>
      </c>
      <c r="D1120" s="125">
        <v>62838528.806151509</v>
      </c>
      <c r="E1120" s="125">
        <v>72049857.533998281</v>
      </c>
      <c r="F1120" s="123">
        <v>193252843.31566459</v>
      </c>
      <c r="G1120" s="125">
        <v>-1100000</v>
      </c>
      <c r="H1120" s="125">
        <v>1428.9091280121625</v>
      </c>
      <c r="I1120" s="125">
        <v>1210.7009944710796</v>
      </c>
      <c r="J1120" s="125">
        <v>693.40523205027023</v>
      </c>
      <c r="K1120" s="125">
        <v>1214.3881424755539</v>
      </c>
      <c r="L1120" s="164">
        <v>3118.4943689969041</v>
      </c>
      <c r="M1120" s="125">
        <v>-45</v>
      </c>
      <c r="N1120" s="115">
        <v>14302.5</v>
      </c>
      <c r="O1120" s="139"/>
      <c r="P1120" s="125">
        <v>-540077.4</v>
      </c>
      <c r="Q1120" s="125">
        <v>0</v>
      </c>
      <c r="R1120" s="114"/>
      <c r="S1120" s="125">
        <v>-1.39E-6</v>
      </c>
      <c r="T1120" s="125">
        <v>0</v>
      </c>
      <c r="U1120" s="125">
        <v>10846408.195274599</v>
      </c>
      <c r="V1120" s="125">
        <v>0</v>
      </c>
      <c r="W1120" s="142">
        <v>613633.5</v>
      </c>
      <c r="X1120" s="142">
        <v>2.9274337052857891</v>
      </c>
      <c r="Y1120" s="142">
        <v>62591609.918606356</v>
      </c>
      <c r="Z1120" s="142">
        <v>429.288356886359</v>
      </c>
    </row>
    <row r="1121" spans="1:26" s="141" customFormat="1">
      <c r="A1121" s="121">
        <v>44608</v>
      </c>
      <c r="B1121" s="125">
        <v>151964786.56739292</v>
      </c>
      <c r="C1121" s="125">
        <v>58678537.675819844</v>
      </c>
      <c r="D1121" s="125">
        <v>62645746.049800396</v>
      </c>
      <c r="E1121" s="125">
        <v>72404277.063045621</v>
      </c>
      <c r="F1121" s="123">
        <v>193728560.78866586</v>
      </c>
      <c r="G1121" s="125">
        <v>-1100000</v>
      </c>
      <c r="H1121" s="125">
        <v>1441.9039745765017</v>
      </c>
      <c r="I1121" s="125">
        <v>1233.7538169174893</v>
      </c>
      <c r="J1121" s="125">
        <v>694.18310752589844</v>
      </c>
      <c r="K1121" s="125">
        <v>1214.2935013491497</v>
      </c>
      <c r="L1121" s="164">
        <v>3142.2304257925375</v>
      </c>
      <c r="M1121" s="125">
        <v>-45</v>
      </c>
      <c r="N1121" s="115">
        <v>14257.5</v>
      </c>
      <c r="O1121" s="139"/>
      <c r="P1121" s="125">
        <v>-540077.4</v>
      </c>
      <c r="Q1121" s="125">
        <v>0</v>
      </c>
      <c r="R1121" s="114"/>
      <c r="S1121" s="125">
        <v>-1.39E-6</v>
      </c>
      <c r="T1121" s="125">
        <v>0</v>
      </c>
      <c r="U1121" s="125">
        <v>10477444.040333599</v>
      </c>
      <c r="V1121" s="125">
        <v>0</v>
      </c>
      <c r="W1121" s="142">
        <v>613633.5</v>
      </c>
      <c r="X1121" s="142">
        <v>2.9332095492582853</v>
      </c>
      <c r="Y1121" s="142">
        <v>62234122.402226537</v>
      </c>
      <c r="Z1121" s="142">
        <v>428.16274694625866</v>
      </c>
    </row>
    <row r="1122" spans="1:26" s="141" customFormat="1">
      <c r="A1122" s="121">
        <v>44609</v>
      </c>
      <c r="B1122" s="125">
        <v>151731716.28064817</v>
      </c>
      <c r="C1122" s="125">
        <v>58291508.735244691</v>
      </c>
      <c r="D1122" s="125">
        <v>62576282.651218519</v>
      </c>
      <c r="E1122" s="125">
        <v>71696313.459541097</v>
      </c>
      <c r="F1122" s="123">
        <v>192564104.84600431</v>
      </c>
      <c r="G1122" s="125">
        <v>-1100000</v>
      </c>
      <c r="H1122" s="125">
        <v>1451.1957344427499</v>
      </c>
      <c r="I1122" s="125">
        <v>1228.3702939793077</v>
      </c>
      <c r="J1122" s="125">
        <v>694.02932449785362</v>
      </c>
      <c r="K1122" s="125">
        <v>1213.1717546736991</v>
      </c>
      <c r="L1122" s="164">
        <v>3135.5713731508604</v>
      </c>
      <c r="M1122" s="125">
        <v>-45</v>
      </c>
      <c r="N1122" s="115">
        <v>14317.5</v>
      </c>
      <c r="O1122" s="139"/>
      <c r="P1122" s="125">
        <v>-540077.4</v>
      </c>
      <c r="Q1122" s="125">
        <v>0</v>
      </c>
      <c r="R1122" s="114"/>
      <c r="S1122" s="125">
        <v>-1.39E-6</v>
      </c>
      <c r="T1122" s="125">
        <v>0</v>
      </c>
      <c r="U1122" s="125">
        <v>9678107.1652623992</v>
      </c>
      <c r="V1122" s="125">
        <v>0</v>
      </c>
      <c r="W1122" s="142">
        <v>613633.5</v>
      </c>
      <c r="X1122" s="142">
        <v>2.9336970404714515</v>
      </c>
      <c r="Y1122" s="142">
        <v>62606760.296352223</v>
      </c>
      <c r="Z1122" s="142">
        <v>427.0157968763757</v>
      </c>
    </row>
    <row r="1123" spans="1:26" s="141" customFormat="1">
      <c r="A1123" s="121">
        <v>44610</v>
      </c>
      <c r="B1123" s="125">
        <v>151839092.98882675</v>
      </c>
      <c r="C1123" s="125">
        <v>58033613.832848221</v>
      </c>
      <c r="D1123" s="125">
        <v>62583357.478854552</v>
      </c>
      <c r="E1123" s="125">
        <v>71981942.686409339</v>
      </c>
      <c r="F1123" s="123">
        <v>192598913.99811211</v>
      </c>
      <c r="G1123" s="125">
        <v>-1100000</v>
      </c>
      <c r="H1123" s="125">
        <v>1442.3665452697528</v>
      </c>
      <c r="I1123" s="125">
        <v>1219.7475237701976</v>
      </c>
      <c r="J1123" s="125">
        <v>691.36681201058525</v>
      </c>
      <c r="K1123" s="125">
        <v>1215.0140063706697</v>
      </c>
      <c r="L1123" s="164">
        <v>3126.1283421514527</v>
      </c>
      <c r="M1123" s="125">
        <v>-45</v>
      </c>
      <c r="N1123" s="115">
        <v>14328</v>
      </c>
      <c r="O1123" s="139"/>
      <c r="P1123" s="125">
        <v>-540077.4</v>
      </c>
      <c r="Q1123" s="125">
        <v>0</v>
      </c>
      <c r="R1123" s="114"/>
      <c r="S1123" s="125">
        <v>-1.39E-6</v>
      </c>
      <c r="T1123" s="125">
        <v>0</v>
      </c>
      <c r="U1123" s="125">
        <v>10520702.8925933</v>
      </c>
      <c r="V1123" s="125">
        <v>0</v>
      </c>
      <c r="W1123" s="142">
        <v>611367.75</v>
      </c>
      <c r="X1123" s="142">
        <v>2.9362802304522613</v>
      </c>
      <c r="Y1123" s="142">
        <v>62550522.511138</v>
      </c>
      <c r="Z1123" s="142">
        <v>426.59472745711741</v>
      </c>
    </row>
    <row r="1124" spans="1:26" s="141" customFormat="1">
      <c r="A1124" s="121">
        <v>44613</v>
      </c>
      <c r="B1124" s="125">
        <v>152060424.92107826</v>
      </c>
      <c r="C1124" s="125">
        <v>58407221.702642366</v>
      </c>
      <c r="D1124" s="125">
        <v>62333997.710990794</v>
      </c>
      <c r="E1124" s="125">
        <v>72788408.609353215</v>
      </c>
      <c r="F1124" s="123">
        <v>193529628.02298638</v>
      </c>
      <c r="G1124" s="125">
        <v>-1100000</v>
      </c>
      <c r="H1124" s="125">
        <v>1449.8105352170282</v>
      </c>
      <c r="I1124" s="125">
        <v>1214.4090687613952</v>
      </c>
      <c r="J1124" s="125">
        <v>695.42829585848051</v>
      </c>
      <c r="K1124" s="125">
        <v>1204.9488450233505</v>
      </c>
      <c r="L1124" s="164">
        <v>3114.7862096432264</v>
      </c>
      <c r="M1124" s="125">
        <v>-45</v>
      </c>
      <c r="N1124" s="115">
        <v>14327.5</v>
      </c>
      <c r="O1124" s="139"/>
      <c r="P1124" s="125">
        <v>-539053.19999999995</v>
      </c>
      <c r="Q1124" s="125">
        <v>0</v>
      </c>
      <c r="R1124" s="114"/>
      <c r="S1124" s="125">
        <v>-1.39E-6</v>
      </c>
      <c r="T1124" s="125">
        <v>0</v>
      </c>
      <c r="U1124" s="125">
        <v>11021186.612903699</v>
      </c>
      <c r="V1124" s="125">
        <v>0</v>
      </c>
      <c r="W1124" s="142">
        <v>611367.75</v>
      </c>
      <c r="X1124" s="142">
        <v>2.9344418250462398</v>
      </c>
      <c r="Y1124" s="142">
        <v>62416720.046394534</v>
      </c>
      <c r="Z1124" s="142">
        <v>426.3919274519161</v>
      </c>
    </row>
    <row r="1125" spans="1:26" s="141" customFormat="1">
      <c r="A1125" s="121">
        <v>44614</v>
      </c>
      <c r="B1125" s="125">
        <v>151967753.64623424</v>
      </c>
      <c r="C1125" s="125">
        <v>59422989.509194247</v>
      </c>
      <c r="D1125" s="125">
        <v>62387011.454359882</v>
      </c>
      <c r="E1125" s="125">
        <v>72894350.971236378</v>
      </c>
      <c r="F1125" s="123">
        <v>194704351.93479049</v>
      </c>
      <c r="G1125" s="125">
        <v>-1100000</v>
      </c>
      <c r="H1125" s="125">
        <v>1439.1913438286042</v>
      </c>
      <c r="I1125" s="125">
        <v>1212.8255395598187</v>
      </c>
      <c r="J1125" s="125">
        <v>696.21520391115439</v>
      </c>
      <c r="K1125" s="125">
        <v>1216.986696139654</v>
      </c>
      <c r="L1125" s="164">
        <v>3126.027439610627</v>
      </c>
      <c r="M1125" s="125">
        <v>-45</v>
      </c>
      <c r="N1125" s="115">
        <v>14363.5</v>
      </c>
      <c r="O1125" s="139"/>
      <c r="P1125" s="125">
        <v>-539053.19999999995</v>
      </c>
      <c r="Q1125" s="125">
        <v>0</v>
      </c>
      <c r="R1125" s="114"/>
      <c r="S1125" s="125">
        <v>-1.39E-6</v>
      </c>
      <c r="T1125" s="125">
        <v>0</v>
      </c>
      <c r="U1125" s="125">
        <v>11241975.5835962</v>
      </c>
      <c r="V1125" s="125">
        <v>0</v>
      </c>
      <c r="W1125" s="142">
        <v>611367.75</v>
      </c>
      <c r="X1125" s="142">
        <v>4.4326145149434328</v>
      </c>
      <c r="Y1125" s="142">
        <v>62498991.877799891</v>
      </c>
      <c r="Z1125" s="142">
        <v>426.99121494058204</v>
      </c>
    </row>
    <row r="1126" spans="1:26" s="141" customFormat="1">
      <c r="A1126" s="121">
        <v>44615</v>
      </c>
      <c r="B1126" s="125">
        <v>152393501.12826422</v>
      </c>
      <c r="C1126" s="125">
        <v>58710419.933969118</v>
      </c>
      <c r="D1126" s="125">
        <v>62328041.075520389</v>
      </c>
      <c r="E1126" s="125">
        <v>72149914.025714308</v>
      </c>
      <c r="F1126" s="123">
        <v>193188375.03520381</v>
      </c>
      <c r="G1126" s="125">
        <v>-1100000</v>
      </c>
      <c r="H1126" s="125">
        <v>1427.2831808427015</v>
      </c>
      <c r="I1126" s="125">
        <v>1201.5931061720557</v>
      </c>
      <c r="J1126" s="125">
        <v>699.87036780057485</v>
      </c>
      <c r="K1126" s="125">
        <v>1216.9934095154749</v>
      </c>
      <c r="L1126" s="164">
        <v>3118.4568834881056</v>
      </c>
      <c r="M1126" s="125">
        <v>-45</v>
      </c>
      <c r="N1126" s="115">
        <v>14337.5</v>
      </c>
      <c r="O1126" s="139"/>
      <c r="P1126" s="125">
        <v>-539053.19999999995</v>
      </c>
      <c r="Q1126" s="125">
        <v>0</v>
      </c>
      <c r="R1126" s="114"/>
      <c r="S1126" s="125">
        <v>-1.39E-6</v>
      </c>
      <c r="T1126" s="125">
        <v>0</v>
      </c>
      <c r="U1126" s="125">
        <v>10898274.402578199</v>
      </c>
      <c r="V1126" s="125">
        <v>0</v>
      </c>
      <c r="W1126" s="142">
        <v>611367.75</v>
      </c>
      <c r="X1126" s="142">
        <v>2.9384183518570182</v>
      </c>
      <c r="Y1126" s="142">
        <v>62482868.625920452</v>
      </c>
      <c r="Z1126" s="142">
        <v>422.27528964465904</v>
      </c>
    </row>
    <row r="1127" spans="1:26" s="141" customFormat="1">
      <c r="A1127" s="121">
        <v>44616</v>
      </c>
      <c r="B1127" s="125">
        <v>152765986.52443725</v>
      </c>
      <c r="C1127" s="125">
        <v>58185708.842884041</v>
      </c>
      <c r="D1127" s="125">
        <v>62400238.212457307</v>
      </c>
      <c r="E1127" s="125">
        <v>72087037.470734701</v>
      </c>
      <c r="F1127" s="123">
        <v>192672984.52607605</v>
      </c>
      <c r="G1127" s="125">
        <v>-1100000</v>
      </c>
      <c r="H1127" s="125">
        <v>1397.5804702562048</v>
      </c>
      <c r="I1127" s="125">
        <v>1367.874323016903</v>
      </c>
      <c r="J1127" s="125">
        <v>697.67899605802143</v>
      </c>
      <c r="K1127" s="125">
        <v>1216.5985631591475</v>
      </c>
      <c r="L1127" s="164">
        <v>3282.1518822340718</v>
      </c>
      <c r="M1127" s="125">
        <v>-45</v>
      </c>
      <c r="N1127" s="115">
        <v>14382.5</v>
      </c>
      <c r="O1127" s="139"/>
      <c r="P1127" s="125">
        <v>-539053.19999999995</v>
      </c>
      <c r="Q1127" s="125">
        <v>0</v>
      </c>
      <c r="R1127" s="114"/>
      <c r="S1127" s="125">
        <v>-1.39E-6</v>
      </c>
      <c r="T1127" s="125">
        <v>0</v>
      </c>
      <c r="U1127" s="125">
        <v>10448000.7033762</v>
      </c>
      <c r="V1127" s="125">
        <v>0</v>
      </c>
      <c r="W1127" s="142">
        <v>611367.75</v>
      </c>
      <c r="X1127" s="142">
        <v>8.9395052001425341</v>
      </c>
      <c r="Y1127" s="142">
        <v>62660610.471916363</v>
      </c>
      <c r="Z1127" s="142">
        <v>422.52854674493238</v>
      </c>
    </row>
    <row r="1128" spans="1:26" s="141" customFormat="1">
      <c r="A1128" s="121">
        <v>44617</v>
      </c>
      <c r="B1128" s="125">
        <v>154131293.32058939</v>
      </c>
      <c r="C1128" s="125">
        <v>55334556.176534139</v>
      </c>
      <c r="D1128" s="125">
        <v>63902217.592717253</v>
      </c>
      <c r="E1128" s="125">
        <v>71948143.803834945</v>
      </c>
      <c r="F1128" s="123">
        <v>191184917.57308632</v>
      </c>
      <c r="G1128" s="125">
        <v>-1100000</v>
      </c>
      <c r="H1128" s="125">
        <v>1388.305036432268</v>
      </c>
      <c r="I1128" s="125">
        <v>1519.0339699473973</v>
      </c>
      <c r="J1128" s="125">
        <v>698.69055359322545</v>
      </c>
      <c r="K1128" s="125">
        <v>1219.3795729507417</v>
      </c>
      <c r="L1128" s="164">
        <v>3437.1040964913645</v>
      </c>
      <c r="M1128" s="125">
        <v>-45</v>
      </c>
      <c r="N1128" s="115">
        <v>14367</v>
      </c>
      <c r="O1128" s="139"/>
      <c r="P1128" s="125">
        <v>-538929</v>
      </c>
      <c r="Q1128" s="125">
        <v>0</v>
      </c>
      <c r="R1128" s="114"/>
      <c r="S1128" s="125">
        <v>-1.39E-6</v>
      </c>
      <c r="T1128" s="125">
        <v>0</v>
      </c>
      <c r="U1128" s="125">
        <v>8541752.0422210991</v>
      </c>
      <c r="V1128" s="125">
        <v>0</v>
      </c>
      <c r="W1128" s="142">
        <v>611367.75</v>
      </c>
      <c r="X1128" s="142">
        <v>2.9413665929129253</v>
      </c>
      <c r="Y1128" s="142">
        <v>63008708.621289</v>
      </c>
      <c r="Z1128" s="142">
        <v>422.44543142585854</v>
      </c>
    </row>
    <row r="1129" spans="1:26" s="141" customFormat="1">
      <c r="A1129" s="121">
        <v>44620</v>
      </c>
      <c r="B1129" s="136">
        <v>154860644.90456101</v>
      </c>
      <c r="C1129" s="136">
        <v>55287761.758596003</v>
      </c>
      <c r="D1129" s="136">
        <v>63504365.640678003</v>
      </c>
      <c r="E1129" s="136">
        <v>71866440.237059996</v>
      </c>
      <c r="F1129" s="137">
        <v>190658567.636334</v>
      </c>
      <c r="G1129" s="125">
        <v>-1100000</v>
      </c>
      <c r="H1129" s="136">
        <v>1388.5698995894063</v>
      </c>
      <c r="I1129" s="136">
        <v>1518.7703970382126</v>
      </c>
      <c r="J1129" s="136">
        <v>700.66217039973549</v>
      </c>
      <c r="K1129" s="136">
        <v>1216.8387095596854</v>
      </c>
      <c r="L1129" s="165">
        <v>3436.2712769976333</v>
      </c>
      <c r="M1129" s="125">
        <v>-45</v>
      </c>
      <c r="N1129" s="115">
        <v>14367</v>
      </c>
      <c r="O1129" s="139">
        <v>3422.3449999999998</v>
      </c>
      <c r="P1129" s="125">
        <v>-538929</v>
      </c>
      <c r="Q1129" s="125">
        <v>0</v>
      </c>
      <c r="R1129" s="114"/>
      <c r="S1129" s="125">
        <v>-1.39E-6</v>
      </c>
      <c r="T1129" s="125">
        <v>0</v>
      </c>
      <c r="U1129" s="125">
        <v>8541752.0422210991</v>
      </c>
      <c r="V1129" s="125">
        <v>0</v>
      </c>
      <c r="W1129" s="142">
        <v>611367.75</v>
      </c>
      <c r="X1129" s="142">
        <v>2.9413665929129253</v>
      </c>
      <c r="Y1129" s="142">
        <v>63008708.621289</v>
      </c>
      <c r="Z1129" s="142">
        <v>422.44543142585854</v>
      </c>
    </row>
    <row r="1130" spans="1:26" s="141" customFormat="1">
      <c r="A1130" s="121">
        <v>44621</v>
      </c>
      <c r="B1130" s="125">
        <v>153389797.22889298</v>
      </c>
      <c r="C1130" s="125">
        <v>55860973.581722669</v>
      </c>
      <c r="D1130" s="125">
        <v>65527875.456543475</v>
      </c>
      <c r="E1130" s="125">
        <v>69961877.049129784</v>
      </c>
      <c r="F1130" s="123">
        <v>191350726.08739594</v>
      </c>
      <c r="G1130" s="125">
        <v>-1100000</v>
      </c>
      <c r="H1130" s="125">
        <v>1376.8923187084897</v>
      </c>
      <c r="I1130" s="125">
        <v>1200.6112675703509</v>
      </c>
      <c r="J1130" s="125">
        <v>697.63764155288311</v>
      </c>
      <c r="K1130" s="125">
        <v>1206.2277047705659</v>
      </c>
      <c r="L1130" s="164">
        <v>3104.4766138938003</v>
      </c>
      <c r="M1130" s="125">
        <v>-45</v>
      </c>
      <c r="N1130" s="115">
        <v>14337</v>
      </c>
      <c r="O1130" s="139"/>
      <c r="P1130" s="125">
        <v>-538929</v>
      </c>
      <c r="Q1130" s="125">
        <v>0</v>
      </c>
      <c r="R1130" s="114"/>
      <c r="S1130" s="125">
        <v>-1.39E-6</v>
      </c>
      <c r="T1130" s="125">
        <v>0</v>
      </c>
      <c r="U1130" s="125">
        <v>8096725.0885614008</v>
      </c>
      <c r="V1130" s="125">
        <v>0</v>
      </c>
      <c r="W1130" s="142">
        <v>611367.75</v>
      </c>
      <c r="X1130" s="142">
        <v>0.56578714000000008</v>
      </c>
      <c r="Y1130" s="142">
        <v>63156603.878072418</v>
      </c>
      <c r="Z1130" s="142">
        <v>423.77485440966672</v>
      </c>
    </row>
    <row r="1131" spans="1:26" s="141" customFormat="1">
      <c r="A1131" s="121">
        <v>44622</v>
      </c>
      <c r="B1131" s="125">
        <v>153044403.93369517</v>
      </c>
      <c r="C1131" s="125">
        <v>56363615.192918926</v>
      </c>
      <c r="D1131" s="125">
        <v>65594076.991432108</v>
      </c>
      <c r="E1131" s="125">
        <v>69961713.183827251</v>
      </c>
      <c r="F1131" s="123">
        <v>191919405.36817828</v>
      </c>
      <c r="G1131" s="125">
        <v>-1100000</v>
      </c>
      <c r="H1131" s="125">
        <v>1375.3961475873803</v>
      </c>
      <c r="I1131" s="125">
        <v>1203.9739034147065</v>
      </c>
      <c r="J1131" s="125">
        <v>696.73714751527154</v>
      </c>
      <c r="K1131" s="125">
        <v>1208.6714385626278</v>
      </c>
      <c r="L1131" s="164">
        <v>3109.3824894926056</v>
      </c>
      <c r="M1131" s="125">
        <v>-45</v>
      </c>
      <c r="N1131" s="115">
        <v>14386.5</v>
      </c>
      <c r="O1131" s="139"/>
      <c r="P1131" s="125">
        <v>-538929</v>
      </c>
      <c r="Q1131" s="125">
        <v>0</v>
      </c>
      <c r="R1131" s="114"/>
      <c r="S1131" s="125">
        <v>-1.39E-6</v>
      </c>
      <c r="T1131" s="125">
        <v>0</v>
      </c>
      <c r="U1131" s="125">
        <v>8011241.1803604001</v>
      </c>
      <c r="V1131" s="125">
        <v>0</v>
      </c>
      <c r="W1131" s="142">
        <v>611367.75</v>
      </c>
      <c r="X1131" s="142">
        <v>8.9422338087519559</v>
      </c>
      <c r="Y1131" s="142">
        <v>63478131.26346916</v>
      </c>
      <c r="Z1131" s="142">
        <v>424.40521577709183</v>
      </c>
    </row>
    <row r="1132" spans="1:26" s="141" customFormat="1">
      <c r="A1132" s="121">
        <v>44624</v>
      </c>
      <c r="B1132" s="125">
        <v>153711870.44241604</v>
      </c>
      <c r="C1132" s="125">
        <v>56757409.366276301</v>
      </c>
      <c r="D1132" s="125">
        <v>65379722.848131515</v>
      </c>
      <c r="E1132" s="125">
        <v>68453220.622038424</v>
      </c>
      <c r="F1132" s="123">
        <v>190590352.83644623</v>
      </c>
      <c r="G1132" s="125">
        <v>-1100000</v>
      </c>
      <c r="H1132" s="125">
        <v>1357.5328884521778</v>
      </c>
      <c r="I1132" s="125">
        <v>1217.7669145992068</v>
      </c>
      <c r="J1132" s="125">
        <v>695.76244772137045</v>
      </c>
      <c r="K1132" s="125">
        <v>1206.7186952758705</v>
      </c>
      <c r="L1132" s="164">
        <v>3120.2480575964473</v>
      </c>
      <c r="M1132" s="125">
        <v>-45</v>
      </c>
      <c r="N1132" s="115">
        <v>14387.5</v>
      </c>
      <c r="O1132" s="139"/>
      <c r="P1132" s="125">
        <v>-538929</v>
      </c>
      <c r="Q1132" s="125">
        <v>0</v>
      </c>
      <c r="R1132" s="114"/>
      <c r="S1132" s="125">
        <v>-1.39E-6</v>
      </c>
      <c r="T1132" s="125">
        <v>0</v>
      </c>
      <c r="U1132" s="125">
        <v>7600323.6577367997</v>
      </c>
      <c r="V1132" s="125">
        <v>0</v>
      </c>
      <c r="W1132" s="142">
        <v>611367.75</v>
      </c>
      <c r="X1132" s="142">
        <v>4.4387897464291921</v>
      </c>
      <c r="Y1132" s="142">
        <v>65039994.720950045</v>
      </c>
      <c r="Z1132" s="142">
        <v>426.05491971459946</v>
      </c>
    </row>
    <row r="1133" spans="1:26" s="141" customFormat="1">
      <c r="A1133" s="121">
        <v>44627</v>
      </c>
      <c r="B1133" s="125">
        <v>153441594.2077128</v>
      </c>
      <c r="C1133" s="125">
        <v>59122545.361591555</v>
      </c>
      <c r="D1133" s="125">
        <v>64979059.618725523</v>
      </c>
      <c r="E1133" s="125">
        <v>68212331.431704253</v>
      </c>
      <c r="F1133" s="123">
        <v>192313936.41202134</v>
      </c>
      <c r="G1133" s="125">
        <v>-1100000</v>
      </c>
      <c r="H1133" s="125">
        <v>1358.3545500677119</v>
      </c>
      <c r="I1133" s="125">
        <v>1211.7867339633324</v>
      </c>
      <c r="J1133" s="125">
        <v>692.18702228644031</v>
      </c>
      <c r="K1133" s="125">
        <v>1205.0603165959099</v>
      </c>
      <c r="L1133" s="164">
        <v>3109.0340728456822</v>
      </c>
      <c r="M1133" s="125">
        <v>-45</v>
      </c>
      <c r="N1133" s="115">
        <v>14407.5</v>
      </c>
      <c r="O1133" s="139"/>
      <c r="P1133" s="125">
        <v>-538407</v>
      </c>
      <c r="Q1133" s="125">
        <v>0</v>
      </c>
      <c r="R1133" s="114"/>
      <c r="S1133" s="125">
        <v>-1.39E-6</v>
      </c>
      <c r="T1133" s="125">
        <v>0</v>
      </c>
      <c r="U1133" s="125">
        <v>7599148.2577368002</v>
      </c>
      <c r="V1133" s="125">
        <v>0</v>
      </c>
      <c r="W1133" s="142">
        <v>611367.75</v>
      </c>
      <c r="X1133" s="142">
        <v>2.9397486183966683</v>
      </c>
      <c r="Y1133" s="142">
        <v>64352259.332594082</v>
      </c>
      <c r="Z1133" s="142">
        <v>424.44156764330234</v>
      </c>
    </row>
    <row r="1134" spans="1:26" s="141" customFormat="1">
      <c r="A1134" s="121">
        <v>44628</v>
      </c>
      <c r="B1134" s="125">
        <v>153115296.24191484</v>
      </c>
      <c r="C1134" s="125">
        <v>57953531.223853655</v>
      </c>
      <c r="D1134" s="125">
        <v>64984459.646086209</v>
      </c>
      <c r="E1134" s="125">
        <v>68257579.654823542</v>
      </c>
      <c r="F1134" s="123">
        <v>191195570.52476341</v>
      </c>
      <c r="G1134" s="125">
        <v>-1100000</v>
      </c>
      <c r="H1134" s="125">
        <v>1372.687263134249</v>
      </c>
      <c r="I1134" s="125">
        <v>1192.6165660156487</v>
      </c>
      <c r="J1134" s="125">
        <v>695.19931558308826</v>
      </c>
      <c r="K1134" s="125">
        <v>1205.6043986055174</v>
      </c>
      <c r="L1134" s="164">
        <v>3093.4202802042546</v>
      </c>
      <c r="M1134" s="125">
        <v>-45</v>
      </c>
      <c r="N1134" s="115">
        <v>14397.5</v>
      </c>
      <c r="O1134" s="139"/>
      <c r="P1134" s="125">
        <v>-538407</v>
      </c>
      <c r="Q1134" s="125">
        <v>0</v>
      </c>
      <c r="R1134" s="114"/>
      <c r="S1134" s="125">
        <v>-1.39E-6</v>
      </c>
      <c r="T1134" s="125">
        <v>0</v>
      </c>
      <c r="U1134" s="125">
        <v>6785736.1752699008</v>
      </c>
      <c r="V1134" s="125">
        <v>0</v>
      </c>
      <c r="W1134" s="142">
        <v>611367.75</v>
      </c>
      <c r="X1134" s="142">
        <v>2.940329595287376</v>
      </c>
      <c r="Y1134" s="142">
        <v>64492683.466749832</v>
      </c>
      <c r="Z1134" s="142">
        <v>423.91948143389197</v>
      </c>
    </row>
    <row r="1135" spans="1:26" s="141" customFormat="1">
      <c r="A1135" s="121">
        <v>44629</v>
      </c>
      <c r="B1135" s="125">
        <v>153255240.56437942</v>
      </c>
      <c r="C1135" s="125">
        <v>58507376.455633372</v>
      </c>
      <c r="D1135" s="125">
        <v>64831800.161623232</v>
      </c>
      <c r="E1135" s="125">
        <v>68555258.22890152</v>
      </c>
      <c r="F1135" s="123">
        <v>191894434.84615815</v>
      </c>
      <c r="G1135" s="125">
        <v>-1100000</v>
      </c>
      <c r="H1135" s="125">
        <v>1390.8870638560072</v>
      </c>
      <c r="I1135" s="125">
        <v>1181.3006784581066</v>
      </c>
      <c r="J1135" s="125">
        <v>695.33484891084265</v>
      </c>
      <c r="K1135" s="125">
        <v>1196.3895184404607</v>
      </c>
      <c r="L1135" s="164">
        <v>3073.0250458094097</v>
      </c>
      <c r="M1135" s="125">
        <v>-45</v>
      </c>
      <c r="N1135" s="115">
        <v>14347.5</v>
      </c>
      <c r="O1135" s="139"/>
      <c r="P1135" s="125">
        <v>-538407</v>
      </c>
      <c r="Q1135" s="125">
        <v>0</v>
      </c>
      <c r="R1135" s="114"/>
      <c r="S1135" s="125">
        <v>-1.39E-6</v>
      </c>
      <c r="T1135" s="125">
        <v>0</v>
      </c>
      <c r="U1135" s="125">
        <v>7006038.9795909002</v>
      </c>
      <c r="V1135" s="125">
        <v>0</v>
      </c>
      <c r="W1135" s="142">
        <v>611367.75</v>
      </c>
      <c r="X1135" s="142">
        <v>2.9399951901829584</v>
      </c>
      <c r="Y1135" s="142">
        <v>64974483.345848016</v>
      </c>
      <c r="Z1135" s="142">
        <v>423.0722599208504</v>
      </c>
    </row>
    <row r="1136" spans="1:26" s="141" customFormat="1">
      <c r="A1136" s="121">
        <v>44630</v>
      </c>
      <c r="B1136" s="125">
        <v>153547120.69538248</v>
      </c>
      <c r="C1136" s="125">
        <v>57628371.695529677</v>
      </c>
      <c r="D1136" s="125">
        <v>64677318.438286178</v>
      </c>
      <c r="E1136" s="125">
        <v>70143211.247584641</v>
      </c>
      <c r="F1136" s="123">
        <v>192448901.3814005</v>
      </c>
      <c r="G1136" s="125">
        <v>-1100000</v>
      </c>
      <c r="H1136" s="125">
        <v>1387.7811555615801</v>
      </c>
      <c r="I1136" s="125">
        <v>1210.3935890125802</v>
      </c>
      <c r="J1136" s="125">
        <v>701.06045092473585</v>
      </c>
      <c r="K1136" s="125">
        <v>1192.4923428048985</v>
      </c>
      <c r="L1136" s="164">
        <v>3103.9463827422142</v>
      </c>
      <c r="M1136" s="125">
        <v>-45</v>
      </c>
      <c r="N1136" s="115">
        <v>14280</v>
      </c>
      <c r="O1136" s="139"/>
      <c r="P1136" s="125">
        <v>-359578.8</v>
      </c>
      <c r="Q1136" s="125">
        <v>0</v>
      </c>
      <c r="R1136" s="114"/>
      <c r="S1136" s="125">
        <v>-1.39E-6</v>
      </c>
      <c r="T1136" s="125">
        <v>0</v>
      </c>
      <c r="U1136" s="125">
        <v>7848047.9005404003</v>
      </c>
      <c r="V1136" s="125">
        <v>0</v>
      </c>
      <c r="W1136" s="142">
        <v>611367.75</v>
      </c>
      <c r="X1136" s="142">
        <v>2.9390171820168067</v>
      </c>
      <c r="Y1136" s="142">
        <v>65683808.632040672</v>
      </c>
      <c r="Z1136" s="142">
        <v>423.6259651559202</v>
      </c>
    </row>
    <row r="1137" spans="1:26" s="141" customFormat="1">
      <c r="A1137" s="121">
        <v>44631</v>
      </c>
      <c r="B1137" s="125">
        <v>153515792.68843117</v>
      </c>
      <c r="C1137" s="125">
        <v>56599446.38285704</v>
      </c>
      <c r="D1137" s="125">
        <v>64539831.82940384</v>
      </c>
      <c r="E1137" s="125">
        <v>69605262.948441759</v>
      </c>
      <c r="F1137" s="123">
        <v>190744541.16070265</v>
      </c>
      <c r="G1137" s="125">
        <v>-1100000</v>
      </c>
      <c r="H1137" s="125">
        <v>1403.1032961332139</v>
      </c>
      <c r="I1137" s="125">
        <v>1221.7579407376802</v>
      </c>
      <c r="J1137" s="125">
        <v>700.00277386908397</v>
      </c>
      <c r="K1137" s="125">
        <v>1179.9928692640192</v>
      </c>
      <c r="L1137" s="164">
        <v>3101.7535838707836</v>
      </c>
      <c r="M1137" s="125">
        <v>-45</v>
      </c>
      <c r="N1137" s="115">
        <v>14302.5</v>
      </c>
      <c r="O1137" s="139"/>
      <c r="P1137" s="125">
        <v>-357870.6</v>
      </c>
      <c r="Q1137" s="125">
        <v>0</v>
      </c>
      <c r="R1137" s="114"/>
      <c r="S1137" s="125">
        <v>-1.39E-6</v>
      </c>
      <c r="T1137" s="125">
        <v>0</v>
      </c>
      <c r="U1137" s="125">
        <v>7882609.3617660003</v>
      </c>
      <c r="V1137" s="125">
        <v>0</v>
      </c>
      <c r="W1137" s="142">
        <v>611367.75</v>
      </c>
      <c r="X1137" s="142">
        <v>2.9389963691557419</v>
      </c>
      <c r="Y1137" s="142">
        <v>65076927.278418869</v>
      </c>
      <c r="Z1137" s="142">
        <v>423.05071611789901</v>
      </c>
    </row>
    <row r="1138" spans="1:26" s="141" customFormat="1">
      <c r="A1138" s="121">
        <v>44634</v>
      </c>
      <c r="B1138" s="125">
        <v>153777268.55595583</v>
      </c>
      <c r="C1138" s="125">
        <v>58153150.722750254</v>
      </c>
      <c r="D1138" s="125">
        <v>64613755.687394723</v>
      </c>
      <c r="E1138" s="125">
        <v>68790701.12003842</v>
      </c>
      <c r="F1138" s="123">
        <v>191557607.5301834</v>
      </c>
      <c r="G1138" s="125">
        <v>-1100000</v>
      </c>
      <c r="H1138" s="125">
        <v>1390.7719830141364</v>
      </c>
      <c r="I1138" s="125">
        <v>1208.9148352992172</v>
      </c>
      <c r="J1138" s="125">
        <v>701.53061834144523</v>
      </c>
      <c r="K1138" s="125">
        <v>1173.608422809684</v>
      </c>
      <c r="L1138" s="164">
        <v>3084.0538764503463</v>
      </c>
      <c r="M1138" s="125">
        <v>-45</v>
      </c>
      <c r="N1138" s="115">
        <v>14332.5</v>
      </c>
      <c r="O1138" s="139"/>
      <c r="P1138" s="125">
        <v>-179877.6</v>
      </c>
      <c r="Q1138" s="125">
        <v>0</v>
      </c>
      <c r="R1138" s="114"/>
      <c r="S1138" s="125">
        <v>-1.39E-6</v>
      </c>
      <c r="T1138" s="125">
        <v>0</v>
      </c>
      <c r="U1138" s="125">
        <v>8056994.0792360995</v>
      </c>
      <c r="V1138" s="125">
        <v>0</v>
      </c>
      <c r="W1138" s="142">
        <v>611367.75</v>
      </c>
      <c r="X1138" s="142">
        <v>11.924164952663528</v>
      </c>
      <c r="Y1138" s="142">
        <v>67287196.96214895</v>
      </c>
      <c r="Z1138" s="142">
        <v>424.02146955727903</v>
      </c>
    </row>
    <row r="1139" spans="1:26" s="141" customFormat="1">
      <c r="A1139" s="121">
        <v>44635</v>
      </c>
      <c r="B1139" s="125">
        <v>153419017.20714423</v>
      </c>
      <c r="C1139" s="125">
        <v>57710971.964045405</v>
      </c>
      <c r="D1139" s="125">
        <v>64720951.12588083</v>
      </c>
      <c r="E1139" s="125">
        <v>68418592.30649212</v>
      </c>
      <c r="F1139" s="123">
        <v>190850515.39641836</v>
      </c>
      <c r="G1139" s="125">
        <v>-1100000</v>
      </c>
      <c r="H1139" s="125">
        <v>1406.0757619429353</v>
      </c>
      <c r="I1139" s="125">
        <v>1213.549836889257</v>
      </c>
      <c r="J1139" s="125">
        <v>704.29324835019008</v>
      </c>
      <c r="K1139" s="125">
        <v>1173.6445540195352</v>
      </c>
      <c r="L1139" s="164">
        <v>3091.4876392589822</v>
      </c>
      <c r="M1139" s="125">
        <v>-45</v>
      </c>
      <c r="N1139" s="115">
        <v>14330</v>
      </c>
      <c r="O1139" s="139"/>
      <c r="P1139" s="125">
        <v>-179877.6</v>
      </c>
      <c r="Q1139" s="125">
        <v>0</v>
      </c>
      <c r="R1139" s="114"/>
      <c r="S1139" s="125">
        <v>-1.39E-6</v>
      </c>
      <c r="T1139" s="125">
        <v>0</v>
      </c>
      <c r="U1139" s="125">
        <v>6681394.0727235992</v>
      </c>
      <c r="V1139" s="125">
        <v>0</v>
      </c>
      <c r="W1139" s="142">
        <v>611367.75</v>
      </c>
      <c r="X1139" s="142">
        <v>2.9168461072016751</v>
      </c>
      <c r="Y1139" s="142">
        <v>67429025.561359078</v>
      </c>
      <c r="Z1139" s="142">
        <v>423.29928754999179</v>
      </c>
    </row>
    <row r="1140" spans="1:26" s="141" customFormat="1">
      <c r="A1140" s="121">
        <v>44636</v>
      </c>
      <c r="B1140" s="125">
        <v>153617328.32604218</v>
      </c>
      <c r="C1140" s="125">
        <v>58067357.671632729</v>
      </c>
      <c r="D1140" s="125">
        <v>64774696.073564731</v>
      </c>
      <c r="E1140" s="125">
        <v>69885012.839363456</v>
      </c>
      <c r="F1140" s="123">
        <v>192727066.58456093</v>
      </c>
      <c r="G1140" s="125">
        <v>-1100000</v>
      </c>
      <c r="H1140" s="125">
        <v>1390.4892267892517</v>
      </c>
      <c r="I1140" s="125">
        <v>1243.8560156241658</v>
      </c>
      <c r="J1140" s="125">
        <v>701.45990659184793</v>
      </c>
      <c r="K1140" s="125">
        <v>1173.7086979900114</v>
      </c>
      <c r="L1140" s="164">
        <v>3119.0246202060252</v>
      </c>
      <c r="M1140" s="125">
        <v>-45</v>
      </c>
      <c r="N1140" s="115">
        <v>14312</v>
      </c>
      <c r="O1140" s="139"/>
      <c r="P1140" s="125">
        <v>-179877.6</v>
      </c>
      <c r="Q1140" s="125">
        <v>0</v>
      </c>
      <c r="R1140" s="114"/>
      <c r="S1140" s="125">
        <v>-1.39E-6</v>
      </c>
      <c r="T1140" s="125">
        <v>0</v>
      </c>
      <c r="U1140" s="125">
        <v>5712865.6362195993</v>
      </c>
      <c r="V1140" s="125">
        <v>0</v>
      </c>
      <c r="W1140" s="142">
        <v>611367.75</v>
      </c>
      <c r="X1140" s="142">
        <v>2.9285701193180547</v>
      </c>
      <c r="Y1140" s="142">
        <v>66600705.544337213</v>
      </c>
      <c r="Z1140" s="142">
        <v>424.54230274554413</v>
      </c>
    </row>
    <row r="1141" spans="1:26" s="141" customFormat="1">
      <c r="A1141" s="121">
        <v>44637</v>
      </c>
      <c r="B1141" s="125">
        <v>153721743.17207152</v>
      </c>
      <c r="C1141" s="125">
        <v>58582995.025017291</v>
      </c>
      <c r="D1141" s="125">
        <v>64461050.828415871</v>
      </c>
      <c r="E1141" s="125">
        <v>70248244.103635401</v>
      </c>
      <c r="F1141" s="123">
        <v>193292289.95706856</v>
      </c>
      <c r="G1141" s="125">
        <v>-1100000</v>
      </c>
      <c r="H1141" s="125">
        <v>1390.805055896855</v>
      </c>
      <c r="I1141" s="125">
        <v>1303.7755402221749</v>
      </c>
      <c r="J1141" s="125">
        <v>704.49104876880597</v>
      </c>
      <c r="K1141" s="125">
        <v>1169.1235239111077</v>
      </c>
      <c r="L1141" s="164">
        <v>3177.3901129020887</v>
      </c>
      <c r="M1141" s="125">
        <v>-45</v>
      </c>
      <c r="N1141" s="115">
        <v>14302.5</v>
      </c>
      <c r="O1141" s="139"/>
      <c r="P1141" s="125">
        <v>-179877.6</v>
      </c>
      <c r="Q1141" s="125">
        <v>0</v>
      </c>
      <c r="R1141" s="114"/>
      <c r="S1141" s="125">
        <v>-1.39E-6</v>
      </c>
      <c r="T1141" s="125">
        <v>0</v>
      </c>
      <c r="U1141" s="125">
        <v>6976718.5174500998</v>
      </c>
      <c r="V1141" s="125">
        <v>0</v>
      </c>
      <c r="W1141" s="142">
        <v>611367.75</v>
      </c>
      <c r="X1141" s="142">
        <v>7.9289019800629257</v>
      </c>
      <c r="Y1141" s="142">
        <v>66714025.898977108</v>
      </c>
      <c r="Z1141" s="142">
        <v>425.63389963572024</v>
      </c>
    </row>
    <row r="1142" spans="1:26" s="141" customFormat="1">
      <c r="A1142" s="121">
        <v>44638</v>
      </c>
      <c r="B1142" s="125">
        <v>153757046.50992709</v>
      </c>
      <c r="C1142" s="125">
        <v>58154594.179021746</v>
      </c>
      <c r="D1142" s="125">
        <v>64789849.92398113</v>
      </c>
      <c r="E1142" s="125">
        <v>69396485.246624842</v>
      </c>
      <c r="F1142" s="123">
        <v>192340929.34962773</v>
      </c>
      <c r="G1142" s="125">
        <v>-1100000</v>
      </c>
      <c r="H1142" s="125">
        <v>1347.7024500006855</v>
      </c>
      <c r="I1142" s="125">
        <v>1291.1966263464444</v>
      </c>
      <c r="J1142" s="125">
        <v>702.9666277021139</v>
      </c>
      <c r="K1142" s="125">
        <v>1169.707429752877</v>
      </c>
      <c r="L1142" s="164">
        <v>3163.8706838014355</v>
      </c>
      <c r="M1142" s="125">
        <v>-45</v>
      </c>
      <c r="N1142" s="115">
        <v>14341.5</v>
      </c>
      <c r="O1142" s="139"/>
      <c r="P1142" s="125">
        <v>0</v>
      </c>
      <c r="Q1142" s="125">
        <v>0</v>
      </c>
      <c r="R1142" s="114"/>
      <c r="S1142" s="125">
        <v>-1.39E-6</v>
      </c>
      <c r="T1142" s="125">
        <v>0</v>
      </c>
      <c r="U1142" s="125">
        <v>7665926.7334680995</v>
      </c>
      <c r="V1142" s="125">
        <v>0</v>
      </c>
      <c r="W1142" s="142">
        <v>611367.75</v>
      </c>
      <c r="X1142" s="142">
        <v>7.9238302317268063</v>
      </c>
      <c r="Y1142" s="142">
        <v>66631936.469269231</v>
      </c>
      <c r="Z1142" s="142">
        <v>425.70412243097945</v>
      </c>
    </row>
    <row r="1143" spans="1:26" s="141" customFormat="1">
      <c r="A1143" s="121">
        <v>44641</v>
      </c>
      <c r="B1143" s="125">
        <v>153792910.90708348</v>
      </c>
      <c r="C1143" s="125">
        <v>59545454.075760141</v>
      </c>
      <c r="D1143" s="125">
        <v>65527952.117709674</v>
      </c>
      <c r="E1143" s="125">
        <v>69319256.152185664</v>
      </c>
      <c r="F1143" s="123">
        <v>194392662.3456555</v>
      </c>
      <c r="G1143" s="125">
        <v>-1100000</v>
      </c>
      <c r="H1143" s="125">
        <v>1351.1011638912114</v>
      </c>
      <c r="I1143" s="125">
        <v>1227.8050326057194</v>
      </c>
      <c r="J1143" s="125">
        <v>700.6593515097569</v>
      </c>
      <c r="K1143" s="125">
        <v>1172.8803365195083</v>
      </c>
      <c r="L1143" s="164">
        <v>3101.3447206349847</v>
      </c>
      <c r="M1143" s="125">
        <v>-45</v>
      </c>
      <c r="N1143" s="115">
        <v>14340</v>
      </c>
      <c r="O1143" s="139"/>
      <c r="P1143" s="125">
        <v>-264794.40000000002</v>
      </c>
      <c r="Q1143" s="125">
        <v>0</v>
      </c>
      <c r="R1143" s="114"/>
      <c r="S1143" s="125">
        <v>-1.39E-6</v>
      </c>
      <c r="T1143" s="125">
        <v>0</v>
      </c>
      <c r="U1143" s="125">
        <v>9166172.4087119997</v>
      </c>
      <c r="V1143" s="125">
        <v>0</v>
      </c>
      <c r="W1143" s="142">
        <v>613035</v>
      </c>
      <c r="X1143" s="142">
        <v>7.9229471818410042</v>
      </c>
      <c r="Y1143" s="142">
        <v>66663762.983382344</v>
      </c>
      <c r="Z1143" s="142">
        <v>422.94427725659631</v>
      </c>
    </row>
    <row r="1144" spans="1:26" s="141" customFormat="1">
      <c r="A1144" s="121">
        <v>44642</v>
      </c>
      <c r="B1144" s="125">
        <v>154107932.15667713</v>
      </c>
      <c r="C1144" s="125">
        <v>60525875.938324153</v>
      </c>
      <c r="D1144" s="125">
        <v>65339909.827246159</v>
      </c>
      <c r="E1144" s="125">
        <v>69269977.110581636</v>
      </c>
      <c r="F1144" s="123">
        <v>195135762.87615195</v>
      </c>
      <c r="G1144" s="125">
        <v>-1100000</v>
      </c>
      <c r="H1144" s="125">
        <v>1355.8743643677294</v>
      </c>
      <c r="I1144" s="125">
        <v>1220.6021814288774</v>
      </c>
      <c r="J1144" s="125">
        <v>702.99145962203659</v>
      </c>
      <c r="K1144" s="125">
        <v>1152.2915621576371</v>
      </c>
      <c r="L1144" s="164">
        <v>3075.885203208551</v>
      </c>
      <c r="M1144" s="125">
        <v>-45</v>
      </c>
      <c r="N1144" s="115">
        <v>14356.5</v>
      </c>
      <c r="O1144" s="139"/>
      <c r="P1144" s="125">
        <v>-264794.40000000002</v>
      </c>
      <c r="Q1144" s="125">
        <v>0</v>
      </c>
      <c r="R1144" s="114"/>
      <c r="S1144" s="125">
        <v>-1.39E-6</v>
      </c>
      <c r="T1144" s="125">
        <v>0</v>
      </c>
      <c r="U1144" s="125">
        <v>9061583.2299311999</v>
      </c>
      <c r="V1144" s="125">
        <v>0</v>
      </c>
      <c r="W1144" s="142">
        <v>613035</v>
      </c>
      <c r="X1144" s="142">
        <v>7.9242240849378325</v>
      </c>
      <c r="Y1144" s="142">
        <v>67027018.884488694</v>
      </c>
      <c r="Z1144" s="142">
        <v>423.4945704477127</v>
      </c>
    </row>
    <row r="1145" spans="1:26" s="141" customFormat="1">
      <c r="A1145" s="121">
        <v>44643</v>
      </c>
      <c r="B1145" s="125">
        <v>154378752.50450414</v>
      </c>
      <c r="C1145" s="125">
        <v>58696014.965240985</v>
      </c>
      <c r="D1145" s="125">
        <v>65302762.510135166</v>
      </c>
      <c r="E1145" s="125">
        <v>69570804.032721624</v>
      </c>
      <c r="F1145" s="123">
        <v>193569581.50809777</v>
      </c>
      <c r="G1145" s="125">
        <v>-1100000</v>
      </c>
      <c r="H1145" s="125">
        <v>1330.2992450027687</v>
      </c>
      <c r="I1145" s="125">
        <v>1247.8375213738504</v>
      </c>
      <c r="J1145" s="125">
        <v>703.4263898016643</v>
      </c>
      <c r="K1145" s="125">
        <v>1151.2335205967079</v>
      </c>
      <c r="L1145" s="164">
        <v>3102.4974317722226</v>
      </c>
      <c r="M1145" s="125">
        <v>-45</v>
      </c>
      <c r="N1145" s="115">
        <v>14346.5</v>
      </c>
      <c r="O1145" s="139"/>
      <c r="P1145" s="125">
        <v>-264794.40000000002</v>
      </c>
      <c r="Q1145" s="125">
        <v>0</v>
      </c>
      <c r="R1145" s="114"/>
      <c r="S1145" s="125">
        <v>-1.39E-6</v>
      </c>
      <c r="T1145" s="125">
        <v>0</v>
      </c>
      <c r="U1145" s="125">
        <v>7959590.4578112001</v>
      </c>
      <c r="V1145" s="125">
        <v>0</v>
      </c>
      <c r="W1145" s="142">
        <v>613035</v>
      </c>
      <c r="X1145" s="142">
        <v>5.5657871399999994</v>
      </c>
      <c r="Y1145" s="142">
        <v>68051303.613818407</v>
      </c>
      <c r="Z1145" s="142">
        <v>423.692870207238</v>
      </c>
    </row>
    <row r="1146" spans="1:26" s="141" customFormat="1">
      <c r="A1146" s="121">
        <v>44644</v>
      </c>
      <c r="B1146" s="125">
        <v>154722508.19710857</v>
      </c>
      <c r="C1146" s="125">
        <v>60284522.492694788</v>
      </c>
      <c r="D1146" s="125">
        <v>64608687.858809657</v>
      </c>
      <c r="E1146" s="125">
        <v>69386588.060516343</v>
      </c>
      <c r="F1146" s="123">
        <v>194279798.4120208</v>
      </c>
      <c r="G1146" s="125">
        <v>-1100000</v>
      </c>
      <c r="H1146" s="125">
        <v>1341.1753549920193</v>
      </c>
      <c r="I1146" s="125">
        <v>1243.038247427713</v>
      </c>
      <c r="J1146" s="125">
        <v>704.23058988890807</v>
      </c>
      <c r="K1146" s="125">
        <v>1149.6577841436342</v>
      </c>
      <c r="L1146" s="164">
        <v>3096.9266214602553</v>
      </c>
      <c r="M1146" s="125">
        <v>-44.99843200111502</v>
      </c>
      <c r="N1146" s="115">
        <v>14349.5</v>
      </c>
      <c r="O1146" s="139"/>
      <c r="P1146" s="125">
        <v>-264794.40000000002</v>
      </c>
      <c r="Q1146" s="125">
        <v>0</v>
      </c>
      <c r="R1146" s="114"/>
      <c r="S1146" s="125">
        <v>-1.39E-6</v>
      </c>
      <c r="T1146" s="125">
        <v>0</v>
      </c>
      <c r="U1146" s="125">
        <v>6427219.8845255999</v>
      </c>
      <c r="V1146" s="125">
        <v>0</v>
      </c>
      <c r="W1146" s="142">
        <v>613035</v>
      </c>
      <c r="X1146" s="142">
        <v>7.9205550487375858</v>
      </c>
      <c r="Y1146" s="142">
        <v>69042303.679755673</v>
      </c>
      <c r="Z1146" s="142">
        <v>425.43031464514291</v>
      </c>
    </row>
    <row r="1147" spans="1:26" s="141" customFormat="1">
      <c r="A1147" s="121">
        <v>44645</v>
      </c>
      <c r="B1147" s="125">
        <v>154558258.8518967</v>
      </c>
      <c r="C1147" s="125">
        <v>57078964.656419292</v>
      </c>
      <c r="D1147" s="125">
        <v>65763333.081186526</v>
      </c>
      <c r="E1147" s="125">
        <v>70129054.358443543</v>
      </c>
      <c r="F1147" s="123">
        <v>192971352.09604937</v>
      </c>
      <c r="G1147" s="125">
        <v>-1100000</v>
      </c>
      <c r="H1147" s="125">
        <v>1371.3739411485778</v>
      </c>
      <c r="I1147" s="125">
        <v>1206.712073070257</v>
      </c>
      <c r="J1147" s="125">
        <v>729.98785211359825</v>
      </c>
      <c r="K1147" s="125">
        <v>1151.8520179397456</v>
      </c>
      <c r="L1147" s="164">
        <v>3088.5519431236007</v>
      </c>
      <c r="M1147" s="125">
        <v>-45</v>
      </c>
      <c r="N1147" s="115">
        <v>14341</v>
      </c>
      <c r="O1147" s="139"/>
      <c r="P1147" s="125">
        <v>-264794.40000000002</v>
      </c>
      <c r="Q1147" s="125">
        <v>0</v>
      </c>
      <c r="R1147" s="114"/>
      <c r="S1147" s="125">
        <v>-1.39E-6</v>
      </c>
      <c r="T1147" s="125">
        <v>0</v>
      </c>
      <c r="U1147" s="125">
        <v>5903001.2075819997</v>
      </c>
      <c r="V1147" s="125">
        <v>0</v>
      </c>
      <c r="W1147" s="142">
        <v>613035</v>
      </c>
      <c r="X1147" s="142">
        <v>2.922960628599121</v>
      </c>
      <c r="Y1147" s="142">
        <v>68639059.88445811</v>
      </c>
      <c r="Z1147" s="142">
        <v>428.55855143591788</v>
      </c>
    </row>
    <row r="1148" spans="1:26" s="141" customFormat="1">
      <c r="A1148" s="121">
        <v>44648</v>
      </c>
      <c r="B1148" s="125">
        <v>154681110.11781257</v>
      </c>
      <c r="C1148" s="125">
        <v>58517021.855037168</v>
      </c>
      <c r="D1148" s="125">
        <v>65573974.202348083</v>
      </c>
      <c r="E1148" s="125">
        <v>69631717.54176715</v>
      </c>
      <c r="F1148" s="123">
        <v>193722713.59915239</v>
      </c>
      <c r="G1148" s="125">
        <v>-1100000</v>
      </c>
      <c r="H1148" s="125">
        <v>1368.2932281111775</v>
      </c>
      <c r="I1148" s="125">
        <v>1224.6924385062557</v>
      </c>
      <c r="J1148" s="125">
        <v>734.93697188406213</v>
      </c>
      <c r="K1148" s="125">
        <v>1150.6124253975192</v>
      </c>
      <c r="L1148" s="164">
        <v>3110.2418357878369</v>
      </c>
      <c r="M1148" s="125">
        <v>-45</v>
      </c>
      <c r="N1148" s="115">
        <v>14362.5</v>
      </c>
      <c r="O1148" s="139"/>
      <c r="P1148" s="125">
        <v>-264794.40000000002</v>
      </c>
      <c r="Q1148" s="125">
        <v>0</v>
      </c>
      <c r="R1148" s="114"/>
      <c r="S1148" s="125">
        <v>-1.39E-6</v>
      </c>
      <c r="T1148" s="125">
        <v>0</v>
      </c>
      <c r="U1148" s="125">
        <v>4849103.1087111998</v>
      </c>
      <c r="V1148" s="125">
        <v>0</v>
      </c>
      <c r="W1148" s="142">
        <v>613035</v>
      </c>
      <c r="X1148" s="142">
        <v>2.9193171661096606</v>
      </c>
      <c r="Y1148" s="142">
        <v>68304398.934920117</v>
      </c>
      <c r="Z1148" s="142">
        <v>429.82259523315656</v>
      </c>
    </row>
    <row r="1149" spans="1:26" s="141" customFormat="1">
      <c r="A1149" s="121">
        <v>44649</v>
      </c>
      <c r="B1149" s="125">
        <v>154912217.57467517</v>
      </c>
      <c r="C1149" s="125">
        <v>58200516.042229548</v>
      </c>
      <c r="D1149" s="125">
        <v>65591160.958837807</v>
      </c>
      <c r="E1149" s="125">
        <v>69552645.847281247</v>
      </c>
      <c r="F1149" s="123">
        <v>193344322.84834862</v>
      </c>
      <c r="G1149" s="125">
        <v>-1100000</v>
      </c>
      <c r="H1149" s="125">
        <v>1364.3534205815477</v>
      </c>
      <c r="I1149" s="125">
        <v>1209.180417206531</v>
      </c>
      <c r="J1149" s="125">
        <v>732.95900812446723</v>
      </c>
      <c r="K1149" s="125">
        <v>1147.9006779700437</v>
      </c>
      <c r="L1149" s="164">
        <v>3090.0401033010421</v>
      </c>
      <c r="M1149" s="125">
        <v>-45</v>
      </c>
      <c r="N1149" s="115">
        <v>14364</v>
      </c>
      <c r="O1149" s="139"/>
      <c r="P1149" s="125">
        <v>-264794.40000000002</v>
      </c>
      <c r="Q1149" s="125">
        <v>0</v>
      </c>
      <c r="R1149" s="114"/>
      <c r="S1149" s="125">
        <v>-1.39E-6</v>
      </c>
      <c r="T1149" s="125">
        <v>0</v>
      </c>
      <c r="U1149" s="125">
        <v>5149994.8276004996</v>
      </c>
      <c r="V1149" s="125">
        <v>0</v>
      </c>
      <c r="W1149" s="142">
        <v>613035</v>
      </c>
      <c r="X1149" s="142">
        <v>9.4204289528654961</v>
      </c>
      <c r="Y1149" s="142">
        <v>68233417.090810642</v>
      </c>
      <c r="Z1149" s="142">
        <v>414.65899878094763</v>
      </c>
    </row>
    <row r="1150" spans="1:26" s="141" customFormat="1">
      <c r="A1150" s="121">
        <v>44650</v>
      </c>
      <c r="B1150" s="125">
        <v>155402965.74183089</v>
      </c>
      <c r="C1150" s="125">
        <v>61003947.821591273</v>
      </c>
      <c r="D1150" s="125">
        <v>65252534.812470116</v>
      </c>
      <c r="E1150" s="125">
        <v>69287907.452532142</v>
      </c>
      <c r="F1150" s="123">
        <v>195544390.08659354</v>
      </c>
      <c r="G1150" s="125">
        <v>-1100000</v>
      </c>
      <c r="H1150" s="125">
        <v>1367.2792593460019</v>
      </c>
      <c r="I1150" s="125">
        <v>1198.6644474585776</v>
      </c>
      <c r="J1150" s="125">
        <v>722.15535354172243</v>
      </c>
      <c r="K1150" s="125">
        <v>1157.4406029139766</v>
      </c>
      <c r="L1150" s="164">
        <v>3078.2604039142766</v>
      </c>
      <c r="M1150" s="125">
        <v>-45</v>
      </c>
      <c r="N1150" s="115">
        <v>14343</v>
      </c>
      <c r="O1150" s="139"/>
      <c r="P1150" s="125">
        <v>-264794.40000000002</v>
      </c>
      <c r="Q1150" s="125">
        <v>0</v>
      </c>
      <c r="R1150" s="114"/>
      <c r="S1150" s="125">
        <v>-1.39E-6</v>
      </c>
      <c r="T1150" s="125">
        <v>0</v>
      </c>
      <c r="U1150" s="125">
        <v>4434108.3904205002</v>
      </c>
      <c r="V1150" s="125">
        <v>0</v>
      </c>
      <c r="W1150" s="142">
        <v>613035</v>
      </c>
      <c r="X1150" s="142">
        <v>5.926239974135119</v>
      </c>
      <c r="Y1150" s="142">
        <v>68272520.880207375</v>
      </c>
      <c r="Z1150" s="142">
        <v>416.55323534612842</v>
      </c>
    </row>
    <row r="1151" spans="1:26" s="141" customFormat="1">
      <c r="A1151" s="121">
        <v>44651</v>
      </c>
      <c r="B1151" s="136">
        <v>158354044.414974</v>
      </c>
      <c r="C1151" s="136">
        <v>59189365.356723003</v>
      </c>
      <c r="D1151" s="136">
        <v>64525767.800691999</v>
      </c>
      <c r="E1151" s="136">
        <v>69769581.443378001</v>
      </c>
      <c r="F1151" s="137">
        <v>193484714.600793</v>
      </c>
      <c r="G1151" s="125">
        <v>-1100000</v>
      </c>
      <c r="H1151" s="136">
        <v>1385.2177128458488</v>
      </c>
      <c r="I1151" s="136">
        <v>1186.0689091403019</v>
      </c>
      <c r="J1151" s="136">
        <v>719.17993558139051</v>
      </c>
      <c r="K1151" s="136">
        <v>1161.5014931734984</v>
      </c>
      <c r="L1151" s="165">
        <v>3066.7503378951906</v>
      </c>
      <c r="M1151" s="125">
        <v>-45</v>
      </c>
      <c r="N1151" s="115">
        <v>14369</v>
      </c>
      <c r="O1151" s="139">
        <v>3417.125</v>
      </c>
      <c r="P1151" s="125">
        <v>-264794.40000000002</v>
      </c>
      <c r="Q1151" s="125">
        <v>0</v>
      </c>
      <c r="R1151" s="114"/>
      <c r="S1151" s="125">
        <v>-1.39E-6</v>
      </c>
      <c r="T1151" s="125">
        <v>0</v>
      </c>
      <c r="U1151" s="125">
        <v>3769607.3615261</v>
      </c>
      <c r="V1151" s="125">
        <v>0</v>
      </c>
      <c r="W1151" s="142">
        <v>613035</v>
      </c>
      <c r="X1151" s="142">
        <v>2.9306333366733943</v>
      </c>
      <c r="Y1151" s="142">
        <v>68213421.641019762</v>
      </c>
      <c r="Z1151" s="142">
        <v>415.28714619186798</v>
      </c>
    </row>
    <row r="1152" spans="1:26" s="141" customFormat="1">
      <c r="A1152" s="121">
        <v>44652</v>
      </c>
      <c r="B1152" s="125">
        <v>156622388.4879176</v>
      </c>
      <c r="C1152" s="125">
        <v>59859055.854479007</v>
      </c>
      <c r="D1152" s="125">
        <v>65836838.085174978</v>
      </c>
      <c r="E1152" s="125">
        <v>69606677.286421612</v>
      </c>
      <c r="F1152" s="123">
        <v>195302571.22607559</v>
      </c>
      <c r="G1152" s="125">
        <v>-1100000</v>
      </c>
      <c r="H1152" s="125">
        <v>1373.8185104493182</v>
      </c>
      <c r="I1152" s="125">
        <v>1188.5905780073872</v>
      </c>
      <c r="J1152" s="125">
        <v>716.91774916137524</v>
      </c>
      <c r="K1152" s="125">
        <v>1155.6149011156283</v>
      </c>
      <c r="L1152" s="164">
        <v>3061.1232282843907</v>
      </c>
      <c r="M1152" s="125">
        <v>-45</v>
      </c>
      <c r="N1152" s="115">
        <v>14367.5</v>
      </c>
      <c r="O1152" s="139"/>
      <c r="P1152" s="125">
        <v>-264794.40000000002</v>
      </c>
      <c r="Q1152" s="125">
        <v>0</v>
      </c>
      <c r="R1152" s="114"/>
      <c r="S1152" s="125">
        <v>-1.39E-6</v>
      </c>
      <c r="T1152" s="125">
        <v>0</v>
      </c>
      <c r="U1152" s="125">
        <v>5497822.3073437</v>
      </c>
      <c r="V1152" s="125">
        <v>0</v>
      </c>
      <c r="W1152" s="142">
        <v>613035</v>
      </c>
      <c r="X1152" s="142">
        <v>2.924537792514355</v>
      </c>
      <c r="Y1152" s="142">
        <v>68025197.89155443</v>
      </c>
      <c r="Z1152" s="142">
        <v>414.51568195746512</v>
      </c>
    </row>
    <row r="1153" spans="1:26" s="141" customFormat="1">
      <c r="A1153" s="121">
        <v>44655</v>
      </c>
      <c r="B1153" s="125">
        <v>156300981.17472002</v>
      </c>
      <c r="C1153" s="125">
        <v>60285197.844625421</v>
      </c>
      <c r="D1153" s="125">
        <v>66681562.199943952</v>
      </c>
      <c r="E1153" s="125">
        <v>69337980.577496111</v>
      </c>
      <c r="F1153" s="123">
        <v>196304740.62206548</v>
      </c>
      <c r="G1153" s="125">
        <v>-1100000</v>
      </c>
      <c r="H1153" s="125">
        <v>1362.527590545222</v>
      </c>
      <c r="I1153" s="125">
        <v>1206.9892411332312</v>
      </c>
      <c r="J1153" s="125">
        <v>717.14639338716074</v>
      </c>
      <c r="K1153" s="125">
        <v>1153.7384301362051</v>
      </c>
      <c r="L1153" s="164">
        <v>3077.8740646565971</v>
      </c>
      <c r="M1153" s="125">
        <v>-45</v>
      </c>
      <c r="N1153" s="115">
        <v>14354.5</v>
      </c>
      <c r="O1153" s="139"/>
      <c r="P1153" s="125">
        <v>-352652.4</v>
      </c>
      <c r="Q1153" s="125">
        <v>0</v>
      </c>
      <c r="R1153" s="114"/>
      <c r="S1153" s="125">
        <v>-1.39E-6</v>
      </c>
      <c r="T1153" s="125">
        <v>0</v>
      </c>
      <c r="U1153" s="125">
        <v>7099195.8360670004</v>
      </c>
      <c r="V1153" s="125">
        <v>0</v>
      </c>
      <c r="W1153" s="142">
        <v>613035</v>
      </c>
      <c r="X1153" s="142">
        <v>8.9231315267776647</v>
      </c>
      <c r="Y1153" s="142">
        <v>67658428.472065166</v>
      </c>
      <c r="Z1153" s="142">
        <v>413.44630731042457</v>
      </c>
    </row>
    <row r="1154" spans="1:26" s="141" customFormat="1">
      <c r="A1154" s="121">
        <v>44656</v>
      </c>
      <c r="B1154" s="125">
        <v>155801796.06081554</v>
      </c>
      <c r="C1154" s="125">
        <v>62198613.943833053</v>
      </c>
      <c r="D1154" s="125">
        <v>65040181.54048387</v>
      </c>
      <c r="E1154" s="125">
        <v>69440359.272583798</v>
      </c>
      <c r="F1154" s="123">
        <v>196679154.75690073</v>
      </c>
      <c r="G1154" s="125">
        <v>-1100000</v>
      </c>
      <c r="H1154" s="125">
        <v>1385.0644740897385</v>
      </c>
      <c r="I1154" s="125">
        <v>1215.5770627584782</v>
      </c>
      <c r="J1154" s="125">
        <v>717.25986658083036</v>
      </c>
      <c r="K1154" s="125">
        <v>1153.7590624177926</v>
      </c>
      <c r="L1154" s="164">
        <v>3086.5959917571008</v>
      </c>
      <c r="M1154" s="125">
        <v>-45</v>
      </c>
      <c r="N1154" s="115">
        <v>14346.5</v>
      </c>
      <c r="O1154" s="139"/>
      <c r="P1154" s="125">
        <v>-352652.4</v>
      </c>
      <c r="Q1154" s="125">
        <v>0</v>
      </c>
      <c r="R1154" s="114"/>
      <c r="S1154" s="125">
        <v>-1.39E-6</v>
      </c>
      <c r="T1154" s="125">
        <v>0</v>
      </c>
      <c r="U1154" s="125">
        <v>8440385.8038529009</v>
      </c>
      <c r="V1154" s="125">
        <v>0</v>
      </c>
      <c r="W1154" s="142">
        <v>613035</v>
      </c>
      <c r="X1154" s="142">
        <v>2.9231286518670059</v>
      </c>
      <c r="Y1154" s="142">
        <v>67881601.238608092</v>
      </c>
      <c r="Z1154" s="142">
        <v>414.97035944916115</v>
      </c>
    </row>
    <row r="1155" spans="1:26" s="141" customFormat="1">
      <c r="A1155" s="121">
        <v>44657</v>
      </c>
      <c r="B1155" s="125">
        <v>155528754.18243667</v>
      </c>
      <c r="C1155" s="125">
        <v>62248693.556417197</v>
      </c>
      <c r="D1155" s="125">
        <v>64005107.996114038</v>
      </c>
      <c r="E1155" s="125">
        <v>69535823.860080123</v>
      </c>
      <c r="F1155" s="123">
        <v>195789625.41261137</v>
      </c>
      <c r="G1155" s="125">
        <v>-1100000</v>
      </c>
      <c r="H1155" s="125">
        <v>1371.9420904094677</v>
      </c>
      <c r="I1155" s="125">
        <v>1246.7906244896285</v>
      </c>
      <c r="J1155" s="125">
        <v>715.05275470034462</v>
      </c>
      <c r="K1155" s="125">
        <v>1154.1484419857725</v>
      </c>
      <c r="L1155" s="164">
        <v>3115.9918211757458</v>
      </c>
      <c r="M1155" s="125">
        <v>-45</v>
      </c>
      <c r="N1155" s="115">
        <v>14357</v>
      </c>
      <c r="O1155" s="139"/>
      <c r="P1155" s="125">
        <v>-352652.4</v>
      </c>
      <c r="Q1155" s="125">
        <v>0</v>
      </c>
      <c r="R1155" s="114"/>
      <c r="S1155" s="125">
        <v>-1.39E-6</v>
      </c>
      <c r="T1155" s="125">
        <v>0</v>
      </c>
      <c r="U1155" s="125">
        <v>10981913.258472901</v>
      </c>
      <c r="V1155" s="125">
        <v>0</v>
      </c>
      <c r="W1155" s="142">
        <v>613035</v>
      </c>
      <c r="X1155" s="142">
        <v>2.9225695457950822</v>
      </c>
      <c r="Y1155" s="142">
        <v>67447788.028759733</v>
      </c>
      <c r="Z1155" s="142">
        <v>414.97325337280978</v>
      </c>
    </row>
    <row r="1156" spans="1:26" s="141" customFormat="1">
      <c r="A1156" s="121">
        <v>44658</v>
      </c>
      <c r="B1156" s="125">
        <v>155398549.69399926</v>
      </c>
      <c r="C1156" s="125">
        <v>63469424.088789135</v>
      </c>
      <c r="D1156" s="125">
        <v>64112895.752473392</v>
      </c>
      <c r="E1156" s="125">
        <v>67477446.107301816</v>
      </c>
      <c r="F1156" s="123">
        <v>195059765.94856435</v>
      </c>
      <c r="G1156" s="125">
        <v>0</v>
      </c>
      <c r="H1156" s="125">
        <v>1380.0322236944626</v>
      </c>
      <c r="I1156" s="125">
        <v>1180.9283699179834</v>
      </c>
      <c r="J1156" s="125">
        <v>715.11838394126312</v>
      </c>
      <c r="K1156" s="125">
        <v>1153.1175854945254</v>
      </c>
      <c r="L1156" s="164">
        <v>3049.164339353772</v>
      </c>
      <c r="M1156" s="125">
        <v>-45</v>
      </c>
      <c r="N1156" s="115">
        <v>14358.5</v>
      </c>
      <c r="O1156" s="139"/>
      <c r="P1156" s="125">
        <v>-352652.4</v>
      </c>
      <c r="Q1156" s="125">
        <v>0</v>
      </c>
      <c r="R1156" s="114"/>
      <c r="S1156" s="125">
        <v>-1.39E-6</v>
      </c>
      <c r="T1156" s="125">
        <v>0</v>
      </c>
      <c r="U1156" s="125">
        <v>11902415.290309301</v>
      </c>
      <c r="V1156" s="125">
        <v>0</v>
      </c>
      <c r="W1156" s="142">
        <v>613035</v>
      </c>
      <c r="X1156" s="142">
        <v>2.9231851969000942</v>
      </c>
      <c r="Y1156" s="142">
        <v>67468230.260318652</v>
      </c>
      <c r="Z1156" s="142">
        <v>416.89397812964091</v>
      </c>
    </row>
    <row r="1157" spans="1:26" s="141" customFormat="1">
      <c r="A1157" s="121">
        <v>44659</v>
      </c>
      <c r="B1157" s="125">
        <v>155308038.38350132</v>
      </c>
      <c r="C1157" s="125">
        <v>60748275.138251938</v>
      </c>
      <c r="D1157" s="125">
        <v>64135479.837172613</v>
      </c>
      <c r="E1157" s="125">
        <v>67445496.080323637</v>
      </c>
      <c r="F1157" s="123">
        <v>192329251.05574819</v>
      </c>
      <c r="G1157" s="125">
        <v>0</v>
      </c>
      <c r="H1157" s="125">
        <v>1360.4562758924012</v>
      </c>
      <c r="I1157" s="125">
        <v>1172.658925225343</v>
      </c>
      <c r="J1157" s="125">
        <v>713.25927257670344</v>
      </c>
      <c r="K1157" s="125">
        <v>1154.6186644087372</v>
      </c>
      <c r="L1157" s="164">
        <v>3040.5368622107835</v>
      </c>
      <c r="M1157" s="125">
        <v>-45</v>
      </c>
      <c r="N1157" s="115">
        <v>14361.5</v>
      </c>
      <c r="O1157" s="139"/>
      <c r="P1157" s="125">
        <v>-352652.4</v>
      </c>
      <c r="Q1157" s="125">
        <v>0</v>
      </c>
      <c r="R1157" s="114"/>
      <c r="S1157" s="125">
        <v>-1.39E-6</v>
      </c>
      <c r="T1157" s="125">
        <v>0</v>
      </c>
      <c r="U1157" s="125">
        <v>10787424.8627693</v>
      </c>
      <c r="V1157" s="125">
        <v>0</v>
      </c>
      <c r="W1157" s="142">
        <v>613035</v>
      </c>
      <c r="X1157" s="142">
        <v>2.9232410967593911</v>
      </c>
      <c r="Y1157" s="142">
        <v>66775701.820321336</v>
      </c>
      <c r="Z1157" s="142">
        <v>418.97537684469717</v>
      </c>
    </row>
    <row r="1158" spans="1:26" s="141" customFormat="1">
      <c r="A1158" s="121">
        <v>44662</v>
      </c>
      <c r="B1158" s="125">
        <v>155443531.61365589</v>
      </c>
      <c r="C1158" s="125">
        <v>61174478.094294362</v>
      </c>
      <c r="D1158" s="125">
        <v>64224065.003965534</v>
      </c>
      <c r="E1158" s="125">
        <v>69248315.524570912</v>
      </c>
      <c r="F1158" s="123">
        <v>194646858.62283081</v>
      </c>
      <c r="G1158" s="125">
        <v>0</v>
      </c>
      <c r="H1158" s="125">
        <v>1386.5304825085616</v>
      </c>
      <c r="I1158" s="125">
        <v>1195.7341034601891</v>
      </c>
      <c r="J1158" s="125">
        <v>711.70079891293688</v>
      </c>
      <c r="K1158" s="125">
        <v>1134.1701875389815</v>
      </c>
      <c r="L1158" s="164">
        <v>3041.6050899121074</v>
      </c>
      <c r="M1158" s="125">
        <v>-45</v>
      </c>
      <c r="N1158" s="115">
        <v>14366</v>
      </c>
      <c r="O1158" s="139"/>
      <c r="P1158" s="125">
        <v>-352652.4</v>
      </c>
      <c r="Q1158" s="125">
        <v>0</v>
      </c>
      <c r="R1158" s="114"/>
      <c r="S1158" s="125">
        <v>-1.39E-6</v>
      </c>
      <c r="T1158" s="125">
        <v>0</v>
      </c>
      <c r="U1158" s="125">
        <v>9497850.4888065998</v>
      </c>
      <c r="V1158" s="125">
        <v>0</v>
      </c>
      <c r="W1158" s="142">
        <v>613035</v>
      </c>
      <c r="X1158" s="142">
        <v>7.9203517369650562</v>
      </c>
      <c r="Y1158" s="142">
        <v>66210137.8213972</v>
      </c>
      <c r="Z1158" s="142">
        <v>419.07379889593824</v>
      </c>
    </row>
    <row r="1159" spans="1:26" s="141" customFormat="1">
      <c r="A1159" s="121">
        <v>44663</v>
      </c>
      <c r="B1159" s="125">
        <v>155118481.82778201</v>
      </c>
      <c r="C1159" s="125">
        <v>61492936.663717337</v>
      </c>
      <c r="D1159" s="125">
        <v>63963716.738557771</v>
      </c>
      <c r="E1159" s="125">
        <v>68310623.121877611</v>
      </c>
      <c r="F1159" s="123">
        <v>193767276.52415273</v>
      </c>
      <c r="G1159" s="125">
        <v>0</v>
      </c>
      <c r="H1159" s="125">
        <v>1394.0564535704632</v>
      </c>
      <c r="I1159" s="125">
        <v>1160.0309220420602</v>
      </c>
      <c r="J1159" s="125">
        <v>712.05157161463217</v>
      </c>
      <c r="K1159" s="125">
        <v>1132.8124302455776</v>
      </c>
      <c r="L1159" s="164">
        <v>3004.89492390227</v>
      </c>
      <c r="M1159" s="125">
        <v>-45</v>
      </c>
      <c r="N1159" s="115">
        <v>14362.5</v>
      </c>
      <c r="O1159" s="139"/>
      <c r="P1159" s="125">
        <v>-352652.4</v>
      </c>
      <c r="Q1159" s="125">
        <v>0</v>
      </c>
      <c r="R1159" s="114"/>
      <c r="S1159" s="125">
        <v>-1.39E-6</v>
      </c>
      <c r="T1159" s="125">
        <v>0</v>
      </c>
      <c r="U1159" s="125">
        <v>8859276.2907146011</v>
      </c>
      <c r="V1159" s="125">
        <v>0</v>
      </c>
      <c r="W1159" s="142">
        <v>613035</v>
      </c>
      <c r="X1159" s="142">
        <v>2.920873301879896</v>
      </c>
      <c r="Y1159" s="142">
        <v>65949071.737645835</v>
      </c>
      <c r="Z1159" s="142">
        <v>419.48150334497137</v>
      </c>
    </row>
    <row r="1160" spans="1:26" s="141" customFormat="1">
      <c r="A1160" s="121">
        <v>44664</v>
      </c>
      <c r="B1160" s="125">
        <v>155143632.60933343</v>
      </c>
      <c r="C1160" s="125">
        <v>61319443.051535383</v>
      </c>
      <c r="D1160" s="125">
        <v>64197465.273037143</v>
      </c>
      <c r="E1160" s="125">
        <v>68856248.749830902</v>
      </c>
      <c r="F1160" s="123">
        <v>194373157.07440343</v>
      </c>
      <c r="G1160" s="125">
        <v>0</v>
      </c>
      <c r="H1160" s="125">
        <v>1373.627184865712</v>
      </c>
      <c r="I1160" s="125">
        <v>1147.5278037728192</v>
      </c>
      <c r="J1160" s="125">
        <v>713.21360215415984</v>
      </c>
      <c r="K1160" s="125">
        <v>1133.1865343715576</v>
      </c>
      <c r="L1160" s="164">
        <v>2993.9279402985367</v>
      </c>
      <c r="M1160" s="125">
        <v>-45</v>
      </c>
      <c r="N1160" s="115">
        <v>14363</v>
      </c>
      <c r="O1160" s="139"/>
      <c r="P1160" s="125">
        <v>-352652.4</v>
      </c>
      <c r="Q1160" s="125">
        <v>0</v>
      </c>
      <c r="R1160" s="114"/>
      <c r="S1160" s="125">
        <v>-1.39E-6</v>
      </c>
      <c r="T1160" s="125">
        <v>0</v>
      </c>
      <c r="U1160" s="125">
        <v>8006634.5970346006</v>
      </c>
      <c r="V1160" s="125">
        <v>0</v>
      </c>
      <c r="W1160" s="142">
        <v>613035</v>
      </c>
      <c r="X1160" s="142">
        <v>2.9222742944941862</v>
      </c>
      <c r="Y1160" s="142">
        <v>65482932.901676379</v>
      </c>
      <c r="Z1160" s="142">
        <v>418.78869995554408</v>
      </c>
    </row>
    <row r="1161" spans="1:26" s="141" customFormat="1">
      <c r="A1161" s="121">
        <v>44665</v>
      </c>
      <c r="B1161" s="125">
        <v>155192069.67575553</v>
      </c>
      <c r="C1161" s="125">
        <v>59882600.13989421</v>
      </c>
      <c r="D1161" s="125">
        <v>64827048.884582907</v>
      </c>
      <c r="E1161" s="125">
        <v>69211213.719520956</v>
      </c>
      <c r="F1161" s="123">
        <v>193920862.74399808</v>
      </c>
      <c r="G1161" s="125">
        <v>0</v>
      </c>
      <c r="H1161" s="125">
        <v>1385.2687304785693</v>
      </c>
      <c r="I1161" s="125">
        <v>1131.3760767642025</v>
      </c>
      <c r="J1161" s="125">
        <v>712.18070292697519</v>
      </c>
      <c r="K1161" s="125">
        <v>1131.8335772542341</v>
      </c>
      <c r="L1161" s="164">
        <v>2975.3903569454119</v>
      </c>
      <c r="M1161" s="125">
        <v>-45</v>
      </c>
      <c r="N1161" s="115">
        <v>14344</v>
      </c>
      <c r="O1161" s="139"/>
      <c r="P1161" s="125">
        <v>-702234</v>
      </c>
      <c r="Q1161" s="125">
        <v>0</v>
      </c>
      <c r="R1161" s="114"/>
      <c r="S1161" s="125">
        <v>-1.39E-6</v>
      </c>
      <c r="T1161" s="125">
        <v>0</v>
      </c>
      <c r="U1161" s="125">
        <v>7973059.6852852004</v>
      </c>
      <c r="V1161" s="125">
        <v>0</v>
      </c>
      <c r="W1161" s="142">
        <v>613035</v>
      </c>
      <c r="X1161" s="142">
        <v>3.9208362894701616</v>
      </c>
      <c r="Y1161" s="142">
        <v>65777078.093727231</v>
      </c>
      <c r="Z1161" s="142">
        <v>418.65713958483065</v>
      </c>
    </row>
    <row r="1162" spans="1:26" s="141" customFormat="1">
      <c r="A1162" s="121">
        <v>44669</v>
      </c>
      <c r="B1162" s="125">
        <v>155604184.17201635</v>
      </c>
      <c r="C1162" s="125">
        <v>62017692.483776227</v>
      </c>
      <c r="D1162" s="125">
        <v>64780230.247287706</v>
      </c>
      <c r="E1162" s="125">
        <v>69313267.880734801</v>
      </c>
      <c r="F1162" s="123">
        <v>196111190.61179873</v>
      </c>
      <c r="G1162" s="125">
        <v>0</v>
      </c>
      <c r="H1162" s="125">
        <v>1401.1795438956863</v>
      </c>
      <c r="I1162" s="125">
        <v>1140.2199109713774</v>
      </c>
      <c r="J1162" s="125">
        <v>709.68055694904547</v>
      </c>
      <c r="K1162" s="125">
        <v>1130.8071659410434</v>
      </c>
      <c r="L1162" s="164">
        <v>2980.7076338614661</v>
      </c>
      <c r="M1162" s="125">
        <v>-45</v>
      </c>
      <c r="N1162" s="115">
        <v>14353.5</v>
      </c>
      <c r="O1162" s="139"/>
      <c r="P1162" s="125">
        <v>-349581.6</v>
      </c>
      <c r="Q1162" s="125">
        <v>0</v>
      </c>
      <c r="R1162" s="114"/>
      <c r="S1162" s="125">
        <v>-1.39E-6</v>
      </c>
      <c r="T1162" s="125">
        <v>0</v>
      </c>
      <c r="U1162" s="125">
        <v>6265795.2488054</v>
      </c>
      <c r="V1162" s="125">
        <v>0</v>
      </c>
      <c r="W1162" s="142">
        <v>613035</v>
      </c>
      <c r="X1162" s="142">
        <v>9.9197948733054666</v>
      </c>
      <c r="Y1162" s="142">
        <v>65845384.909342594</v>
      </c>
      <c r="Z1162" s="142">
        <v>418.0409554983371</v>
      </c>
    </row>
    <row r="1163" spans="1:26" s="141" customFormat="1">
      <c r="A1163" s="121">
        <v>44670</v>
      </c>
      <c r="B1163" s="125">
        <v>155013015.48535383</v>
      </c>
      <c r="C1163" s="125">
        <v>62126765.969498329</v>
      </c>
      <c r="D1163" s="125">
        <v>65174366.081903666</v>
      </c>
      <c r="E1163" s="125">
        <v>69272906.144529209</v>
      </c>
      <c r="F1163" s="123">
        <v>196574038.1959312</v>
      </c>
      <c r="G1163" s="125">
        <v>0</v>
      </c>
      <c r="H1163" s="125">
        <v>1441.8667678481727</v>
      </c>
      <c r="I1163" s="125">
        <v>1230.4257054048608</v>
      </c>
      <c r="J1163" s="125">
        <v>708.59477443554226</v>
      </c>
      <c r="K1163" s="125">
        <v>1037.2007219400487</v>
      </c>
      <c r="L1163" s="164">
        <v>2976.2212017804513</v>
      </c>
      <c r="M1163" s="125">
        <v>-45</v>
      </c>
      <c r="N1163" s="115">
        <v>14340</v>
      </c>
      <c r="O1163" s="139"/>
      <c r="P1163" s="125">
        <v>-349581.6</v>
      </c>
      <c r="Q1163" s="125">
        <v>0</v>
      </c>
      <c r="R1163" s="114"/>
      <c r="S1163" s="125">
        <v>-1.39E-6</v>
      </c>
      <c r="T1163" s="125">
        <v>0</v>
      </c>
      <c r="U1163" s="125">
        <v>6210187.0868959008</v>
      </c>
      <c r="V1163" s="125">
        <v>0</v>
      </c>
      <c r="W1163" s="142">
        <v>613035</v>
      </c>
      <c r="X1163" s="142">
        <v>3.9180465542259415</v>
      </c>
      <c r="Y1163" s="142">
        <v>65395316.195119858</v>
      </c>
      <c r="Z1163" s="142">
        <v>417.55368045051381</v>
      </c>
    </row>
    <row r="1164" spans="1:26" s="141" customFormat="1">
      <c r="A1164" s="121">
        <v>44671</v>
      </c>
      <c r="B1164" s="125">
        <v>155325128.04533213</v>
      </c>
      <c r="C1164" s="125">
        <v>62215314.827555187</v>
      </c>
      <c r="D1164" s="125">
        <v>65266430.303585157</v>
      </c>
      <c r="E1164" s="125">
        <v>69149229.901529998</v>
      </c>
      <c r="F1164" s="123">
        <v>196630975.03267035</v>
      </c>
      <c r="G1164" s="125">
        <v>0</v>
      </c>
      <c r="H1164" s="125">
        <v>1423.4831946205613</v>
      </c>
      <c r="I1164" s="125">
        <v>1176.8379467209813</v>
      </c>
      <c r="J1164" s="125">
        <v>709.73595232239791</v>
      </c>
      <c r="K1164" s="125">
        <v>1128.7998581058937</v>
      </c>
      <c r="L1164" s="164">
        <v>3015.3737571492729</v>
      </c>
      <c r="M1164" s="125">
        <v>-45</v>
      </c>
      <c r="N1164" s="115">
        <v>14356</v>
      </c>
      <c r="O1164" s="139"/>
      <c r="P1164" s="125">
        <v>-349581.6</v>
      </c>
      <c r="Q1164" s="125">
        <v>0</v>
      </c>
      <c r="R1164" s="114"/>
      <c r="S1164" s="125">
        <v>-1.39E-6</v>
      </c>
      <c r="T1164" s="125">
        <v>0</v>
      </c>
      <c r="U1164" s="125">
        <v>5689538.1107299002</v>
      </c>
      <c r="V1164" s="125">
        <v>0</v>
      </c>
      <c r="W1164" s="142">
        <v>613035</v>
      </c>
      <c r="X1164" s="142">
        <v>3.9037851895959879</v>
      </c>
      <c r="Y1164" s="142">
        <v>64814524.635251023</v>
      </c>
      <c r="Z1164" s="142">
        <v>416.94941250328361</v>
      </c>
    </row>
    <row r="1165" spans="1:26" s="141" customFormat="1">
      <c r="A1165" s="121">
        <v>44672</v>
      </c>
      <c r="B1165" s="125">
        <v>155563059.08190197</v>
      </c>
      <c r="C1165" s="125">
        <v>62928016.950465523</v>
      </c>
      <c r="D1165" s="125">
        <v>65090694.23228962</v>
      </c>
      <c r="E1165" s="125">
        <v>69387037.386337772</v>
      </c>
      <c r="F1165" s="123">
        <v>197405748.56909293</v>
      </c>
      <c r="G1165" s="125">
        <v>0</v>
      </c>
      <c r="H1165" s="125">
        <v>1450.898832546651</v>
      </c>
      <c r="I1165" s="125">
        <v>1168.4877196142302</v>
      </c>
      <c r="J1165" s="125">
        <v>711.91359115549437</v>
      </c>
      <c r="K1165" s="125">
        <v>1170.648362254319</v>
      </c>
      <c r="L1165" s="164">
        <v>3051.0496730240438</v>
      </c>
      <c r="M1165" s="125">
        <v>-45</v>
      </c>
      <c r="N1165" s="115">
        <v>14344</v>
      </c>
      <c r="O1165" s="139"/>
      <c r="P1165" s="125">
        <v>-349581.6</v>
      </c>
      <c r="Q1165" s="125">
        <v>0</v>
      </c>
      <c r="R1165" s="114"/>
      <c r="S1165" s="125">
        <v>-1.39E-6</v>
      </c>
      <c r="T1165" s="125">
        <v>0</v>
      </c>
      <c r="U1165" s="125">
        <v>6160422.7511109002</v>
      </c>
      <c r="V1165" s="125">
        <v>0</v>
      </c>
      <c r="W1165" s="142">
        <v>613505.25</v>
      </c>
      <c r="X1165" s="142">
        <v>12.892125678761852</v>
      </c>
      <c r="Y1165" s="142">
        <v>64583449.320604891</v>
      </c>
      <c r="Z1165" s="142">
        <v>417.18222095123258</v>
      </c>
    </row>
    <row r="1166" spans="1:26" s="141" customFormat="1">
      <c r="A1166" s="121">
        <v>44673</v>
      </c>
      <c r="B1166" s="125">
        <v>155402817.02488026</v>
      </c>
      <c r="C1166" s="125">
        <v>61786678.337705448</v>
      </c>
      <c r="D1166" s="125">
        <v>65977668.71278739</v>
      </c>
      <c r="E1166" s="125">
        <v>68584756.241429567</v>
      </c>
      <c r="F1166" s="123">
        <v>196349103.29192239</v>
      </c>
      <c r="G1166" s="125">
        <v>0</v>
      </c>
      <c r="H1166" s="125">
        <v>1454.8423384886607</v>
      </c>
      <c r="I1166" s="125">
        <v>1130.5685669375955</v>
      </c>
      <c r="J1166" s="125">
        <v>708.956183927187</v>
      </c>
      <c r="K1166" s="125">
        <v>1170.3290062201672</v>
      </c>
      <c r="L1166" s="164">
        <v>3009.8537570849498</v>
      </c>
      <c r="M1166" s="125">
        <v>-45</v>
      </c>
      <c r="N1166" s="115">
        <v>14357</v>
      </c>
      <c r="O1166" s="139"/>
      <c r="P1166" s="125">
        <v>-349581.6</v>
      </c>
      <c r="Q1166" s="125">
        <v>0</v>
      </c>
      <c r="R1166" s="114"/>
      <c r="S1166" s="125">
        <v>-1.39E-6</v>
      </c>
      <c r="T1166" s="125">
        <v>0</v>
      </c>
      <c r="U1166" s="125">
        <v>6916011.8726709001</v>
      </c>
      <c r="V1166" s="125">
        <v>0</v>
      </c>
      <c r="W1166" s="142">
        <v>613505.25</v>
      </c>
      <c r="X1166" s="142">
        <v>22.883196765966428</v>
      </c>
      <c r="Y1166" s="142">
        <v>65379253.54847867</v>
      </c>
      <c r="Z1166" s="142">
        <v>415.73434794146959</v>
      </c>
    </row>
    <row r="1167" spans="1:26" s="141" customFormat="1">
      <c r="A1167" s="121">
        <v>44676</v>
      </c>
      <c r="B1167" s="125">
        <v>155807597.31234401</v>
      </c>
      <c r="C1167" s="125">
        <v>63792150.509617925</v>
      </c>
      <c r="D1167" s="125">
        <v>66141040.192840546</v>
      </c>
      <c r="E1167" s="125">
        <v>67943236.929585114</v>
      </c>
      <c r="F1167" s="123">
        <v>197876427.6320436</v>
      </c>
      <c r="G1167" s="125">
        <v>0</v>
      </c>
      <c r="H1167" s="125">
        <v>1463.6542766035031</v>
      </c>
      <c r="I1167" s="125">
        <v>1057.4455581883497</v>
      </c>
      <c r="J1167" s="125">
        <v>706.21711359206108</v>
      </c>
      <c r="K1167" s="125">
        <v>1169.4233922218737</v>
      </c>
      <c r="L1167" s="164">
        <v>2933.0860640022843</v>
      </c>
      <c r="M1167" s="125">
        <v>-45</v>
      </c>
      <c r="N1167" s="115">
        <v>14457.5</v>
      </c>
      <c r="O1167" s="139"/>
      <c r="P1167" s="125">
        <v>-349581.6</v>
      </c>
      <c r="Q1167" s="125">
        <v>0</v>
      </c>
      <c r="R1167" s="114"/>
      <c r="S1167" s="125">
        <v>-1.39E-6</v>
      </c>
      <c r="T1167" s="125">
        <v>0</v>
      </c>
      <c r="U1167" s="125">
        <v>7229874.8932694998</v>
      </c>
      <c r="V1167" s="125">
        <v>0</v>
      </c>
      <c r="W1167" s="142">
        <v>613505.25</v>
      </c>
      <c r="X1167" s="142">
        <v>11.355721430160816</v>
      </c>
      <c r="Y1167" s="142">
        <v>65361628.581057869</v>
      </c>
      <c r="Z1167" s="142">
        <v>412.02138711352171</v>
      </c>
    </row>
    <row r="1168" spans="1:26" s="141" customFormat="1">
      <c r="A1168" s="121">
        <v>44677</v>
      </c>
      <c r="B1168" s="125">
        <v>156179490.21198258</v>
      </c>
      <c r="C1168" s="125">
        <v>62366861.304023318</v>
      </c>
      <c r="D1168" s="125">
        <v>66715807.800981909</v>
      </c>
      <c r="E1168" s="125">
        <v>67966802.645939633</v>
      </c>
      <c r="F1168" s="123">
        <v>197049471.75094485</v>
      </c>
      <c r="G1168" s="125">
        <v>0</v>
      </c>
      <c r="H1168" s="125">
        <v>1477.726190113337</v>
      </c>
      <c r="I1168" s="125">
        <v>1088.4449607793053</v>
      </c>
      <c r="J1168" s="125">
        <v>705.12045036673965</v>
      </c>
      <c r="K1168" s="125">
        <v>1169.6833233036064</v>
      </c>
      <c r="L1168" s="164">
        <v>2963.2487344496512</v>
      </c>
      <c r="M1168" s="125">
        <v>-45</v>
      </c>
      <c r="N1168" s="115">
        <v>14411</v>
      </c>
      <c r="O1168" s="139"/>
      <c r="P1168" s="125">
        <v>-349581.6</v>
      </c>
      <c r="Q1168" s="125">
        <v>0</v>
      </c>
      <c r="R1168" s="114"/>
      <c r="S1168" s="125">
        <v>-1.39E-6</v>
      </c>
      <c r="T1168" s="125">
        <v>0</v>
      </c>
      <c r="U1168" s="125">
        <v>6818808.292468301</v>
      </c>
      <c r="V1168" s="125">
        <v>0</v>
      </c>
      <c r="W1168" s="142">
        <v>613505.25</v>
      </c>
      <c r="X1168" s="142">
        <v>7.8544659270376789</v>
      </c>
      <c r="Y1168" s="142">
        <v>66223168.836599298</v>
      </c>
      <c r="Z1168" s="142">
        <v>413.44135134989114</v>
      </c>
    </row>
    <row r="1169" spans="1:26" s="141" customFormat="1">
      <c r="A1169" s="121">
        <v>44678</v>
      </c>
      <c r="B1169" s="125">
        <v>156616138.66835728</v>
      </c>
      <c r="C1169" s="125">
        <v>58760156.184680589</v>
      </c>
      <c r="D1169" s="125">
        <v>66734159.957517259</v>
      </c>
      <c r="E1169" s="125">
        <v>69101012.242921755</v>
      </c>
      <c r="F1169" s="123">
        <v>194595328.38511962</v>
      </c>
      <c r="G1169" s="125">
        <v>0</v>
      </c>
      <c r="H1169" s="125">
        <v>1491.7781500764186</v>
      </c>
      <c r="I1169" s="125">
        <v>1017.130468276696</v>
      </c>
      <c r="J1169" s="125">
        <v>707.15230203564386</v>
      </c>
      <c r="K1169" s="125">
        <v>1176.2721912239433</v>
      </c>
      <c r="L1169" s="164">
        <v>2900.5549615362834</v>
      </c>
      <c r="M1169" s="125">
        <v>-45</v>
      </c>
      <c r="N1169" s="115">
        <v>14422</v>
      </c>
      <c r="O1169" s="139"/>
      <c r="P1169" s="125">
        <v>-349581.6</v>
      </c>
      <c r="Q1169" s="125">
        <v>0</v>
      </c>
      <c r="R1169" s="114"/>
      <c r="S1169" s="125">
        <v>-1.39E-6</v>
      </c>
      <c r="T1169" s="125">
        <v>0</v>
      </c>
      <c r="U1169" s="125">
        <v>5301197.8314343002</v>
      </c>
      <c r="V1169" s="125">
        <v>0</v>
      </c>
      <c r="W1169" s="142">
        <v>613505.25</v>
      </c>
      <c r="X1169" s="142">
        <v>22.853016719808625</v>
      </c>
      <c r="Y1169" s="142">
        <v>66326346.51435592</v>
      </c>
      <c r="Z1169" s="142">
        <v>411.07006248674173</v>
      </c>
    </row>
    <row r="1170" spans="1:26" s="141" customFormat="1">
      <c r="A1170" s="121">
        <v>44679</v>
      </c>
      <c r="B1170" s="125">
        <v>157318108.39153939</v>
      </c>
      <c r="C1170" s="125">
        <v>57614726.187487207</v>
      </c>
      <c r="D1170" s="125">
        <v>67199596.637827545</v>
      </c>
      <c r="E1170" s="125">
        <v>68259147.039038092</v>
      </c>
      <c r="F1170" s="123">
        <v>193073469.86435285</v>
      </c>
      <c r="G1170" s="125">
        <v>0</v>
      </c>
      <c r="H1170" s="125">
        <v>1492.1228983352541</v>
      </c>
      <c r="I1170" s="125">
        <v>1095.3874083668638</v>
      </c>
      <c r="J1170" s="125">
        <v>706.22634109310138</v>
      </c>
      <c r="K1170" s="125">
        <v>1148.9579771783342</v>
      </c>
      <c r="L1170" s="164">
        <v>2950.5717266382994</v>
      </c>
      <c r="M1170" s="125">
        <v>-45</v>
      </c>
      <c r="N1170" s="115">
        <v>14497</v>
      </c>
      <c r="O1170" s="139"/>
      <c r="P1170" s="125">
        <v>-85584.6</v>
      </c>
      <c r="Q1170" s="125">
        <v>0</v>
      </c>
      <c r="R1170" s="114"/>
      <c r="S1170" s="125">
        <v>-1965351.1000014599</v>
      </c>
      <c r="T1170" s="125">
        <v>0</v>
      </c>
      <c r="U1170" s="125">
        <v>3898491.1709662997</v>
      </c>
      <c r="V1170" s="125">
        <v>0</v>
      </c>
      <c r="W1170" s="142">
        <v>613505.25</v>
      </c>
      <c r="X1170" s="142">
        <v>2.8361085858163757</v>
      </c>
      <c r="Y1170" s="142">
        <v>66235189.021662652</v>
      </c>
      <c r="Z1170" s="142">
        <v>410.2364657600408</v>
      </c>
    </row>
    <row r="1171" spans="1:26" s="141" customFormat="1">
      <c r="A1171" s="121">
        <v>44681</v>
      </c>
      <c r="B1171" s="136">
        <v>158236941.67160401</v>
      </c>
      <c r="C1171" s="136">
        <v>55680192.574198</v>
      </c>
      <c r="D1171" s="136">
        <v>66865705.395407997</v>
      </c>
      <c r="E1171" s="136">
        <v>68336559.233636007</v>
      </c>
      <c r="F1171" s="137">
        <v>190882457.203242</v>
      </c>
      <c r="G1171" s="125">
        <v>0</v>
      </c>
      <c r="H1171" s="136">
        <v>1496.6398637552597</v>
      </c>
      <c r="I1171" s="136">
        <v>1094.5706638338277</v>
      </c>
      <c r="J1171" s="136">
        <v>704.62463083486239</v>
      </c>
      <c r="K1171" s="136">
        <v>1150.3860154995516</v>
      </c>
      <c r="L1171" s="165">
        <v>2949.5813101682415</v>
      </c>
      <c r="M1171" s="125">
        <v>-45</v>
      </c>
      <c r="N1171" s="115">
        <v>14497</v>
      </c>
      <c r="O1171" s="139">
        <v>3322.0504999999998</v>
      </c>
      <c r="P1171" s="125">
        <v>-85584.6</v>
      </c>
      <c r="Q1171" s="125">
        <v>0</v>
      </c>
      <c r="R1171" s="114"/>
      <c r="S1171" s="125">
        <v>-1965351.1000014599</v>
      </c>
      <c r="T1171" s="125">
        <v>0</v>
      </c>
      <c r="U1171" s="125">
        <v>3898491.1709662997</v>
      </c>
      <c r="V1171" s="125">
        <v>0</v>
      </c>
      <c r="W1171" s="142">
        <v>613505.25</v>
      </c>
      <c r="X1171" s="142">
        <v>2.8361085858163757</v>
      </c>
      <c r="Y1171" s="142">
        <v>66235189.021662652</v>
      </c>
      <c r="Z1171" s="142">
        <v>410.2364657600408</v>
      </c>
    </row>
    <row r="1172" spans="1:26" s="141" customFormat="1">
      <c r="A1172" s="121">
        <v>44690</v>
      </c>
      <c r="B1172" s="125">
        <v>156623232.61995921</v>
      </c>
      <c r="C1172" s="125">
        <v>60157498.967457704</v>
      </c>
      <c r="D1172" s="125">
        <v>66204743.759113543</v>
      </c>
      <c r="E1172" s="125">
        <v>65790878.328449801</v>
      </c>
      <c r="F1172" s="123">
        <v>192153121.05502105</v>
      </c>
      <c r="G1172" s="125">
        <v>0</v>
      </c>
      <c r="H1172" s="125">
        <v>1483.6729218079504</v>
      </c>
      <c r="I1172" s="125">
        <v>1087.9627524407902</v>
      </c>
      <c r="J1172" s="125">
        <v>709.44183536006949</v>
      </c>
      <c r="K1172" s="125">
        <v>1128.0773089430181</v>
      </c>
      <c r="L1172" s="164">
        <v>2925.4818967438778</v>
      </c>
      <c r="M1172" s="125">
        <v>-45</v>
      </c>
      <c r="N1172" s="115">
        <v>14557.5</v>
      </c>
      <c r="O1172" s="139"/>
      <c r="P1172" s="125">
        <v>-85584.6</v>
      </c>
      <c r="Q1172" s="125">
        <v>0</v>
      </c>
      <c r="R1172" s="114"/>
      <c r="S1172" s="125">
        <v>-1965351.1000014599</v>
      </c>
      <c r="T1172" s="125">
        <v>0</v>
      </c>
      <c r="U1172" s="125">
        <v>2149471.6421920001</v>
      </c>
      <c r="V1172" s="125">
        <v>0</v>
      </c>
      <c r="W1172" s="142">
        <v>613505.25</v>
      </c>
      <c r="X1172" s="142">
        <v>10.795941699505409</v>
      </c>
      <c r="Y1172" s="142">
        <v>66915871.394545548</v>
      </c>
      <c r="Z1172" s="142">
        <v>405.90822415293633</v>
      </c>
    </row>
    <row r="1173" spans="1:26" s="141" customFormat="1">
      <c r="A1173" s="121">
        <v>44691</v>
      </c>
      <c r="B1173" s="125">
        <v>156525670.03565794</v>
      </c>
      <c r="C1173" s="125">
        <v>60325105.903682806</v>
      </c>
      <c r="D1173" s="125">
        <v>66418787.853455193</v>
      </c>
      <c r="E1173" s="125">
        <v>65787180.062498517</v>
      </c>
      <c r="F1173" s="123">
        <v>192531073.81963652</v>
      </c>
      <c r="G1173" s="125">
        <v>-700000</v>
      </c>
      <c r="H1173" s="125">
        <v>1481.8207682454326</v>
      </c>
      <c r="I1173" s="125">
        <v>1112.9369804549835</v>
      </c>
      <c r="J1173" s="125">
        <v>718.09726127961926</v>
      </c>
      <c r="K1173" s="125">
        <v>1112.0173266297827</v>
      </c>
      <c r="L1173" s="164">
        <v>2943.0515683643853</v>
      </c>
      <c r="M1173" s="125">
        <v>-45</v>
      </c>
      <c r="N1173" s="115">
        <v>14557</v>
      </c>
      <c r="O1173" s="139"/>
      <c r="P1173" s="125">
        <v>-85584.6</v>
      </c>
      <c r="Q1173" s="125">
        <v>0</v>
      </c>
      <c r="R1173" s="114"/>
      <c r="S1173" s="125">
        <v>-1965351.1000014599</v>
      </c>
      <c r="T1173" s="125">
        <v>0</v>
      </c>
      <c r="U1173" s="125">
        <v>2284813.7520869998</v>
      </c>
      <c r="V1173" s="125">
        <v>0</v>
      </c>
      <c r="W1173" s="142">
        <v>613505.25</v>
      </c>
      <c r="X1173" s="142">
        <v>28.565787139999998</v>
      </c>
      <c r="Y1173" s="142">
        <v>66473574.686943904</v>
      </c>
      <c r="Z1173" s="142">
        <v>405.09291727171257</v>
      </c>
    </row>
    <row r="1174" spans="1:26" s="141" customFormat="1">
      <c r="A1174" s="121">
        <v>44692</v>
      </c>
      <c r="B1174" s="125">
        <v>156356767.22409663</v>
      </c>
      <c r="C1174" s="125">
        <v>61474647.400752835</v>
      </c>
      <c r="D1174" s="125">
        <v>66447722.41099029</v>
      </c>
      <c r="E1174" s="125">
        <v>65418821.838686839</v>
      </c>
      <c r="F1174" s="123">
        <v>193341191.65042996</v>
      </c>
      <c r="G1174" s="125">
        <v>-700000</v>
      </c>
      <c r="H1174" s="125">
        <v>1484.9750723179313</v>
      </c>
      <c r="I1174" s="125">
        <v>1086.1553961107554</v>
      </c>
      <c r="J1174" s="125">
        <v>710.29560220712369</v>
      </c>
      <c r="K1174" s="125">
        <v>1008.5897905748986</v>
      </c>
      <c r="L1174" s="164">
        <v>2805.0407888927775</v>
      </c>
      <c r="M1174" s="125">
        <v>-45</v>
      </c>
      <c r="N1174" s="115">
        <v>14557.5</v>
      </c>
      <c r="O1174" s="139"/>
      <c r="P1174" s="125">
        <v>-85584.6</v>
      </c>
      <c r="Q1174" s="125">
        <v>0</v>
      </c>
      <c r="R1174" s="114"/>
      <c r="S1174" s="125">
        <v>-1965351.1000014599</v>
      </c>
      <c r="T1174" s="125">
        <v>0</v>
      </c>
      <c r="U1174" s="125">
        <v>2418397.3848852003</v>
      </c>
      <c r="V1174" s="125">
        <v>0</v>
      </c>
      <c r="W1174" s="142">
        <v>613505.25</v>
      </c>
      <c r="X1174" s="142">
        <v>10.795395589252962</v>
      </c>
      <c r="Y1174" s="142">
        <v>66499564.775028996</v>
      </c>
      <c r="Z1174" s="142">
        <v>403.25459546189666</v>
      </c>
    </row>
    <row r="1175" spans="1:26" s="141" customFormat="1">
      <c r="A1175" s="121">
        <v>44693</v>
      </c>
      <c r="B1175" s="125">
        <v>156246075.21076822</v>
      </c>
      <c r="C1175" s="125">
        <v>63626163.41630543</v>
      </c>
      <c r="D1175" s="125">
        <v>65917679.549560979</v>
      </c>
      <c r="E1175" s="125">
        <v>65386252.278216541</v>
      </c>
      <c r="F1175" s="123">
        <v>194930095.24408296</v>
      </c>
      <c r="G1175" s="125">
        <v>-700000</v>
      </c>
      <c r="H1175" s="125">
        <v>1487.795161502265</v>
      </c>
      <c r="I1175" s="125">
        <v>1096.050771079332</v>
      </c>
      <c r="J1175" s="125">
        <v>709.12969202982629</v>
      </c>
      <c r="K1175" s="125">
        <v>906.99351959146884</v>
      </c>
      <c r="L1175" s="164">
        <v>2712.1739827006268</v>
      </c>
      <c r="M1175" s="125">
        <v>-45</v>
      </c>
      <c r="N1175" s="115">
        <v>14597</v>
      </c>
      <c r="O1175" s="139"/>
      <c r="P1175" s="125">
        <v>-336258</v>
      </c>
      <c r="Q1175" s="125">
        <v>0</v>
      </c>
      <c r="R1175" s="114"/>
      <c r="S1175" s="125">
        <v>-1.4600000000000002E-6</v>
      </c>
      <c r="T1175" s="125">
        <v>0</v>
      </c>
      <c r="U1175" s="125">
        <v>2837449.2622892</v>
      </c>
      <c r="V1175" s="125">
        <v>0</v>
      </c>
      <c r="W1175" s="142">
        <v>613505.25</v>
      </c>
      <c r="X1175" s="142">
        <v>20.776789400738508</v>
      </c>
      <c r="Y1175" s="142">
        <v>67146866.065329552</v>
      </c>
      <c r="Z1175" s="142">
        <v>402.05189545234362</v>
      </c>
    </row>
    <row r="1176" spans="1:26" s="141" customFormat="1">
      <c r="A1176" s="121">
        <v>44694</v>
      </c>
      <c r="B1176" s="125">
        <v>156345616.26417544</v>
      </c>
      <c r="C1176" s="125">
        <v>62413469.940129831</v>
      </c>
      <c r="D1176" s="125">
        <v>66280807.482789442</v>
      </c>
      <c r="E1176" s="125">
        <v>65906063.419185542</v>
      </c>
      <c r="F1176" s="123">
        <v>194600340.84210482</v>
      </c>
      <c r="G1176" s="125">
        <v>-1450000</v>
      </c>
      <c r="H1176" s="125">
        <v>1509.028809782395</v>
      </c>
      <c r="I1176" s="125">
        <v>1131.2376909192974</v>
      </c>
      <c r="J1176" s="125">
        <v>706.98815019589983</v>
      </c>
      <c r="K1176" s="125">
        <v>906.76885992965276</v>
      </c>
      <c r="L1176" s="164">
        <v>2744.99470104485</v>
      </c>
      <c r="M1176" s="125">
        <v>-45</v>
      </c>
      <c r="N1176" s="115">
        <v>14612.5</v>
      </c>
      <c r="O1176" s="139"/>
      <c r="P1176" s="125">
        <v>-336258</v>
      </c>
      <c r="Q1176" s="125">
        <v>0</v>
      </c>
      <c r="R1176" s="114"/>
      <c r="S1176" s="125">
        <v>-1.4600000000000002E-6</v>
      </c>
      <c r="T1176" s="125">
        <v>0</v>
      </c>
      <c r="U1176" s="125">
        <v>2837449.2622892</v>
      </c>
      <c r="V1176" s="125">
        <v>0</v>
      </c>
      <c r="W1176" s="142">
        <v>613505.25</v>
      </c>
      <c r="X1176" s="142">
        <v>23.777754633584259</v>
      </c>
      <c r="Y1176" s="142">
        <v>67494786.033040375</v>
      </c>
      <c r="Z1176" s="142">
        <v>401.31104222313365</v>
      </c>
    </row>
    <row r="1177" spans="1:26" s="141" customFormat="1">
      <c r="A1177" s="121">
        <v>44698</v>
      </c>
      <c r="B1177" s="125">
        <v>156494883.48952195</v>
      </c>
      <c r="C1177" s="125">
        <v>63919322.717850573</v>
      </c>
      <c r="D1177" s="125">
        <v>66570847.253402114</v>
      </c>
      <c r="E1177" s="125">
        <v>66425875.11659608</v>
      </c>
      <c r="F1177" s="123">
        <v>196916045.08784875</v>
      </c>
      <c r="G1177" s="125">
        <v>-700000</v>
      </c>
      <c r="H1177" s="125">
        <v>1508.7126737954829</v>
      </c>
      <c r="I1177" s="125">
        <v>1150.9367360958204</v>
      </c>
      <c r="J1177" s="125">
        <v>706.43675776446901</v>
      </c>
      <c r="K1177" s="125">
        <v>886.82264168593031</v>
      </c>
      <c r="L1177" s="164">
        <v>2744.1961355462195</v>
      </c>
      <c r="M1177" s="125">
        <v>-45</v>
      </c>
      <c r="N1177" s="115">
        <v>14647.5</v>
      </c>
      <c r="O1177" s="139"/>
      <c r="P1177" s="125">
        <v>-336258</v>
      </c>
      <c r="Q1177" s="125">
        <v>0</v>
      </c>
      <c r="R1177" s="114"/>
      <c r="S1177" s="125">
        <v>-1.4600000000000002E-6</v>
      </c>
      <c r="T1177" s="125">
        <v>0</v>
      </c>
      <c r="U1177" s="125">
        <v>3427303.2849422004</v>
      </c>
      <c r="V1177" s="125">
        <v>0</v>
      </c>
      <c r="W1177" s="142">
        <v>613505.25</v>
      </c>
      <c r="X1177" s="142">
        <v>15.787190109790066</v>
      </c>
      <c r="Y1177" s="142">
        <v>64739571.892314464</v>
      </c>
      <c r="Z1177" s="142">
        <v>401.31357482987966</v>
      </c>
    </row>
    <row r="1178" spans="1:26" s="141" customFormat="1">
      <c r="A1178" s="121">
        <v>44699</v>
      </c>
      <c r="B1178" s="125">
        <v>156537444.95651701</v>
      </c>
      <c r="C1178" s="125">
        <v>64262534.552890882</v>
      </c>
      <c r="D1178" s="125">
        <v>66495082.292483188</v>
      </c>
      <c r="E1178" s="125">
        <v>66901968.421689875</v>
      </c>
      <c r="F1178" s="123">
        <v>197659585.26706395</v>
      </c>
      <c r="G1178" s="125">
        <v>-700000</v>
      </c>
      <c r="H1178" s="125">
        <v>1511.8223091461914</v>
      </c>
      <c r="I1178" s="125">
        <v>1170.259225488179</v>
      </c>
      <c r="J1178" s="125">
        <v>708.22063916416505</v>
      </c>
      <c r="K1178" s="125">
        <v>890.09997567992843</v>
      </c>
      <c r="L1178" s="164">
        <v>2768.5798403322724</v>
      </c>
      <c r="M1178" s="125">
        <v>-45</v>
      </c>
      <c r="N1178" s="115">
        <v>14687.5</v>
      </c>
      <c r="O1178" s="139"/>
      <c r="P1178" s="125">
        <v>-336258</v>
      </c>
      <c r="Q1178" s="125">
        <v>0</v>
      </c>
      <c r="R1178" s="114"/>
      <c r="S1178" s="125">
        <v>-1.4600000000000002E-6</v>
      </c>
      <c r="T1178" s="125">
        <v>0</v>
      </c>
      <c r="U1178" s="125">
        <v>5141529.647318</v>
      </c>
      <c r="V1178" s="125">
        <v>0</v>
      </c>
      <c r="W1178" s="142">
        <v>613505.25</v>
      </c>
      <c r="X1178" s="142">
        <v>34.787436501702125</v>
      </c>
      <c r="Y1178" s="142">
        <v>64310745.705435894</v>
      </c>
      <c r="Z1178" s="142">
        <v>401.0714206408864</v>
      </c>
    </row>
    <row r="1179" spans="1:26" s="141" customFormat="1">
      <c r="A1179" s="121">
        <v>44700</v>
      </c>
      <c r="B1179" s="125">
        <v>156521572.82507291</v>
      </c>
      <c r="C1179" s="125">
        <v>64294261.3679903</v>
      </c>
      <c r="D1179" s="125">
        <v>66044467.738643639</v>
      </c>
      <c r="E1179" s="125">
        <v>66910146.451479435</v>
      </c>
      <c r="F1179" s="123">
        <v>197248875.55811337</v>
      </c>
      <c r="G1179" s="125">
        <v>-700000</v>
      </c>
      <c r="H1179" s="125">
        <v>1478.4270942766059</v>
      </c>
      <c r="I1179" s="125">
        <v>1165.7581130303779</v>
      </c>
      <c r="J1179" s="125">
        <v>707.81467748556599</v>
      </c>
      <c r="K1179" s="125">
        <v>889.0807632047057</v>
      </c>
      <c r="L1179" s="164">
        <v>2762.6535537206496</v>
      </c>
      <c r="M1179" s="125">
        <v>-45</v>
      </c>
      <c r="N1179" s="115">
        <v>14732.5</v>
      </c>
      <c r="O1179" s="139"/>
      <c r="P1179" s="125">
        <v>-336258</v>
      </c>
      <c r="Q1179" s="125">
        <v>0</v>
      </c>
      <c r="R1179" s="114"/>
      <c r="S1179" s="125">
        <v>-1.4600000000000002E-6</v>
      </c>
      <c r="T1179" s="125">
        <v>0</v>
      </c>
      <c r="U1179" s="125">
        <v>5936333.5008182004</v>
      </c>
      <c r="V1179" s="125">
        <v>0</v>
      </c>
      <c r="W1179" s="142">
        <v>613505.25</v>
      </c>
      <c r="X1179" s="142">
        <v>15.783246837946717</v>
      </c>
      <c r="Y1179" s="142">
        <v>64829818.881193586</v>
      </c>
      <c r="Z1179" s="142">
        <v>401.18792373313693</v>
      </c>
    </row>
    <row r="1180" spans="1:26" s="141" customFormat="1">
      <c r="A1180" s="121">
        <v>44701</v>
      </c>
      <c r="B1180" s="125">
        <v>156419261.55507654</v>
      </c>
      <c r="C1180" s="125">
        <v>64076342.570109248</v>
      </c>
      <c r="D1180" s="125">
        <v>66366748.825012505</v>
      </c>
      <c r="E1180" s="125">
        <v>66607690.093356818</v>
      </c>
      <c r="F1180" s="123">
        <v>197050781.48847857</v>
      </c>
      <c r="G1180" s="125">
        <v>-700000</v>
      </c>
      <c r="H1180" s="125">
        <v>1465.635664079882</v>
      </c>
      <c r="I1180" s="125">
        <v>1161.0436588595494</v>
      </c>
      <c r="J1180" s="125">
        <v>705.20304485566942</v>
      </c>
      <c r="K1180" s="125">
        <v>888.78006777263022</v>
      </c>
      <c r="L1180" s="164">
        <v>2755.0267714878491</v>
      </c>
      <c r="M1180" s="125">
        <v>-45</v>
      </c>
      <c r="N1180" s="115">
        <v>14652</v>
      </c>
      <c r="O1180" s="139"/>
      <c r="P1180" s="125">
        <v>-336258</v>
      </c>
      <c r="Q1180" s="125">
        <v>0</v>
      </c>
      <c r="R1180" s="114"/>
      <c r="S1180" s="125">
        <v>-1.4600000000000002E-6</v>
      </c>
      <c r="T1180" s="125">
        <v>0</v>
      </c>
      <c r="U1180" s="125">
        <v>7619986.2821591999</v>
      </c>
      <c r="V1180" s="125">
        <v>0</v>
      </c>
      <c r="W1180" s="142">
        <v>629750.25</v>
      </c>
      <c r="X1180" s="142">
        <v>30.311248510461368</v>
      </c>
      <c r="Y1180" s="142">
        <v>64402743.416210704</v>
      </c>
      <c r="Z1180" s="142">
        <v>401.05288725904649</v>
      </c>
    </row>
    <row r="1181" spans="1:26" s="141" customFormat="1">
      <c r="A1181" s="121">
        <v>44704</v>
      </c>
      <c r="B1181" s="125">
        <v>156952089.66356471</v>
      </c>
      <c r="C1181" s="125">
        <v>65933880.568540491</v>
      </c>
      <c r="D1181" s="125">
        <v>65708431.932408765</v>
      </c>
      <c r="E1181" s="125">
        <v>66430760.969693057</v>
      </c>
      <c r="F1181" s="123">
        <v>198073073.47064233</v>
      </c>
      <c r="G1181" s="125">
        <v>-700000</v>
      </c>
      <c r="H1181" s="125">
        <v>1462.8828262447109</v>
      </c>
      <c r="I1181" s="125">
        <v>1131.2203752374967</v>
      </c>
      <c r="J1181" s="125">
        <v>704.65469719404314</v>
      </c>
      <c r="K1181" s="125">
        <v>885.46541645575621</v>
      </c>
      <c r="L1181" s="164">
        <v>2721.340488887296</v>
      </c>
      <c r="M1181" s="125">
        <v>-45</v>
      </c>
      <c r="N1181" s="115">
        <v>14673.5</v>
      </c>
      <c r="O1181" s="139"/>
      <c r="P1181" s="125">
        <v>-336258</v>
      </c>
      <c r="Q1181" s="125">
        <v>0</v>
      </c>
      <c r="R1181" s="114"/>
      <c r="S1181" s="125">
        <v>-1.4600000000000002E-6</v>
      </c>
      <c r="T1181" s="125">
        <v>0</v>
      </c>
      <c r="U1181" s="125">
        <v>8648895.6523689013</v>
      </c>
      <c r="V1181" s="125">
        <v>0</v>
      </c>
      <c r="W1181" s="142">
        <v>629750.25</v>
      </c>
      <c r="X1181" s="142">
        <v>29.314841557828057</v>
      </c>
      <c r="Y1181" s="142">
        <v>64006892.936780393</v>
      </c>
      <c r="Z1181" s="142">
        <v>402.24420234037478</v>
      </c>
    </row>
    <row r="1182" spans="1:26" s="141" customFormat="1">
      <c r="A1182" s="121">
        <v>44705</v>
      </c>
      <c r="B1182" s="125">
        <v>157366344.58469579</v>
      </c>
      <c r="C1182" s="125">
        <v>63731259.941102892</v>
      </c>
      <c r="D1182" s="125">
        <v>65532724.579943955</v>
      </c>
      <c r="E1182" s="125">
        <v>66997117.448808745</v>
      </c>
      <c r="F1182" s="123">
        <v>196261101.96985561</v>
      </c>
      <c r="G1182" s="125">
        <v>0</v>
      </c>
      <c r="H1182" s="125">
        <v>1462.5704413449507</v>
      </c>
      <c r="I1182" s="125">
        <v>1124.0321859579169</v>
      </c>
      <c r="J1182" s="125">
        <v>708.25500240421263</v>
      </c>
      <c r="K1182" s="125">
        <v>885.14422060715378</v>
      </c>
      <c r="L1182" s="164">
        <v>2717.4314089692834</v>
      </c>
      <c r="M1182" s="125">
        <v>-45</v>
      </c>
      <c r="N1182" s="115">
        <v>14657.5</v>
      </c>
      <c r="O1182" s="139"/>
      <c r="P1182" s="125">
        <v>-336258</v>
      </c>
      <c r="Q1182" s="125">
        <v>0</v>
      </c>
      <c r="R1182" s="114"/>
      <c r="S1182" s="125">
        <v>-1.4600000000000002E-6</v>
      </c>
      <c r="T1182" s="125">
        <v>0</v>
      </c>
      <c r="U1182" s="125">
        <v>8930621.0586888995</v>
      </c>
      <c r="V1182" s="125">
        <f>64220.55371875/N1182</f>
        <v>4.3814124999999997</v>
      </c>
      <c r="W1182" s="142">
        <v>629750.25</v>
      </c>
      <c r="X1182" s="142">
        <v>34.314789357294899</v>
      </c>
      <c r="Y1182" s="142">
        <v>64149726.779058233</v>
      </c>
      <c r="Z1182" s="142">
        <v>401.52905156134125</v>
      </c>
    </row>
    <row r="1183" spans="1:26" s="141" customFormat="1">
      <c r="A1183" s="121">
        <v>44706</v>
      </c>
      <c r="B1183" s="125">
        <v>157142342.52935243</v>
      </c>
      <c r="C1183" s="125">
        <v>62632178.770943806</v>
      </c>
      <c r="D1183" s="125">
        <v>66469268.812922381</v>
      </c>
      <c r="E1183" s="125">
        <v>68022716.920012057</v>
      </c>
      <c r="F1183" s="123">
        <v>197124164.50387824</v>
      </c>
      <c r="G1183" s="125">
        <v>0</v>
      </c>
      <c r="H1183" s="125">
        <v>1482.9519037874597</v>
      </c>
      <c r="I1183" s="125">
        <v>1112.2857529299167</v>
      </c>
      <c r="J1183" s="125">
        <v>709.68189846780535</v>
      </c>
      <c r="K1183" s="125">
        <v>885.53563764253533</v>
      </c>
      <c r="L1183" s="164">
        <v>2707.5032890402572</v>
      </c>
      <c r="M1183" s="125">
        <v>-45</v>
      </c>
      <c r="N1183" s="115">
        <v>14632.5</v>
      </c>
      <c r="O1183" s="139"/>
      <c r="P1183" s="125">
        <v>-336258</v>
      </c>
      <c r="Q1183" s="125">
        <v>0</v>
      </c>
      <c r="R1183" s="114"/>
      <c r="S1183" s="125">
        <v>-1.4600000000000002E-6</v>
      </c>
      <c r="T1183" s="125">
        <v>0</v>
      </c>
      <c r="U1183" s="125">
        <v>8239527.6445349008</v>
      </c>
      <c r="V1183" s="125">
        <f>64111.01840625/N1183</f>
        <v>4.3814124999999997</v>
      </c>
      <c r="W1183" s="142">
        <v>629750.25</v>
      </c>
      <c r="X1183" s="142">
        <v>39.314334893288908</v>
      </c>
      <c r="Y1183" s="142">
        <v>64153566.020948149</v>
      </c>
      <c r="Z1183" s="142">
        <v>401.70505400484012</v>
      </c>
    </row>
    <row r="1184" spans="1:26" s="141" customFormat="1">
      <c r="A1184" s="121">
        <v>44708</v>
      </c>
      <c r="B1184" s="125">
        <v>157085515.32655069</v>
      </c>
      <c r="C1184" s="125">
        <v>63533244.98062253</v>
      </c>
      <c r="D1184" s="125">
        <v>66628052.14941629</v>
      </c>
      <c r="E1184" s="125">
        <v>68420406.427880228</v>
      </c>
      <c r="F1184" s="123">
        <v>198581703.55791906</v>
      </c>
      <c r="G1184" s="125">
        <v>0</v>
      </c>
      <c r="H1184" s="125">
        <v>1462.9318341796572</v>
      </c>
      <c r="I1184" s="125">
        <v>1058.0486155679623</v>
      </c>
      <c r="J1184" s="125">
        <v>708.34966973035171</v>
      </c>
      <c r="K1184" s="125">
        <v>884.5151259702244</v>
      </c>
      <c r="L1184" s="164">
        <v>2650.9134112685383</v>
      </c>
      <c r="M1184" s="125">
        <v>-45</v>
      </c>
      <c r="N1184" s="115">
        <v>14577</v>
      </c>
      <c r="O1184" s="139"/>
      <c r="P1184" s="125">
        <v>-257304.6</v>
      </c>
      <c r="Q1184" s="125">
        <v>0</v>
      </c>
      <c r="R1184" s="114"/>
      <c r="S1184" s="125">
        <v>-1.4600000000000002E-6</v>
      </c>
      <c r="T1184" s="125">
        <v>0</v>
      </c>
      <c r="U1184" s="125">
        <v>5927362.4678825</v>
      </c>
      <c r="V1184" s="125">
        <v>4.3814124999999997</v>
      </c>
      <c r="W1184" s="142">
        <v>629750.25</v>
      </c>
      <c r="X1184" s="142">
        <v>30.280131655332372</v>
      </c>
      <c r="Y1184" s="142">
        <v>63899413.590394758</v>
      </c>
      <c r="Z1184" s="142">
        <v>402.48393095275304</v>
      </c>
    </row>
    <row r="1185" spans="1:26" s="141" customFormat="1">
      <c r="A1185" s="121">
        <v>44711</v>
      </c>
      <c r="B1185" s="125">
        <v>157195649.24176705</v>
      </c>
      <c r="C1185" s="125">
        <v>63411238.447067872</v>
      </c>
      <c r="D1185" s="125">
        <v>66486022.812643364</v>
      </c>
      <c r="E1185" s="125">
        <v>68665782.055997878</v>
      </c>
      <c r="F1185" s="123">
        <v>198563043.31570911</v>
      </c>
      <c r="G1185" s="125">
        <v>0</v>
      </c>
      <c r="H1185" s="125">
        <v>1465.4635412911805</v>
      </c>
      <c r="I1185" s="125">
        <v>1042.2868307357373</v>
      </c>
      <c r="J1185" s="125">
        <v>707.53553176289142</v>
      </c>
      <c r="K1185" s="125">
        <v>853.82626165807676</v>
      </c>
      <c r="L1185" s="164">
        <v>2603.6486241567054</v>
      </c>
      <c r="M1185" s="125">
        <v>-45</v>
      </c>
      <c r="N1185" s="115">
        <v>14558.5</v>
      </c>
      <c r="O1185" s="139"/>
      <c r="P1185" s="125">
        <v>-257304.6</v>
      </c>
      <c r="Q1185" s="125">
        <v>0</v>
      </c>
      <c r="R1185" s="114"/>
      <c r="S1185" s="125">
        <v>-1.4600000000000002E-6</v>
      </c>
      <c r="T1185" s="125">
        <v>0</v>
      </c>
      <c r="U1185" s="125">
        <v>6158193.4167430997</v>
      </c>
      <c r="V1185" s="125">
        <v>4.3814124999999997</v>
      </c>
      <c r="W1185" s="142">
        <v>629750.25</v>
      </c>
      <c r="X1185" s="142">
        <v>30.31971096456984</v>
      </c>
      <c r="Y1185" s="142">
        <v>63858482.336183831</v>
      </c>
      <c r="Z1185" s="142">
        <v>402.3484978772367</v>
      </c>
    </row>
    <row r="1186" spans="1:26" s="141" customFormat="1">
      <c r="A1186" s="121">
        <v>44712</v>
      </c>
      <c r="B1186" s="136">
        <v>159360490.74098101</v>
      </c>
      <c r="C1186" s="136">
        <v>60766496.00367</v>
      </c>
      <c r="D1186" s="136">
        <v>66802662.349032998</v>
      </c>
      <c r="E1186" s="136">
        <v>69734526.270722002</v>
      </c>
      <c r="F1186" s="137">
        <v>197303684.62342501</v>
      </c>
      <c r="G1186" s="125">
        <v>0</v>
      </c>
      <c r="H1186" s="136">
        <v>1460.571266495645</v>
      </c>
      <c r="I1186" s="136">
        <v>1004.6253963339963</v>
      </c>
      <c r="J1186" s="136">
        <v>712.07170057156577</v>
      </c>
      <c r="K1186" s="136">
        <v>855.50609423084836</v>
      </c>
      <c r="L1186" s="165">
        <v>2572.2031911364102</v>
      </c>
      <c r="M1186" s="125">
        <v>-45</v>
      </c>
      <c r="N1186" s="115">
        <v>14581</v>
      </c>
      <c r="O1186" s="139">
        <v>3327.855</v>
      </c>
      <c r="P1186" s="125">
        <v>-257304.6</v>
      </c>
      <c r="Q1186" s="125">
        <v>0</v>
      </c>
      <c r="R1186" s="114"/>
      <c r="S1186" s="125">
        <v>-1.4600000000000002E-6</v>
      </c>
      <c r="T1186" s="125">
        <v>0</v>
      </c>
      <c r="U1186" s="125">
        <v>6026327.7087590992</v>
      </c>
      <c r="V1186" s="125">
        <v>4.3814125000000006</v>
      </c>
      <c r="W1186" s="142">
        <v>629750.25</v>
      </c>
      <c r="X1186" s="142">
        <v>19.318470426468693</v>
      </c>
      <c r="Y1186" s="142">
        <v>63683870.450181454</v>
      </c>
      <c r="Z1186" s="142">
        <v>401.74725977486383</v>
      </c>
    </row>
    <row r="1187" spans="1:26" s="141" customFormat="1">
      <c r="A1187" s="121">
        <v>44714</v>
      </c>
      <c r="B1187" s="125">
        <v>157886890.71351916</v>
      </c>
      <c r="C1187" s="125">
        <v>60588426.239264913</v>
      </c>
      <c r="D1187" s="125">
        <v>65751581.657386146</v>
      </c>
      <c r="E1187" s="125">
        <v>69089617.558510646</v>
      </c>
      <c r="F1187" s="123">
        <v>195429625.45516169</v>
      </c>
      <c r="G1187" s="125">
        <v>0</v>
      </c>
      <c r="H1187" s="125">
        <v>1440.9208299073746</v>
      </c>
      <c r="I1187" s="125">
        <v>1078.3690902901408</v>
      </c>
      <c r="J1187" s="125">
        <v>726.9813046259228</v>
      </c>
      <c r="K1187" s="125">
        <v>968.55864499108998</v>
      </c>
      <c r="L1187" s="164">
        <v>2773.9090399071538</v>
      </c>
      <c r="M1187" s="125">
        <v>-45</v>
      </c>
      <c r="N1187" s="115">
        <v>14482.5</v>
      </c>
      <c r="O1187" s="139">
        <v>3296.7200000000003</v>
      </c>
      <c r="P1187" s="125">
        <v>-257304.6</v>
      </c>
      <c r="Q1187" s="125">
        <v>0</v>
      </c>
      <c r="R1187" s="114"/>
      <c r="S1187" s="125">
        <v>-1.4600000000000002E-6</v>
      </c>
      <c r="T1187" s="125">
        <v>0</v>
      </c>
      <c r="U1187" s="125">
        <v>6094802.4550990993</v>
      </c>
      <c r="V1187" s="125">
        <v>4.3814124999999997</v>
      </c>
      <c r="W1187" s="142">
        <v>629750.25</v>
      </c>
      <c r="X1187" s="142">
        <v>28.063477455898497</v>
      </c>
      <c r="Y1187" s="142">
        <v>63577731.441046253</v>
      </c>
      <c r="Z1187" s="142">
        <v>402.36876090712332</v>
      </c>
    </row>
    <row r="1188" spans="1:26" s="141" customFormat="1">
      <c r="A1188" s="121">
        <v>44715</v>
      </c>
      <c r="B1188" s="125">
        <v>157704727.66957805</v>
      </c>
      <c r="C1188" s="125">
        <v>64369948.635504335</v>
      </c>
      <c r="D1188" s="125">
        <v>66106225.347941965</v>
      </c>
      <c r="E1188" s="125">
        <v>69435198.728476897</v>
      </c>
      <c r="F1188" s="123">
        <v>199911372.71192318</v>
      </c>
      <c r="G1188" s="125">
        <v>0</v>
      </c>
      <c r="H1188" s="125">
        <v>1435.5540245134159</v>
      </c>
      <c r="I1188" s="125">
        <v>1079.2734225501044</v>
      </c>
      <c r="J1188" s="125">
        <v>713.20238700463415</v>
      </c>
      <c r="K1188" s="125">
        <v>980.00945553234442</v>
      </c>
      <c r="L1188" s="164">
        <v>2772.485265087083</v>
      </c>
      <c r="M1188" s="125">
        <v>-45</v>
      </c>
      <c r="N1188" s="115">
        <v>14437.5</v>
      </c>
      <c r="O1188" s="139">
        <v>3290.2200000000003</v>
      </c>
      <c r="P1188" s="125">
        <v>-257304.6</v>
      </c>
      <c r="Q1188" s="125">
        <v>0</v>
      </c>
      <c r="R1188" s="114"/>
      <c r="S1188" s="125">
        <v>-1.4600000000000002E-6</v>
      </c>
      <c r="T1188" s="125">
        <v>0</v>
      </c>
      <c r="U1188" s="125">
        <v>7259815.0548827006</v>
      </c>
      <c r="V1188" s="125">
        <v>4.3814124999999997</v>
      </c>
      <c r="W1188" s="142">
        <v>629750.25</v>
      </c>
      <c r="X1188" s="142">
        <v>15.319371555584416</v>
      </c>
      <c r="Y1188" s="142">
        <v>63925147.685766384</v>
      </c>
      <c r="Z1188" s="142">
        <v>407.48492382014751</v>
      </c>
    </row>
    <row r="1189" spans="1:26" s="141" customFormat="1">
      <c r="A1189" s="121">
        <v>44718</v>
      </c>
      <c r="B1189" s="125">
        <v>157053024.53455612</v>
      </c>
      <c r="C1189" s="125">
        <v>63367362.011719488</v>
      </c>
      <c r="D1189" s="125">
        <v>65713529.51082579</v>
      </c>
      <c r="E1189" s="125">
        <v>67998180.911966547</v>
      </c>
      <c r="F1189" s="123">
        <v>197079072.43451184</v>
      </c>
      <c r="G1189" s="125">
        <v>0</v>
      </c>
      <c r="H1189" s="125">
        <v>1428.4183673991324</v>
      </c>
      <c r="I1189" s="125">
        <v>1128.4315182525058</v>
      </c>
      <c r="J1189" s="125">
        <v>714.74957135696809</v>
      </c>
      <c r="K1189" s="125">
        <v>849.36576433799632</v>
      </c>
      <c r="L1189" s="164">
        <v>2692.5468539474705</v>
      </c>
      <c r="M1189" s="125">
        <v>-45</v>
      </c>
      <c r="N1189" s="115">
        <v>14451.5</v>
      </c>
      <c r="O1189" s="139">
        <v>3292.665</v>
      </c>
      <c r="P1189" s="125">
        <v>-257304.6</v>
      </c>
      <c r="Q1189" s="125">
        <v>0</v>
      </c>
      <c r="R1189" s="114"/>
      <c r="S1189" s="125">
        <v>-1.4600000000000002E-6</v>
      </c>
      <c r="T1189" s="125">
        <v>0</v>
      </c>
      <c r="U1189" s="125">
        <v>7601138.6488728011</v>
      </c>
      <c r="V1189" s="125">
        <v>4.3814124999999997</v>
      </c>
      <c r="W1189" s="142">
        <v>629750.25</v>
      </c>
      <c r="X1189" s="142">
        <v>22.822933456991318</v>
      </c>
      <c r="Y1189" s="142">
        <v>63370089.34206304</v>
      </c>
      <c r="Z1189" s="142">
        <v>416.36911715921519</v>
      </c>
    </row>
    <row r="1190" spans="1:26" s="141" customFormat="1">
      <c r="A1190" s="121">
        <v>44719</v>
      </c>
      <c r="B1190" s="125">
        <v>156746003.72059828</v>
      </c>
      <c r="C1190" s="125">
        <v>64062105.118828453</v>
      </c>
      <c r="D1190" s="125">
        <v>65637850.640582748</v>
      </c>
      <c r="E1190" s="125">
        <v>68232050.042705745</v>
      </c>
      <c r="F1190" s="123">
        <v>197932005.80211693</v>
      </c>
      <c r="G1190" s="125">
        <v>0</v>
      </c>
      <c r="H1190" s="125">
        <v>1430.1412465144299</v>
      </c>
      <c r="I1190" s="125">
        <v>961.7323186559729</v>
      </c>
      <c r="J1190" s="125">
        <v>713.86440814257287</v>
      </c>
      <c r="K1190" s="125">
        <v>978.38475589183622</v>
      </c>
      <c r="L1190" s="164">
        <v>2653.9814826903821</v>
      </c>
      <c r="M1190" s="125">
        <v>-45</v>
      </c>
      <c r="N1190" s="115">
        <v>14456.5</v>
      </c>
      <c r="O1190" s="139">
        <v>3287.9949999999999</v>
      </c>
      <c r="P1190" s="125">
        <v>-257304.6</v>
      </c>
      <c r="Q1190" s="125">
        <v>0</v>
      </c>
      <c r="R1190" s="114"/>
      <c r="S1190" s="125">
        <v>-1.4600000000000002E-6</v>
      </c>
      <c r="T1190" s="125">
        <v>0</v>
      </c>
      <c r="U1190" s="125">
        <v>7811101.4825428007</v>
      </c>
      <c r="V1190" s="125">
        <v>4.3814124999999997</v>
      </c>
      <c r="W1190" s="142">
        <v>629750.25</v>
      </c>
      <c r="X1190" s="142">
        <v>27.816549772725764</v>
      </c>
      <c r="Y1190" s="142">
        <v>63132135.970356427</v>
      </c>
      <c r="Z1190" s="142">
        <v>409.97819683345699</v>
      </c>
    </row>
    <row r="1191" spans="1:26" s="141" customFormat="1">
      <c r="A1191" s="121">
        <v>44720</v>
      </c>
      <c r="B1191" s="125">
        <v>156557974.34459186</v>
      </c>
      <c r="C1191" s="125">
        <v>64094701.034187913</v>
      </c>
      <c r="D1191" s="125">
        <v>65391807.262935027</v>
      </c>
      <c r="E1191" s="125">
        <v>68225555.608939171</v>
      </c>
      <c r="F1191" s="123">
        <v>197712063.90606213</v>
      </c>
      <c r="G1191" s="125">
        <v>0</v>
      </c>
      <c r="H1191" s="125">
        <v>1454.5526832886549</v>
      </c>
      <c r="I1191" s="125">
        <v>986.5661222886373</v>
      </c>
      <c r="J1191" s="125">
        <v>716.06191241421243</v>
      </c>
      <c r="K1191" s="125">
        <v>988.63743383758947</v>
      </c>
      <c r="L1191" s="164">
        <v>2691.2654685404391</v>
      </c>
      <c r="M1191" s="125">
        <v>-45</v>
      </c>
      <c r="N1191" s="115">
        <v>14492.5</v>
      </c>
      <c r="O1191" s="139">
        <v>3299.75</v>
      </c>
      <c r="P1191" s="125">
        <v>-257304.6</v>
      </c>
      <c r="Q1191" s="125">
        <v>0</v>
      </c>
      <c r="R1191" s="114"/>
      <c r="S1191" s="125">
        <v>-1.4600000000000002E-6</v>
      </c>
      <c r="T1191" s="125">
        <v>0</v>
      </c>
      <c r="U1191" s="125">
        <v>9941122.827800801</v>
      </c>
      <c r="V1191" s="125">
        <v>4.3814124999999997</v>
      </c>
      <c r="W1191" s="142">
        <v>629750.25</v>
      </c>
      <c r="X1191" s="142">
        <v>32.812376755318269</v>
      </c>
      <c r="Y1191" s="142">
        <v>62908129.816735923</v>
      </c>
      <c r="Z1191" s="142">
        <v>410.74602449778627</v>
      </c>
    </row>
    <row r="1192" spans="1:26" s="141" customFormat="1">
      <c r="A1192" s="121">
        <v>44721</v>
      </c>
      <c r="B1192" s="125">
        <v>156410273.96178216</v>
      </c>
      <c r="C1192" s="125">
        <v>64184522.189153947</v>
      </c>
      <c r="D1192" s="125">
        <v>65572585.839529775</v>
      </c>
      <c r="E1192" s="125">
        <v>67975332.651942432</v>
      </c>
      <c r="F1192" s="123">
        <v>197732440.68062615</v>
      </c>
      <c r="G1192" s="125">
        <v>0</v>
      </c>
      <c r="H1192" s="125">
        <v>1447.6339242535005</v>
      </c>
      <c r="I1192" s="125">
        <v>993.14321571792038</v>
      </c>
      <c r="J1192" s="125">
        <v>711.18352398385127</v>
      </c>
      <c r="K1192" s="125">
        <v>974.7076294350926</v>
      </c>
      <c r="L1192" s="164">
        <v>2679.0343691368644</v>
      </c>
      <c r="M1192" s="125">
        <v>-45</v>
      </c>
      <c r="N1192" s="115">
        <v>14562.5</v>
      </c>
      <c r="O1192" s="139">
        <v>3313.05</v>
      </c>
      <c r="P1192" s="125">
        <v>-257304.6</v>
      </c>
      <c r="Q1192" s="125">
        <v>0</v>
      </c>
      <c r="R1192" s="114"/>
      <c r="S1192" s="125">
        <v>-1.4600000000000002E-6</v>
      </c>
      <c r="T1192" s="125">
        <v>0</v>
      </c>
      <c r="U1192" s="125">
        <v>11036403.0954518</v>
      </c>
      <c r="V1192" s="125">
        <v>4.3814125000000006</v>
      </c>
      <c r="W1192" s="142">
        <v>629750.25</v>
      </c>
      <c r="X1192" s="142">
        <v>24.304491002660946</v>
      </c>
      <c r="Y1192" s="142">
        <v>62773492.381399982</v>
      </c>
      <c r="Z1192" s="142">
        <v>410.35644271422342</v>
      </c>
    </row>
    <row r="1193" spans="1:26" s="141" customFormat="1">
      <c r="A1193" s="121">
        <v>44722</v>
      </c>
      <c r="B1193" s="125">
        <v>156475468.60294944</v>
      </c>
      <c r="C1193" s="125">
        <v>63038027.960626312</v>
      </c>
      <c r="D1193" s="125">
        <v>65871602.531153113</v>
      </c>
      <c r="E1193" s="125">
        <v>69613516.344423011</v>
      </c>
      <c r="F1193" s="123">
        <v>198523146.83620244</v>
      </c>
      <c r="G1193" s="125">
        <v>0</v>
      </c>
      <c r="H1193" s="125">
        <v>1434.4956317815488</v>
      </c>
      <c r="I1193" s="125">
        <v>994.03494389178002</v>
      </c>
      <c r="J1193" s="125">
        <v>709.70437480843179</v>
      </c>
      <c r="K1193" s="125">
        <v>974.93345185770943</v>
      </c>
      <c r="L1193" s="164">
        <v>2678.672770557921</v>
      </c>
      <c r="M1193" s="125">
        <v>-45.030922521903456</v>
      </c>
      <c r="N1193" s="115">
        <v>14552.5</v>
      </c>
      <c r="O1193" s="139">
        <v>3307.01</v>
      </c>
      <c r="P1193" s="125">
        <v>0</v>
      </c>
      <c r="Q1193" s="125">
        <v>0</v>
      </c>
      <c r="R1193" s="114"/>
      <c r="S1193" s="125">
        <v>-1.4600000000000002E-6</v>
      </c>
      <c r="T1193" s="125">
        <v>0</v>
      </c>
      <c r="U1193" s="125">
        <v>11200005.907885399</v>
      </c>
      <c r="V1193" s="125">
        <v>4.3844232627555408</v>
      </c>
      <c r="W1193" s="142">
        <v>829750.25</v>
      </c>
      <c r="X1193" s="142">
        <v>19.317756414791273</v>
      </c>
      <c r="Y1193" s="142">
        <v>62786658.610957772</v>
      </c>
      <c r="Z1193" s="142">
        <v>408.6689224350738</v>
      </c>
    </row>
    <row r="1194" spans="1:26" s="141" customFormat="1">
      <c r="A1194" s="121">
        <v>44725</v>
      </c>
      <c r="B1194" s="125">
        <v>156687929.47160202</v>
      </c>
      <c r="C1194" s="125">
        <v>64262366.814192742</v>
      </c>
      <c r="D1194" s="125">
        <v>65846154.319952987</v>
      </c>
      <c r="E1194" s="125">
        <v>69286404.993124202</v>
      </c>
      <c r="F1194" s="123">
        <v>199394926.12726992</v>
      </c>
      <c r="G1194" s="125">
        <v>0</v>
      </c>
      <c r="H1194" s="125">
        <v>1445.7580294721711</v>
      </c>
      <c r="I1194" s="125">
        <v>988.37012569332512</v>
      </c>
      <c r="J1194" s="125">
        <v>705.74240612146832</v>
      </c>
      <c r="K1194" s="125">
        <v>970.68101134156177</v>
      </c>
      <c r="L1194" s="164">
        <v>2664.7935431563551</v>
      </c>
      <c r="M1194" s="125">
        <v>-45</v>
      </c>
      <c r="N1194" s="115">
        <v>14680.5</v>
      </c>
      <c r="O1194" s="139">
        <v>3322.88</v>
      </c>
      <c r="P1194" s="125">
        <v>0</v>
      </c>
      <c r="Q1194" s="125">
        <v>0</v>
      </c>
      <c r="R1194" s="114"/>
      <c r="S1194" s="125">
        <v>-1.4600000000000002E-6</v>
      </c>
      <c r="T1194" s="125">
        <v>0</v>
      </c>
      <c r="U1194" s="125">
        <v>11635639.216845399</v>
      </c>
      <c r="V1194" s="125">
        <v>4.3814124999999997</v>
      </c>
      <c r="W1194" s="142">
        <v>629750.25</v>
      </c>
      <c r="X1194" s="142">
        <v>9.2781521820626001</v>
      </c>
      <c r="Y1194" s="142">
        <v>62569294.356228262</v>
      </c>
      <c r="Z1194" s="142">
        <v>409.35926976823754</v>
      </c>
    </row>
    <row r="1195" spans="1:26" s="141" customFormat="1">
      <c r="A1195" s="121">
        <v>44726</v>
      </c>
      <c r="B1195" s="125">
        <v>156887719.49237537</v>
      </c>
      <c r="C1195" s="125">
        <v>63868700.524933234</v>
      </c>
      <c r="D1195" s="125">
        <v>65524520.545660041</v>
      </c>
      <c r="E1195" s="125">
        <v>68797416.052397758</v>
      </c>
      <c r="F1195" s="123">
        <v>198190637.12299103</v>
      </c>
      <c r="G1195" s="125">
        <v>0</v>
      </c>
      <c r="H1195" s="125">
        <v>1444.321235625481</v>
      </c>
      <c r="I1195" s="125">
        <v>961.0641773619966</v>
      </c>
      <c r="J1195" s="125">
        <v>705.85619033988655</v>
      </c>
      <c r="K1195" s="125">
        <v>970.41353603779282</v>
      </c>
      <c r="L1195" s="164">
        <v>2637.3339037396759</v>
      </c>
      <c r="M1195" s="125">
        <v>-45</v>
      </c>
      <c r="N1195" s="115">
        <v>14697.5</v>
      </c>
      <c r="O1195" s="139">
        <v>3324.855</v>
      </c>
      <c r="P1195" s="125">
        <v>0</v>
      </c>
      <c r="Q1195" s="125">
        <v>0</v>
      </c>
      <c r="R1195" s="114"/>
      <c r="S1195" s="125">
        <v>-1.4600000000000002E-6</v>
      </c>
      <c r="T1195" s="125">
        <v>0</v>
      </c>
      <c r="U1195" s="125">
        <v>12163102.128057398</v>
      </c>
      <c r="V1195" s="125">
        <v>4.3814124999999997</v>
      </c>
      <c r="W1195" s="142">
        <v>629750.25</v>
      </c>
      <c r="X1195" s="142">
        <v>4.2788165667732603</v>
      </c>
      <c r="Y1195" s="142">
        <v>62565752.432798646</v>
      </c>
      <c r="Z1195" s="142">
        <v>408.64813070393546</v>
      </c>
    </row>
    <row r="1196" spans="1:26" s="141" customFormat="1">
      <c r="A1196" s="121">
        <v>44727</v>
      </c>
      <c r="B1196" s="125">
        <v>156871825.45385712</v>
      </c>
      <c r="C1196" s="125">
        <v>62702133.765267901</v>
      </c>
      <c r="D1196" s="125">
        <v>65750189.595019646</v>
      </c>
      <c r="E1196" s="125">
        <v>69404059.322030976</v>
      </c>
      <c r="F1196" s="123">
        <v>197856382.68231851</v>
      </c>
      <c r="G1196" s="125">
        <v>0</v>
      </c>
      <c r="H1196" s="125">
        <v>1459.4579361249514</v>
      </c>
      <c r="I1196" s="125">
        <v>958.36779540818327</v>
      </c>
      <c r="J1196" s="125">
        <v>703.75171881450353</v>
      </c>
      <c r="K1196" s="125">
        <v>970.42790433109633</v>
      </c>
      <c r="L1196" s="164">
        <v>2632.5474185537832</v>
      </c>
      <c r="M1196" s="125">
        <v>-45</v>
      </c>
      <c r="N1196" s="115">
        <v>14742.5</v>
      </c>
      <c r="O1196" s="139">
        <v>3335.7849999999999</v>
      </c>
      <c r="P1196" s="125">
        <v>0</v>
      </c>
      <c r="Q1196" s="125">
        <v>0</v>
      </c>
      <c r="R1196" s="114"/>
      <c r="S1196" s="125">
        <v>-1.4600000000000002E-6</v>
      </c>
      <c r="T1196" s="125">
        <v>0</v>
      </c>
      <c r="U1196" s="125">
        <v>11408705.879391398</v>
      </c>
      <c r="V1196" s="125">
        <v>4.3814125000000006</v>
      </c>
      <c r="W1196" s="142">
        <v>629750.25</v>
      </c>
      <c r="X1196" s="142">
        <v>4.2858312302153641</v>
      </c>
      <c r="Y1196" s="142">
        <v>61807444.800540149</v>
      </c>
      <c r="Z1196" s="142">
        <v>410.44369717155701</v>
      </c>
    </row>
    <row r="1197" spans="1:26" s="141" customFormat="1">
      <c r="A1197" s="121">
        <v>44728</v>
      </c>
      <c r="B1197" s="125">
        <v>156934662.7840448</v>
      </c>
      <c r="C1197" s="125">
        <v>63636989.629405744</v>
      </c>
      <c r="D1197" s="125">
        <v>65555977.988468856</v>
      </c>
      <c r="E1197" s="125">
        <v>68062722.588393122</v>
      </c>
      <c r="F1197" s="123">
        <v>197255690.20626771</v>
      </c>
      <c r="G1197" s="125">
        <v>0</v>
      </c>
      <c r="H1197" s="125">
        <v>1445.9183803192611</v>
      </c>
      <c r="I1197" s="125">
        <v>934.30993193024756</v>
      </c>
      <c r="J1197" s="125">
        <v>703.28239746525992</v>
      </c>
      <c r="K1197" s="125">
        <v>970.94678845654778</v>
      </c>
      <c r="L1197" s="164">
        <v>2608.5391178520554</v>
      </c>
      <c r="M1197" s="125">
        <v>-45</v>
      </c>
      <c r="N1197" s="115">
        <v>14767</v>
      </c>
      <c r="O1197" s="139">
        <v>3355.76</v>
      </c>
      <c r="P1197" s="125">
        <v>0</v>
      </c>
      <c r="Q1197" s="125">
        <v>0</v>
      </c>
      <c r="R1197" s="114"/>
      <c r="S1197" s="125">
        <v>-1.4600000000000002E-6</v>
      </c>
      <c r="T1197" s="125">
        <v>0</v>
      </c>
      <c r="U1197" s="125">
        <v>10652053.659680398</v>
      </c>
      <c r="V1197" s="125">
        <v>4.3814125000000006</v>
      </c>
      <c r="W1197" s="142">
        <v>629750.25</v>
      </c>
      <c r="X1197" s="142">
        <v>4.2894869436161711</v>
      </c>
      <c r="Y1197" s="142">
        <v>62741268.001985982</v>
      </c>
      <c r="Z1197" s="142">
        <v>410.38668560404545</v>
      </c>
    </row>
    <row r="1198" spans="1:26" s="141" customFormat="1">
      <c r="A1198" s="121">
        <v>44729</v>
      </c>
      <c r="B1198" s="125">
        <v>157020961.70049036</v>
      </c>
      <c r="C1198" s="125">
        <v>62746954.503295265</v>
      </c>
      <c r="D1198" s="125">
        <v>65943125.329263419</v>
      </c>
      <c r="E1198" s="125">
        <v>70135558.926601768</v>
      </c>
      <c r="F1198" s="123">
        <v>198825638.75916046</v>
      </c>
      <c r="G1198" s="125">
        <v>0</v>
      </c>
      <c r="H1198" s="125">
        <v>1460.7924656180701</v>
      </c>
      <c r="I1198" s="125">
        <v>935.79357058928167</v>
      </c>
      <c r="J1198" s="125">
        <v>700.67097282436464</v>
      </c>
      <c r="K1198" s="125">
        <v>971.79827353691917</v>
      </c>
      <c r="L1198" s="164">
        <v>2608.2628169505656</v>
      </c>
      <c r="M1198" s="125">
        <v>-45</v>
      </c>
      <c r="N1198" s="115">
        <v>14823</v>
      </c>
      <c r="O1198" s="139">
        <v>3366.9549999999999</v>
      </c>
      <c r="P1198" s="125">
        <v>0</v>
      </c>
      <c r="Q1198" s="125">
        <v>0</v>
      </c>
      <c r="R1198" s="114"/>
      <c r="S1198" s="125">
        <v>-1.4600000000000002E-6</v>
      </c>
      <c r="T1198" s="125">
        <v>0</v>
      </c>
      <c r="U1198" s="125">
        <v>9913963.6101396009</v>
      </c>
      <c r="V1198" s="125">
        <v>4.3814124999999997</v>
      </c>
      <c r="W1198" s="142">
        <v>630177.75</v>
      </c>
      <c r="X1198" s="142">
        <v>4.2964337702367938</v>
      </c>
      <c r="Y1198" s="142">
        <v>62111315.703970522</v>
      </c>
      <c r="Z1198" s="142">
        <v>411.20902611213467</v>
      </c>
    </row>
    <row r="1199" spans="1:26" s="141" customFormat="1">
      <c r="A1199" s="121">
        <v>44732</v>
      </c>
      <c r="B1199" s="125">
        <v>157232256.23718479</v>
      </c>
      <c r="C1199" s="125">
        <v>63992264.201539598</v>
      </c>
      <c r="D1199" s="125">
        <v>65776658.562003382</v>
      </c>
      <c r="E1199" s="125">
        <v>70015227.333060145</v>
      </c>
      <c r="F1199" s="123">
        <v>199784150.09660313</v>
      </c>
      <c r="G1199" s="125">
        <v>0</v>
      </c>
      <c r="H1199" s="125">
        <v>1456.291386751481</v>
      </c>
      <c r="I1199" s="125">
        <v>982.83415501954607</v>
      </c>
      <c r="J1199" s="125">
        <v>700.0035230347263</v>
      </c>
      <c r="K1199" s="125">
        <v>894.023121671583</v>
      </c>
      <c r="L1199" s="164">
        <v>2576.8607997258555</v>
      </c>
      <c r="M1199" s="125">
        <v>-45</v>
      </c>
      <c r="N1199" s="115">
        <v>14832.5</v>
      </c>
      <c r="O1199" s="139">
        <v>3369.875</v>
      </c>
      <c r="P1199" s="125">
        <v>-424354.5</v>
      </c>
      <c r="Q1199" s="125">
        <v>0</v>
      </c>
      <c r="R1199" s="114"/>
      <c r="S1199" s="125">
        <v>-1.4600000000000002E-6</v>
      </c>
      <c r="T1199" s="125">
        <v>0</v>
      </c>
      <c r="U1199" s="125">
        <v>9569030.5937504992</v>
      </c>
      <c r="V1199" s="125">
        <v>4.3814124999999997</v>
      </c>
      <c r="W1199" s="142">
        <v>630177.75</v>
      </c>
      <c r="X1199" s="142">
        <v>4.3052528403202421</v>
      </c>
      <c r="Y1199" s="142">
        <v>61721764.949209318</v>
      </c>
      <c r="Z1199" s="142">
        <v>411.09923965149841</v>
      </c>
    </row>
    <row r="1200" spans="1:26" s="141" customFormat="1">
      <c r="A1200" s="121">
        <v>44733</v>
      </c>
      <c r="B1200" s="125">
        <v>157643472.57399699</v>
      </c>
      <c r="C1200" s="125">
        <v>63946392.420589961</v>
      </c>
      <c r="D1200" s="125">
        <v>65784983.740627728</v>
      </c>
      <c r="E1200" s="125">
        <v>70084400.125993341</v>
      </c>
      <c r="F1200" s="123">
        <v>199815776.28721103</v>
      </c>
      <c r="G1200" s="125">
        <v>0</v>
      </c>
      <c r="H1200" s="125">
        <v>1450.8974600877209</v>
      </c>
      <c r="I1200" s="125">
        <v>955.0705875045287</v>
      </c>
      <c r="J1200" s="125">
        <v>704.44056394762333</v>
      </c>
      <c r="K1200" s="125">
        <v>912.58622484272507</v>
      </c>
      <c r="L1200" s="164">
        <v>2572.097376294877</v>
      </c>
      <c r="M1200" s="125">
        <v>-45</v>
      </c>
      <c r="N1200" s="115">
        <v>14812</v>
      </c>
      <c r="O1200" s="139">
        <v>3367.895</v>
      </c>
      <c r="P1200" s="125">
        <v>-424354.5</v>
      </c>
      <c r="Q1200" s="125">
        <v>0</v>
      </c>
      <c r="R1200" s="114"/>
      <c r="S1200" s="125">
        <v>-1.4600000000000002E-6</v>
      </c>
      <c r="T1200" s="125">
        <v>0</v>
      </c>
      <c r="U1200" s="125">
        <v>8963172.4858424999</v>
      </c>
      <c r="V1200" s="125">
        <v>4.3814124999999997</v>
      </c>
      <c r="W1200" s="142">
        <v>630177.75</v>
      </c>
      <c r="X1200" s="142">
        <v>4.2991874235538754</v>
      </c>
      <c r="Y1200" s="142">
        <v>61898509.859837323</v>
      </c>
      <c r="Z1200" s="142">
        <v>412.12326588775733</v>
      </c>
    </row>
    <row r="1201" spans="1:26" s="141" customFormat="1">
      <c r="A1201" s="121">
        <v>44734</v>
      </c>
      <c r="B1201" s="125">
        <v>157354571.72324055</v>
      </c>
      <c r="C1201" s="125">
        <v>64595231.626857534</v>
      </c>
      <c r="D1201" s="125">
        <v>65644798.541483186</v>
      </c>
      <c r="E1201" s="125">
        <v>68746119.993593633</v>
      </c>
      <c r="F1201" s="123">
        <v>198986150.16193435</v>
      </c>
      <c r="G1201" s="125">
        <v>0</v>
      </c>
      <c r="H1201" s="125">
        <v>1453.2531937229044</v>
      </c>
      <c r="I1201" s="125">
        <v>961.19527813685056</v>
      </c>
      <c r="J1201" s="125">
        <v>702.72861808745313</v>
      </c>
      <c r="K1201" s="125">
        <v>912.88988497667162</v>
      </c>
      <c r="L1201" s="164">
        <v>2576.8137812009754</v>
      </c>
      <c r="M1201" s="125">
        <v>-45</v>
      </c>
      <c r="N1201" s="115">
        <v>14867.5</v>
      </c>
      <c r="O1201" s="139">
        <v>3374.76</v>
      </c>
      <c r="P1201" s="125">
        <v>-424354.5</v>
      </c>
      <c r="Q1201" s="125">
        <v>0</v>
      </c>
      <c r="R1201" s="114"/>
      <c r="S1201" s="125">
        <v>-1.4600000000000002E-6</v>
      </c>
      <c r="T1201" s="125">
        <v>0</v>
      </c>
      <c r="U1201" s="125">
        <v>10093827.689250501</v>
      </c>
      <c r="V1201" s="125">
        <v>4.3814124999999997</v>
      </c>
      <c r="W1201" s="142">
        <v>730177.75</v>
      </c>
      <c r="X1201" s="142">
        <v>4.2854441099007898</v>
      </c>
      <c r="Y1201" s="142">
        <v>61815546.418857366</v>
      </c>
      <c r="Z1201" s="142">
        <v>413.67191252375716</v>
      </c>
    </row>
    <row r="1202" spans="1:26" s="141" customFormat="1">
      <c r="A1202" s="121">
        <v>44735</v>
      </c>
      <c r="B1202" s="125">
        <v>157614398.93451169</v>
      </c>
      <c r="C1202" s="125">
        <v>63657448.538817748</v>
      </c>
      <c r="D1202" s="125">
        <v>66178910.919738472</v>
      </c>
      <c r="E1202" s="125">
        <v>68325984.105571091</v>
      </c>
      <c r="F1202" s="123">
        <v>198162343.56412733</v>
      </c>
      <c r="G1202" s="125">
        <v>0</v>
      </c>
      <c r="H1202" s="125">
        <v>1522.1825007323391</v>
      </c>
      <c r="I1202" s="125">
        <v>942.81924535290079</v>
      </c>
      <c r="J1202" s="125">
        <v>699.04084656854661</v>
      </c>
      <c r="K1202" s="125">
        <v>912.19199254160662</v>
      </c>
      <c r="L1202" s="164">
        <v>2554.0520844630537</v>
      </c>
      <c r="M1202" s="125">
        <v>-45</v>
      </c>
      <c r="N1202" s="115">
        <v>14837.5</v>
      </c>
      <c r="O1202" s="139">
        <v>3366.4250000000002</v>
      </c>
      <c r="P1202" s="125">
        <v>-424354.5</v>
      </c>
      <c r="Q1202" s="125">
        <v>0</v>
      </c>
      <c r="R1202" s="114"/>
      <c r="S1202" s="125">
        <v>-1.4600000000000002E-6</v>
      </c>
      <c r="T1202" s="125">
        <v>0</v>
      </c>
      <c r="U1202" s="125">
        <v>10208327.0456535</v>
      </c>
      <c r="V1202" s="125">
        <v>4.3814124999999997</v>
      </c>
      <c r="W1202" s="142">
        <v>630177.75</v>
      </c>
      <c r="X1202" s="142">
        <v>4.2928469546588035</v>
      </c>
      <c r="Y1202" s="142">
        <v>61433953.746063173</v>
      </c>
      <c r="Z1202" s="142">
        <v>411.42798869857785</v>
      </c>
    </row>
    <row r="1203" spans="1:26" s="141" customFormat="1">
      <c r="A1203" s="121">
        <v>44736</v>
      </c>
      <c r="B1203" s="125">
        <v>157891804.00010598</v>
      </c>
      <c r="C1203" s="125">
        <v>62358227.126480728</v>
      </c>
      <c r="D1203" s="125">
        <v>67013420.782417908</v>
      </c>
      <c r="E1203" s="125">
        <v>68821171.20663926</v>
      </c>
      <c r="F1203" s="123">
        <v>198192819.11553788</v>
      </c>
      <c r="G1203" s="125">
        <v>0</v>
      </c>
      <c r="H1203" s="125">
        <v>1509.8863952341678</v>
      </c>
      <c r="I1203" s="125">
        <v>971.00205759485539</v>
      </c>
      <c r="J1203" s="125">
        <v>699.59107768590286</v>
      </c>
      <c r="K1203" s="125">
        <v>912.47998028935046</v>
      </c>
      <c r="L1203" s="164">
        <v>2583.0731155701087</v>
      </c>
      <c r="M1203" s="125">
        <v>-45</v>
      </c>
      <c r="N1203" s="115">
        <v>14847.5</v>
      </c>
      <c r="O1203" s="139">
        <v>3369.835</v>
      </c>
      <c r="P1203" s="125">
        <v>-424354.5</v>
      </c>
      <c r="Q1203" s="125">
        <v>0</v>
      </c>
      <c r="R1203" s="114"/>
      <c r="S1203" s="125">
        <v>-1.4600000000000002E-6</v>
      </c>
      <c r="T1203" s="125">
        <v>0</v>
      </c>
      <c r="U1203" s="125">
        <v>8769571.464749299</v>
      </c>
      <c r="V1203" s="125">
        <v>4.3814124999999997</v>
      </c>
      <c r="W1203" s="142">
        <v>630177.75</v>
      </c>
      <c r="X1203" s="142">
        <v>4.2995217754605148</v>
      </c>
      <c r="Y1203" s="142">
        <v>61530795.092461661</v>
      </c>
      <c r="Z1203" s="142">
        <v>410.36522155034447</v>
      </c>
    </row>
    <row r="1204" spans="1:26" s="141" customFormat="1">
      <c r="A1204" s="121">
        <v>44739</v>
      </c>
      <c r="B1204" s="125">
        <v>157713808.35187382</v>
      </c>
      <c r="C1204" s="125">
        <v>64040382.47590211</v>
      </c>
      <c r="D1204" s="125">
        <v>66856244.621495098</v>
      </c>
      <c r="E1204" s="125">
        <v>69185503.373966724</v>
      </c>
      <c r="F1204" s="123">
        <v>200082130.47136393</v>
      </c>
      <c r="G1204" s="125">
        <v>0</v>
      </c>
      <c r="H1204" s="125">
        <v>1492.0969165811639</v>
      </c>
      <c r="I1204" s="125">
        <v>960.59565135644482</v>
      </c>
      <c r="J1204" s="125">
        <v>697.14090384425958</v>
      </c>
      <c r="K1204" s="125">
        <v>916.22444805043699</v>
      </c>
      <c r="L1204" s="164">
        <v>2573.9610032511414</v>
      </c>
      <c r="M1204" s="125">
        <v>-45</v>
      </c>
      <c r="N1204" s="115">
        <v>14802.5</v>
      </c>
      <c r="O1204" s="139">
        <v>3359.625</v>
      </c>
      <c r="P1204" s="125">
        <v>-424354.5</v>
      </c>
      <c r="Q1204" s="125">
        <v>0</v>
      </c>
      <c r="R1204" s="114"/>
      <c r="S1204" s="125">
        <v>-1.4600000000000002E-6</v>
      </c>
      <c r="T1204" s="125">
        <v>0</v>
      </c>
      <c r="U1204" s="125">
        <v>7543816.1992969997</v>
      </c>
      <c r="V1204" s="125">
        <v>4.3814124999999997</v>
      </c>
      <c r="W1204" s="142">
        <v>630177.75</v>
      </c>
      <c r="X1204" s="142">
        <v>18.061439901357879</v>
      </c>
      <c r="Y1204" s="142">
        <v>61820499.242390037</v>
      </c>
      <c r="Z1204" s="142">
        <v>409.8453996169755</v>
      </c>
    </row>
    <row r="1205" spans="1:26" s="141" customFormat="1">
      <c r="A1205" s="121">
        <v>44740</v>
      </c>
      <c r="B1205" s="125">
        <v>157959175.88109693</v>
      </c>
      <c r="C1205" s="125">
        <v>63315146.002122678</v>
      </c>
      <c r="D1205" s="125">
        <v>66642996.137017682</v>
      </c>
      <c r="E1205" s="125">
        <v>67646920.193726242</v>
      </c>
      <c r="F1205" s="123">
        <v>197605062.33286661</v>
      </c>
      <c r="G1205" s="125">
        <v>0</v>
      </c>
      <c r="H1205" s="125">
        <v>1508.856933384531</v>
      </c>
      <c r="I1205" s="125">
        <v>953.84737870051629</v>
      </c>
      <c r="J1205" s="125">
        <v>694.72387082149976</v>
      </c>
      <c r="K1205" s="125">
        <v>918.01069093616752</v>
      </c>
      <c r="L1205" s="164">
        <v>2566.5819404581835</v>
      </c>
      <c r="M1205" s="125">
        <v>-45</v>
      </c>
      <c r="N1205" s="115">
        <v>14837</v>
      </c>
      <c r="O1205" s="139">
        <v>3374.3500000000004</v>
      </c>
      <c r="P1205" s="125">
        <v>-424354.5</v>
      </c>
      <c r="Q1205" s="125">
        <v>0</v>
      </c>
      <c r="R1205" s="114"/>
      <c r="S1205" s="125">
        <v>-1.4600000000000002E-6</v>
      </c>
      <c r="T1205" s="125">
        <v>0</v>
      </c>
      <c r="U1205" s="125">
        <v>6434703.3287869999</v>
      </c>
      <c r="V1205" s="125">
        <v>4.3814124999999997</v>
      </c>
      <c r="W1205" s="142">
        <v>630177.75</v>
      </c>
      <c r="X1205" s="142">
        <v>16.304405122071849</v>
      </c>
      <c r="Y1205" s="142">
        <v>62384943.134265497</v>
      </c>
      <c r="Z1205" s="142">
        <v>408.59853456947013</v>
      </c>
    </row>
    <row r="1206" spans="1:26" s="141" customFormat="1">
      <c r="A1206" s="121">
        <v>44741</v>
      </c>
      <c r="B1206" s="125">
        <v>158307977.50395676</v>
      </c>
      <c r="C1206" s="125">
        <v>68726703.869179338</v>
      </c>
      <c r="D1206" s="125">
        <v>66048943.261911348</v>
      </c>
      <c r="E1206" s="125">
        <v>65880005.990006015</v>
      </c>
      <c r="F1206" s="123">
        <v>200655653.12109673</v>
      </c>
      <c r="G1206" s="125">
        <v>0</v>
      </c>
      <c r="H1206" s="125">
        <v>1478.6201315138262</v>
      </c>
      <c r="I1206" s="125">
        <v>955.63841385910359</v>
      </c>
      <c r="J1206" s="125">
        <v>708.65469520285853</v>
      </c>
      <c r="K1206" s="125">
        <v>970.5259108246272</v>
      </c>
      <c r="L1206" s="164">
        <v>2634.8190198865896</v>
      </c>
      <c r="M1206" s="125">
        <v>-45</v>
      </c>
      <c r="N1206" s="115">
        <v>14849.5</v>
      </c>
      <c r="O1206" s="139">
        <v>3374.8850000000002</v>
      </c>
      <c r="P1206" s="125">
        <v>-424354.5</v>
      </c>
      <c r="Q1206" s="125">
        <v>0</v>
      </c>
      <c r="R1206" s="114"/>
      <c r="S1206" s="125">
        <v>-1.4600000000000002E-6</v>
      </c>
      <c r="T1206" s="125">
        <v>0</v>
      </c>
      <c r="U1206" s="125">
        <v>4925022.3815430002</v>
      </c>
      <c r="V1206" s="125">
        <v>4.3814125000000006</v>
      </c>
      <c r="W1206" s="142">
        <v>630177.75</v>
      </c>
      <c r="X1206" s="142">
        <v>9.2958453911195669</v>
      </c>
      <c r="Y1206" s="142">
        <v>62190913.384869725</v>
      </c>
      <c r="Z1206" s="142">
        <v>408.27558743561463</v>
      </c>
    </row>
    <row r="1207" spans="1:26" s="141" customFormat="1">
      <c r="A1207" s="121">
        <v>44742</v>
      </c>
      <c r="B1207" s="136">
        <v>161470720.31123099</v>
      </c>
      <c r="C1207" s="136">
        <v>61639256.506705999</v>
      </c>
      <c r="D1207" s="136">
        <v>66527895.556484997</v>
      </c>
      <c r="E1207" s="136">
        <v>65229663.447084002</v>
      </c>
      <c r="F1207" s="137">
        <v>193396815.51027501</v>
      </c>
      <c r="G1207" s="125">
        <v>0</v>
      </c>
      <c r="H1207" s="136">
        <v>1560.1954101272697</v>
      </c>
      <c r="I1207" s="136">
        <v>966.83367349736534</v>
      </c>
      <c r="J1207" s="136">
        <v>693.66185711206583</v>
      </c>
      <c r="K1207" s="136">
        <v>960.16246198046645</v>
      </c>
      <c r="L1207" s="165">
        <v>2620.6579925898977</v>
      </c>
      <c r="M1207" s="125">
        <v>-45</v>
      </c>
      <c r="N1207" s="115">
        <v>14897.5</v>
      </c>
      <c r="O1207" s="139">
        <v>3380.8</v>
      </c>
      <c r="P1207" s="125">
        <v>-424354.5</v>
      </c>
      <c r="Q1207" s="125">
        <v>0</v>
      </c>
      <c r="R1207" s="114"/>
      <c r="S1207" s="125">
        <v>-1.4600000000000002E-6</v>
      </c>
      <c r="T1207" s="125">
        <v>0</v>
      </c>
      <c r="U1207" s="125">
        <v>3677704.7567380001</v>
      </c>
      <c r="V1207" s="125">
        <v>4.3814124999999997</v>
      </c>
      <c r="W1207" s="142">
        <v>630177.75</v>
      </c>
      <c r="X1207" s="142">
        <v>7.8061160542473571</v>
      </c>
      <c r="Y1207" s="142">
        <v>62949935.488528535</v>
      </c>
      <c r="Z1207" s="142">
        <v>410.5473388847854</v>
      </c>
    </row>
    <row r="1208" spans="1:26" s="141" customFormat="1">
      <c r="A1208" s="121">
        <v>44743</v>
      </c>
      <c r="B1208" s="125">
        <v>159038346.32499716</v>
      </c>
      <c r="C1208" s="125">
        <v>61653988.174224801</v>
      </c>
      <c r="D1208" s="125">
        <v>66292182.454109952</v>
      </c>
      <c r="E1208" s="125">
        <v>65654768.692290589</v>
      </c>
      <c r="F1208" s="123">
        <v>193600939.32062536</v>
      </c>
      <c r="G1208" s="125">
        <v>0</v>
      </c>
      <c r="H1208" s="125">
        <v>1563.8352053427266</v>
      </c>
      <c r="I1208" s="125">
        <v>962.39266310186963</v>
      </c>
      <c r="J1208" s="125">
        <v>691.76168639511195</v>
      </c>
      <c r="K1208" s="125">
        <v>966.03763976421817</v>
      </c>
      <c r="L1208" s="164">
        <v>2620.1919892611995</v>
      </c>
      <c r="M1208" s="125">
        <v>-45</v>
      </c>
      <c r="N1208" s="115">
        <v>14937.5</v>
      </c>
      <c r="O1208" s="139">
        <v>3387.19</v>
      </c>
      <c r="P1208" s="125">
        <v>-424354.5</v>
      </c>
      <c r="Q1208" s="125">
        <v>0</v>
      </c>
      <c r="R1208" s="114"/>
      <c r="S1208" s="125">
        <v>-1.4600000000000002E-6</v>
      </c>
      <c r="T1208" s="125">
        <v>0</v>
      </c>
      <c r="U1208" s="125">
        <v>3712062.096965</v>
      </c>
      <c r="V1208" s="125">
        <v>4.3814124999999997</v>
      </c>
      <c r="W1208" s="142">
        <v>630177.75</v>
      </c>
      <c r="X1208" s="142">
        <v>12.80308923205021</v>
      </c>
      <c r="Y1208" s="142">
        <v>62672719.386023551</v>
      </c>
      <c r="Z1208" s="142">
        <v>412.43840958964358</v>
      </c>
    </row>
    <row r="1209" spans="1:26" s="141" customFormat="1">
      <c r="A1209" s="121">
        <v>44746</v>
      </c>
      <c r="B1209" s="125">
        <v>158530033.7897217</v>
      </c>
      <c r="C1209" s="125">
        <v>61903751.169195376</v>
      </c>
      <c r="D1209" s="125">
        <v>66103205.646858484</v>
      </c>
      <c r="E1209" s="125">
        <v>65476646.335554674</v>
      </c>
      <c r="F1209" s="123">
        <v>193483603.15160853</v>
      </c>
      <c r="G1209" s="125">
        <v>0</v>
      </c>
      <c r="H1209" s="125">
        <v>1575.0160501924574</v>
      </c>
      <c r="I1209" s="125">
        <v>965.21387935235896</v>
      </c>
      <c r="J1209" s="125">
        <v>691.46677390284333</v>
      </c>
      <c r="K1209" s="125">
        <v>946.59417019974455</v>
      </c>
      <c r="L1209" s="164">
        <v>2603.2748234549467</v>
      </c>
      <c r="M1209" s="125">
        <v>-45</v>
      </c>
      <c r="N1209" s="115">
        <v>14967.5</v>
      </c>
      <c r="O1209" s="139">
        <v>3391.6849999999999</v>
      </c>
      <c r="P1209" s="125">
        <v>-259392.51</v>
      </c>
      <c r="Q1209" s="125">
        <v>0</v>
      </c>
      <c r="R1209" s="114"/>
      <c r="S1209" s="125">
        <v>-1.4600000000000002E-6</v>
      </c>
      <c r="T1209" s="125">
        <v>0</v>
      </c>
      <c r="U1209" s="125">
        <v>3846525.7399336002</v>
      </c>
      <c r="V1209" s="125">
        <v>4.3814124999999997</v>
      </c>
      <c r="W1209" s="142">
        <v>630177.75</v>
      </c>
      <c r="X1209" s="142">
        <v>12.805945817133791</v>
      </c>
      <c r="Y1209" s="142">
        <v>61715986.146958321</v>
      </c>
      <c r="Z1209" s="142">
        <v>417.06346558364464</v>
      </c>
    </row>
    <row r="1210" spans="1:26" s="141" customFormat="1">
      <c r="A1210" s="121">
        <v>44747</v>
      </c>
      <c r="B1210" s="125">
        <v>157489149.88159022</v>
      </c>
      <c r="C1210" s="125">
        <v>62072372.769322738</v>
      </c>
      <c r="D1210" s="125">
        <v>65405745.334386677</v>
      </c>
      <c r="E1210" s="125">
        <v>65039751.26879631</v>
      </c>
      <c r="F1210" s="123">
        <v>192517869.37250572</v>
      </c>
      <c r="G1210" s="125">
        <v>0</v>
      </c>
      <c r="H1210" s="125">
        <v>1598.3156334893936</v>
      </c>
      <c r="I1210" s="125">
        <v>1000.4019112680041</v>
      </c>
      <c r="J1210" s="125">
        <v>688.01827901368824</v>
      </c>
      <c r="K1210" s="125">
        <v>956.69438614076148</v>
      </c>
      <c r="L1210" s="164">
        <v>2645.1145764224539</v>
      </c>
      <c r="M1210" s="125">
        <v>-45</v>
      </c>
      <c r="N1210" s="115">
        <v>14987.5</v>
      </c>
      <c r="O1210" s="139">
        <v>3391.99</v>
      </c>
      <c r="P1210" s="125">
        <v>-259392.51</v>
      </c>
      <c r="Q1210" s="125">
        <v>0</v>
      </c>
      <c r="R1210" s="114"/>
      <c r="S1210" s="125">
        <v>-1.4600000000000002E-6</v>
      </c>
      <c r="T1210" s="125">
        <v>0</v>
      </c>
      <c r="U1210" s="125">
        <v>4314821.1008035997</v>
      </c>
      <c r="V1210" s="125">
        <v>4.3814124999999997</v>
      </c>
      <c r="W1210" s="142">
        <v>630177.75</v>
      </c>
      <c r="X1210" s="142">
        <v>17.805393478615514</v>
      </c>
      <c r="Y1210" s="142">
        <v>62281615.834534809</v>
      </c>
      <c r="Z1210" s="142">
        <v>415.54121314352835</v>
      </c>
    </row>
    <row r="1211" spans="1:26" s="141" customFormat="1">
      <c r="A1211" s="121">
        <v>44748</v>
      </c>
      <c r="B1211" s="125">
        <v>157398092.91803515</v>
      </c>
      <c r="C1211" s="125">
        <v>61824251.32386414</v>
      </c>
      <c r="D1211" s="125">
        <v>65206168.801956572</v>
      </c>
      <c r="E1211" s="125">
        <v>65150641.26631505</v>
      </c>
      <c r="F1211" s="123">
        <v>192181061.39213577</v>
      </c>
      <c r="G1211" s="125">
        <v>0</v>
      </c>
      <c r="H1211" s="125">
        <v>1594.883099062049</v>
      </c>
      <c r="I1211" s="125">
        <v>1009.2946237604588</v>
      </c>
      <c r="J1211" s="125">
        <v>682.61284047528511</v>
      </c>
      <c r="K1211" s="125">
        <v>955.98306939941483</v>
      </c>
      <c r="L1211" s="164">
        <v>2647.8905336351586</v>
      </c>
      <c r="M1211" s="125">
        <v>-45</v>
      </c>
      <c r="N1211" s="115">
        <v>14997</v>
      </c>
      <c r="O1211" s="139">
        <v>3390.6850000000004</v>
      </c>
      <c r="P1211" s="125">
        <v>-259392.51</v>
      </c>
      <c r="Q1211" s="125">
        <v>0</v>
      </c>
      <c r="R1211" s="114"/>
      <c r="S1211" s="125">
        <v>-1.4600000000000002E-6</v>
      </c>
      <c r="T1211" s="125">
        <v>0</v>
      </c>
      <c r="U1211" s="125">
        <v>3318221.7480476</v>
      </c>
      <c r="V1211" s="125">
        <v>4.3814124999999997</v>
      </c>
      <c r="W1211" s="142">
        <v>630177.75</v>
      </c>
      <c r="X1211" s="142">
        <v>12.802389460464095</v>
      </c>
      <c r="Y1211" s="142">
        <v>62255723.941248856</v>
      </c>
      <c r="Z1211" s="142">
        <v>414.37589934759006</v>
      </c>
    </row>
    <row r="1212" spans="1:26" s="141" customFormat="1">
      <c r="A1212" s="121">
        <v>44749</v>
      </c>
      <c r="B1212" s="125">
        <v>157612628.66380316</v>
      </c>
      <c r="C1212" s="125">
        <v>62182673.039714292</v>
      </c>
      <c r="D1212" s="125">
        <v>65568015.217612654</v>
      </c>
      <c r="E1212" s="125">
        <v>64904820.959722869</v>
      </c>
      <c r="F1212" s="123">
        <v>192655509.21704981</v>
      </c>
      <c r="G1212" s="125">
        <v>0</v>
      </c>
      <c r="H1212" s="125">
        <v>1597.6257138226697</v>
      </c>
      <c r="I1212" s="125">
        <v>1106.5663648503644</v>
      </c>
      <c r="J1212" s="125">
        <v>686.60925675303201</v>
      </c>
      <c r="K1212" s="125">
        <v>948.52591790017891</v>
      </c>
      <c r="L1212" s="164">
        <v>2741.7015395035751</v>
      </c>
      <c r="M1212" s="125">
        <v>-45</v>
      </c>
      <c r="N1212" s="115">
        <v>14996</v>
      </c>
      <c r="O1212" s="139">
        <v>3386.6350000000002</v>
      </c>
      <c r="P1212" s="125">
        <v>-259392.51</v>
      </c>
      <c r="Q1212" s="125">
        <v>0</v>
      </c>
      <c r="R1212" s="114"/>
      <c r="S1212" s="125">
        <v>-1.4600000000000002E-6</v>
      </c>
      <c r="T1212" s="125">
        <v>0</v>
      </c>
      <c r="U1212" s="125">
        <v>3633164.6747655999</v>
      </c>
      <c r="V1212" s="125">
        <v>4.3814125000000006</v>
      </c>
      <c r="W1212" s="142">
        <v>630177.75</v>
      </c>
      <c r="X1212" s="142">
        <v>17.8016233629928</v>
      </c>
      <c r="Y1212" s="142">
        <v>62044937.797169164</v>
      </c>
      <c r="Z1212" s="142">
        <v>415.4286169981329</v>
      </c>
    </row>
    <row r="1213" spans="1:26" s="141" customFormat="1">
      <c r="A1213" s="121">
        <v>44750</v>
      </c>
      <c r="B1213" s="125">
        <v>157309675.20146945</v>
      </c>
      <c r="C1213" s="125">
        <v>60653545.06001398</v>
      </c>
      <c r="D1213" s="125">
        <v>65651567.064542629</v>
      </c>
      <c r="E1213" s="125">
        <v>64792738.270435423</v>
      </c>
      <c r="F1213" s="123">
        <v>191097850.39499202</v>
      </c>
      <c r="G1213" s="125">
        <v>0</v>
      </c>
      <c r="H1213" s="125">
        <v>1566.9720876057766</v>
      </c>
      <c r="I1213" s="125">
        <v>1116.6109286656315</v>
      </c>
      <c r="J1213" s="125">
        <v>686.81586520676672</v>
      </c>
      <c r="K1213" s="125">
        <v>898.10800925523324</v>
      </c>
      <c r="L1213" s="164">
        <v>2701.5348031276317</v>
      </c>
      <c r="M1213" s="125">
        <v>-45</v>
      </c>
      <c r="N1213" s="115">
        <v>14977</v>
      </c>
      <c r="O1213" s="139">
        <v>3383.87</v>
      </c>
      <c r="P1213" s="125">
        <v>-259392.51</v>
      </c>
      <c r="Q1213" s="125">
        <v>0</v>
      </c>
      <c r="R1213" s="114"/>
      <c r="S1213" s="125">
        <v>-1.4600000000000002E-6</v>
      </c>
      <c r="T1213" s="125">
        <v>0</v>
      </c>
      <c r="U1213" s="125">
        <v>4693821.1736391988</v>
      </c>
      <c r="V1213" s="125">
        <v>4.3814124999999997</v>
      </c>
      <c r="W1213" s="142">
        <v>630177.75</v>
      </c>
      <c r="X1213" s="142">
        <v>12.803087667475461</v>
      </c>
      <c r="Y1213" s="142">
        <v>62588522.172478318</v>
      </c>
      <c r="Z1213" s="142">
        <v>413.58205798621344</v>
      </c>
    </row>
    <row r="1214" spans="1:26" s="141" customFormat="1">
      <c r="A1214" s="121">
        <v>44753</v>
      </c>
      <c r="B1214" s="125">
        <v>157336424.38412878</v>
      </c>
      <c r="C1214" s="125">
        <v>62328937.579632148</v>
      </c>
      <c r="D1214" s="125">
        <v>65568217.394020207</v>
      </c>
      <c r="E1214" s="125">
        <v>62288006.69742889</v>
      </c>
      <c r="F1214" s="123">
        <v>190185161.67108124</v>
      </c>
      <c r="G1214" s="125">
        <v>0</v>
      </c>
      <c r="H1214" s="125">
        <v>1591.207944016697</v>
      </c>
      <c r="I1214" s="125">
        <v>1102.6057931155356</v>
      </c>
      <c r="J1214" s="125">
        <v>684.46752768076772</v>
      </c>
      <c r="K1214" s="125">
        <v>896.43177915759065</v>
      </c>
      <c r="L1214" s="164">
        <v>2683.5050999538939</v>
      </c>
      <c r="M1214" s="125">
        <v>-60</v>
      </c>
      <c r="N1214" s="115">
        <v>14972.5</v>
      </c>
      <c r="O1214" s="139">
        <v>3382.09</v>
      </c>
      <c r="P1214" s="125">
        <v>-259392.51</v>
      </c>
      <c r="Q1214" s="125">
        <v>0</v>
      </c>
      <c r="R1214" s="114"/>
      <c r="S1214" s="125">
        <v>-1.4600000000000002E-6</v>
      </c>
      <c r="T1214" s="125">
        <v>0</v>
      </c>
      <c r="U1214" s="125">
        <v>4931304.3843800994</v>
      </c>
      <c r="V1214" s="125">
        <v>4.3814124999999997</v>
      </c>
      <c r="W1214" s="142">
        <v>630177.75</v>
      </c>
      <c r="X1214" s="142">
        <v>12.801410783346133</v>
      </c>
      <c r="Y1214" s="142">
        <v>64252949.75753995</v>
      </c>
      <c r="Z1214" s="142">
        <v>413.39626154947462</v>
      </c>
    </row>
    <row r="1215" spans="1:26" s="141" customFormat="1">
      <c r="A1215" s="121">
        <v>44754</v>
      </c>
      <c r="B1215" s="125">
        <v>157186510.11406383</v>
      </c>
      <c r="C1215" s="125">
        <v>61748488.500399798</v>
      </c>
      <c r="D1215" s="125">
        <v>65419972.567026481</v>
      </c>
      <c r="E1215" s="125">
        <v>63908829.60055089</v>
      </c>
      <c r="F1215" s="123">
        <v>191077290.66797715</v>
      </c>
      <c r="G1215" s="125">
        <v>0</v>
      </c>
      <c r="H1215" s="125">
        <v>1593.0024981616036</v>
      </c>
      <c r="I1215" s="125">
        <v>1107.4394985558386</v>
      </c>
      <c r="J1215" s="125">
        <v>686.38670401198999</v>
      </c>
      <c r="K1215" s="125">
        <v>896.14403925468332</v>
      </c>
      <c r="L1215" s="164">
        <v>2689.970241822512</v>
      </c>
      <c r="M1215" s="125">
        <v>-45</v>
      </c>
      <c r="N1215" s="115">
        <v>14987.5</v>
      </c>
      <c r="O1215" s="139">
        <v>3377.8450000000003</v>
      </c>
      <c r="P1215" s="125">
        <v>-259392.51</v>
      </c>
      <c r="Q1215" s="125">
        <v>0</v>
      </c>
      <c r="R1215" s="114"/>
      <c r="S1215" s="125">
        <v>-1.4600000000000002E-6</v>
      </c>
      <c r="T1215" s="125">
        <v>0</v>
      </c>
      <c r="U1215" s="125">
        <v>5098783.588651699</v>
      </c>
      <c r="V1215" s="125">
        <v>4.3814124999999997</v>
      </c>
      <c r="W1215" s="142">
        <v>630177.75</v>
      </c>
      <c r="X1215" s="142">
        <v>17.792477715479567</v>
      </c>
      <c r="Y1215" s="142">
        <v>62797040.863647312</v>
      </c>
      <c r="Z1215" s="142">
        <v>413.02961066502831</v>
      </c>
    </row>
    <row r="1216" spans="1:26" s="141" customFormat="1">
      <c r="A1216" s="121">
        <v>44755</v>
      </c>
      <c r="B1216" s="125">
        <v>157007232.64724147</v>
      </c>
      <c r="C1216" s="125">
        <v>62238428.595605098</v>
      </c>
      <c r="D1216" s="125">
        <v>65289950.90820314</v>
      </c>
      <c r="E1216" s="125">
        <v>62830928.209423408</v>
      </c>
      <c r="F1216" s="123">
        <v>190359307.71323162</v>
      </c>
      <c r="G1216" s="125">
        <v>0</v>
      </c>
      <c r="H1216" s="125">
        <v>1600.3364953067569</v>
      </c>
      <c r="I1216" s="125">
        <v>1142.7559276729974</v>
      </c>
      <c r="J1216" s="125">
        <v>688.15879888994573</v>
      </c>
      <c r="K1216" s="125">
        <v>897.60686959369093</v>
      </c>
      <c r="L1216" s="164">
        <v>2728.5215961566341</v>
      </c>
      <c r="M1216" s="125">
        <v>-45</v>
      </c>
      <c r="N1216" s="115">
        <v>14987.5</v>
      </c>
      <c r="O1216" s="139">
        <v>3380.51</v>
      </c>
      <c r="P1216" s="125">
        <v>-259392.51</v>
      </c>
      <c r="Q1216" s="125">
        <v>0</v>
      </c>
      <c r="R1216" s="114"/>
      <c r="S1216" s="125">
        <v>-1.4600000000000002E-6</v>
      </c>
      <c r="T1216" s="125">
        <v>0</v>
      </c>
      <c r="U1216" s="125">
        <v>6231190.6357316989</v>
      </c>
      <c r="V1216" s="125">
        <v>4.3814124999999997</v>
      </c>
      <c r="W1216" s="142">
        <v>630177.75</v>
      </c>
      <c r="X1216" s="142">
        <v>12.798097398548791</v>
      </c>
      <c r="Y1216" s="142">
        <v>62499966.629397161</v>
      </c>
      <c r="Z1216" s="142">
        <v>412.71225133086307</v>
      </c>
    </row>
    <row r="1217" spans="1:26" s="141" customFormat="1">
      <c r="A1217" s="121">
        <v>44756</v>
      </c>
      <c r="B1217" s="125">
        <v>157096991.67220244</v>
      </c>
      <c r="C1217" s="125">
        <v>63273317.564946063</v>
      </c>
      <c r="D1217" s="125">
        <v>64766549.711608484</v>
      </c>
      <c r="E1217" s="125">
        <v>62772617.346582897</v>
      </c>
      <c r="F1217" s="123">
        <v>190812484.62313744</v>
      </c>
      <c r="G1217" s="125">
        <v>0</v>
      </c>
      <c r="H1217" s="125">
        <v>1593.9054360782554</v>
      </c>
      <c r="I1217" s="125">
        <v>1122.0694345959255</v>
      </c>
      <c r="J1217" s="125">
        <v>687.7814998102341</v>
      </c>
      <c r="K1217" s="125">
        <v>883.95856830629066</v>
      </c>
      <c r="L1217" s="164">
        <v>2693.80950271245</v>
      </c>
      <c r="M1217" s="125">
        <v>-45</v>
      </c>
      <c r="N1217" s="115">
        <v>14992.5</v>
      </c>
      <c r="O1217" s="139">
        <v>3374.41</v>
      </c>
      <c r="P1217" s="125">
        <v>-259392.51</v>
      </c>
      <c r="Q1217" s="125">
        <v>0</v>
      </c>
      <c r="R1217" s="114"/>
      <c r="S1217" s="125">
        <v>-1.4600000000000002E-6</v>
      </c>
      <c r="T1217" s="125">
        <v>0</v>
      </c>
      <c r="U1217" s="125">
        <v>6715642.611434699</v>
      </c>
      <c r="V1217" s="125">
        <v>4.3814125000000006</v>
      </c>
      <c r="W1217" s="142">
        <v>630177.75</v>
      </c>
      <c r="X1217" s="142">
        <v>17.79186517901951</v>
      </c>
      <c r="Y1217" s="142">
        <v>62600776.095709391</v>
      </c>
      <c r="Z1217" s="142">
        <v>412.37574418108659</v>
      </c>
    </row>
    <row r="1218" spans="1:26" s="141" customFormat="1">
      <c r="A1218" s="121">
        <v>44757</v>
      </c>
      <c r="B1218" s="125">
        <v>156694193.53353918</v>
      </c>
      <c r="C1218" s="125">
        <v>62037262.704425685</v>
      </c>
      <c r="D1218" s="125">
        <v>65046429.874153472</v>
      </c>
      <c r="E1218" s="125">
        <v>63639957.760919191</v>
      </c>
      <c r="F1218" s="123">
        <v>190723650.33949834</v>
      </c>
      <c r="G1218" s="125">
        <v>0</v>
      </c>
      <c r="H1218" s="125">
        <v>1567.2054526291361</v>
      </c>
      <c r="I1218" s="125">
        <v>1124.9226298739134</v>
      </c>
      <c r="J1218" s="125">
        <v>685.80703960865503</v>
      </c>
      <c r="K1218" s="125">
        <v>885.16863290523713</v>
      </c>
      <c r="L1218" s="164">
        <v>2695.8983023878054</v>
      </c>
      <c r="M1218" s="125">
        <v>-45</v>
      </c>
      <c r="N1218" s="115">
        <v>14992.5</v>
      </c>
      <c r="O1218" s="139">
        <v>3369.1050000000005</v>
      </c>
      <c r="P1218" s="125">
        <v>-689313.96</v>
      </c>
      <c r="Q1218" s="125">
        <v>0</v>
      </c>
      <c r="R1218" s="114"/>
      <c r="S1218" s="125">
        <v>-1.4600000000000002E-6</v>
      </c>
      <c r="T1218" s="125">
        <v>0</v>
      </c>
      <c r="U1218" s="125">
        <v>9464547.1789691001</v>
      </c>
      <c r="V1218" s="125">
        <v>4.3814125000000006</v>
      </c>
      <c r="W1218" s="142">
        <v>630177.75</v>
      </c>
      <c r="X1218" s="142">
        <v>12.782885689274638</v>
      </c>
      <c r="Y1218" s="142">
        <v>62367136.78784062</v>
      </c>
      <c r="Z1218" s="142">
        <v>413.02218131680303</v>
      </c>
    </row>
    <row r="1219" spans="1:26" s="141" customFormat="1">
      <c r="A1219" s="121">
        <v>44760</v>
      </c>
      <c r="B1219" s="125">
        <v>156441130.41316766</v>
      </c>
      <c r="C1219" s="125">
        <v>62527406.557118028</v>
      </c>
      <c r="D1219" s="125">
        <v>64041368.231312141</v>
      </c>
      <c r="E1219" s="125">
        <v>62332470.098538518</v>
      </c>
      <c r="F1219" s="123">
        <v>188901244.88696867</v>
      </c>
      <c r="G1219" s="125">
        <v>0</v>
      </c>
      <c r="H1219" s="125">
        <v>1570.812419953736</v>
      </c>
      <c r="I1219" s="125">
        <v>1121.4982842256061</v>
      </c>
      <c r="J1219" s="125">
        <v>684.57543089522039</v>
      </c>
      <c r="K1219" s="125">
        <v>886.47094210130081</v>
      </c>
      <c r="L1219" s="164">
        <v>2692.5446572221272</v>
      </c>
      <c r="M1219" s="125">
        <v>-45</v>
      </c>
      <c r="N1219" s="115">
        <v>14983.5</v>
      </c>
      <c r="O1219" s="139">
        <v>3365.57</v>
      </c>
      <c r="P1219" s="125">
        <v>-429921.45</v>
      </c>
      <c r="Q1219" s="125">
        <v>0</v>
      </c>
      <c r="R1219" s="114"/>
      <c r="S1219" s="125">
        <v>-1.4600000000000002E-6</v>
      </c>
      <c r="T1219" s="125">
        <v>0</v>
      </c>
      <c r="U1219" s="125">
        <v>9531493.8979541995</v>
      </c>
      <c r="V1219" s="125">
        <v>4.3814125000000006</v>
      </c>
      <c r="W1219" s="142">
        <v>641207.25</v>
      </c>
      <c r="X1219" s="142">
        <v>12.790614450041046</v>
      </c>
      <c r="Y1219" s="142">
        <v>61638711.84692464</v>
      </c>
      <c r="Z1219" s="142">
        <v>412.80979245838955</v>
      </c>
    </row>
    <row r="1220" spans="1:26" s="141" customFormat="1">
      <c r="A1220" s="121">
        <v>44761</v>
      </c>
      <c r="B1220" s="125">
        <v>156501426.46648195</v>
      </c>
      <c r="C1220" s="125">
        <v>61323374.116897471</v>
      </c>
      <c r="D1220" s="125">
        <v>64324545.669193238</v>
      </c>
      <c r="E1220" s="125">
        <v>62269950.799563266</v>
      </c>
      <c r="F1220" s="123">
        <v>187917870.58565396</v>
      </c>
      <c r="G1220" s="125">
        <v>-490000</v>
      </c>
      <c r="H1220" s="125">
        <v>1568.8955752066422</v>
      </c>
      <c r="I1220" s="125">
        <v>1160.6802234451918</v>
      </c>
      <c r="J1220" s="125">
        <v>684.59439845669249</v>
      </c>
      <c r="K1220" s="125">
        <v>887.04654674938558</v>
      </c>
      <c r="L1220" s="164">
        <v>2732.32116865127</v>
      </c>
      <c r="M1220" s="125">
        <v>-45</v>
      </c>
      <c r="N1220" s="115">
        <v>14977.5</v>
      </c>
      <c r="O1220" s="139">
        <v>3366.4849999999997</v>
      </c>
      <c r="P1220" s="125">
        <v>-429921.45</v>
      </c>
      <c r="Q1220" s="125">
        <v>0</v>
      </c>
      <c r="R1220" s="114"/>
      <c r="S1220" s="125">
        <v>-1.4600000000000002E-6</v>
      </c>
      <c r="T1220" s="125">
        <v>0</v>
      </c>
      <c r="U1220" s="125">
        <v>8675240.0677725989</v>
      </c>
      <c r="V1220" s="125">
        <v>4.3814125000040054</v>
      </c>
      <c r="W1220" s="142">
        <v>641207.25</v>
      </c>
      <c r="X1220" s="142">
        <v>2.7899183367951927</v>
      </c>
      <c r="Y1220" s="142">
        <v>61317059.320321515</v>
      </c>
      <c r="Z1220" s="142">
        <v>413.48361687194051</v>
      </c>
    </row>
    <row r="1221" spans="1:26" s="141" customFormat="1">
      <c r="A1221" s="121">
        <v>44762</v>
      </c>
      <c r="B1221" s="125">
        <v>156494640.01594844</v>
      </c>
      <c r="C1221" s="125">
        <v>61178471.043634102</v>
      </c>
      <c r="D1221" s="125">
        <v>64383632.681103177</v>
      </c>
      <c r="E1221" s="125">
        <v>62229758.969891995</v>
      </c>
      <c r="F1221" s="123">
        <v>187791862.69462928</v>
      </c>
      <c r="G1221" s="125">
        <v>-925000</v>
      </c>
      <c r="H1221" s="125">
        <v>1577.1414152160935</v>
      </c>
      <c r="I1221" s="125">
        <v>1253.0501532843043</v>
      </c>
      <c r="J1221" s="125">
        <v>686.3784377460164</v>
      </c>
      <c r="K1221" s="125">
        <v>793.12287380100827</v>
      </c>
      <c r="L1221" s="164">
        <v>2732.5514648313288</v>
      </c>
      <c r="M1221" s="125">
        <v>-45</v>
      </c>
      <c r="N1221" s="115">
        <v>14987.5</v>
      </c>
      <c r="O1221" s="139">
        <v>3366.4650000000001</v>
      </c>
      <c r="P1221" s="125">
        <v>-429921.45</v>
      </c>
      <c r="Q1221" s="125">
        <v>0</v>
      </c>
      <c r="R1221" s="114"/>
      <c r="S1221" s="125">
        <v>-473490.00000145996</v>
      </c>
      <c r="T1221" s="125">
        <v>0</v>
      </c>
      <c r="U1221" s="125">
        <v>7792699.7706925999</v>
      </c>
      <c r="V1221" s="125">
        <v>4.3814124999973307</v>
      </c>
      <c r="W1221" s="142">
        <v>641207.25</v>
      </c>
      <c r="X1221" s="142">
        <v>2.7871682909591322</v>
      </c>
      <c r="Y1221" s="142">
        <v>61116538.931960024</v>
      </c>
      <c r="Z1221" s="142">
        <v>413.74598955607007</v>
      </c>
    </row>
    <row r="1222" spans="1:26" s="141" customFormat="1">
      <c r="A1222" s="121">
        <v>44763</v>
      </c>
      <c r="B1222" s="125">
        <v>156626242.77398145</v>
      </c>
      <c r="C1222" s="125">
        <v>62180623.981256112</v>
      </c>
      <c r="D1222" s="125">
        <v>63301617.013033316</v>
      </c>
      <c r="E1222" s="125">
        <v>62325041.903587244</v>
      </c>
      <c r="F1222" s="123">
        <v>187807282.89787668</v>
      </c>
      <c r="G1222" s="125">
        <v>0</v>
      </c>
      <c r="H1222" s="125">
        <v>1595.103053556197</v>
      </c>
      <c r="I1222" s="125">
        <v>1213.9667904016221</v>
      </c>
      <c r="J1222" s="125">
        <v>623.48945174456389</v>
      </c>
      <c r="K1222" s="125">
        <v>792.55541132004782</v>
      </c>
      <c r="L1222" s="164">
        <v>2630.0116534662338</v>
      </c>
      <c r="M1222" s="125">
        <v>-45</v>
      </c>
      <c r="N1222" s="115">
        <v>15032.5</v>
      </c>
      <c r="O1222" s="139">
        <v>3373.5450000000001</v>
      </c>
      <c r="P1222" s="125">
        <v>-429921.45</v>
      </c>
      <c r="Q1222" s="125">
        <v>0</v>
      </c>
      <c r="R1222" s="114"/>
      <c r="S1222" s="125">
        <v>-473490.00000145996</v>
      </c>
      <c r="T1222" s="125">
        <v>0</v>
      </c>
      <c r="U1222" s="125">
        <v>6604128.5613735989</v>
      </c>
      <c r="V1222" s="125">
        <v>4.3814124999674036</v>
      </c>
      <c r="W1222" s="142">
        <v>641207.25</v>
      </c>
      <c r="X1222" s="142">
        <v>2.7832626098153996</v>
      </c>
      <c r="Y1222" s="142">
        <v>61470478.076877311</v>
      </c>
      <c r="Z1222" s="142">
        <v>414.66100049458964</v>
      </c>
    </row>
    <row r="1223" spans="1:26" s="141" customFormat="1">
      <c r="A1223" s="121">
        <v>44764</v>
      </c>
      <c r="B1223" s="125">
        <v>156437606.21568707</v>
      </c>
      <c r="C1223" s="125">
        <v>62067374.090400875</v>
      </c>
      <c r="D1223" s="125">
        <v>63410626.018678501</v>
      </c>
      <c r="E1223" s="125">
        <v>64390097.380573042</v>
      </c>
      <c r="F1223" s="123">
        <v>189868097.48965243</v>
      </c>
      <c r="G1223" s="125">
        <v>0</v>
      </c>
      <c r="H1223" s="125">
        <v>1595.9578932712577</v>
      </c>
      <c r="I1223" s="125">
        <v>1215.7236694472724</v>
      </c>
      <c r="J1223" s="125">
        <v>624.95880817565887</v>
      </c>
      <c r="K1223" s="125">
        <v>793.47226344521937</v>
      </c>
      <c r="L1223" s="164">
        <v>2634.1547410681505</v>
      </c>
      <c r="M1223" s="125">
        <v>-45</v>
      </c>
      <c r="N1223" s="115">
        <v>15017.5</v>
      </c>
      <c r="O1223" s="139">
        <v>3370.5550000000003</v>
      </c>
      <c r="P1223" s="125">
        <v>-429921.45</v>
      </c>
      <c r="Q1223" s="125">
        <v>0</v>
      </c>
      <c r="R1223" s="114"/>
      <c r="S1223" s="125">
        <v>-473490.00000145996</v>
      </c>
      <c r="T1223" s="125">
        <v>0</v>
      </c>
      <c r="U1223" s="125">
        <v>3269600.1113735996</v>
      </c>
      <c r="V1223" s="125">
        <v>65797.862218409995</v>
      </c>
      <c r="W1223" s="142">
        <v>641207.25</v>
      </c>
      <c r="X1223" s="142">
        <v>4.2585539120992175</v>
      </c>
      <c r="Y1223" s="142">
        <v>61521371.369417541</v>
      </c>
      <c r="Z1223" s="142">
        <v>414.60938019863693</v>
      </c>
    </row>
    <row r="1224" spans="1:26" s="141" customFormat="1">
      <c r="A1224" s="121">
        <v>44767</v>
      </c>
      <c r="B1224" s="125">
        <v>156179639.66150534</v>
      </c>
      <c r="C1224" s="125">
        <v>60505726.060000494</v>
      </c>
      <c r="D1224" s="125">
        <v>64647009.357355364</v>
      </c>
      <c r="E1224" s="125">
        <v>65313222.323383763</v>
      </c>
      <c r="F1224" s="123">
        <v>190465957.74073964</v>
      </c>
      <c r="G1224" s="125">
        <v>0</v>
      </c>
      <c r="H1224" s="125">
        <v>1584.1856918887231</v>
      </c>
      <c r="I1224" s="125">
        <v>1222.3088570485377</v>
      </c>
      <c r="J1224" s="125">
        <v>620.76956192332466</v>
      </c>
      <c r="K1224" s="125">
        <v>800.90498178061284</v>
      </c>
      <c r="L1224" s="164">
        <v>2643.9834007524751</v>
      </c>
      <c r="M1224" s="125">
        <v>-45</v>
      </c>
      <c r="N1224" s="115">
        <v>14997.5</v>
      </c>
      <c r="O1224" s="139">
        <v>3366.8199999999997</v>
      </c>
      <c r="P1224" s="125">
        <v>-429921.45</v>
      </c>
      <c r="Q1224" s="125">
        <v>0</v>
      </c>
      <c r="R1224" s="114"/>
      <c r="S1224" s="125">
        <v>-473490.00000145996</v>
      </c>
      <c r="T1224" s="125">
        <v>0</v>
      </c>
      <c r="U1224" s="125">
        <v>2206100.8708999995</v>
      </c>
      <c r="V1224" s="125">
        <v>65710.233968610002</v>
      </c>
      <c r="W1224" s="142">
        <v>641207.25</v>
      </c>
      <c r="X1224" s="142">
        <v>4.266912327531255</v>
      </c>
      <c r="Y1224" s="142">
        <v>61438410.703944609</v>
      </c>
      <c r="Z1224" s="142">
        <v>414.21208399958334</v>
      </c>
    </row>
    <row r="1225" spans="1:26" s="141" customFormat="1">
      <c r="A1225" s="121">
        <v>44768</v>
      </c>
      <c r="B1225" s="125">
        <v>156200122.8374404</v>
      </c>
      <c r="C1225" s="125">
        <v>60541288.128053799</v>
      </c>
      <c r="D1225" s="125">
        <v>64491883.647117443</v>
      </c>
      <c r="E1225" s="125">
        <v>65419189.737982437</v>
      </c>
      <c r="F1225" s="123">
        <v>190452361.51315367</v>
      </c>
      <c r="G1225" s="125">
        <v>0</v>
      </c>
      <c r="H1225" s="125">
        <v>1586.170273967916</v>
      </c>
      <c r="I1225" s="125">
        <v>1222.7560746799954</v>
      </c>
      <c r="J1225" s="125">
        <v>621.06060863091045</v>
      </c>
      <c r="K1225" s="125">
        <v>798.37943452234072</v>
      </c>
      <c r="L1225" s="164">
        <v>2642.1961178332467</v>
      </c>
      <c r="M1225" s="125">
        <v>-45</v>
      </c>
      <c r="N1225" s="115">
        <v>14997</v>
      </c>
      <c r="O1225" s="139">
        <v>3365.5749999999998</v>
      </c>
      <c r="P1225" s="125">
        <v>-429921.45</v>
      </c>
      <c r="Q1225" s="125">
        <v>0</v>
      </c>
      <c r="R1225" s="114"/>
      <c r="S1225" s="125">
        <v>-473490.00000145996</v>
      </c>
      <c r="T1225" s="125">
        <v>0</v>
      </c>
      <c r="U1225" s="125">
        <v>2305009.9708999991</v>
      </c>
      <c r="V1225" s="125">
        <v>65708.043262369989</v>
      </c>
      <c r="W1225" s="142">
        <v>641207.25</v>
      </c>
      <c r="X1225" s="142">
        <v>4.2655437579902653</v>
      </c>
      <c r="Y1225" s="142">
        <v>61206550.994710863</v>
      </c>
      <c r="Z1225" s="142">
        <v>410.87187280189431</v>
      </c>
    </row>
    <row r="1226" spans="1:26" s="141" customFormat="1">
      <c r="A1226" s="121">
        <v>44769</v>
      </c>
      <c r="B1226" s="125">
        <v>156345420.07784706</v>
      </c>
      <c r="C1226" s="125">
        <v>59494987.409849957</v>
      </c>
      <c r="D1226" s="125">
        <v>64623402.39495562</v>
      </c>
      <c r="E1226" s="125">
        <v>65303815.449829005</v>
      </c>
      <c r="F1226" s="123">
        <v>189422205.25463459</v>
      </c>
      <c r="G1226" s="125">
        <v>0</v>
      </c>
      <c r="H1226" s="125">
        <v>1586.1634593233111</v>
      </c>
      <c r="I1226" s="125">
        <v>1167.1385025938039</v>
      </c>
      <c r="J1226" s="125">
        <v>621.01850164594032</v>
      </c>
      <c r="K1226" s="125">
        <v>794.14013955242683</v>
      </c>
      <c r="L1226" s="164">
        <v>2582.297143792171</v>
      </c>
      <c r="M1226" s="125">
        <v>-45</v>
      </c>
      <c r="N1226" s="115">
        <v>15012</v>
      </c>
      <c r="O1226" s="139">
        <v>3365.165</v>
      </c>
      <c r="P1226" s="125">
        <v>-429921.45</v>
      </c>
      <c r="Q1226" s="125">
        <v>0</v>
      </c>
      <c r="R1226" s="114"/>
      <c r="S1226" s="125">
        <v>-1.4600000000000002E-6</v>
      </c>
      <c r="T1226" s="125">
        <v>0</v>
      </c>
      <c r="U1226" s="125">
        <v>2305009.9708999991</v>
      </c>
      <c r="V1226" s="125">
        <v>65773.764449720009</v>
      </c>
      <c r="W1226" s="142">
        <v>641207.25</v>
      </c>
      <c r="X1226" s="142">
        <v>4.264203406986411</v>
      </c>
      <c r="Y1226" s="142">
        <v>61383277.59265893</v>
      </c>
      <c r="Z1226" s="142">
        <v>410.87030371494797</v>
      </c>
    </row>
    <row r="1227" spans="1:26" s="141" customFormat="1">
      <c r="A1227" s="121">
        <v>44770</v>
      </c>
      <c r="B1227" s="125">
        <v>156785543.25025806</v>
      </c>
      <c r="C1227" s="125">
        <v>62266808.534705557</v>
      </c>
      <c r="D1227" s="125">
        <v>65065210.23855859</v>
      </c>
      <c r="E1227" s="125">
        <v>65732901.769239008</v>
      </c>
      <c r="F1227" s="123">
        <v>193064920.54250315</v>
      </c>
      <c r="G1227" s="125">
        <v>0</v>
      </c>
      <c r="H1227" s="125">
        <v>1590.0246385903088</v>
      </c>
      <c r="I1227" s="125">
        <v>1179.5934645624002</v>
      </c>
      <c r="J1227" s="125">
        <v>624.12279884808163</v>
      </c>
      <c r="K1227" s="125">
        <v>798.0804864213801</v>
      </c>
      <c r="L1227" s="164">
        <v>2601.7967498318621</v>
      </c>
      <c r="M1227" s="125">
        <v>-45</v>
      </c>
      <c r="N1227" s="115">
        <v>14932.5</v>
      </c>
      <c r="O1227" s="139">
        <v>3355.9949999999999</v>
      </c>
      <c r="P1227" s="125">
        <v>-429921.45</v>
      </c>
      <c r="Q1227" s="125">
        <v>0</v>
      </c>
      <c r="R1227" s="114"/>
      <c r="S1227" s="125">
        <v>-1.4600000000000002E-6</v>
      </c>
      <c r="T1227" s="125">
        <v>0</v>
      </c>
      <c r="U1227" s="125">
        <v>2437975.8613949995</v>
      </c>
      <c r="V1227" s="125">
        <v>65425.44215676</v>
      </c>
      <c r="W1227" s="142">
        <v>641207.25</v>
      </c>
      <c r="X1227" s="142">
        <v>9.2729527184362954</v>
      </c>
      <c r="Y1227" s="142">
        <v>61890253.757245086</v>
      </c>
      <c r="Z1227" s="142">
        <v>410.37249752926499</v>
      </c>
    </row>
    <row r="1228" spans="1:26" s="141" customFormat="1">
      <c r="A1228" s="121">
        <v>44771</v>
      </c>
      <c r="B1228" s="125">
        <v>157587538.9786354</v>
      </c>
      <c r="C1228" s="125">
        <v>61176368.292228535</v>
      </c>
      <c r="D1228" s="125">
        <v>65153197.948579207</v>
      </c>
      <c r="E1228" s="125">
        <v>66017214.469301119</v>
      </c>
      <c r="F1228" s="123">
        <v>192346780.71010888</v>
      </c>
      <c r="G1228" s="125">
        <v>0</v>
      </c>
      <c r="H1228" s="125">
        <v>1588.3789451856926</v>
      </c>
      <c r="I1228" s="125">
        <v>1237.4554493176515</v>
      </c>
      <c r="J1228" s="125">
        <v>622.79789849079123</v>
      </c>
      <c r="K1228" s="125">
        <v>782.31984695820131</v>
      </c>
      <c r="L1228" s="164">
        <v>2642.5731947666441</v>
      </c>
      <c r="M1228" s="125">
        <v>-45</v>
      </c>
      <c r="N1228" s="115">
        <v>14832.5</v>
      </c>
      <c r="O1228" s="139">
        <v>3334.2750000000001</v>
      </c>
      <c r="P1228" s="125">
        <v>-320454.68400000001</v>
      </c>
      <c r="Q1228" s="125">
        <v>0</v>
      </c>
      <c r="R1228" s="114"/>
      <c r="S1228" s="125">
        <v>-1.4600000000000002E-6</v>
      </c>
      <c r="T1228" s="125">
        <v>0</v>
      </c>
      <c r="U1228" s="125">
        <v>2800642.9931449993</v>
      </c>
      <c r="V1228" s="125">
        <v>64987.30090776</v>
      </c>
      <c r="W1228" s="142">
        <v>641207.25</v>
      </c>
      <c r="X1228" s="142">
        <v>4.2809986687375696</v>
      </c>
      <c r="Y1228" s="142">
        <v>62408285.752228759</v>
      </c>
      <c r="Z1228" s="142">
        <v>412.70567112733505</v>
      </c>
    </row>
    <row r="1229" spans="1:26" s="141" customFormat="1">
      <c r="A1229" s="121">
        <v>44773</v>
      </c>
      <c r="B1229" s="136">
        <v>158596779.24353999</v>
      </c>
      <c r="C1229" s="136">
        <v>61133435.720790997</v>
      </c>
      <c r="D1229" s="136">
        <v>64988176.275477</v>
      </c>
      <c r="E1229" s="136">
        <v>66082224.065141</v>
      </c>
      <c r="F1229" s="137">
        <v>192203836.061409</v>
      </c>
      <c r="G1229" s="125">
        <v>0</v>
      </c>
      <c r="H1229" s="136">
        <v>1595.2249308658688</v>
      </c>
      <c r="I1229" s="136">
        <v>1237.3059371788304</v>
      </c>
      <c r="J1229" s="136">
        <v>622.26484091973714</v>
      </c>
      <c r="K1229" s="136">
        <v>782.76202161200069</v>
      </c>
      <c r="L1229" s="165">
        <v>2642.3327997105685</v>
      </c>
      <c r="M1229" s="125">
        <v>-45</v>
      </c>
      <c r="N1229" s="115">
        <v>14832.5</v>
      </c>
      <c r="O1229" s="139">
        <v>3334.2750000000001</v>
      </c>
      <c r="P1229" s="125">
        <v>-320454.68400000001</v>
      </c>
      <c r="Q1229" s="125">
        <v>0</v>
      </c>
      <c r="R1229" s="114"/>
      <c r="S1229" s="125">
        <v>-1.4600000000000002E-6</v>
      </c>
      <c r="T1229" s="125">
        <v>0</v>
      </c>
      <c r="U1229" s="125">
        <v>2800642.9931449993</v>
      </c>
      <c r="V1229" s="125">
        <v>64987.30090776</v>
      </c>
      <c r="W1229" s="142">
        <v>641207.25</v>
      </c>
      <c r="X1229" s="142">
        <v>4.2809986687375696</v>
      </c>
      <c r="Y1229" s="142">
        <v>62408285.752228759</v>
      </c>
      <c r="Z1229" s="142">
        <v>412.70567112733505</v>
      </c>
    </row>
    <row r="1230" spans="1:26" s="141" customFormat="1">
      <c r="A1230" s="121">
        <v>44774</v>
      </c>
      <c r="B1230" s="125">
        <v>157101099.85561335</v>
      </c>
      <c r="C1230" s="125">
        <v>62050486.700556599</v>
      </c>
      <c r="D1230" s="125">
        <v>64246122.992176563</v>
      </c>
      <c r="E1230" s="125">
        <v>66150603.376525834</v>
      </c>
      <c r="F1230" s="123">
        <v>192447213.06925899</v>
      </c>
      <c r="G1230" s="125">
        <v>0</v>
      </c>
      <c r="H1230" s="125">
        <v>1542.8509174958776</v>
      </c>
      <c r="I1230" s="125">
        <v>1229.5341158530377</v>
      </c>
      <c r="J1230" s="125">
        <v>627.16339588761809</v>
      </c>
      <c r="K1230" s="125">
        <v>781.09828768897546</v>
      </c>
      <c r="L1230" s="164">
        <v>2637.7957994296312</v>
      </c>
      <c r="M1230" s="125">
        <v>-45</v>
      </c>
      <c r="N1230" s="115">
        <v>14872.5</v>
      </c>
      <c r="O1230" s="139">
        <v>3339.8850000000002</v>
      </c>
      <c r="P1230" s="125">
        <v>-320454.68400000001</v>
      </c>
      <c r="Q1230" s="125">
        <v>0</v>
      </c>
      <c r="R1230" s="114"/>
      <c r="S1230" s="125">
        <v>-1.4600000000000002E-6</v>
      </c>
      <c r="T1230" s="125">
        <v>0</v>
      </c>
      <c r="U1230" s="125">
        <v>3279048.4931449993</v>
      </c>
      <c r="V1230" s="125">
        <v>65162.55740736</v>
      </c>
      <c r="W1230" s="142">
        <v>641207.25</v>
      </c>
      <c r="X1230" s="142">
        <v>4.2684514533299716</v>
      </c>
      <c r="Y1230" s="142">
        <v>63182992.261184424</v>
      </c>
      <c r="Z1230" s="142">
        <v>412.6364616216843</v>
      </c>
    </row>
    <row r="1231" spans="1:26" s="141" customFormat="1">
      <c r="A1231" s="121">
        <v>44775</v>
      </c>
      <c r="B1231" s="125">
        <v>157184640.14993685</v>
      </c>
      <c r="C1231" s="125">
        <v>62706384.603156015</v>
      </c>
      <c r="D1231" s="125">
        <v>63804987.106669821</v>
      </c>
      <c r="E1231" s="125">
        <v>66676136.337697126</v>
      </c>
      <c r="F1231" s="123">
        <v>193187508.04752296</v>
      </c>
      <c r="G1231" s="125">
        <v>0</v>
      </c>
      <c r="H1231" s="125">
        <v>1577.3984862049301</v>
      </c>
      <c r="I1231" s="125">
        <v>1193.1516163486006</v>
      </c>
      <c r="J1231" s="125">
        <v>626.03180388208727</v>
      </c>
      <c r="K1231" s="125">
        <v>777.67654622599514</v>
      </c>
      <c r="L1231" s="164">
        <v>2596.8599664566827</v>
      </c>
      <c r="M1231" s="125">
        <v>-45</v>
      </c>
      <c r="N1231" s="115">
        <v>14892.5</v>
      </c>
      <c r="O1231" s="139">
        <v>3342.5</v>
      </c>
      <c r="P1231" s="125">
        <v>-320454.68400000001</v>
      </c>
      <c r="Q1231" s="125">
        <v>0</v>
      </c>
      <c r="R1231" s="114"/>
      <c r="S1231" s="125">
        <v>-1.4600000000000002E-6</v>
      </c>
      <c r="T1231" s="125">
        <v>0</v>
      </c>
      <c r="U1231" s="125">
        <v>3948798.8582449993</v>
      </c>
      <c r="V1231" s="125">
        <v>65250.18565716</v>
      </c>
      <c r="W1231" s="142">
        <v>641207.25</v>
      </c>
      <c r="X1231" s="142">
        <v>4.2635712595232498</v>
      </c>
      <c r="Y1231" s="142">
        <v>62890537.441813812</v>
      </c>
      <c r="Z1231" s="142">
        <v>411.71303291796556</v>
      </c>
    </row>
    <row r="1232" spans="1:26" s="141" customFormat="1">
      <c r="A1232" s="121">
        <v>44776</v>
      </c>
      <c r="B1232" s="125">
        <v>156856678.31159851</v>
      </c>
      <c r="C1232" s="125">
        <v>64630045.490530536</v>
      </c>
      <c r="D1232" s="125">
        <v>64493944.573379233</v>
      </c>
      <c r="E1232" s="125">
        <v>66755506.581466116</v>
      </c>
      <c r="F1232" s="123">
        <v>195879496.64537588</v>
      </c>
      <c r="G1232" s="125">
        <v>0</v>
      </c>
      <c r="H1232" s="125">
        <v>1580.664919494621</v>
      </c>
      <c r="I1232" s="125">
        <v>1186.1912058183723</v>
      </c>
      <c r="J1232" s="125">
        <v>625.39952991270695</v>
      </c>
      <c r="K1232" s="125">
        <v>778.22048877696398</v>
      </c>
      <c r="L1232" s="164">
        <v>2589.8112245080433</v>
      </c>
      <c r="M1232" s="125">
        <v>-45</v>
      </c>
      <c r="N1232" s="115">
        <v>14912.5</v>
      </c>
      <c r="O1232" s="139">
        <v>3345.86</v>
      </c>
      <c r="P1232" s="125">
        <v>-320454.68400000001</v>
      </c>
      <c r="Q1232" s="125">
        <v>0</v>
      </c>
      <c r="R1232" s="114"/>
      <c r="S1232" s="125">
        <v>-1.4600000000000002E-6</v>
      </c>
      <c r="T1232" s="125">
        <v>0</v>
      </c>
      <c r="U1232" s="125">
        <v>5774047.2182449996</v>
      </c>
      <c r="V1232" s="125">
        <v>65337.81390696</v>
      </c>
      <c r="W1232" s="142">
        <v>641207.25</v>
      </c>
      <c r="X1232" s="142">
        <v>4.2676563772170999</v>
      </c>
      <c r="Y1232" s="142">
        <v>62312059.957069106</v>
      </c>
      <c r="Z1232" s="142">
        <v>412.9458871365344</v>
      </c>
    </row>
    <row r="1233" spans="1:26" s="141" customFormat="1">
      <c r="A1233" s="121">
        <v>44777</v>
      </c>
      <c r="B1233" s="125">
        <v>156636758.11930418</v>
      </c>
      <c r="C1233" s="125">
        <v>64660483.791717291</v>
      </c>
      <c r="D1233" s="125">
        <v>63644036.353098191</v>
      </c>
      <c r="E1233" s="125">
        <v>66496498.097815849</v>
      </c>
      <c r="F1233" s="123">
        <v>194801018.24263132</v>
      </c>
      <c r="G1233" s="125">
        <v>0</v>
      </c>
      <c r="H1233" s="125">
        <v>1572.4626506418697</v>
      </c>
      <c r="I1233" s="125">
        <v>1196.724582212478</v>
      </c>
      <c r="J1233" s="125">
        <v>623.14274245140052</v>
      </c>
      <c r="K1233" s="125">
        <v>778.25911962334067</v>
      </c>
      <c r="L1233" s="164">
        <v>2598.1264442872193</v>
      </c>
      <c r="M1233" s="125">
        <v>-45</v>
      </c>
      <c r="N1233" s="115">
        <v>14932.5</v>
      </c>
      <c r="O1233" s="139">
        <v>3351.105</v>
      </c>
      <c r="P1233" s="125">
        <v>-320454.68400000001</v>
      </c>
      <c r="Q1233" s="125">
        <v>0</v>
      </c>
      <c r="R1233" s="114"/>
      <c r="S1233" s="125">
        <v>-1.4600000000000002E-6</v>
      </c>
      <c r="T1233" s="125">
        <v>0</v>
      </c>
      <c r="U1233" s="125">
        <v>7673743.1582450001</v>
      </c>
      <c r="V1233" s="125">
        <v>64987.30090676</v>
      </c>
      <c r="W1233" s="142">
        <v>641207.25</v>
      </c>
      <c r="X1233" s="142">
        <v>9.266423336216306</v>
      </c>
      <c r="Y1233" s="142">
        <v>62691929.138266124</v>
      </c>
      <c r="Z1233" s="142">
        <v>409.67281974018277</v>
      </c>
    </row>
    <row r="1234" spans="1:26" s="141" customFormat="1">
      <c r="A1234" s="121">
        <v>44778</v>
      </c>
      <c r="B1234" s="125">
        <v>156416547.69402671</v>
      </c>
      <c r="C1234" s="125">
        <v>62561935.515198611</v>
      </c>
      <c r="D1234" s="125">
        <v>64171951.044397965</v>
      </c>
      <c r="E1234" s="125">
        <v>67179760.735080242</v>
      </c>
      <c r="F1234" s="123">
        <v>193913647.29467681</v>
      </c>
      <c r="G1234" s="125">
        <v>0</v>
      </c>
      <c r="H1234" s="125">
        <v>1586.8509129170618</v>
      </c>
      <c r="I1234" s="125">
        <v>1200.9002069140568</v>
      </c>
      <c r="J1234" s="125">
        <v>620.94157412255834</v>
      </c>
      <c r="K1234" s="125">
        <v>778.69710654264031</v>
      </c>
      <c r="L1234" s="164">
        <v>2600.5388875792551</v>
      </c>
      <c r="M1234" s="125">
        <v>-45</v>
      </c>
      <c r="N1234" s="115">
        <v>14892.5</v>
      </c>
      <c r="O1234" s="139">
        <v>3342.125</v>
      </c>
      <c r="P1234" s="125">
        <v>-320454.68400000001</v>
      </c>
      <c r="Q1234" s="125">
        <v>0</v>
      </c>
      <c r="R1234" s="114"/>
      <c r="S1234" s="125">
        <v>-1.4600000000000002E-6</v>
      </c>
      <c r="T1234" s="125">
        <v>0</v>
      </c>
      <c r="U1234" s="125">
        <v>8312401.4273951994</v>
      </c>
      <c r="V1234" s="125">
        <v>64987.300907160003</v>
      </c>
      <c r="W1234" s="142">
        <v>641207.25</v>
      </c>
      <c r="X1234" s="142">
        <v>9.2710582496189353</v>
      </c>
      <c r="Y1234" s="142">
        <v>62533177.896783374</v>
      </c>
      <c r="Z1234" s="142">
        <v>412.93178900742464</v>
      </c>
    </row>
    <row r="1235" spans="1:26" s="141" customFormat="1">
      <c r="A1235" s="121">
        <v>44781</v>
      </c>
      <c r="B1235" s="125">
        <v>156283957.34146383</v>
      </c>
      <c r="C1235" s="125">
        <v>66724474.95820538</v>
      </c>
      <c r="D1235" s="125">
        <v>63752003.843749046</v>
      </c>
      <c r="E1235" s="125">
        <v>66935486.993317842</v>
      </c>
      <c r="F1235" s="123">
        <v>197411965.79527226</v>
      </c>
      <c r="G1235" s="125">
        <v>0</v>
      </c>
      <c r="H1235" s="125">
        <v>1580.5551335046944</v>
      </c>
      <c r="I1235" s="125">
        <v>1161.3392998865606</v>
      </c>
      <c r="J1235" s="125">
        <v>617.81122762841153</v>
      </c>
      <c r="K1235" s="125">
        <v>781.46159160798493</v>
      </c>
      <c r="L1235" s="164">
        <v>2560.6121191229568</v>
      </c>
      <c r="M1235" s="125">
        <v>-45</v>
      </c>
      <c r="N1235" s="115">
        <v>14877.5</v>
      </c>
      <c r="O1235" s="139">
        <v>3335.7650000000003</v>
      </c>
      <c r="P1235" s="125">
        <v>-320454.68400000001</v>
      </c>
      <c r="Q1235" s="125">
        <v>0</v>
      </c>
      <c r="R1235" s="114"/>
      <c r="S1235" s="125">
        <v>-1.4600000000000002E-6</v>
      </c>
      <c r="T1235" s="125">
        <v>0</v>
      </c>
      <c r="U1235" s="125">
        <v>10395844.2773952</v>
      </c>
      <c r="V1235" s="125">
        <v>64987.300907309997</v>
      </c>
      <c r="W1235" s="142">
        <v>641207.25</v>
      </c>
      <c r="X1235" s="142">
        <v>9.2653502386388826</v>
      </c>
      <c r="Y1235" s="142">
        <v>62662725.5166521</v>
      </c>
      <c r="Z1235" s="142">
        <v>412.97960335152948</v>
      </c>
    </row>
    <row r="1236" spans="1:26" s="141" customFormat="1">
      <c r="A1236" s="121">
        <v>44782</v>
      </c>
      <c r="B1236" s="125">
        <v>156381953.87092569</v>
      </c>
      <c r="C1236" s="125">
        <v>66263407.945156299</v>
      </c>
      <c r="D1236" s="125">
        <v>64143631.567635454</v>
      </c>
      <c r="E1236" s="125">
        <v>67308479.076995432</v>
      </c>
      <c r="F1236" s="123">
        <v>197715518.58978719</v>
      </c>
      <c r="G1236" s="125">
        <v>0</v>
      </c>
      <c r="H1236" s="125">
        <v>1608.5530525146623</v>
      </c>
      <c r="I1236" s="125">
        <v>1160.7718240581146</v>
      </c>
      <c r="J1236" s="125">
        <v>621.526156306762</v>
      </c>
      <c r="K1236" s="125">
        <v>781.25931537337124</v>
      </c>
      <c r="L1236" s="164">
        <v>2563.5572957382478</v>
      </c>
      <c r="M1236" s="125">
        <v>-45</v>
      </c>
      <c r="N1236" s="115">
        <v>14852.5</v>
      </c>
      <c r="O1236" s="139">
        <v>3332.0250000000001</v>
      </c>
      <c r="P1236" s="125">
        <v>-320454.68400000001</v>
      </c>
      <c r="Q1236" s="125">
        <v>0</v>
      </c>
      <c r="R1236" s="114"/>
      <c r="S1236" s="125">
        <v>-1.4600000000000002E-6</v>
      </c>
      <c r="T1236" s="125">
        <v>0</v>
      </c>
      <c r="U1236" s="125">
        <v>12767590.127395201</v>
      </c>
      <c r="V1236" s="125">
        <v>64987.300907559998</v>
      </c>
      <c r="W1236" s="142">
        <v>641207.25</v>
      </c>
      <c r="X1236" s="142">
        <v>7.0460732871132805</v>
      </c>
      <c r="Y1236" s="142">
        <v>62534887.279158346</v>
      </c>
      <c r="Z1236" s="142">
        <v>413.60424320124764</v>
      </c>
    </row>
    <row r="1237" spans="1:26" s="141" customFormat="1">
      <c r="A1237" s="121">
        <v>44783</v>
      </c>
      <c r="B1237" s="125">
        <v>156562400.8614364</v>
      </c>
      <c r="C1237" s="125">
        <v>65181613.458657026</v>
      </c>
      <c r="D1237" s="125">
        <v>64008928.885838278</v>
      </c>
      <c r="E1237" s="125">
        <v>66936798.943153366</v>
      </c>
      <c r="F1237" s="123">
        <v>196127341.28764868</v>
      </c>
      <c r="G1237" s="125">
        <v>0</v>
      </c>
      <c r="H1237" s="125">
        <v>1606.6518460612281</v>
      </c>
      <c r="I1237" s="125">
        <v>1181.5287005284817</v>
      </c>
      <c r="J1237" s="125">
        <v>623.1447276705444</v>
      </c>
      <c r="K1237" s="125">
        <v>781.59008077793169</v>
      </c>
      <c r="L1237" s="164">
        <v>2586.2635089769578</v>
      </c>
      <c r="M1237" s="125">
        <v>-45</v>
      </c>
      <c r="N1237" s="115">
        <v>14872</v>
      </c>
      <c r="O1237" s="139">
        <v>3336.7750000000001</v>
      </c>
      <c r="P1237" s="125">
        <v>-320454.68400000001</v>
      </c>
      <c r="Q1237" s="125">
        <v>0</v>
      </c>
      <c r="R1237" s="114"/>
      <c r="S1237" s="125">
        <v>-1.4600000000000002E-6</v>
      </c>
      <c r="T1237" s="125">
        <v>0</v>
      </c>
      <c r="U1237" s="125">
        <v>14368247.460895201</v>
      </c>
      <c r="V1237" s="125">
        <v>64987.300907360004</v>
      </c>
      <c r="W1237" s="142">
        <v>641207.25</v>
      </c>
      <c r="X1237" s="142">
        <v>7.0455914702850997</v>
      </c>
      <c r="Y1237" s="142">
        <v>62511706.441038236</v>
      </c>
      <c r="Z1237" s="142">
        <v>412.09903015706431</v>
      </c>
    </row>
    <row r="1238" spans="1:26" s="141" customFormat="1">
      <c r="A1238" s="121">
        <v>44784</v>
      </c>
      <c r="B1238" s="125">
        <v>156631539.20652488</v>
      </c>
      <c r="C1238" s="125">
        <v>64264327.110291027</v>
      </c>
      <c r="D1238" s="125">
        <v>63891696.656955354</v>
      </c>
      <c r="E1238" s="125">
        <v>66974051.499983087</v>
      </c>
      <c r="F1238" s="123">
        <v>195130075.26722947</v>
      </c>
      <c r="G1238" s="125">
        <v>0</v>
      </c>
      <c r="H1238" s="125">
        <v>1660.34113914761</v>
      </c>
      <c r="I1238" s="125">
        <v>1187.1839271472759</v>
      </c>
      <c r="J1238" s="125">
        <v>626.36385243845791</v>
      </c>
      <c r="K1238" s="125">
        <v>778.85828518945311</v>
      </c>
      <c r="L1238" s="164">
        <v>2592.4060647751867</v>
      </c>
      <c r="M1238" s="125">
        <v>-45</v>
      </c>
      <c r="N1238" s="115">
        <v>14767.5</v>
      </c>
      <c r="O1238" s="139">
        <v>3322.6450000000004</v>
      </c>
      <c r="P1238" s="125">
        <v>-320454.68400000001</v>
      </c>
      <c r="Q1238" s="125">
        <v>0</v>
      </c>
      <c r="R1238" s="114"/>
      <c r="S1238" s="125">
        <v>-1.4600000000000002E-6</v>
      </c>
      <c r="T1238" s="125">
        <v>0</v>
      </c>
      <c r="U1238" s="125">
        <v>13314013.9108952</v>
      </c>
      <c r="V1238" s="125">
        <v>64987.3009084</v>
      </c>
      <c r="W1238" s="142">
        <v>641207.25</v>
      </c>
      <c r="X1238" s="142">
        <v>2.0497756282342983</v>
      </c>
      <c r="Y1238" s="142">
        <v>62556248.259217419</v>
      </c>
      <c r="Z1238" s="142">
        <v>412.8288894552341</v>
      </c>
    </row>
    <row r="1239" spans="1:26" s="141" customFormat="1">
      <c r="A1239" s="121">
        <v>44785</v>
      </c>
      <c r="B1239" s="125">
        <v>156968688.76982123</v>
      </c>
      <c r="C1239" s="125">
        <v>64603793.176579811</v>
      </c>
      <c r="D1239" s="125">
        <v>64021062.794139676</v>
      </c>
      <c r="E1239" s="125">
        <v>66174096.480558097</v>
      </c>
      <c r="F1239" s="123">
        <v>194798952.45127758</v>
      </c>
      <c r="G1239" s="125">
        <v>0</v>
      </c>
      <c r="H1239" s="125">
        <v>1684.7255146955154</v>
      </c>
      <c r="I1239" s="125">
        <v>1176.6373273111665</v>
      </c>
      <c r="J1239" s="125">
        <v>621.94486775588848</v>
      </c>
      <c r="K1239" s="125">
        <v>782.67905096480536</v>
      </c>
      <c r="L1239" s="164">
        <v>2581.2612460318605</v>
      </c>
      <c r="M1239" s="125">
        <v>-64.669323384771914</v>
      </c>
      <c r="N1239" s="115">
        <v>14742.5</v>
      </c>
      <c r="O1239" s="139">
        <v>3308.4650000000001</v>
      </c>
      <c r="P1239" s="125">
        <v>0</v>
      </c>
      <c r="Q1239" s="125">
        <v>0</v>
      </c>
      <c r="S1239" s="125">
        <v>-1.4600000000000002E-6</v>
      </c>
      <c r="T1239" s="125">
        <v>0</v>
      </c>
      <c r="U1239" s="125">
        <v>13401040.445895201</v>
      </c>
      <c r="V1239" s="125">
        <v>64987.300909400001</v>
      </c>
      <c r="W1239" s="142">
        <v>641207.25</v>
      </c>
      <c r="X1239" s="142">
        <v>2.7787320926538919</v>
      </c>
      <c r="Y1239" s="142">
        <v>62549225.838319309</v>
      </c>
      <c r="Z1239" s="142">
        <v>409.67328541383199</v>
      </c>
    </row>
    <row r="1240" spans="1:26" s="141" customFormat="1">
      <c r="A1240" s="121">
        <v>44788</v>
      </c>
      <c r="B1240" s="125">
        <v>156931607.58685201</v>
      </c>
      <c r="C1240" s="125">
        <v>65126182.958580345</v>
      </c>
      <c r="D1240" s="125">
        <v>63904323.299943097</v>
      </c>
      <c r="E1240" s="125">
        <v>66044553.431842752</v>
      </c>
      <c r="F1240" s="123">
        <v>195075059.69036618</v>
      </c>
      <c r="G1240" s="125">
        <v>0</v>
      </c>
      <c r="H1240" s="125">
        <v>1671.5796121639853</v>
      </c>
      <c r="I1240" s="125">
        <v>1176.2907030045108</v>
      </c>
      <c r="J1240" s="125">
        <v>622.96671385687796</v>
      </c>
      <c r="K1240" s="125">
        <v>796.1651922022395</v>
      </c>
      <c r="L1240" s="164">
        <v>2595.4226090636284</v>
      </c>
      <c r="M1240" s="125">
        <v>-95</v>
      </c>
      <c r="N1240" s="115">
        <v>14742.5</v>
      </c>
      <c r="O1240" s="139">
        <v>3308.4650000000001</v>
      </c>
      <c r="P1240" s="125">
        <v>0</v>
      </c>
      <c r="Q1240" s="125">
        <v>0</v>
      </c>
      <c r="S1240" s="125">
        <v>-1.4600000000000002E-6</v>
      </c>
      <c r="T1240" s="125">
        <v>0</v>
      </c>
      <c r="U1240" s="125">
        <v>13677981.799295202</v>
      </c>
      <c r="V1240" s="125">
        <v>64987.300908650002</v>
      </c>
      <c r="W1240" s="142">
        <v>641207.25</v>
      </c>
      <c r="X1240" s="142">
        <v>2.7821293479023228</v>
      </c>
      <c r="Y1240" s="142">
        <v>63236399.522419035</v>
      </c>
      <c r="Z1240" s="142">
        <v>412.90180138045912</v>
      </c>
    </row>
    <row r="1241" spans="1:26" s="141" customFormat="1">
      <c r="A1241" s="121">
        <v>44789</v>
      </c>
      <c r="B1241" s="125">
        <v>156713817.49317098</v>
      </c>
      <c r="C1241" s="125">
        <v>64769011.75301674</v>
      </c>
      <c r="D1241" s="125">
        <v>63851580.096766919</v>
      </c>
      <c r="E1241" s="125">
        <v>66260681.040690228</v>
      </c>
      <c r="F1241" s="123">
        <v>194881272.8904739</v>
      </c>
      <c r="G1241" s="125">
        <v>0</v>
      </c>
      <c r="H1241" s="125">
        <v>1770.5635576752099</v>
      </c>
      <c r="I1241" s="125">
        <v>1168.890785903963</v>
      </c>
      <c r="J1241" s="125">
        <v>621.29669652648931</v>
      </c>
      <c r="K1241" s="125">
        <v>796.34077312291242</v>
      </c>
      <c r="L1241" s="164">
        <v>2586.5282555533649</v>
      </c>
      <c r="M1241" s="125">
        <v>-95</v>
      </c>
      <c r="N1241" s="115">
        <v>14767.5</v>
      </c>
      <c r="O1241" s="139">
        <v>3305.91</v>
      </c>
      <c r="P1241" s="125">
        <v>0</v>
      </c>
      <c r="Q1241" s="125">
        <v>0</v>
      </c>
      <c r="S1241" s="125">
        <v>-1.4600000000000002E-6</v>
      </c>
      <c r="T1241" s="125">
        <v>0</v>
      </c>
      <c r="U1241" s="125">
        <v>11575509.359295201</v>
      </c>
      <c r="V1241" s="125">
        <v>64987.3009084</v>
      </c>
      <c r="W1241" s="142">
        <v>641207.25</v>
      </c>
      <c r="X1241" s="142">
        <v>7.7750151745352962</v>
      </c>
      <c r="Y1241" s="142">
        <v>62248875.332785979</v>
      </c>
      <c r="Z1241" s="142">
        <v>411.85865207700891</v>
      </c>
    </row>
    <row r="1242" spans="1:26" s="141" customFormat="1">
      <c r="A1242" s="121">
        <v>44791</v>
      </c>
      <c r="B1242" s="125">
        <v>156951237.09402156</v>
      </c>
      <c r="C1242" s="125">
        <v>64646309.340380639</v>
      </c>
      <c r="D1242" s="125">
        <v>63649591.130829223</v>
      </c>
      <c r="E1242" s="125">
        <v>66214658.265476249</v>
      </c>
      <c r="F1242" s="123">
        <v>194510558.73668611</v>
      </c>
      <c r="G1242" s="125">
        <v>0</v>
      </c>
      <c r="H1242" s="125">
        <v>1738.7555246566178</v>
      </c>
      <c r="I1242" s="125">
        <v>1225.2504665399847</v>
      </c>
      <c r="J1242" s="125">
        <v>620.85531005059147</v>
      </c>
      <c r="K1242" s="125">
        <v>795.98807311042071</v>
      </c>
      <c r="L1242" s="164">
        <v>2642.093849700997</v>
      </c>
      <c r="M1242" s="125">
        <v>-95</v>
      </c>
      <c r="N1242" s="115">
        <v>14832.5</v>
      </c>
      <c r="O1242" s="139">
        <v>3315.27</v>
      </c>
      <c r="P1242" s="125">
        <v>0</v>
      </c>
      <c r="Q1242" s="125">
        <v>0</v>
      </c>
      <c r="S1242" s="125">
        <v>-1.4600000000000002E-6</v>
      </c>
      <c r="T1242" s="125">
        <v>0</v>
      </c>
      <c r="U1242" s="125">
        <v>8616258.6992951985</v>
      </c>
      <c r="V1242" s="125">
        <v>64987.300907750003</v>
      </c>
      <c r="W1242" s="142">
        <v>631289.25</v>
      </c>
      <c r="X1242" s="142">
        <v>7.7738286030035395</v>
      </c>
      <c r="Y1242" s="142">
        <v>62322885.899643674</v>
      </c>
      <c r="Z1242" s="142">
        <v>411.89544093296195</v>
      </c>
    </row>
    <row r="1243" spans="1:26" s="141" customFormat="1">
      <c r="A1243" s="121">
        <v>44792</v>
      </c>
      <c r="B1243" s="125">
        <v>156933963.70368403</v>
      </c>
      <c r="C1243" s="125">
        <v>64065899.793799102</v>
      </c>
      <c r="D1243" s="125">
        <v>64078165.755135223</v>
      </c>
      <c r="E1243" s="125">
        <v>66089422.140477501</v>
      </c>
      <c r="F1243" s="123">
        <v>194233487.68941182</v>
      </c>
      <c r="G1243" s="125">
        <v>0</v>
      </c>
      <c r="H1243" s="125">
        <v>1761.6499672062516</v>
      </c>
      <c r="I1243" s="125">
        <v>1190.3478995979012</v>
      </c>
      <c r="J1243" s="125">
        <v>614.83719795486684</v>
      </c>
      <c r="K1243" s="125">
        <v>800.90293114201882</v>
      </c>
      <c r="L1243" s="164">
        <v>2606.0880286947868</v>
      </c>
      <c r="M1243" s="125">
        <v>-95</v>
      </c>
      <c r="N1243" s="115">
        <v>14837.5</v>
      </c>
      <c r="O1243" s="139">
        <v>3314.5299999999997</v>
      </c>
      <c r="P1243" s="125">
        <v>0</v>
      </c>
      <c r="Q1243" s="125">
        <v>0</v>
      </c>
      <c r="S1243" s="125">
        <v>-1.4600000000000002E-6</v>
      </c>
      <c r="T1243" s="125">
        <v>0</v>
      </c>
      <c r="U1243" s="125">
        <v>6806027.4683950003</v>
      </c>
      <c r="V1243" s="125">
        <v>64987.300907699995</v>
      </c>
      <c r="W1243" s="142">
        <v>631289.25</v>
      </c>
      <c r="X1243" s="142">
        <v>7.7677972495197984</v>
      </c>
      <c r="Y1243" s="142">
        <v>62643596.365772396</v>
      </c>
      <c r="Z1243" s="142">
        <v>412.44365855129092</v>
      </c>
    </row>
    <row r="1244" spans="1:26" s="141" customFormat="1">
      <c r="A1244" s="121">
        <v>44795</v>
      </c>
      <c r="B1244" s="125">
        <v>156789481.6896008</v>
      </c>
      <c r="C1244" s="125">
        <v>64413524.431684248</v>
      </c>
      <c r="D1244" s="125">
        <v>63796742.334464118</v>
      </c>
      <c r="E1244" s="125">
        <v>66676832.372092515</v>
      </c>
      <c r="F1244" s="123">
        <v>194887099.13824087</v>
      </c>
      <c r="G1244" s="125">
        <v>0</v>
      </c>
      <c r="H1244" s="125">
        <v>1760.3444055627369</v>
      </c>
      <c r="I1244" s="125">
        <v>1191.2580933470224</v>
      </c>
      <c r="J1244" s="125">
        <v>617.22278878745715</v>
      </c>
      <c r="K1244" s="125">
        <v>799.42915778902284</v>
      </c>
      <c r="L1244" s="164">
        <v>2607.9100399235022</v>
      </c>
      <c r="M1244" s="125">
        <v>-95</v>
      </c>
      <c r="N1244" s="115">
        <v>14887.5</v>
      </c>
      <c r="O1244" s="139">
        <v>3319.4</v>
      </c>
      <c r="P1244" s="125">
        <v>0</v>
      </c>
      <c r="Q1244" s="125">
        <v>0</v>
      </c>
      <c r="S1244" s="125">
        <v>-1.4600000000000002E-6</v>
      </c>
      <c r="T1244" s="125">
        <v>0</v>
      </c>
      <c r="U1244" s="125">
        <v>4918056.2683950001</v>
      </c>
      <c r="V1244" s="125">
        <v>64987.300907199999</v>
      </c>
      <c r="W1244" s="142">
        <v>631289.25</v>
      </c>
      <c r="X1244" s="142">
        <v>7.760180087103274</v>
      </c>
      <c r="Y1244" s="142">
        <v>62039990.495367996</v>
      </c>
      <c r="Z1244" s="142">
        <v>411.03036097391356</v>
      </c>
    </row>
    <row r="1245" spans="1:26" s="141" customFormat="1">
      <c r="A1245" s="121">
        <v>44796</v>
      </c>
      <c r="B1245" s="125">
        <v>156963223.169633</v>
      </c>
      <c r="C1245" s="125">
        <v>64608172.947526887</v>
      </c>
      <c r="D1245" s="125">
        <v>63818337.958317421</v>
      </c>
      <c r="E1245" s="125">
        <v>66596283.387021571</v>
      </c>
      <c r="F1245" s="123">
        <v>195022794.29286587</v>
      </c>
      <c r="G1245" s="125">
        <v>0</v>
      </c>
      <c r="H1245" s="125">
        <v>1808.1377766931478</v>
      </c>
      <c r="I1245" s="125">
        <v>1184.0506701587835</v>
      </c>
      <c r="J1245" s="125">
        <v>629.9496941470826</v>
      </c>
      <c r="K1245" s="125">
        <v>818.26970389136955</v>
      </c>
      <c r="L1245" s="164">
        <v>2632.2700681972356</v>
      </c>
      <c r="M1245" s="125">
        <v>-97.231323722149412</v>
      </c>
      <c r="N1245" s="115">
        <v>14837.5</v>
      </c>
      <c r="O1245" s="139">
        <v>3306.41</v>
      </c>
      <c r="P1245" s="125">
        <v>0</v>
      </c>
      <c r="Q1245" s="125">
        <v>0</v>
      </c>
      <c r="S1245" s="125">
        <v>-1.4600000000000002E-6</v>
      </c>
      <c r="T1245" s="125">
        <v>0</v>
      </c>
      <c r="U1245" s="125">
        <v>5485690.8342949999</v>
      </c>
      <c r="V1245" s="125">
        <v>64987.300907699995</v>
      </c>
      <c r="W1245" s="142">
        <v>631289.25</v>
      </c>
      <c r="X1245" s="142">
        <v>2.817285761864524</v>
      </c>
      <c r="Y1245" s="142">
        <v>61876663.420732103</v>
      </c>
      <c r="Z1245" s="142">
        <v>422.70685674856878</v>
      </c>
    </row>
    <row r="1246" spans="1:26" s="141" customFormat="1">
      <c r="A1246" s="121">
        <v>44797</v>
      </c>
      <c r="B1246" s="125">
        <v>157028499.15137962</v>
      </c>
      <c r="C1246" s="125">
        <v>64700676.295620173</v>
      </c>
      <c r="D1246" s="125">
        <v>63763726.464183047</v>
      </c>
      <c r="E1246" s="125">
        <v>66526426.324460685</v>
      </c>
      <c r="F1246" s="123">
        <v>194990829.08426392</v>
      </c>
      <c r="G1246" s="125">
        <v>0</v>
      </c>
      <c r="H1246" s="125">
        <v>1775.0121303025528</v>
      </c>
      <c r="I1246" s="125">
        <v>1154.6069398963186</v>
      </c>
      <c r="J1246" s="125">
        <v>615.75750744911988</v>
      </c>
      <c r="K1246" s="125">
        <v>797.11015899671452</v>
      </c>
      <c r="L1246" s="164">
        <v>2567.474606342153</v>
      </c>
      <c r="M1246" s="125">
        <v>-95</v>
      </c>
      <c r="N1246" s="115">
        <v>14847.5</v>
      </c>
      <c r="O1246" s="139">
        <v>3310.1150000000002</v>
      </c>
      <c r="P1246" s="125">
        <v>0</v>
      </c>
      <c r="Q1246" s="125">
        <v>0</v>
      </c>
      <c r="S1246" s="125">
        <v>-1.4600000000000002E-6</v>
      </c>
      <c r="T1246" s="125">
        <v>0</v>
      </c>
      <c r="U1246" s="125">
        <v>5685294.1042950004</v>
      </c>
      <c r="V1246" s="125">
        <v>-65.721186149999994</v>
      </c>
      <c r="W1246" s="142">
        <v>631289.25</v>
      </c>
      <c r="X1246" s="142">
        <v>7.7515338987135882</v>
      </c>
      <c r="Y1246" s="142">
        <v>61660929.530405246</v>
      </c>
      <c r="Z1246" s="142">
        <v>413.05205117149615</v>
      </c>
    </row>
    <row r="1247" spans="1:26" s="141" customFormat="1">
      <c r="A1247" s="121">
        <v>44798</v>
      </c>
      <c r="B1247" s="125">
        <v>156494258.63521382</v>
      </c>
      <c r="C1247" s="125">
        <v>60434031.115849823</v>
      </c>
      <c r="D1247" s="125">
        <v>64415541.817788586</v>
      </c>
      <c r="E1247" s="125">
        <v>65321420.447231248</v>
      </c>
      <c r="F1247" s="123">
        <v>190170993.38086966</v>
      </c>
      <c r="G1247" s="125">
        <v>0</v>
      </c>
      <c r="H1247" s="125">
        <v>1782.0852053952824</v>
      </c>
      <c r="I1247" s="125">
        <v>1153.975620907629</v>
      </c>
      <c r="J1247" s="125">
        <v>615.51205583470789</v>
      </c>
      <c r="K1247" s="125">
        <v>795.87459936635923</v>
      </c>
      <c r="L1247" s="164">
        <v>2565.3622761086963</v>
      </c>
      <c r="M1247" s="125">
        <v>-95</v>
      </c>
      <c r="N1247" s="115">
        <v>14822.5</v>
      </c>
      <c r="O1247" s="139">
        <v>3313.77</v>
      </c>
      <c r="P1247" s="125">
        <v>0</v>
      </c>
      <c r="Q1247" s="125">
        <v>0</v>
      </c>
      <c r="S1247" s="125">
        <v>-1.4600000000000002E-6</v>
      </c>
      <c r="T1247" s="125">
        <v>0</v>
      </c>
      <c r="U1247" s="125">
        <v>5087790.7637999998</v>
      </c>
      <c r="V1247" s="125">
        <v>-65.721185899999995</v>
      </c>
      <c r="W1247" s="142">
        <v>631289.25</v>
      </c>
      <c r="X1247" s="142">
        <v>7.7551394759757128</v>
      </c>
      <c r="Y1247" s="142">
        <v>61882671.605203755</v>
      </c>
      <c r="Z1247" s="142">
        <v>414.46442761815484</v>
      </c>
    </row>
    <row r="1248" spans="1:26" s="141" customFormat="1">
      <c r="A1248" s="121">
        <v>44799</v>
      </c>
      <c r="B1248" s="125">
        <v>156434507.80027819</v>
      </c>
      <c r="C1248" s="125">
        <v>59816246.383704215</v>
      </c>
      <c r="D1248" s="125">
        <v>64742675.066933058</v>
      </c>
      <c r="E1248" s="125">
        <v>65072897.496854745</v>
      </c>
      <c r="F1248" s="123">
        <v>189631818.94749203</v>
      </c>
      <c r="G1248" s="125">
        <v>0</v>
      </c>
      <c r="H1248" s="125">
        <v>1768.7333732741733</v>
      </c>
      <c r="I1248" s="125">
        <v>1155.0630706849693</v>
      </c>
      <c r="J1248" s="125">
        <v>611.57785911373549</v>
      </c>
      <c r="K1248" s="125">
        <v>808.37616880842086</v>
      </c>
      <c r="L1248" s="164">
        <v>2575.0170986071257</v>
      </c>
      <c r="M1248" s="125">
        <v>-75</v>
      </c>
      <c r="N1248" s="115">
        <v>14817.5</v>
      </c>
      <c r="O1248" s="139">
        <v>3311.54</v>
      </c>
      <c r="P1248" s="125">
        <v>0</v>
      </c>
      <c r="Q1248" s="125">
        <v>0</v>
      </c>
      <c r="S1248" s="125">
        <v>-1.4600000000000002E-6</v>
      </c>
      <c r="T1248" s="125">
        <v>0</v>
      </c>
      <c r="U1248" s="125">
        <v>4624542.4337999998</v>
      </c>
      <c r="V1248" s="125">
        <v>-65.721185849999998</v>
      </c>
      <c r="W1248" s="142">
        <v>631289.25</v>
      </c>
      <c r="X1248" s="142">
        <v>7.7519150293200605</v>
      </c>
      <c r="Y1248" s="142">
        <v>61456011.350719474</v>
      </c>
      <c r="Z1248" s="142">
        <v>414.53323439322833</v>
      </c>
    </row>
    <row r="1249" spans="1:26" s="141" customFormat="1">
      <c r="A1249" s="121">
        <v>44802</v>
      </c>
      <c r="B1249" s="125">
        <v>156757264.58776444</v>
      </c>
      <c r="C1249" s="125">
        <v>60540250.24026449</v>
      </c>
      <c r="D1249" s="125">
        <v>64631494.456684679</v>
      </c>
      <c r="E1249" s="125">
        <v>65065626.44235757</v>
      </c>
      <c r="F1249" s="123">
        <v>190237371.13930672</v>
      </c>
      <c r="G1249" s="125">
        <v>0</v>
      </c>
      <c r="H1249" s="125">
        <v>1773.115212576801</v>
      </c>
      <c r="I1249" s="125">
        <v>1151.3149996282834</v>
      </c>
      <c r="J1249" s="125">
        <v>611.77999357955423</v>
      </c>
      <c r="K1249" s="125">
        <v>776.10954396872501</v>
      </c>
      <c r="L1249" s="164">
        <v>2539.2045371765626</v>
      </c>
      <c r="M1249" s="125">
        <v>-45</v>
      </c>
      <c r="N1249" s="115">
        <v>14897</v>
      </c>
      <c r="O1249" s="139">
        <v>3317.8150000000001</v>
      </c>
      <c r="P1249" s="125">
        <v>0</v>
      </c>
      <c r="Q1249" s="125">
        <v>0</v>
      </c>
      <c r="S1249" s="125">
        <v>-1.4600000000000002E-6</v>
      </c>
      <c r="T1249" s="125">
        <v>0</v>
      </c>
      <c r="U1249" s="125">
        <v>3982292.8838</v>
      </c>
      <c r="V1249" s="125">
        <v>-65.721186639999999</v>
      </c>
      <c r="W1249" s="142">
        <v>931289.25</v>
      </c>
      <c r="X1249" s="142">
        <v>7.7335877038719216</v>
      </c>
      <c r="Y1249" s="142">
        <v>61142938.329377346</v>
      </c>
      <c r="Z1249" s="142">
        <v>415.9976218827066</v>
      </c>
    </row>
    <row r="1250" spans="1:26" s="141" customFormat="1">
      <c r="A1250" s="121">
        <v>44803</v>
      </c>
      <c r="B1250" s="125">
        <v>157536493.33076203</v>
      </c>
      <c r="C1250" s="125">
        <v>60706605.135324262</v>
      </c>
      <c r="D1250" s="125">
        <v>64937209.516657695</v>
      </c>
      <c r="E1250" s="125">
        <v>65168679.355754718</v>
      </c>
      <c r="F1250" s="123">
        <v>190812494.00773668</v>
      </c>
      <c r="G1250" s="125">
        <v>0</v>
      </c>
      <c r="H1250" s="125">
        <v>1722.1784463505928</v>
      </c>
      <c r="I1250" s="125">
        <v>1140.8720551184301</v>
      </c>
      <c r="J1250" s="125">
        <v>610.84233149443935</v>
      </c>
      <c r="K1250" s="125">
        <v>779.22523079118514</v>
      </c>
      <c r="L1250" s="164">
        <v>2530.9396174040548</v>
      </c>
      <c r="M1250" s="125">
        <v>-45</v>
      </c>
      <c r="N1250" s="115">
        <v>14842.5</v>
      </c>
      <c r="O1250" s="139">
        <v>3311.95</v>
      </c>
      <c r="P1250" s="125">
        <v>0</v>
      </c>
      <c r="Q1250" s="125">
        <v>0</v>
      </c>
      <c r="S1250" s="125">
        <v>-1.4600000000000002E-6</v>
      </c>
      <c r="T1250" s="125">
        <v>0</v>
      </c>
      <c r="U1250" s="125">
        <v>3175566.71355</v>
      </c>
      <c r="V1250" s="125">
        <v>1.3999999999999999E-6</v>
      </c>
      <c r="W1250" s="142">
        <v>631289.25</v>
      </c>
      <c r="X1250" s="142">
        <v>9.1820579838605347</v>
      </c>
      <c r="Y1250" s="142">
        <v>60998633.102072023</v>
      </c>
      <c r="Z1250" s="142">
        <v>416.33124561238077</v>
      </c>
    </row>
    <row r="1251" spans="1:26" s="141" customFormat="1">
      <c r="A1251" s="121">
        <v>44804</v>
      </c>
      <c r="B1251" s="136">
        <v>160088770.12873</v>
      </c>
      <c r="C1251" s="136">
        <v>59534210.576770999</v>
      </c>
      <c r="D1251" s="136">
        <v>65142055.735473</v>
      </c>
      <c r="E1251" s="136">
        <v>65260061.427501</v>
      </c>
      <c r="F1251" s="137">
        <v>189936327.73974499</v>
      </c>
      <c r="G1251" s="125">
        <v>0</v>
      </c>
      <c r="H1251" s="136">
        <v>1706.8373667041267</v>
      </c>
      <c r="I1251" s="136">
        <v>1198.6605582483407</v>
      </c>
      <c r="J1251" s="136">
        <v>610.03707467279764</v>
      </c>
      <c r="K1251" s="136">
        <v>799.55848880006738</v>
      </c>
      <c r="L1251" s="165">
        <v>2608.256121721206</v>
      </c>
      <c r="M1251" s="125">
        <v>-45</v>
      </c>
      <c r="N1251" s="115">
        <v>14842.5</v>
      </c>
      <c r="O1251" s="139">
        <v>3316.3900000000003</v>
      </c>
      <c r="P1251" s="125">
        <v>0</v>
      </c>
      <c r="Q1251" s="125">
        <v>0</v>
      </c>
      <c r="S1251" s="125">
        <v>-1.4600000000000002E-6</v>
      </c>
      <c r="T1251" s="125">
        <v>0</v>
      </c>
      <c r="U1251" s="125">
        <v>3147575.25752</v>
      </c>
      <c r="V1251" s="125">
        <v>1.3999999999999999E-6</v>
      </c>
      <c r="W1251" s="142">
        <v>631289.25</v>
      </c>
      <c r="X1251" s="142">
        <v>4.1925514991039243</v>
      </c>
      <c r="Y1251" s="142">
        <v>60735085.748228095</v>
      </c>
      <c r="Z1251" s="142">
        <v>415.52318567222386</v>
      </c>
    </row>
    <row r="1252" spans="1:26" s="141" customFormat="1">
      <c r="A1252" s="121">
        <v>44805</v>
      </c>
      <c r="B1252" s="125">
        <v>157967191.36211908</v>
      </c>
      <c r="C1252" s="125">
        <v>59553615.138291016</v>
      </c>
      <c r="D1252" s="125">
        <v>64919548.71691364</v>
      </c>
      <c r="E1252" s="125">
        <v>65065609.965358011</v>
      </c>
      <c r="F1252" s="123">
        <v>189538773.82056266</v>
      </c>
      <c r="G1252" s="125">
        <v>0</v>
      </c>
      <c r="H1252" s="125">
        <v>1717.8870299496011</v>
      </c>
      <c r="I1252" s="125">
        <v>1141.5104838397015</v>
      </c>
      <c r="J1252" s="125">
        <v>619.98772603989005</v>
      </c>
      <c r="K1252" s="125">
        <v>785.36283185448167</v>
      </c>
      <c r="L1252" s="164">
        <v>2546.8610417340733</v>
      </c>
      <c r="M1252" s="125">
        <v>-45</v>
      </c>
      <c r="N1252" s="115">
        <v>14882.5</v>
      </c>
      <c r="O1252" s="139">
        <v>3319.9500000000003</v>
      </c>
      <c r="P1252" s="125">
        <v>0</v>
      </c>
      <c r="Q1252" s="125">
        <v>0</v>
      </c>
      <c r="S1252" s="125">
        <v>-1.4600000000000002E-6</v>
      </c>
      <c r="T1252" s="125">
        <v>0</v>
      </c>
      <c r="U1252" s="125">
        <v>2957309.6175199999</v>
      </c>
      <c r="V1252" s="125">
        <v>9.9999999999999995E-7</v>
      </c>
      <c r="W1252" s="142">
        <v>631289.25</v>
      </c>
      <c r="X1252" s="142">
        <v>9.1877676540265405</v>
      </c>
      <c r="Y1252" s="142">
        <v>61096443.348263532</v>
      </c>
      <c r="Z1252" s="142">
        <v>415.45210526739055</v>
      </c>
    </row>
    <row r="1253" spans="1:26" s="141" customFormat="1">
      <c r="A1253" s="121">
        <v>44806</v>
      </c>
      <c r="B1253" s="125">
        <v>157554133.95695087</v>
      </c>
      <c r="C1253" s="125">
        <v>60052630.765701883</v>
      </c>
      <c r="D1253" s="125">
        <v>64934986.257219665</v>
      </c>
      <c r="E1253" s="125">
        <v>65064388.604126804</v>
      </c>
      <c r="F1253" s="123">
        <v>190052005.62704834</v>
      </c>
      <c r="G1253" s="125">
        <v>0</v>
      </c>
      <c r="H1253" s="125">
        <v>1709.2172423873335</v>
      </c>
      <c r="I1253" s="125">
        <v>1120.0431064994166</v>
      </c>
      <c r="J1253" s="125">
        <v>617.37803768406798</v>
      </c>
      <c r="K1253" s="125">
        <v>785.74310321904079</v>
      </c>
      <c r="L1253" s="164">
        <v>2523.1642474025252</v>
      </c>
      <c r="M1253" s="125">
        <v>-45</v>
      </c>
      <c r="N1253" s="115">
        <v>14897</v>
      </c>
      <c r="O1253" s="139">
        <v>3322.26</v>
      </c>
      <c r="P1253" s="125">
        <v>0</v>
      </c>
      <c r="Q1253" s="125">
        <v>0</v>
      </c>
      <c r="S1253" s="125">
        <v>-1.4600000000000002E-6</v>
      </c>
      <c r="T1253" s="125">
        <v>0</v>
      </c>
      <c r="U1253" s="125">
        <v>2957309.6175199999</v>
      </c>
      <c r="V1253" s="125">
        <v>8.5000000000000001E-7</v>
      </c>
      <c r="W1253" s="142">
        <v>631289.25</v>
      </c>
      <c r="X1253" s="142">
        <v>9.1880516899093774</v>
      </c>
      <c r="Y1253" s="142">
        <v>61302851.27829919</v>
      </c>
      <c r="Z1253" s="142">
        <v>416.97480539711074</v>
      </c>
    </row>
    <row r="1254" spans="1:26" s="141" customFormat="1">
      <c r="A1254" s="121">
        <v>44809</v>
      </c>
      <c r="B1254" s="125">
        <v>156801004.07836947</v>
      </c>
      <c r="C1254" s="125">
        <v>62173868.331849471</v>
      </c>
      <c r="D1254" s="125">
        <v>64057632.310485497</v>
      </c>
      <c r="E1254" s="125">
        <v>64465405.072785914</v>
      </c>
      <c r="F1254" s="123">
        <v>190696905.71512088</v>
      </c>
      <c r="G1254" s="125">
        <v>0</v>
      </c>
      <c r="H1254" s="125">
        <v>1714.16403186971</v>
      </c>
      <c r="I1254" s="125">
        <v>1112.2520816705146</v>
      </c>
      <c r="J1254" s="125">
        <v>611.78962697333861</v>
      </c>
      <c r="K1254" s="125">
        <v>788.53507540276598</v>
      </c>
      <c r="L1254" s="164">
        <v>2512.5767840466192</v>
      </c>
      <c r="M1254" s="125">
        <v>-45</v>
      </c>
      <c r="N1254" s="115">
        <v>14902.5</v>
      </c>
      <c r="O1254" s="139">
        <v>3319.7849999999999</v>
      </c>
      <c r="P1254" s="125">
        <v>0</v>
      </c>
      <c r="Q1254" s="125">
        <v>0</v>
      </c>
      <c r="S1254" s="125">
        <v>-1.4600000000000002E-6</v>
      </c>
      <c r="T1254" s="125">
        <v>0</v>
      </c>
      <c r="U1254" s="125">
        <v>3249347.81752</v>
      </c>
      <c r="V1254" s="125">
        <v>7.9000000000000006E-7</v>
      </c>
      <c r="W1254" s="142">
        <v>631289.25</v>
      </c>
      <c r="X1254" s="142">
        <v>9.1667936825264213</v>
      </c>
      <c r="Y1254" s="142">
        <v>61475121.030547947</v>
      </c>
      <c r="Z1254" s="142">
        <v>417.90736241041355</v>
      </c>
    </row>
    <row r="1255" spans="1:26" s="141" customFormat="1">
      <c r="A1255" s="121">
        <v>44810</v>
      </c>
      <c r="B1255" s="125">
        <v>156941941.75115889</v>
      </c>
      <c r="C1255" s="125">
        <v>62331855.493754491</v>
      </c>
      <c r="D1255" s="125">
        <v>64413082.270222127</v>
      </c>
      <c r="E1255" s="125">
        <v>64434174.648674354</v>
      </c>
      <c r="F1255" s="123">
        <v>191179112.41265097</v>
      </c>
      <c r="G1255" s="125">
        <v>0</v>
      </c>
      <c r="H1255" s="125">
        <v>1714.0514978239403</v>
      </c>
      <c r="I1255" s="125">
        <v>1100.0050864692128</v>
      </c>
      <c r="J1255" s="125">
        <v>617.15676637148215</v>
      </c>
      <c r="K1255" s="125">
        <v>787.83141401459557</v>
      </c>
      <c r="L1255" s="164">
        <v>2504.9932668552901</v>
      </c>
      <c r="M1255" s="125">
        <v>-45</v>
      </c>
      <c r="N1255" s="115">
        <v>14886.5</v>
      </c>
      <c r="O1255" s="139">
        <v>3309.0299999999997</v>
      </c>
      <c r="P1255" s="125">
        <v>0</v>
      </c>
      <c r="Q1255" s="125">
        <v>0</v>
      </c>
      <c r="S1255" s="125">
        <v>-940753.00000145996</v>
      </c>
      <c r="T1255" s="125">
        <v>0</v>
      </c>
      <c r="U1255" s="125">
        <v>3085728.6175199999</v>
      </c>
      <c r="V1255" s="125">
        <v>9.499999999999999E-7</v>
      </c>
      <c r="W1255" s="142">
        <v>631289.25</v>
      </c>
      <c r="X1255" s="142">
        <v>9.166306066544184</v>
      </c>
      <c r="Y1255" s="142">
        <v>61284909.067015447</v>
      </c>
      <c r="Z1255" s="142">
        <v>418.04349804509252</v>
      </c>
    </row>
    <row r="1256" spans="1:26" s="141" customFormat="1">
      <c r="A1256" s="121">
        <v>44811</v>
      </c>
      <c r="B1256" s="125">
        <v>157698687.97892934</v>
      </c>
      <c r="C1256" s="125">
        <v>62362824.064374395</v>
      </c>
      <c r="D1256" s="125">
        <v>64319764.932200715</v>
      </c>
      <c r="E1256" s="125">
        <v>64226194.452095345</v>
      </c>
      <c r="F1256" s="123">
        <v>190908783.44867045</v>
      </c>
      <c r="G1256" s="125">
        <v>0</v>
      </c>
      <c r="H1256" s="125">
        <v>1714.7857544366693</v>
      </c>
      <c r="I1256" s="125">
        <v>1108.2500909961771</v>
      </c>
      <c r="J1256" s="125">
        <v>614.84211222193505</v>
      </c>
      <c r="K1256" s="125">
        <v>758.57459272707638</v>
      </c>
      <c r="L1256" s="164">
        <v>2481.6667959451884</v>
      </c>
      <c r="M1256" s="125">
        <v>-55</v>
      </c>
      <c r="N1256" s="115">
        <v>14917.5</v>
      </c>
      <c r="O1256" s="139">
        <v>3312.7950000000001</v>
      </c>
      <c r="P1256" s="125">
        <v>0</v>
      </c>
      <c r="Q1256" s="125">
        <v>0</v>
      </c>
      <c r="S1256" s="125">
        <v>-940753.00000145996</v>
      </c>
      <c r="T1256" s="125">
        <v>0</v>
      </c>
      <c r="U1256" s="125">
        <v>2703978.4575200002</v>
      </c>
      <c r="V1256" s="125">
        <v>6.4000000000000001E-7</v>
      </c>
      <c r="W1256" s="142">
        <v>631289.25</v>
      </c>
      <c r="X1256" s="142">
        <v>9.1541816431003866</v>
      </c>
      <c r="Y1256" s="142">
        <v>61164738.052855998</v>
      </c>
      <c r="Z1256" s="142">
        <v>418.45192682307089</v>
      </c>
    </row>
    <row r="1257" spans="1:26" s="141" customFormat="1">
      <c r="A1257" s="121">
        <v>44812</v>
      </c>
      <c r="B1257" s="125">
        <v>157766550.7180953</v>
      </c>
      <c r="C1257" s="125">
        <v>61663994.091219053</v>
      </c>
      <c r="D1257" s="125">
        <v>64392226.0731038</v>
      </c>
      <c r="E1257" s="125">
        <v>64279669.237877026</v>
      </c>
      <c r="F1257" s="123">
        <v>190335889.40219986</v>
      </c>
      <c r="G1257" s="125">
        <v>0</v>
      </c>
      <c r="H1257" s="125">
        <v>1702.003422155188</v>
      </c>
      <c r="I1257" s="125">
        <v>1086.2254396501644</v>
      </c>
      <c r="J1257" s="125">
        <v>613.74498431618917</v>
      </c>
      <c r="K1257" s="125">
        <v>714.16923605568616</v>
      </c>
      <c r="L1257" s="164">
        <v>2414.1396600220396</v>
      </c>
      <c r="M1257" s="125">
        <v>-55</v>
      </c>
      <c r="N1257" s="115">
        <v>14897.5</v>
      </c>
      <c r="O1257" s="139">
        <v>3309.8199999999997</v>
      </c>
      <c r="P1257" s="125">
        <v>0</v>
      </c>
      <c r="Q1257" s="125">
        <v>0</v>
      </c>
      <c r="S1257" s="125">
        <v>-940753.00000145996</v>
      </c>
      <c r="T1257" s="125">
        <v>0</v>
      </c>
      <c r="U1257" s="125">
        <v>2702445.25752</v>
      </c>
      <c r="V1257" s="125">
        <v>8.4E-7</v>
      </c>
      <c r="W1257" s="142">
        <v>631289.25</v>
      </c>
      <c r="X1257" s="142">
        <v>4.1560875259708006</v>
      </c>
      <c r="Y1257" s="142">
        <v>60996859.900055066</v>
      </c>
      <c r="Z1257" s="142">
        <v>415.33383662690454</v>
      </c>
    </row>
    <row r="1258" spans="1:26" s="141" customFormat="1">
      <c r="A1258" s="121">
        <v>44813</v>
      </c>
      <c r="B1258" s="125">
        <v>157495958.36840624</v>
      </c>
      <c r="C1258" s="125">
        <v>61805426.187371619</v>
      </c>
      <c r="D1258" s="125">
        <v>64196473.417587139</v>
      </c>
      <c r="E1258" s="125">
        <v>64305127.74330698</v>
      </c>
      <c r="F1258" s="123">
        <v>190307027.34826574</v>
      </c>
      <c r="G1258" s="125">
        <v>0</v>
      </c>
      <c r="H1258" s="125">
        <v>1677.7309764921736</v>
      </c>
      <c r="I1258" s="125">
        <v>1135.8850571438031</v>
      </c>
      <c r="J1258" s="125">
        <v>604.59216363585483</v>
      </c>
      <c r="K1258" s="125">
        <v>717.85553034581744</v>
      </c>
      <c r="L1258" s="164">
        <v>2458.3327511254756</v>
      </c>
      <c r="M1258" s="125">
        <v>-55</v>
      </c>
      <c r="N1258" s="115">
        <v>14830</v>
      </c>
      <c r="O1258" s="139">
        <v>3297.7550000000001</v>
      </c>
      <c r="P1258" s="125">
        <v>0</v>
      </c>
      <c r="Q1258" s="125">
        <v>0</v>
      </c>
      <c r="S1258" s="125">
        <v>-940753.00000145996</v>
      </c>
      <c r="T1258" s="125">
        <v>0</v>
      </c>
      <c r="U1258" s="125">
        <v>2572135.13252</v>
      </c>
      <c r="V1258" s="125">
        <v>1.5099999999999999E-6</v>
      </c>
      <c r="W1258" s="142">
        <v>631289.25</v>
      </c>
      <c r="X1258" s="142">
        <v>9.1780089876062032</v>
      </c>
      <c r="Y1258" s="142">
        <v>61032721.830361038</v>
      </c>
      <c r="Z1258" s="142">
        <v>415.00590306568779</v>
      </c>
    </row>
    <row r="1259" spans="1:26" s="141" customFormat="1">
      <c r="A1259" s="121">
        <v>44816</v>
      </c>
      <c r="B1259" s="125">
        <v>157266476.30678129</v>
      </c>
      <c r="C1259" s="125">
        <v>62820540.765188113</v>
      </c>
      <c r="D1259" s="125">
        <v>63681121.645147294</v>
      </c>
      <c r="E1259" s="125">
        <v>64096571.741974384</v>
      </c>
      <c r="F1259" s="123">
        <v>190598234.15230978</v>
      </c>
      <c r="G1259" s="125">
        <v>0</v>
      </c>
      <c r="H1259" s="125">
        <v>1684.342204976296</v>
      </c>
      <c r="I1259" s="125">
        <v>1117.0533656822438</v>
      </c>
      <c r="J1259" s="125">
        <v>606.47139812328203</v>
      </c>
      <c r="K1259" s="125">
        <v>715.67416107351846</v>
      </c>
      <c r="L1259" s="164">
        <v>2439.1989248790442</v>
      </c>
      <c r="M1259" s="125">
        <v>-55</v>
      </c>
      <c r="N1259" s="115">
        <v>14842</v>
      </c>
      <c r="O1259" s="139">
        <v>3296.0250000000001</v>
      </c>
      <c r="P1259" s="125">
        <v>-424575</v>
      </c>
      <c r="Q1259" s="125">
        <v>0</v>
      </c>
      <c r="S1259" s="125">
        <v>-940753.00000145996</v>
      </c>
      <c r="T1259" s="125">
        <v>0</v>
      </c>
      <c r="U1259" s="125">
        <v>3021845.4290200002</v>
      </c>
      <c r="V1259" s="125">
        <v>1.3899999999999998E-6</v>
      </c>
      <c r="W1259" s="142">
        <v>631289.25</v>
      </c>
      <c r="X1259" s="142">
        <v>9.1751137132381082</v>
      </c>
      <c r="Y1259" s="142">
        <v>61254301.803318731</v>
      </c>
      <c r="Z1259" s="142">
        <v>414.36356578878593</v>
      </c>
    </row>
    <row r="1260" spans="1:26" s="141" customFormat="1">
      <c r="A1260" s="121">
        <v>44817</v>
      </c>
      <c r="B1260" s="125">
        <v>156843749.67016318</v>
      </c>
      <c r="C1260" s="125">
        <v>63698148.285931677</v>
      </c>
      <c r="D1260" s="125">
        <v>63601504.000899918</v>
      </c>
      <c r="E1260" s="125">
        <v>64126387.18362543</v>
      </c>
      <c r="F1260" s="123">
        <v>191426039.47045702</v>
      </c>
      <c r="G1260" s="125">
        <v>0</v>
      </c>
      <c r="H1260" s="125">
        <v>1710.8370755675155</v>
      </c>
      <c r="I1260" s="125">
        <v>1131.0141043425126</v>
      </c>
      <c r="J1260" s="125">
        <v>616.25322348666407</v>
      </c>
      <c r="K1260" s="125">
        <v>723.56230359773201</v>
      </c>
      <c r="L1260" s="164">
        <v>2470.8296314269087</v>
      </c>
      <c r="M1260" s="125">
        <v>-55</v>
      </c>
      <c r="N1260" s="115">
        <v>14851.5</v>
      </c>
      <c r="O1260" s="139">
        <v>3295.2049999999999</v>
      </c>
      <c r="P1260" s="125">
        <v>-424575</v>
      </c>
      <c r="Q1260" s="125">
        <v>0</v>
      </c>
      <c r="S1260" s="125">
        <v>-1.4600000000000002E-6</v>
      </c>
      <c r="T1260" s="125">
        <v>0</v>
      </c>
      <c r="U1260" s="125">
        <v>4203709.2790200002</v>
      </c>
      <c r="V1260" s="125">
        <v>1.2899999999999999E-6</v>
      </c>
      <c r="W1260" s="142">
        <v>631289.25</v>
      </c>
      <c r="X1260" s="142">
        <v>7.7321036736834667</v>
      </c>
      <c r="Y1260" s="142">
        <v>61441117.478437908</v>
      </c>
      <c r="Z1260" s="142">
        <v>414.40897349584026</v>
      </c>
    </row>
    <row r="1261" spans="1:26" s="141" customFormat="1">
      <c r="A1261" s="121">
        <v>44818</v>
      </c>
      <c r="B1261" s="125">
        <v>156835219.26779607</v>
      </c>
      <c r="C1261" s="125">
        <v>63814620.743322037</v>
      </c>
      <c r="D1261" s="125">
        <v>63556204.257027708</v>
      </c>
      <c r="E1261" s="125">
        <v>63731191.026050672</v>
      </c>
      <c r="F1261" s="123">
        <v>191102016.02640042</v>
      </c>
      <c r="G1261" s="125">
        <v>0</v>
      </c>
      <c r="H1261" s="125">
        <v>1741.3887558503279</v>
      </c>
      <c r="I1261" s="125">
        <v>1119.1382941595787</v>
      </c>
      <c r="J1261" s="125">
        <v>616.62155413274434</v>
      </c>
      <c r="K1261" s="125">
        <v>722.13349648520671</v>
      </c>
      <c r="L1261" s="164">
        <v>2457.8933447775298</v>
      </c>
      <c r="M1261" s="125">
        <v>-55</v>
      </c>
      <c r="N1261" s="115">
        <v>14907.5</v>
      </c>
      <c r="O1261" s="139">
        <v>3293.3850000000002</v>
      </c>
      <c r="P1261" s="125">
        <v>-424575</v>
      </c>
      <c r="Q1261" s="125">
        <v>0</v>
      </c>
      <c r="S1261" s="125">
        <v>-1.4600000000000002E-6</v>
      </c>
      <c r="T1261" s="125">
        <v>0</v>
      </c>
      <c r="U1261" s="125">
        <v>5070853.7690199995</v>
      </c>
      <c r="V1261" s="125">
        <v>7.3E-7</v>
      </c>
      <c r="W1261" s="142">
        <v>631289.25</v>
      </c>
      <c r="X1261" s="142">
        <v>12.719347428445415</v>
      </c>
      <c r="Y1261" s="142">
        <v>61312838.124177776</v>
      </c>
      <c r="Z1261" s="142">
        <v>413.72061252101958</v>
      </c>
    </row>
    <row r="1262" spans="1:26" s="141" customFormat="1">
      <c r="A1262" s="121">
        <v>44819</v>
      </c>
      <c r="B1262" s="125">
        <v>156907244.38919538</v>
      </c>
      <c r="C1262" s="125">
        <v>64248854.677913859</v>
      </c>
      <c r="D1262" s="125">
        <v>63600391.622268468</v>
      </c>
      <c r="E1262" s="125">
        <v>64245132.753753692</v>
      </c>
      <c r="F1262" s="123">
        <v>192094379.053936</v>
      </c>
      <c r="G1262" s="125">
        <v>0</v>
      </c>
      <c r="H1262" s="125">
        <v>1739.8929732994411</v>
      </c>
      <c r="I1262" s="125">
        <v>1085.2201594557378</v>
      </c>
      <c r="J1262" s="125">
        <v>605.9393237204896</v>
      </c>
      <c r="K1262" s="125">
        <v>727.41928138701257</v>
      </c>
      <c r="L1262" s="164">
        <v>2418.5787645632399</v>
      </c>
      <c r="M1262" s="125">
        <v>-55</v>
      </c>
      <c r="N1262" s="115">
        <v>14897.5</v>
      </c>
      <c r="O1262" s="139">
        <v>3285.73</v>
      </c>
      <c r="P1262" s="125">
        <v>-424575</v>
      </c>
      <c r="Q1262" s="125">
        <v>0</v>
      </c>
      <c r="S1262" s="125">
        <v>-1.4600000000000002E-6</v>
      </c>
      <c r="T1262" s="125">
        <v>0</v>
      </c>
      <c r="U1262" s="125">
        <v>5589098.8156199995</v>
      </c>
      <c r="V1262" s="125">
        <v>8.2999999999999999E-7</v>
      </c>
      <c r="W1262" s="142">
        <v>631289.25</v>
      </c>
      <c r="X1262" s="142">
        <v>7.7174048610941437</v>
      </c>
      <c r="Y1262" s="142">
        <v>62218560.583437607</v>
      </c>
      <c r="Z1262" s="142">
        <v>415.05627696354281</v>
      </c>
    </row>
    <row r="1263" spans="1:26" s="141" customFormat="1">
      <c r="A1263" s="121">
        <v>44820</v>
      </c>
      <c r="B1263" s="125">
        <v>157338498.4447459</v>
      </c>
      <c r="C1263" s="125">
        <v>64477884.722775146</v>
      </c>
      <c r="D1263" s="125">
        <v>63495047.504823886</v>
      </c>
      <c r="E1263" s="125">
        <v>63803375.953957051</v>
      </c>
      <c r="F1263" s="123">
        <v>191776308.18155608</v>
      </c>
      <c r="G1263" s="125">
        <v>0</v>
      </c>
      <c r="H1263" s="125">
        <v>1705.7192057222014</v>
      </c>
      <c r="I1263" s="125">
        <v>1123.5265164976047</v>
      </c>
      <c r="J1263" s="125">
        <v>602.42384214434014</v>
      </c>
      <c r="K1263" s="125">
        <v>734.22665672536391</v>
      </c>
      <c r="L1263" s="164">
        <v>2460.1770153673087</v>
      </c>
      <c r="M1263" s="125">
        <v>-10</v>
      </c>
      <c r="N1263" s="115">
        <v>14952.5</v>
      </c>
      <c r="O1263" s="139">
        <v>3297.1350000000002</v>
      </c>
      <c r="P1263" s="125">
        <v>-424575</v>
      </c>
      <c r="Q1263" s="125">
        <v>0</v>
      </c>
      <c r="S1263" s="125">
        <v>-1.4600000000000002E-6</v>
      </c>
      <c r="T1263" s="125">
        <v>0</v>
      </c>
      <c r="U1263" s="125">
        <v>5996787.6156200003</v>
      </c>
      <c r="V1263" s="125">
        <v>2.8000000000000002E-7</v>
      </c>
      <c r="W1263" s="142">
        <v>0</v>
      </c>
      <c r="X1263" s="142">
        <v>2.7024030905099479</v>
      </c>
      <c r="Y1263" s="142">
        <v>61709040.842561357</v>
      </c>
      <c r="Z1263" s="142">
        <v>415.42364421966835</v>
      </c>
    </row>
    <row r="1264" spans="1:26" s="141" customFormat="1">
      <c r="A1264" s="121">
        <v>44823</v>
      </c>
      <c r="B1264" s="125">
        <v>157297923.09327731</v>
      </c>
      <c r="C1264" s="125">
        <v>66515262.9827355</v>
      </c>
      <c r="D1264" s="125">
        <v>63356471.338912547</v>
      </c>
      <c r="E1264" s="125">
        <v>62635703.707001969</v>
      </c>
      <c r="F1264" s="123">
        <v>192507438.02865002</v>
      </c>
      <c r="G1264" s="125">
        <v>0</v>
      </c>
      <c r="H1264" s="125">
        <v>1701.4811943635616</v>
      </c>
      <c r="I1264" s="125">
        <v>1077.2563054399334</v>
      </c>
      <c r="J1264" s="125">
        <v>609.79914957317362</v>
      </c>
      <c r="K1264" s="125">
        <v>718.53282178726943</v>
      </c>
      <c r="L1264" s="164">
        <v>2405.5882768003762</v>
      </c>
      <c r="M1264" s="125">
        <v>-10</v>
      </c>
      <c r="N1264" s="115">
        <v>14977.5</v>
      </c>
      <c r="O1264" s="139">
        <v>3292.12</v>
      </c>
      <c r="P1264" s="125">
        <v>-424575</v>
      </c>
      <c r="Q1264" s="125">
        <v>0</v>
      </c>
      <c r="S1264" s="125">
        <v>-1.4600000000000002E-6</v>
      </c>
      <c r="T1264" s="125">
        <v>0</v>
      </c>
      <c r="U1264" s="125">
        <v>5615974.33562</v>
      </c>
      <c r="V1264" s="125">
        <v>2.9999999999999997E-8</v>
      </c>
      <c r="W1264" s="142">
        <v>0</v>
      </c>
      <c r="X1264" s="142">
        <v>4.7029929487130699</v>
      </c>
      <c r="Y1264" s="142">
        <v>61441544.991867051</v>
      </c>
      <c r="Z1264" s="142">
        <v>415.98427144922783</v>
      </c>
    </row>
    <row r="1265" spans="1:26" s="141" customFormat="1">
      <c r="A1265" s="121">
        <v>44824</v>
      </c>
      <c r="B1265" s="125">
        <v>157314002.6065594</v>
      </c>
      <c r="C1265" s="125">
        <v>65863513.414615743</v>
      </c>
      <c r="D1265" s="125">
        <v>63258164.613875091</v>
      </c>
      <c r="E1265" s="125">
        <v>62246628.814448789</v>
      </c>
      <c r="F1265" s="123">
        <v>191368306.84293962</v>
      </c>
      <c r="G1265" s="125">
        <v>0</v>
      </c>
      <c r="H1265" s="125">
        <v>1720.6828097849441</v>
      </c>
      <c r="I1265" s="125">
        <v>1053.6898363757541</v>
      </c>
      <c r="J1265" s="125">
        <v>608.26189402209377</v>
      </c>
      <c r="K1265" s="125">
        <v>713.03334573012376</v>
      </c>
      <c r="L1265" s="164">
        <v>2374.9850761279713</v>
      </c>
      <c r="M1265" s="125">
        <v>-10</v>
      </c>
      <c r="N1265" s="115">
        <v>14982.5</v>
      </c>
      <c r="O1265" s="139">
        <v>3287.8</v>
      </c>
      <c r="P1265" s="125">
        <v>-424575</v>
      </c>
      <c r="Q1265" s="125">
        <v>0</v>
      </c>
      <c r="S1265" s="125">
        <v>-1.4600000000000002E-6</v>
      </c>
      <c r="T1265" s="125">
        <v>0</v>
      </c>
      <c r="U1265" s="125">
        <v>4766059.8856199998</v>
      </c>
      <c r="V1265" s="125">
        <v>-2E-8</v>
      </c>
      <c r="W1265" s="142">
        <v>0</v>
      </c>
      <c r="X1265" s="142">
        <v>2.7058939312564663</v>
      </c>
      <c r="Y1265" s="142">
        <v>61109288.838297665</v>
      </c>
      <c r="Z1265" s="142">
        <v>426.03811549741755</v>
      </c>
    </row>
    <row r="1266" spans="1:26" s="141" customFormat="1">
      <c r="A1266" s="121">
        <v>44825</v>
      </c>
      <c r="B1266" s="125">
        <v>157575832.92739946</v>
      </c>
      <c r="C1266" s="125">
        <v>66452510.914124645</v>
      </c>
      <c r="D1266" s="125">
        <v>63512562.591694057</v>
      </c>
      <c r="E1266" s="125">
        <v>62327608.764268935</v>
      </c>
      <c r="F1266" s="123">
        <v>192292682.27008763</v>
      </c>
      <c r="G1266" s="125">
        <v>0</v>
      </c>
      <c r="H1266" s="125">
        <v>1734.8856598607549</v>
      </c>
      <c r="I1266" s="125">
        <v>1035.7041263778369</v>
      </c>
      <c r="J1266" s="125">
        <v>606.54419478741283</v>
      </c>
      <c r="K1266" s="125">
        <v>717.30376301119497</v>
      </c>
      <c r="L1266" s="164">
        <v>2359.5520841764446</v>
      </c>
      <c r="M1266" s="125">
        <v>-10</v>
      </c>
      <c r="N1266" s="115">
        <v>14997.5</v>
      </c>
      <c r="O1266" s="139">
        <v>3287.125</v>
      </c>
      <c r="P1266" s="125">
        <v>-424575</v>
      </c>
      <c r="Q1266" s="125">
        <v>0</v>
      </c>
      <c r="S1266" s="125">
        <v>-1.4600000000000002E-6</v>
      </c>
      <c r="T1266" s="125">
        <v>0</v>
      </c>
      <c r="U1266" s="125">
        <v>3839717.0156200002</v>
      </c>
      <c r="V1266" s="125">
        <v>-1.7000000000000001E-7</v>
      </c>
      <c r="W1266" s="142">
        <v>0</v>
      </c>
      <c r="X1266" s="142">
        <v>2.6927566349158192</v>
      </c>
      <c r="Y1266" s="142">
        <v>61129780.96203012</v>
      </c>
      <c r="Z1266" s="142">
        <v>425.5543365043934</v>
      </c>
    </row>
    <row r="1267" spans="1:26" s="141" customFormat="1">
      <c r="A1267" s="121">
        <v>44826</v>
      </c>
      <c r="B1267" s="125">
        <v>157670054.45405892</v>
      </c>
      <c r="C1267" s="125">
        <v>67533794.212848857</v>
      </c>
      <c r="D1267" s="125">
        <v>63372749.661019072</v>
      </c>
      <c r="E1267" s="125">
        <v>62303330.166367337</v>
      </c>
      <c r="F1267" s="123">
        <v>193209874.04023528</v>
      </c>
      <c r="G1267" s="125">
        <v>0</v>
      </c>
      <c r="H1267" s="125">
        <v>1735.9740306226226</v>
      </c>
      <c r="I1267" s="125">
        <v>1052.8371845198449</v>
      </c>
      <c r="J1267" s="125">
        <v>607.81884413608839</v>
      </c>
      <c r="K1267" s="125">
        <v>749.26533636136151</v>
      </c>
      <c r="L1267" s="164">
        <v>2409.9213650172951</v>
      </c>
      <c r="M1267" s="125">
        <v>-18</v>
      </c>
      <c r="N1267" s="115">
        <v>15017.5</v>
      </c>
      <c r="O1267" s="139">
        <v>3286.4650000000001</v>
      </c>
      <c r="P1267" s="125">
        <v>-424575</v>
      </c>
      <c r="Q1267" s="125">
        <v>0</v>
      </c>
      <c r="S1267" s="125">
        <v>-1.4600000000000002E-6</v>
      </c>
      <c r="T1267" s="125">
        <v>0</v>
      </c>
      <c r="U1267" s="125">
        <v>4748658.0526200002</v>
      </c>
      <c r="V1267" s="125">
        <v>-3.7E-7</v>
      </c>
      <c r="W1267" s="142">
        <v>0</v>
      </c>
      <c r="X1267" s="142">
        <v>2.680729707005161</v>
      </c>
      <c r="Y1267" s="142">
        <v>61387426.549058519</v>
      </c>
      <c r="Z1267" s="142">
        <v>424.80617961516032</v>
      </c>
    </row>
    <row r="1268" spans="1:26" s="141" customFormat="1">
      <c r="A1268" s="121">
        <v>44827</v>
      </c>
      <c r="B1268" s="125">
        <v>157497157.19154552</v>
      </c>
      <c r="C1268" s="125">
        <v>65785286.316580094</v>
      </c>
      <c r="D1268" s="125">
        <v>64230069.308235377</v>
      </c>
      <c r="E1268" s="125">
        <v>62348932.660944507</v>
      </c>
      <c r="F1268" s="123">
        <v>192364288.28575999</v>
      </c>
      <c r="G1268" s="125">
        <v>0</v>
      </c>
      <c r="H1268" s="125">
        <v>1738.4996060312344</v>
      </c>
      <c r="I1268" s="125">
        <v>1062.9697740869374</v>
      </c>
      <c r="J1268" s="125">
        <v>604.888847328716</v>
      </c>
      <c r="K1268" s="125">
        <v>791.24724284133106</v>
      </c>
      <c r="L1268" s="164">
        <v>2459.1058642569847</v>
      </c>
      <c r="M1268" s="125">
        <v>-26</v>
      </c>
      <c r="N1268" s="115">
        <v>15037.5</v>
      </c>
      <c r="O1268" s="139">
        <v>3284.375</v>
      </c>
      <c r="P1268" s="125">
        <v>-424575</v>
      </c>
      <c r="Q1268" s="125">
        <v>0</v>
      </c>
      <c r="S1268" s="125">
        <v>-1.4600000000000002E-6</v>
      </c>
      <c r="T1268" s="125">
        <v>0</v>
      </c>
      <c r="U1268" s="125">
        <v>5830822.4826199999</v>
      </c>
      <c r="V1268" s="125">
        <v>-5.6999999999999994E-7</v>
      </c>
      <c r="W1268" s="142">
        <v>0</v>
      </c>
      <c r="X1268" s="142">
        <v>2.6764405065835408</v>
      </c>
      <c r="Y1268" s="142">
        <v>61594320.293839537</v>
      </c>
      <c r="Z1268" s="142">
        <v>423.78886191830821</v>
      </c>
    </row>
    <row r="1269" spans="1:26" s="141" customFormat="1">
      <c r="A1269" s="121">
        <v>44830</v>
      </c>
      <c r="B1269" s="125">
        <v>157850705.95637536</v>
      </c>
      <c r="C1269" s="125">
        <v>65384188.747649126</v>
      </c>
      <c r="D1269" s="125">
        <v>64028808.503319159</v>
      </c>
      <c r="E1269" s="125">
        <v>62206676.635488838</v>
      </c>
      <c r="F1269" s="123">
        <v>191619673.88645712</v>
      </c>
      <c r="G1269" s="125">
        <v>0</v>
      </c>
      <c r="H1269" s="125">
        <v>1744.3151243792249</v>
      </c>
      <c r="I1269" s="125">
        <v>1050.8756687919997</v>
      </c>
      <c r="J1269" s="125">
        <v>604.20231291637629</v>
      </c>
      <c r="K1269" s="125">
        <v>811.61426763043642</v>
      </c>
      <c r="L1269" s="164">
        <v>2466.6922493388124</v>
      </c>
      <c r="M1269" s="125">
        <v>-36</v>
      </c>
      <c r="N1269" s="115">
        <v>15127.5</v>
      </c>
      <c r="O1269" s="139">
        <v>3287.875</v>
      </c>
      <c r="P1269" s="125">
        <v>0</v>
      </c>
      <c r="Q1269" s="125">
        <v>0</v>
      </c>
      <c r="S1269" s="125">
        <v>-1.4600000000000002E-6</v>
      </c>
      <c r="T1269" s="125">
        <v>0</v>
      </c>
      <c r="U1269" s="125">
        <v>5316334.5226199999</v>
      </c>
      <c r="V1269" s="125">
        <v>-1.4699999999999999E-6</v>
      </c>
      <c r="W1269" s="142">
        <v>0</v>
      </c>
      <c r="X1269" s="142">
        <v>2.6630851072781354</v>
      </c>
      <c r="Y1269" s="142">
        <v>60226570.159682967</v>
      </c>
      <c r="Z1269" s="142">
        <v>423.19668764771831</v>
      </c>
    </row>
    <row r="1270" spans="1:26" s="141" customFormat="1">
      <c r="A1270" s="121">
        <v>44831</v>
      </c>
      <c r="B1270" s="125">
        <v>158614037.61533871</v>
      </c>
      <c r="C1270" s="125">
        <v>65406607.904070355</v>
      </c>
      <c r="D1270" s="125">
        <v>63880161.674389116</v>
      </c>
      <c r="E1270" s="125">
        <v>61926467.298396245</v>
      </c>
      <c r="F1270" s="123">
        <v>191213236.87685573</v>
      </c>
      <c r="G1270" s="125">
        <v>0</v>
      </c>
      <c r="H1270" s="125">
        <v>1718.704260341744</v>
      </c>
      <c r="I1270" s="125">
        <v>1028.7664236081582</v>
      </c>
      <c r="J1270" s="125">
        <v>611.89806142183147</v>
      </c>
      <c r="K1270" s="125">
        <v>812.24294743886628</v>
      </c>
      <c r="L1270" s="164">
        <v>2452.9074324688559</v>
      </c>
      <c r="M1270" s="125">
        <v>-36</v>
      </c>
      <c r="N1270" s="115">
        <v>15122.5</v>
      </c>
      <c r="O1270" s="139">
        <v>3279.3</v>
      </c>
      <c r="P1270" s="125">
        <v>0</v>
      </c>
      <c r="Q1270" s="125">
        <v>0</v>
      </c>
      <c r="S1270" s="125">
        <v>-1.4600000000000002E-6</v>
      </c>
      <c r="T1270" s="125">
        <v>0</v>
      </c>
      <c r="U1270" s="125">
        <v>5009175.9209700003</v>
      </c>
      <c r="V1270" s="125">
        <v>-1.42E-6</v>
      </c>
      <c r="W1270" s="142">
        <v>0</v>
      </c>
      <c r="X1270" s="142">
        <v>5.6629552669631353</v>
      </c>
      <c r="Y1270" s="142">
        <v>60136211.38329348</v>
      </c>
      <c r="Z1270" s="142">
        <v>422.20978848165049</v>
      </c>
    </row>
    <row r="1271" spans="1:26" s="141" customFormat="1">
      <c r="A1271" s="121">
        <v>44832</v>
      </c>
      <c r="B1271" s="125">
        <v>158805082.8046031</v>
      </c>
      <c r="C1271" s="125">
        <v>64915305.35477972</v>
      </c>
      <c r="D1271" s="125">
        <v>64651528.370896041</v>
      </c>
      <c r="E1271" s="125">
        <v>61725261.059766561</v>
      </c>
      <c r="F1271" s="123">
        <v>191292094.78544232</v>
      </c>
      <c r="G1271" s="125">
        <v>0</v>
      </c>
      <c r="H1271" s="125">
        <v>1711.7599926637527</v>
      </c>
      <c r="I1271" s="125">
        <v>997.50065007718513</v>
      </c>
      <c r="J1271" s="125">
        <v>609.62742562520282</v>
      </c>
      <c r="K1271" s="125">
        <v>816.19117139941909</v>
      </c>
      <c r="L1271" s="164">
        <v>2423.3192471018069</v>
      </c>
      <c r="M1271" s="125">
        <v>-26</v>
      </c>
      <c r="N1271" s="115">
        <v>15262.5</v>
      </c>
      <c r="O1271" s="139">
        <v>3299.29</v>
      </c>
      <c r="P1271" s="125">
        <v>0</v>
      </c>
      <c r="Q1271" s="125">
        <v>0</v>
      </c>
      <c r="S1271" s="125">
        <v>-1.4600000000000002E-6</v>
      </c>
      <c r="T1271" s="125">
        <v>0</v>
      </c>
      <c r="U1271" s="125">
        <v>4628384.807</v>
      </c>
      <c r="V1271" s="125">
        <v>-2.8199999999999997E-6</v>
      </c>
      <c r="W1271" s="142">
        <v>0</v>
      </c>
      <c r="X1271" s="142">
        <v>2.638656918869779</v>
      </c>
      <c r="Y1271" s="142">
        <v>60094003.83244165</v>
      </c>
      <c r="Z1271" s="142">
        <v>418.89531006156</v>
      </c>
    </row>
    <row r="1272" spans="1:26" s="141" customFormat="1">
      <c r="A1272" s="121">
        <v>44833</v>
      </c>
      <c r="B1272" s="125">
        <v>159751779.33484361</v>
      </c>
      <c r="C1272" s="125">
        <v>63285590.50258664</v>
      </c>
      <c r="D1272" s="125">
        <v>64569645.324116334</v>
      </c>
      <c r="E1272" s="125">
        <v>63414089.295607746</v>
      </c>
      <c r="F1272" s="123">
        <v>191269325.12231073</v>
      </c>
      <c r="G1272" s="125">
        <v>0</v>
      </c>
      <c r="H1272" s="125">
        <v>1716.6257133438287</v>
      </c>
      <c r="I1272" s="125">
        <v>992.76803458020584</v>
      </c>
      <c r="J1272" s="125">
        <v>611.30156199605938</v>
      </c>
      <c r="K1272" s="125">
        <v>817.08126820181064</v>
      </c>
      <c r="L1272" s="164">
        <v>2421.1508647780756</v>
      </c>
      <c r="M1272" s="125">
        <v>-18</v>
      </c>
      <c r="N1272" s="115">
        <v>15262.5</v>
      </c>
      <c r="O1272" s="139">
        <v>3284.0250000000001</v>
      </c>
      <c r="P1272" s="125">
        <v>0</v>
      </c>
      <c r="Q1272" s="125">
        <v>0</v>
      </c>
      <c r="S1272" s="125">
        <v>-468595.00000145996</v>
      </c>
      <c r="T1272" s="125">
        <v>0</v>
      </c>
      <c r="U1272" s="125">
        <v>3339436.1069999998</v>
      </c>
      <c r="V1272" s="125">
        <v>-2.8199999999999997E-6</v>
      </c>
      <c r="W1272" s="142">
        <v>0</v>
      </c>
      <c r="X1272" s="142">
        <v>2.6474579016707618</v>
      </c>
      <c r="Y1272" s="142">
        <v>60838283.706877209</v>
      </c>
      <c r="Z1272" s="142">
        <v>418.44013033375074</v>
      </c>
    </row>
    <row r="1273" spans="1:26" s="141" customFormat="1">
      <c r="A1273" s="121">
        <v>44834</v>
      </c>
      <c r="B1273" s="136">
        <v>163293185.377352</v>
      </c>
      <c r="C1273" s="136">
        <v>61215794.505223997</v>
      </c>
      <c r="D1273" s="136">
        <v>65532664.217970997</v>
      </c>
      <c r="E1273" s="136">
        <v>59117673.658434004</v>
      </c>
      <c r="F1273" s="137">
        <v>185866132.38162899</v>
      </c>
      <c r="G1273" s="125">
        <v>0</v>
      </c>
      <c r="H1273" s="136">
        <v>1726.2263050336562</v>
      </c>
      <c r="I1273" s="136">
        <v>954.3474256989</v>
      </c>
      <c r="J1273" s="136">
        <v>605.43922757609596</v>
      </c>
      <c r="K1273" s="136">
        <v>825.06201604649482</v>
      </c>
      <c r="L1273" s="165">
        <v>2384.8486693214909</v>
      </c>
      <c r="M1273" s="125">
        <v>0</v>
      </c>
      <c r="N1273" s="115">
        <v>15227.5</v>
      </c>
      <c r="O1273" s="139">
        <v>3292.08</v>
      </c>
      <c r="P1273" s="125">
        <v>0</v>
      </c>
      <c r="Q1273" s="125">
        <v>0</v>
      </c>
      <c r="S1273" s="125">
        <v>-7286156.700001739</v>
      </c>
      <c r="T1273" s="125">
        <v>0</v>
      </c>
      <c r="U1273" s="125">
        <v>2036297.277</v>
      </c>
      <c r="V1273" s="125">
        <v>-2.4700000000000001E-6</v>
      </c>
      <c r="W1273" s="142">
        <v>0</v>
      </c>
      <c r="X1273" s="142">
        <v>2.679784841526843</v>
      </c>
      <c r="Y1273" s="142">
        <v>60946689.821613722</v>
      </c>
      <c r="Z1273" s="142">
        <v>420.10276852116306</v>
      </c>
    </row>
    <row r="1274" spans="1:26" s="141" customFormat="1">
      <c r="A1274" s="121">
        <v>44837</v>
      </c>
      <c r="B1274" s="125">
        <v>160990981.66030306</v>
      </c>
      <c r="C1274" s="125">
        <v>59496366.368153915</v>
      </c>
      <c r="D1274" s="125">
        <v>64644832.875537321</v>
      </c>
      <c r="E1274" s="125">
        <v>58742196.010361806</v>
      </c>
      <c r="F1274" s="123">
        <v>182883395.25405306</v>
      </c>
      <c r="G1274" s="125">
        <v>0</v>
      </c>
      <c r="H1274" s="125">
        <v>1722.1339687417926</v>
      </c>
      <c r="I1274" s="125">
        <v>972.73004066621536</v>
      </c>
      <c r="J1274" s="125">
        <v>604.99595245475291</v>
      </c>
      <c r="K1274" s="125">
        <v>822.07759868236462</v>
      </c>
      <c r="L1274" s="164">
        <v>2399.8035918033329</v>
      </c>
      <c r="M1274" s="125">
        <v>0</v>
      </c>
      <c r="N1274" s="115">
        <v>15302.5</v>
      </c>
      <c r="O1274" s="139">
        <v>3291.5699999999997</v>
      </c>
      <c r="P1274" s="125">
        <v>0</v>
      </c>
      <c r="Q1274" s="125">
        <v>0</v>
      </c>
      <c r="S1274" s="125">
        <v>-7286156.700001739</v>
      </c>
      <c r="T1274" s="125">
        <v>0</v>
      </c>
      <c r="U1274" s="125">
        <v>2036297.277</v>
      </c>
      <c r="V1274" s="125">
        <v>-3.2200000000000001E-6</v>
      </c>
      <c r="W1274" s="142">
        <v>0</v>
      </c>
      <c r="X1274" s="142">
        <v>2.6737123156248979</v>
      </c>
      <c r="Y1274" s="142">
        <v>62239709.879620343</v>
      </c>
      <c r="Z1274" s="142">
        <v>418.09198497063682</v>
      </c>
    </row>
    <row r="1275" spans="1:26" s="141" customFormat="1">
      <c r="A1275" s="121">
        <v>44838</v>
      </c>
      <c r="B1275" s="125">
        <v>160522042.48684701</v>
      </c>
      <c r="C1275" s="125">
        <v>58172709.100024037</v>
      </c>
      <c r="D1275" s="125">
        <v>64553972.425997317</v>
      </c>
      <c r="E1275" s="125">
        <v>58748242.091348365</v>
      </c>
      <c r="F1275" s="123">
        <v>181474923.61736971</v>
      </c>
      <c r="G1275" s="125">
        <v>-400000</v>
      </c>
      <c r="H1275" s="125">
        <v>1730.2508575237034</v>
      </c>
      <c r="I1275" s="125">
        <v>978.89005473080351</v>
      </c>
      <c r="J1275" s="125">
        <v>614.92274086674934</v>
      </c>
      <c r="K1275" s="125">
        <v>842.92257077276679</v>
      </c>
      <c r="L1275" s="164">
        <v>2436.7353663703198</v>
      </c>
      <c r="M1275" s="125">
        <v>0</v>
      </c>
      <c r="N1275" s="115">
        <v>15247.5</v>
      </c>
      <c r="O1275" s="139">
        <v>3281.8599999999997</v>
      </c>
      <c r="P1275" s="125">
        <v>0</v>
      </c>
      <c r="Q1275" s="125">
        <v>0</v>
      </c>
      <c r="S1275" s="125">
        <v>-8269910.7000021599</v>
      </c>
      <c r="T1275" s="125">
        <v>0</v>
      </c>
      <c r="U1275" s="125">
        <v>1948659.3770000001</v>
      </c>
      <c r="V1275" s="125">
        <v>-2.6699999999999998E-6</v>
      </c>
      <c r="W1275" s="142">
        <v>0</v>
      </c>
      <c r="X1275" s="142">
        <v>2.6737113898770293</v>
      </c>
      <c r="Y1275" s="142">
        <v>62255130.354020029</v>
      </c>
      <c r="Z1275" s="142">
        <v>418.90337487915258</v>
      </c>
    </row>
    <row r="1276" spans="1:26" s="141" customFormat="1">
      <c r="A1276" s="121">
        <v>44839</v>
      </c>
      <c r="B1276" s="125">
        <v>159973550.0226948</v>
      </c>
      <c r="C1276" s="125">
        <v>58541511.224896289</v>
      </c>
      <c r="D1276" s="125">
        <v>63550857.382912219</v>
      </c>
      <c r="E1276" s="125">
        <v>58911285.590813518</v>
      </c>
      <c r="F1276" s="123">
        <v>181003654.19862202</v>
      </c>
      <c r="G1276" s="125">
        <v>-400000</v>
      </c>
      <c r="H1276" s="125">
        <v>1729.2761697119313</v>
      </c>
      <c r="I1276" s="125">
        <v>938.96973484533407</v>
      </c>
      <c r="J1276" s="125">
        <v>615.47099388486561</v>
      </c>
      <c r="K1276" s="125">
        <v>843.40556384379806</v>
      </c>
      <c r="L1276" s="164">
        <v>2397.8462925739977</v>
      </c>
      <c r="M1276" s="125">
        <v>0</v>
      </c>
      <c r="N1276" s="115">
        <v>15192.5</v>
      </c>
      <c r="O1276" s="139">
        <v>3278.4850000000001</v>
      </c>
      <c r="P1276" s="125">
        <v>0</v>
      </c>
      <c r="Q1276" s="125">
        <v>0</v>
      </c>
      <c r="S1276" s="125">
        <v>-9234746.2000021599</v>
      </c>
      <c r="T1276" s="125">
        <v>0</v>
      </c>
      <c r="U1276" s="125">
        <v>1948659.3770000001</v>
      </c>
      <c r="V1276" s="125">
        <v>-2.12E-6</v>
      </c>
      <c r="W1276" s="142">
        <v>0</v>
      </c>
      <c r="X1276" s="142">
        <v>2.6737153940727336</v>
      </c>
      <c r="Y1276" s="142">
        <v>61727340.726760507</v>
      </c>
      <c r="Z1276" s="142">
        <v>419.63737730022712</v>
      </c>
    </row>
    <row r="1277" spans="1:26" s="141" customFormat="1">
      <c r="A1277" s="121">
        <v>44840</v>
      </c>
      <c r="B1277" s="125">
        <v>159591300.65066493</v>
      </c>
      <c r="C1277" s="125">
        <v>57778799.581483915</v>
      </c>
      <c r="D1277" s="125">
        <v>63620394.684987336</v>
      </c>
      <c r="E1277" s="125">
        <v>59251719.181173578</v>
      </c>
      <c r="F1277" s="123">
        <v>180650913.44764483</v>
      </c>
      <c r="G1277" s="125">
        <v>-400000</v>
      </c>
      <c r="H1277" s="125">
        <v>1728.1134422470182</v>
      </c>
      <c r="I1277" s="125">
        <v>935.05298156686308</v>
      </c>
      <c r="J1277" s="125">
        <v>616.93884243232105</v>
      </c>
      <c r="K1277" s="125">
        <v>846.16889122673138</v>
      </c>
      <c r="L1277" s="164">
        <v>2398.1607152259157</v>
      </c>
      <c r="M1277" s="125">
        <v>0</v>
      </c>
      <c r="N1277" s="115">
        <v>15187.5</v>
      </c>
      <c r="O1277" s="139">
        <v>3278.8249999999998</v>
      </c>
      <c r="P1277" s="125">
        <v>0</v>
      </c>
      <c r="Q1277" s="125">
        <v>0</v>
      </c>
      <c r="S1277" s="125">
        <v>-8766151.2000021599</v>
      </c>
      <c r="T1277" s="125">
        <v>0</v>
      </c>
      <c r="U1277" s="125">
        <v>2034028.2929</v>
      </c>
      <c r="V1277" s="125">
        <v>-2.0699999999999997E-6</v>
      </c>
      <c r="W1277" s="142">
        <v>0</v>
      </c>
      <c r="X1277" s="142">
        <v>2.6737130659259263</v>
      </c>
      <c r="Y1277" s="142">
        <v>62143200.420436919</v>
      </c>
      <c r="Z1277" s="142">
        <v>417.91866153422427</v>
      </c>
    </row>
    <row r="1278" spans="1:26" s="141" customFormat="1">
      <c r="A1278" s="121">
        <v>44841</v>
      </c>
      <c r="B1278" s="125">
        <v>158955229.50258812</v>
      </c>
      <c r="C1278" s="125">
        <v>56852891.149565287</v>
      </c>
      <c r="D1278" s="125">
        <v>63737174.704041407</v>
      </c>
      <c r="E1278" s="125">
        <v>61995882.500986814</v>
      </c>
      <c r="F1278" s="123">
        <v>182585948.35459352</v>
      </c>
      <c r="G1278" s="125">
        <v>-1350000</v>
      </c>
      <c r="H1278" s="125">
        <v>1712.6921221775508</v>
      </c>
      <c r="I1278" s="125">
        <v>1087.8578624508968</v>
      </c>
      <c r="J1278" s="125">
        <v>611.34860072339825</v>
      </c>
      <c r="K1278" s="125">
        <v>753.7319095408933</v>
      </c>
      <c r="L1278" s="164">
        <v>2452.9383727151885</v>
      </c>
      <c r="M1278" s="125">
        <v>0</v>
      </c>
      <c r="N1278" s="115">
        <v>15252.5</v>
      </c>
      <c r="O1278" s="139">
        <v>3278.7</v>
      </c>
      <c r="P1278" s="125">
        <v>0</v>
      </c>
      <c r="Q1278" s="125">
        <v>0</v>
      </c>
      <c r="S1278" s="125">
        <v>-5402623.9000021601</v>
      </c>
      <c r="T1278" s="125">
        <v>0</v>
      </c>
      <c r="U1278" s="125">
        <v>2034028.2929</v>
      </c>
      <c r="V1278" s="125">
        <v>-2.7200000000000002E-6</v>
      </c>
      <c r="W1278" s="142">
        <v>0</v>
      </c>
      <c r="X1278" s="142">
        <v>2.6737137094148502</v>
      </c>
      <c r="Y1278" s="142">
        <v>61775632.906046286</v>
      </c>
      <c r="Z1278" s="142">
        <v>421.0253093369638</v>
      </c>
    </row>
    <row r="1279" spans="1:26" s="141" customFormat="1">
      <c r="A1279" s="121">
        <v>44844</v>
      </c>
      <c r="B1279" s="125">
        <v>158524364.68841136</v>
      </c>
      <c r="C1279" s="125">
        <v>60622669.114106238</v>
      </c>
      <c r="D1279" s="125">
        <v>63429904.183557361</v>
      </c>
      <c r="E1279" s="125">
        <v>63173039.552712038</v>
      </c>
      <c r="F1279" s="123">
        <v>187225612.85037565</v>
      </c>
      <c r="G1279" s="125">
        <v>-850000</v>
      </c>
      <c r="H1279" s="125">
        <v>1721.5634983891432</v>
      </c>
      <c r="I1279" s="125">
        <v>1066.9704722939523</v>
      </c>
      <c r="J1279" s="125">
        <v>613.97183674188386</v>
      </c>
      <c r="K1279" s="125">
        <v>748.51036016433306</v>
      </c>
      <c r="L1279" s="164">
        <v>2429.4526692001691</v>
      </c>
      <c r="M1279" s="125">
        <v>0</v>
      </c>
      <c r="N1279" s="115">
        <v>15312.5</v>
      </c>
      <c r="O1279" s="139">
        <v>3293.0150000000003</v>
      </c>
      <c r="P1279" s="125">
        <v>0</v>
      </c>
      <c r="Q1279" s="125">
        <v>0</v>
      </c>
      <c r="S1279" s="125">
        <v>-6851284.4000021601</v>
      </c>
      <c r="T1279" s="125">
        <v>0</v>
      </c>
      <c r="U1279" s="125">
        <v>1746509.1928999999</v>
      </c>
      <c r="V1279" s="125">
        <v>-3.32E-6</v>
      </c>
      <c r="W1279" s="142">
        <v>0</v>
      </c>
      <c r="X1279" s="142">
        <v>2.6673348951020412</v>
      </c>
      <c r="Y1279" s="142">
        <v>61235981.657572947</v>
      </c>
      <c r="Z1279" s="142">
        <v>420.99966994675339</v>
      </c>
    </row>
    <row r="1280" spans="1:26" s="141" customFormat="1">
      <c r="A1280" s="121">
        <v>44845</v>
      </c>
      <c r="B1280" s="125">
        <v>158034777.96059522</v>
      </c>
      <c r="C1280" s="125">
        <v>60531212.908331819</v>
      </c>
      <c r="D1280" s="125">
        <v>63118966.23783385</v>
      </c>
      <c r="E1280" s="125">
        <v>63820372.674192704</v>
      </c>
      <c r="F1280" s="123">
        <v>187470551.82035837</v>
      </c>
      <c r="G1280" s="125">
        <v>-450000</v>
      </c>
      <c r="H1280" s="125">
        <v>1765.4762663430697</v>
      </c>
      <c r="I1280" s="125">
        <v>995.04250580595328</v>
      </c>
      <c r="J1280" s="125">
        <v>617.24519713541656</v>
      </c>
      <c r="K1280" s="125">
        <v>747.02225289429396</v>
      </c>
      <c r="L1280" s="164">
        <v>2359.3099558356639</v>
      </c>
      <c r="M1280" s="125">
        <v>0</v>
      </c>
      <c r="N1280" s="115">
        <v>15357.5</v>
      </c>
      <c r="O1280" s="139">
        <v>3287.1350000000002</v>
      </c>
      <c r="P1280" s="125">
        <v>0</v>
      </c>
      <c r="Q1280" s="125">
        <v>0</v>
      </c>
      <c r="S1280" s="125">
        <v>-5867530.4000021601</v>
      </c>
      <c r="T1280" s="125">
        <v>0</v>
      </c>
      <c r="U1280" s="125">
        <v>1746509.1928999999</v>
      </c>
      <c r="V1280" s="125">
        <v>-3.7699999999999999E-6</v>
      </c>
      <c r="W1280" s="142">
        <v>0</v>
      </c>
      <c r="X1280" s="142">
        <v>2.6532802215562423</v>
      </c>
      <c r="Y1280" s="142">
        <v>61005447.258834809</v>
      </c>
      <c r="Z1280" s="142">
        <v>417.11634480477358</v>
      </c>
    </row>
    <row r="1281" spans="1:26" s="141" customFormat="1">
      <c r="A1281" s="121">
        <v>44846</v>
      </c>
      <c r="B1281" s="125">
        <v>157853188.39692491</v>
      </c>
      <c r="C1281" s="125">
        <v>63076466.67609714</v>
      </c>
      <c r="D1281" s="125">
        <v>63100722.577177554</v>
      </c>
      <c r="E1281" s="125">
        <v>64170580.921336353</v>
      </c>
      <c r="F1281" s="123">
        <v>190347770.17461103</v>
      </c>
      <c r="G1281" s="125">
        <v>-450000</v>
      </c>
      <c r="H1281" s="125">
        <v>1769.9101706133245</v>
      </c>
      <c r="I1281" s="125">
        <v>1029.9537411802798</v>
      </c>
      <c r="J1281" s="125">
        <v>618.67719280037829</v>
      </c>
      <c r="K1281" s="125">
        <v>745.52808631782852</v>
      </c>
      <c r="L1281" s="164">
        <v>2394.1590202984867</v>
      </c>
      <c r="M1281" s="125">
        <v>-5</v>
      </c>
      <c r="N1281" s="115">
        <v>15357.5</v>
      </c>
      <c r="O1281" s="139">
        <v>3279.7650000000003</v>
      </c>
      <c r="P1281" s="125">
        <v>0</v>
      </c>
      <c r="Q1281" s="125">
        <v>0</v>
      </c>
      <c r="S1281" s="125">
        <v>-5867530.4000021601</v>
      </c>
      <c r="T1281" s="125">
        <v>0</v>
      </c>
      <c r="U1281" s="125">
        <v>2094369.5098999999</v>
      </c>
      <c r="V1281" s="125">
        <v>-3.7699999999999999E-6</v>
      </c>
      <c r="W1281" s="142">
        <v>0</v>
      </c>
      <c r="X1281" s="142">
        <v>2.6578805796874492</v>
      </c>
      <c r="Y1281" s="142">
        <v>60866538.106221497</v>
      </c>
      <c r="Z1281" s="142">
        <v>415.39857506133939</v>
      </c>
    </row>
    <row r="1282" spans="1:26" s="141" customFormat="1">
      <c r="A1282" s="121">
        <v>44847</v>
      </c>
      <c r="B1282" s="125">
        <v>157391963.0671567</v>
      </c>
      <c r="C1282" s="125">
        <v>62755944.32873819</v>
      </c>
      <c r="D1282" s="125">
        <v>63223124.901864707</v>
      </c>
      <c r="E1282" s="125">
        <v>64215409.633956425</v>
      </c>
      <c r="F1282" s="123">
        <v>190194478.86455932</v>
      </c>
      <c r="G1282" s="125">
        <v>-450000</v>
      </c>
      <c r="H1282" s="125">
        <v>1755.9358219642916</v>
      </c>
      <c r="I1282" s="125">
        <v>992.27316390587464</v>
      </c>
      <c r="J1282" s="125">
        <v>617.94320670339278</v>
      </c>
      <c r="K1282" s="125">
        <v>744.33870607888969</v>
      </c>
      <c r="L1282" s="164">
        <v>2354.555076688157</v>
      </c>
      <c r="M1282" s="125">
        <v>0</v>
      </c>
      <c r="N1282" s="115">
        <v>15361.5</v>
      </c>
      <c r="O1282" s="139">
        <v>3274.3249999999998</v>
      </c>
      <c r="P1282" s="125">
        <v>0</v>
      </c>
      <c r="Q1282" s="125">
        <v>0</v>
      </c>
      <c r="S1282" s="125">
        <v>-5867530.4000021601</v>
      </c>
      <c r="T1282" s="125">
        <v>0</v>
      </c>
      <c r="U1282" s="125">
        <v>2999392.5699</v>
      </c>
      <c r="V1282" s="125">
        <v>-3.8099999999999999E-6</v>
      </c>
      <c r="W1282" s="142">
        <v>0</v>
      </c>
      <c r="X1282" s="142">
        <v>2.6522044820564399</v>
      </c>
      <c r="Y1282" s="142">
        <v>60783243.045642875</v>
      </c>
      <c r="Z1282" s="142">
        <v>415.26612218531938</v>
      </c>
    </row>
    <row r="1283" spans="1:26" s="141" customFormat="1">
      <c r="A1283" s="121">
        <v>44848</v>
      </c>
      <c r="B1283" s="125">
        <v>157606143.64272091</v>
      </c>
      <c r="C1283" s="125">
        <v>62482323.854497828</v>
      </c>
      <c r="D1283" s="125">
        <v>63283974.109415725</v>
      </c>
      <c r="E1283" s="125">
        <v>61934270.62487413</v>
      </c>
      <c r="F1283" s="123">
        <v>187700568.58878767</v>
      </c>
      <c r="G1283" s="125">
        <v>-200000</v>
      </c>
      <c r="H1283" s="125">
        <v>1754.9752605888609</v>
      </c>
      <c r="I1283" s="125">
        <v>948.46185044085234</v>
      </c>
      <c r="J1283" s="125">
        <v>614.84549263265637</v>
      </c>
      <c r="K1283" s="125">
        <v>750.13903471093965</v>
      </c>
      <c r="L1283" s="164">
        <v>2313.4463777844485</v>
      </c>
      <c r="M1283" s="125">
        <v>0</v>
      </c>
      <c r="N1283" s="115">
        <v>15426.5</v>
      </c>
      <c r="O1283" s="139">
        <v>3280.835</v>
      </c>
      <c r="P1283" s="125">
        <v>0</v>
      </c>
      <c r="Q1283" s="125">
        <v>0</v>
      </c>
      <c r="S1283" s="125">
        <v>-3395011.6500021601</v>
      </c>
      <c r="T1283" s="125">
        <v>0</v>
      </c>
      <c r="U1283" s="125">
        <v>4331830.2499000002</v>
      </c>
      <c r="V1283" s="125">
        <v>-4.4599999999999996E-6</v>
      </c>
      <c r="W1283" s="142">
        <v>0</v>
      </c>
      <c r="X1283" s="142">
        <v>2.6546050831497747</v>
      </c>
      <c r="Y1283" s="142">
        <v>60604229.367064096</v>
      </c>
      <c r="Z1283" s="142">
        <v>414.02554084922701</v>
      </c>
    </row>
    <row r="1284" spans="1:26" s="141" customFormat="1">
      <c r="A1284" s="121">
        <v>44851</v>
      </c>
      <c r="B1284" s="125">
        <v>157891009.256953</v>
      </c>
      <c r="C1284" s="125">
        <v>62709140.177038871</v>
      </c>
      <c r="D1284" s="125">
        <v>63203707.170117326</v>
      </c>
      <c r="E1284" s="125">
        <v>63319074.251538515</v>
      </c>
      <c r="F1284" s="123">
        <v>189231921.59869471</v>
      </c>
      <c r="G1284" s="125">
        <v>-200000</v>
      </c>
      <c r="H1284" s="125">
        <v>1751.4612591102496</v>
      </c>
      <c r="I1284" s="125">
        <v>945.73801883001215</v>
      </c>
      <c r="J1284" s="125">
        <v>617.22785263960714</v>
      </c>
      <c r="K1284" s="125">
        <v>750.32275564960923</v>
      </c>
      <c r="L1284" s="164">
        <v>2313.2886271192283</v>
      </c>
      <c r="M1284" s="125">
        <v>0</v>
      </c>
      <c r="N1284" s="115">
        <v>15487.5</v>
      </c>
      <c r="O1284" s="139">
        <v>3283.69</v>
      </c>
      <c r="P1284" s="125">
        <v>0</v>
      </c>
      <c r="Q1284" s="125">
        <v>0</v>
      </c>
      <c r="S1284" s="125">
        <v>-3395011.6500021601</v>
      </c>
      <c r="T1284" s="125">
        <v>0</v>
      </c>
      <c r="U1284" s="125">
        <v>4331830.2499000002</v>
      </c>
      <c r="V1284" s="125">
        <v>-5.0700000000000006E-6</v>
      </c>
      <c r="W1284" s="142">
        <v>0</v>
      </c>
      <c r="X1284" s="142">
        <v>2.6484844765617432</v>
      </c>
      <c r="Y1284" s="142">
        <v>60923413.252117231</v>
      </c>
      <c r="Z1284" s="142">
        <v>412.89609035977134</v>
      </c>
    </row>
    <row r="1285" spans="1:26" s="141" customFormat="1">
      <c r="A1285" s="121">
        <v>44852</v>
      </c>
      <c r="B1285" s="125">
        <v>157803303.6779063</v>
      </c>
      <c r="C1285" s="125">
        <v>62583561.46618282</v>
      </c>
      <c r="D1285" s="125">
        <v>62959178.045701027</v>
      </c>
      <c r="E1285" s="125">
        <v>63676013.723240383</v>
      </c>
      <c r="F1285" s="123">
        <v>189218753.23512423</v>
      </c>
      <c r="G1285" s="125">
        <v>-200000</v>
      </c>
      <c r="H1285" s="125">
        <v>1751.8355553459605</v>
      </c>
      <c r="I1285" s="125">
        <v>953.41668381016677</v>
      </c>
      <c r="J1285" s="125">
        <v>619.9413450105593</v>
      </c>
      <c r="K1285" s="125">
        <v>743.5368730112757</v>
      </c>
      <c r="L1285" s="164">
        <v>2316.8949018320018</v>
      </c>
      <c r="M1285" s="125">
        <v>0</v>
      </c>
      <c r="N1285" s="115">
        <v>15466.5</v>
      </c>
      <c r="O1285" s="139">
        <v>3279.58</v>
      </c>
      <c r="P1285" s="125">
        <v>0</v>
      </c>
      <c r="Q1285" s="125">
        <v>0</v>
      </c>
      <c r="S1285" s="125">
        <v>-3395011.6500021601</v>
      </c>
      <c r="T1285" s="125">
        <v>0</v>
      </c>
      <c r="U1285" s="125">
        <v>4331830.2499000002</v>
      </c>
      <c r="V1285" s="125">
        <v>-4.8600000000000001E-6</v>
      </c>
      <c r="W1285" s="142">
        <v>0</v>
      </c>
      <c r="X1285" s="142">
        <v>2.6521318204383668</v>
      </c>
      <c r="Y1285" s="142">
        <v>60602097.630751386</v>
      </c>
      <c r="Z1285" s="142">
        <v>412.15831311321716</v>
      </c>
    </row>
    <row r="1286" spans="1:26" s="141" customFormat="1">
      <c r="A1286" s="121">
        <v>44853</v>
      </c>
      <c r="B1286" s="125">
        <v>157729772.72811133</v>
      </c>
      <c r="C1286" s="125">
        <v>61248141.633759223</v>
      </c>
      <c r="D1286" s="125">
        <v>62930332.519701347</v>
      </c>
      <c r="E1286" s="125">
        <v>63344282.857678704</v>
      </c>
      <c r="F1286" s="123">
        <v>187522757.01113927</v>
      </c>
      <c r="G1286" s="125">
        <v>-200000</v>
      </c>
      <c r="H1286" s="125">
        <v>1751.8532201181083</v>
      </c>
      <c r="I1286" s="125">
        <v>947.90275464931347</v>
      </c>
      <c r="J1286" s="125">
        <v>618.54319305989998</v>
      </c>
      <c r="K1286" s="125">
        <v>747.01327161747804</v>
      </c>
      <c r="L1286" s="164">
        <v>2313.4592193266917</v>
      </c>
      <c r="M1286" s="125">
        <v>0</v>
      </c>
      <c r="N1286" s="115">
        <v>15498</v>
      </c>
      <c r="O1286" s="139">
        <v>3282.085</v>
      </c>
      <c r="P1286" s="125">
        <v>0</v>
      </c>
      <c r="Q1286" s="125">
        <v>0</v>
      </c>
      <c r="S1286" s="125">
        <v>-2430176.1500021601</v>
      </c>
      <c r="T1286" s="125">
        <v>0</v>
      </c>
      <c r="U1286" s="125">
        <v>4331830.2499000002</v>
      </c>
      <c r="V1286" s="125">
        <v>-5.1799999999999995E-6</v>
      </c>
      <c r="W1286" s="142">
        <v>0</v>
      </c>
      <c r="X1286" s="142">
        <v>2.643869795826558</v>
      </c>
      <c r="Y1286" s="142">
        <v>60282931.017412975</v>
      </c>
      <c r="Z1286" s="142">
        <v>412.09973752947155</v>
      </c>
    </row>
    <row r="1287" spans="1:26" s="141" customFormat="1">
      <c r="A1287" s="121">
        <v>44854</v>
      </c>
      <c r="B1287" s="125">
        <v>157783180.80561</v>
      </c>
      <c r="C1287" s="125">
        <v>61177382.378789566</v>
      </c>
      <c r="D1287" s="125">
        <v>62891500.271095879</v>
      </c>
      <c r="E1287" s="125">
        <v>63279355.368791476</v>
      </c>
      <c r="F1287" s="123">
        <v>187348238.01867694</v>
      </c>
      <c r="G1287" s="125">
        <v>-200000</v>
      </c>
      <c r="H1287" s="125">
        <v>1755.9149642400266</v>
      </c>
      <c r="I1287" s="125">
        <v>952.82032818829475</v>
      </c>
      <c r="J1287" s="125">
        <v>618.91563784619461</v>
      </c>
      <c r="K1287" s="125">
        <v>749.19800500578435</v>
      </c>
      <c r="L1287" s="164">
        <v>2320.9339710402737</v>
      </c>
      <c r="M1287" s="125">
        <v>0</v>
      </c>
      <c r="N1287" s="115">
        <v>15572.5</v>
      </c>
      <c r="O1287" s="139">
        <v>3293.5</v>
      </c>
      <c r="P1287" s="125">
        <v>0</v>
      </c>
      <c r="Q1287" s="125">
        <v>0</v>
      </c>
      <c r="S1287" s="125">
        <v>-2430176.1500021601</v>
      </c>
      <c r="T1287" s="125">
        <v>0</v>
      </c>
      <c r="U1287" s="125">
        <v>2993615.1899000001</v>
      </c>
      <c r="V1287" s="125">
        <v>-5.9200000000000001E-6</v>
      </c>
      <c r="W1287" s="142">
        <v>0</v>
      </c>
      <c r="X1287" s="142">
        <v>2.6395341298860169</v>
      </c>
      <c r="Y1287" s="142">
        <v>60410787.146767035</v>
      </c>
      <c r="Z1287" s="142">
        <v>411.77583747947716</v>
      </c>
    </row>
    <row r="1288" spans="1:26" s="141" customFormat="1">
      <c r="A1288" s="121">
        <v>44855</v>
      </c>
      <c r="B1288" s="125">
        <v>157660870.72380191</v>
      </c>
      <c r="C1288" s="125">
        <v>59955173.108172849</v>
      </c>
      <c r="D1288" s="125">
        <v>62987326.743338197</v>
      </c>
      <c r="E1288" s="125">
        <v>63679905.694769166</v>
      </c>
      <c r="F1288" s="123">
        <v>186622405.54628021</v>
      </c>
      <c r="G1288" s="125">
        <v>0</v>
      </c>
      <c r="H1288" s="125">
        <v>1769.0418745520212</v>
      </c>
      <c r="I1288" s="125">
        <v>985.29676013555559</v>
      </c>
      <c r="J1288" s="125">
        <v>612.65153551167691</v>
      </c>
      <c r="K1288" s="125">
        <v>744.6460466185066</v>
      </c>
      <c r="L1288" s="164">
        <v>2342.5943422657392</v>
      </c>
      <c r="M1288" s="125">
        <v>0</v>
      </c>
      <c r="N1288" s="115">
        <v>15632.5</v>
      </c>
      <c r="O1288" s="139">
        <v>3300.085</v>
      </c>
      <c r="P1288" s="125">
        <v>0</v>
      </c>
      <c r="Q1288" s="125">
        <v>0</v>
      </c>
      <c r="S1288" s="125">
        <v>-1448660.50000216</v>
      </c>
      <c r="T1288" s="125">
        <v>0</v>
      </c>
      <c r="U1288" s="125">
        <v>1485175.8769</v>
      </c>
      <c r="V1288" s="125">
        <v>-6.5199999999999994E-6</v>
      </c>
      <c r="W1288" s="142">
        <v>0</v>
      </c>
      <c r="X1288" s="142">
        <v>2.6355232666592037</v>
      </c>
      <c r="Y1288" s="142">
        <v>60356292.264938615</v>
      </c>
      <c r="Z1288" s="142">
        <v>410.79138693996043</v>
      </c>
    </row>
    <row r="1289" spans="1:26" s="141" customFormat="1">
      <c r="A1289" s="121">
        <v>44858</v>
      </c>
      <c r="B1289" s="125">
        <v>157902882.69438055</v>
      </c>
      <c r="C1289" s="125">
        <v>63102144.487226665</v>
      </c>
      <c r="D1289" s="125">
        <v>62743252.697928816</v>
      </c>
      <c r="E1289" s="125">
        <v>63867479.271091029</v>
      </c>
      <c r="F1289" s="123">
        <v>189712876.4562465</v>
      </c>
      <c r="G1289" s="125">
        <v>0</v>
      </c>
      <c r="H1289" s="125">
        <v>1764.9395402579644</v>
      </c>
      <c r="I1289" s="125">
        <v>968.41849254225599</v>
      </c>
      <c r="J1289" s="125">
        <v>614.59649115413629</v>
      </c>
      <c r="K1289" s="125">
        <v>738.98331371473341</v>
      </c>
      <c r="L1289" s="164">
        <v>2321.9982974111258</v>
      </c>
      <c r="M1289" s="125">
        <v>0</v>
      </c>
      <c r="N1289" s="115">
        <v>15587</v>
      </c>
      <c r="O1289" s="139">
        <v>3289.7849999999999</v>
      </c>
      <c r="P1289" s="125">
        <v>0</v>
      </c>
      <c r="Q1289" s="125">
        <v>0</v>
      </c>
      <c r="S1289" s="125">
        <v>-2.1600000000000001E-6</v>
      </c>
      <c r="T1289" s="125">
        <v>0</v>
      </c>
      <c r="U1289" s="125">
        <v>1746861.4069000001</v>
      </c>
      <c r="V1289" s="125">
        <v>-6.0700000000000003E-6</v>
      </c>
      <c r="W1289" s="142">
        <v>0</v>
      </c>
      <c r="X1289" s="142">
        <v>2.6323458106871112</v>
      </c>
      <c r="Y1289" s="142">
        <v>60152865.533764072</v>
      </c>
      <c r="Z1289" s="142">
        <v>410.45407357555467</v>
      </c>
    </row>
    <row r="1290" spans="1:26" s="141" customFormat="1">
      <c r="A1290" s="121">
        <v>44859</v>
      </c>
      <c r="B1290" s="125">
        <v>158199570.13309565</v>
      </c>
      <c r="C1290" s="125">
        <v>61721601.633645177</v>
      </c>
      <c r="D1290" s="125">
        <v>63304110.130351841</v>
      </c>
      <c r="E1290" s="125">
        <v>63375019.573731542</v>
      </c>
      <c r="F1290" s="123">
        <v>188400731.33772856</v>
      </c>
      <c r="G1290" s="125">
        <v>0</v>
      </c>
      <c r="H1290" s="125">
        <v>1760.4754680003039</v>
      </c>
      <c r="I1290" s="125">
        <v>950.36487225844928</v>
      </c>
      <c r="J1290" s="125">
        <v>614.50492173555767</v>
      </c>
      <c r="K1290" s="125">
        <v>783.35188685839296</v>
      </c>
      <c r="L1290" s="164">
        <v>2348.2216808523999</v>
      </c>
      <c r="M1290" s="125">
        <v>0</v>
      </c>
      <c r="N1290" s="115">
        <v>15622.5</v>
      </c>
      <c r="O1290" s="139">
        <v>3297.28</v>
      </c>
      <c r="P1290" s="125">
        <v>0</v>
      </c>
      <c r="Q1290" s="125">
        <v>0</v>
      </c>
      <c r="S1290" s="125">
        <v>-2.1600000000000001E-6</v>
      </c>
      <c r="T1290" s="125">
        <v>0</v>
      </c>
      <c r="U1290" s="125">
        <v>1628179.9669000001</v>
      </c>
      <c r="V1290" s="125">
        <v>-6.4299999999999994E-6</v>
      </c>
      <c r="W1290" s="142">
        <v>0</v>
      </c>
      <c r="X1290" s="142">
        <v>2.6186291947287565</v>
      </c>
      <c r="Y1290" s="142">
        <v>60225732.267172322</v>
      </c>
      <c r="Z1290" s="142">
        <v>408.87503517405912</v>
      </c>
    </row>
    <row r="1291" spans="1:26" s="141" customFormat="1">
      <c r="A1291" s="121">
        <v>44860</v>
      </c>
      <c r="B1291" s="125">
        <v>158551610.93589956</v>
      </c>
      <c r="C1291" s="125">
        <v>61252138.383472942</v>
      </c>
      <c r="D1291" s="125">
        <v>63604077.283333093</v>
      </c>
      <c r="E1291" s="125">
        <v>63234296.6728203</v>
      </c>
      <c r="F1291" s="123">
        <v>188090512.33962634</v>
      </c>
      <c r="G1291" s="125">
        <v>0</v>
      </c>
      <c r="H1291" s="125">
        <v>1766.7499434417412</v>
      </c>
      <c r="I1291" s="125">
        <v>942.43693898947492</v>
      </c>
      <c r="J1291" s="125">
        <v>616.51288329391639</v>
      </c>
      <c r="K1291" s="125">
        <v>785.22957767926346</v>
      </c>
      <c r="L1291" s="164">
        <v>2344.1793999626548</v>
      </c>
      <c r="M1291" s="125">
        <v>0</v>
      </c>
      <c r="N1291" s="115">
        <v>15569.5</v>
      </c>
      <c r="O1291" s="139">
        <v>3300.0250000000001</v>
      </c>
      <c r="P1291" s="125">
        <v>0</v>
      </c>
      <c r="Q1291" s="125">
        <v>0</v>
      </c>
      <c r="S1291" s="125">
        <v>-2.1600000000000001E-6</v>
      </c>
      <c r="T1291" s="125">
        <v>0</v>
      </c>
      <c r="U1291" s="125">
        <v>1906434.1069</v>
      </c>
      <c r="V1291" s="125">
        <v>-5.9000000000000003E-6</v>
      </c>
      <c r="W1291" s="142">
        <v>0</v>
      </c>
      <c r="X1291" s="142">
        <v>2.6423133611374805</v>
      </c>
      <c r="Y1291" s="142">
        <v>60248316.360044837</v>
      </c>
      <c r="Z1291" s="142">
        <v>408.23999706957767</v>
      </c>
    </row>
    <row r="1292" spans="1:26" s="141" customFormat="1">
      <c r="A1292" s="121">
        <v>44861</v>
      </c>
      <c r="B1292" s="125">
        <v>158906491.83477122</v>
      </c>
      <c r="C1292" s="125">
        <v>60498805.150222927</v>
      </c>
      <c r="D1292" s="125">
        <v>63554954.663685404</v>
      </c>
      <c r="E1292" s="125">
        <v>65106099.589226902</v>
      </c>
      <c r="F1292" s="123">
        <v>189159859.40313524</v>
      </c>
      <c r="G1292" s="125">
        <v>0</v>
      </c>
      <c r="H1292" s="125">
        <v>1766.5215110218292</v>
      </c>
      <c r="I1292" s="125">
        <v>939.84976104262341</v>
      </c>
      <c r="J1292" s="125">
        <v>617.28321594065426</v>
      </c>
      <c r="K1292" s="125">
        <v>790.38165289559583</v>
      </c>
      <c r="L1292" s="164">
        <v>2347.5146298788736</v>
      </c>
      <c r="M1292" s="125">
        <v>0</v>
      </c>
      <c r="N1292" s="115">
        <v>15567.5</v>
      </c>
      <c r="O1292" s="139">
        <v>3302.75</v>
      </c>
      <c r="P1292" s="125">
        <v>0</v>
      </c>
      <c r="Q1292" s="125">
        <v>0</v>
      </c>
      <c r="S1292" s="125">
        <v>-2.1600000000000001E-6</v>
      </c>
      <c r="T1292" s="125">
        <v>0</v>
      </c>
      <c r="U1292" s="125">
        <v>1906434.1069</v>
      </c>
      <c r="V1292" s="125">
        <v>-5.8799999999999996E-6</v>
      </c>
      <c r="W1292" s="142">
        <v>0</v>
      </c>
      <c r="X1292" s="142">
        <v>2.6397280425212784</v>
      </c>
      <c r="Y1292" s="142">
        <v>61302682.502722397</v>
      </c>
      <c r="Z1292" s="142">
        <v>407.61243303097353</v>
      </c>
    </row>
    <row r="1293" spans="1:26" s="141" customFormat="1">
      <c r="A1293" s="121">
        <v>44862</v>
      </c>
      <c r="B1293" s="125">
        <v>159028203.72103506</v>
      </c>
      <c r="C1293" s="125">
        <v>59397861.264537439</v>
      </c>
      <c r="D1293" s="125">
        <v>63536060.334366605</v>
      </c>
      <c r="E1293" s="125">
        <v>63532214.059703618</v>
      </c>
      <c r="F1293" s="123">
        <v>186466135.65860766</v>
      </c>
      <c r="G1293" s="125">
        <v>0</v>
      </c>
      <c r="H1293" s="125">
        <v>1774.6019607466396</v>
      </c>
      <c r="I1293" s="125">
        <v>926.10846426059618</v>
      </c>
      <c r="J1293" s="125">
        <v>612.61548386507502</v>
      </c>
      <c r="K1293" s="125">
        <v>804.4312648736236</v>
      </c>
      <c r="L1293" s="164">
        <v>2343.1552129992947</v>
      </c>
      <c r="M1293" s="125">
        <v>0</v>
      </c>
      <c r="N1293" s="115">
        <v>15551.5</v>
      </c>
      <c r="O1293" s="139">
        <v>3293.0650000000001</v>
      </c>
      <c r="P1293" s="125">
        <v>0</v>
      </c>
      <c r="Q1293" s="125">
        <v>0</v>
      </c>
      <c r="S1293" s="125">
        <v>-2.1600000000000001E-6</v>
      </c>
      <c r="T1293" s="125">
        <v>0</v>
      </c>
      <c r="U1293" s="125">
        <v>2091617.0669</v>
      </c>
      <c r="V1293" s="125">
        <v>-5.7199999999999994E-6</v>
      </c>
      <c r="W1293" s="142">
        <v>0</v>
      </c>
      <c r="X1293" s="142">
        <v>2.6358816646439251</v>
      </c>
      <c r="Y1293" s="142">
        <v>61456882.411505625</v>
      </c>
      <c r="Z1293" s="142">
        <v>405.46001854088615</v>
      </c>
    </row>
    <row r="1294" spans="1:26" s="141" customFormat="1">
      <c r="A1294" s="121">
        <v>44865</v>
      </c>
      <c r="B1294" s="136">
        <v>161190159.97379801</v>
      </c>
      <c r="C1294" s="136">
        <v>59501493.555257</v>
      </c>
      <c r="D1294" s="136">
        <v>63856251.969074003</v>
      </c>
      <c r="E1294" s="136">
        <v>63761518.454879999</v>
      </c>
      <c r="F1294" s="137">
        <v>187119263.979211</v>
      </c>
      <c r="G1294" s="125">
        <v>0</v>
      </c>
      <c r="H1294" s="136">
        <v>1764.3780913377145</v>
      </c>
      <c r="I1294" s="136">
        <v>979.68777255842281</v>
      </c>
      <c r="J1294" s="136">
        <v>612.45901686334344</v>
      </c>
      <c r="K1294" s="136">
        <v>819.24596001679754</v>
      </c>
      <c r="L1294" s="165">
        <v>2411.3927494385639</v>
      </c>
      <c r="M1294" s="125">
        <v>0</v>
      </c>
      <c r="N1294" s="115">
        <v>15597.5</v>
      </c>
      <c r="O1294" s="139">
        <v>3298.2650000000003</v>
      </c>
      <c r="P1294" s="125">
        <v>0</v>
      </c>
      <c r="Q1294" s="125">
        <v>0</v>
      </c>
      <c r="S1294" s="125">
        <v>-949022.00000224996</v>
      </c>
      <c r="T1294" s="125">
        <v>0</v>
      </c>
      <c r="U1294" s="125">
        <v>2091617.0669</v>
      </c>
      <c r="V1294" s="125">
        <v>-6.1800000000000001E-6</v>
      </c>
      <c r="W1294" s="142">
        <v>0</v>
      </c>
      <c r="X1294" s="142">
        <v>2.6231312656611632</v>
      </c>
      <c r="Y1294" s="142">
        <v>62190135.137541838</v>
      </c>
      <c r="Z1294" s="142">
        <v>404.12044880407052</v>
      </c>
    </row>
    <row r="1295" spans="1:26" s="141" customFormat="1">
      <c r="A1295" s="121">
        <v>44866</v>
      </c>
      <c r="B1295" s="125">
        <v>159658848.09521246</v>
      </c>
      <c r="C1295" s="125">
        <v>59349650.669354096</v>
      </c>
      <c r="D1295" s="125">
        <v>63459057.136421673</v>
      </c>
      <c r="E1295" s="125">
        <v>63878345.861561</v>
      </c>
      <c r="F1295" s="123">
        <v>186687053.66733676</v>
      </c>
      <c r="G1295" s="125">
        <v>-1150000</v>
      </c>
      <c r="H1295" s="125">
        <v>1763.9997234871619</v>
      </c>
      <c r="I1295" s="125">
        <v>998.45081997706279</v>
      </c>
      <c r="J1295" s="125">
        <v>610.5459507359808</v>
      </c>
      <c r="K1295" s="125">
        <v>820.29780345638051</v>
      </c>
      <c r="L1295" s="164">
        <v>2429.2945741694239</v>
      </c>
      <c r="M1295" s="125">
        <v>0</v>
      </c>
      <c r="N1295" s="115">
        <v>15627.5</v>
      </c>
      <c r="O1295" s="139">
        <v>3301.4650000000001</v>
      </c>
      <c r="P1295" s="125">
        <v>-274210.11900000001</v>
      </c>
      <c r="Q1295" s="125">
        <v>0</v>
      </c>
      <c r="S1295" s="125">
        <v>-3838215.40000288</v>
      </c>
      <c r="T1295" s="125">
        <v>0</v>
      </c>
      <c r="U1295" s="125">
        <v>2091617.0669</v>
      </c>
      <c r="V1295" s="125">
        <v>-6.4800000000000006E-6</v>
      </c>
      <c r="W1295" s="142">
        <v>0</v>
      </c>
      <c r="X1295" s="142">
        <v>22.557855609044957</v>
      </c>
      <c r="Y1295" s="142">
        <v>62086799.127701916</v>
      </c>
      <c r="Z1295" s="142">
        <v>405.01991838652435</v>
      </c>
    </row>
    <row r="1296" spans="1:26" s="141" customFormat="1">
      <c r="A1296" s="121">
        <v>44867</v>
      </c>
      <c r="B1296" s="125">
        <v>159534631.7496511</v>
      </c>
      <c r="C1296" s="125">
        <v>59569969.344925836</v>
      </c>
      <c r="D1296" s="125">
        <v>63205726.451346219</v>
      </c>
      <c r="E1296" s="125">
        <v>63348532.493285924</v>
      </c>
      <c r="F1296" s="123">
        <v>186124228.28955799</v>
      </c>
      <c r="G1296" s="125">
        <v>-1150000</v>
      </c>
      <c r="H1296" s="125">
        <v>1732.4982547979544</v>
      </c>
      <c r="I1296" s="125">
        <v>997.13636349636045</v>
      </c>
      <c r="J1296" s="125">
        <v>608.34718824006109</v>
      </c>
      <c r="K1296" s="125">
        <v>821.4466206274667</v>
      </c>
      <c r="L1296" s="164">
        <v>2426.9301723638882</v>
      </c>
      <c r="M1296" s="125">
        <v>0</v>
      </c>
      <c r="N1296" s="115">
        <v>15647.5</v>
      </c>
      <c r="O1296" s="139">
        <v>3301.16</v>
      </c>
      <c r="P1296" s="125">
        <v>-274210.11900000001</v>
      </c>
      <c r="Q1296" s="125">
        <v>0</v>
      </c>
      <c r="S1296" s="125">
        <v>-3838215.40000288</v>
      </c>
      <c r="T1296" s="125">
        <v>0</v>
      </c>
      <c r="U1296" s="125">
        <v>2184476.7969</v>
      </c>
      <c r="V1296" s="125">
        <v>-6.6799999999999996E-6</v>
      </c>
      <c r="W1296" s="142">
        <v>0</v>
      </c>
      <c r="X1296" s="142">
        <v>17.511738569940889</v>
      </c>
      <c r="Y1296" s="142">
        <v>62146071.532316744</v>
      </c>
      <c r="Z1296" s="142">
        <v>404.69770633277585</v>
      </c>
    </row>
    <row r="1297" spans="1:26" s="141" customFormat="1">
      <c r="A1297" s="121">
        <v>44868</v>
      </c>
      <c r="B1297" s="125">
        <v>159496843.12498268</v>
      </c>
      <c r="C1297" s="125">
        <v>59483615.767244056</v>
      </c>
      <c r="D1297" s="125">
        <v>63300708.906968132</v>
      </c>
      <c r="E1297" s="125">
        <v>63634882.573067889</v>
      </c>
      <c r="F1297" s="123">
        <v>186419207.24728006</v>
      </c>
      <c r="G1297" s="125">
        <v>-1150000</v>
      </c>
      <c r="H1297" s="125">
        <v>1730.4343697608128</v>
      </c>
      <c r="I1297" s="125">
        <v>1018.9537770244497</v>
      </c>
      <c r="J1297" s="125">
        <v>608.94196011264114</v>
      </c>
      <c r="K1297" s="125">
        <v>821.02803552786679</v>
      </c>
      <c r="L1297" s="164">
        <v>2448.9237726649576</v>
      </c>
      <c r="M1297" s="125">
        <v>0</v>
      </c>
      <c r="N1297" s="115">
        <v>15696.5</v>
      </c>
      <c r="O1297" s="139">
        <v>3307.31</v>
      </c>
      <c r="P1297" s="125">
        <v>-274210.11900000001</v>
      </c>
      <c r="Q1297" s="125">
        <v>0</v>
      </c>
      <c r="S1297" s="125">
        <v>-3838215.40000288</v>
      </c>
      <c r="T1297" s="125">
        <v>0</v>
      </c>
      <c r="U1297" s="125">
        <v>2184476.7969</v>
      </c>
      <c r="V1297" s="125">
        <v>-7.17E-6</v>
      </c>
      <c r="W1297" s="142">
        <v>0</v>
      </c>
      <c r="X1297" s="142">
        <v>12.40011326365814</v>
      </c>
      <c r="Y1297" s="142">
        <v>62800658.355265938</v>
      </c>
      <c r="Z1297" s="142">
        <v>404.51531816577398</v>
      </c>
    </row>
    <row r="1298" spans="1:26" s="141" customFormat="1">
      <c r="A1298" s="121">
        <v>44869</v>
      </c>
      <c r="B1298" s="125">
        <v>159167519.88790017</v>
      </c>
      <c r="C1298" s="125">
        <v>58033573.61102169</v>
      </c>
      <c r="D1298" s="125">
        <v>62602803.097294025</v>
      </c>
      <c r="E1298" s="125">
        <v>64491485.651586473</v>
      </c>
      <c r="F1298" s="123">
        <v>185127862.3599022</v>
      </c>
      <c r="G1298" s="125">
        <v>-1150000</v>
      </c>
      <c r="H1298" s="125">
        <v>1724.6220258726989</v>
      </c>
      <c r="I1298" s="125">
        <v>1011.1365210362208</v>
      </c>
      <c r="J1298" s="125">
        <v>606.75194385813302</v>
      </c>
      <c r="K1298" s="125">
        <v>833.9715617728167</v>
      </c>
      <c r="L1298" s="164">
        <v>2451.8600266671706</v>
      </c>
      <c r="M1298" s="125">
        <v>0</v>
      </c>
      <c r="N1298" s="115">
        <v>15737.5</v>
      </c>
      <c r="O1298" s="139">
        <v>3314.5550000000003</v>
      </c>
      <c r="P1298" s="125">
        <v>-274210.11900000001</v>
      </c>
      <c r="Q1298" s="125">
        <v>0</v>
      </c>
      <c r="S1298" s="125">
        <v>-3838215.40000288</v>
      </c>
      <c r="T1298" s="125">
        <v>0</v>
      </c>
      <c r="U1298" s="125">
        <v>2417230.9468999999</v>
      </c>
      <c r="V1298" s="125">
        <v>-7.5800000000000003E-6</v>
      </c>
      <c r="W1298" s="142">
        <v>0</v>
      </c>
      <c r="X1298" s="142">
        <v>29.730775225782367</v>
      </c>
      <c r="Y1298" s="142">
        <v>62695666.729485251</v>
      </c>
      <c r="Z1298" s="142">
        <v>405.56563827503021</v>
      </c>
    </row>
    <row r="1299" spans="1:26" s="141" customFormat="1">
      <c r="A1299" s="121">
        <v>44872</v>
      </c>
      <c r="B1299" s="125">
        <v>158822531.87264317</v>
      </c>
      <c r="C1299" s="125">
        <v>59974944.479149349</v>
      </c>
      <c r="D1299" s="125">
        <v>62446896.787219882</v>
      </c>
      <c r="E1299" s="125">
        <v>62285707.777049907</v>
      </c>
      <c r="F1299" s="123">
        <v>184707549.04341912</v>
      </c>
      <c r="G1299" s="125">
        <v>-1150000</v>
      </c>
      <c r="H1299" s="125">
        <v>1728.5693580452746</v>
      </c>
      <c r="I1299" s="125">
        <v>1003.4324320352983</v>
      </c>
      <c r="J1299" s="125">
        <v>604.95851915931894</v>
      </c>
      <c r="K1299" s="125">
        <v>830.01006296211915</v>
      </c>
      <c r="L1299" s="164">
        <v>2438.4010141567364</v>
      </c>
      <c r="M1299" s="125">
        <v>0</v>
      </c>
      <c r="N1299" s="115">
        <v>15707.5</v>
      </c>
      <c r="O1299" s="139">
        <v>3309.98</v>
      </c>
      <c r="P1299" s="125">
        <v>-818047.96900000004</v>
      </c>
      <c r="Q1299" s="125">
        <v>0</v>
      </c>
      <c r="S1299" s="125">
        <v>-3732493.40000288</v>
      </c>
      <c r="T1299" s="125">
        <v>0</v>
      </c>
      <c r="U1299" s="125">
        <v>2415382.031</v>
      </c>
      <c r="V1299" s="125">
        <v>-7.2800000000000006E-6</v>
      </c>
      <c r="W1299" s="142">
        <v>0</v>
      </c>
      <c r="X1299" s="142">
        <v>18.973813560499757</v>
      </c>
      <c r="Y1299" s="142">
        <v>61572583.114881717</v>
      </c>
      <c r="Z1299" s="142">
        <v>406.68396197608712</v>
      </c>
    </row>
    <row r="1300" spans="1:26" s="141" customFormat="1">
      <c r="A1300" s="121">
        <v>44873</v>
      </c>
      <c r="B1300" s="125">
        <v>158615361.66541886</v>
      </c>
      <c r="C1300" s="125">
        <v>60740584.461203344</v>
      </c>
      <c r="D1300" s="125">
        <v>62220474.522094823</v>
      </c>
      <c r="E1300" s="125">
        <v>62249099.304535612</v>
      </c>
      <c r="F1300" s="123">
        <v>185210158.28783378</v>
      </c>
      <c r="G1300" s="125">
        <v>-800000</v>
      </c>
      <c r="H1300" s="125">
        <v>1727.6602548085109</v>
      </c>
      <c r="I1300" s="125">
        <v>1007.985776350779</v>
      </c>
      <c r="J1300" s="125">
        <v>606.86150336600508</v>
      </c>
      <c r="K1300" s="125">
        <v>847.00474459417819</v>
      </c>
      <c r="L1300" s="164">
        <v>2461.8520243109624</v>
      </c>
      <c r="M1300" s="125">
        <v>0</v>
      </c>
      <c r="N1300" s="115">
        <v>15697.5</v>
      </c>
      <c r="O1300" s="139">
        <v>3309.9650000000001</v>
      </c>
      <c r="P1300" s="125">
        <v>-876953.05</v>
      </c>
      <c r="Q1300" s="125">
        <v>0</v>
      </c>
      <c r="S1300" s="125">
        <v>-2730854.9000030402</v>
      </c>
      <c r="T1300" s="125">
        <v>0</v>
      </c>
      <c r="U1300" s="125">
        <v>2987042.7059999998</v>
      </c>
      <c r="V1300" s="125">
        <v>-7.1799999999999999E-6</v>
      </c>
      <c r="W1300" s="142">
        <v>0</v>
      </c>
      <c r="X1300" s="142">
        <v>14.086640779114509</v>
      </c>
      <c r="Y1300" s="142">
        <v>61292957.70069284</v>
      </c>
      <c r="Z1300" s="142">
        <v>406.12475890344331</v>
      </c>
    </row>
    <row r="1301" spans="1:26" s="141" customFormat="1">
      <c r="A1301" s="121">
        <v>44874</v>
      </c>
      <c r="B1301" s="125">
        <v>158986687.21864781</v>
      </c>
      <c r="C1301" s="125">
        <v>60783737.806642205</v>
      </c>
      <c r="D1301" s="125">
        <v>62870695.525443368</v>
      </c>
      <c r="E1301" s="125">
        <v>62468857.721204728</v>
      </c>
      <c r="F1301" s="123">
        <v>186123291.05329031</v>
      </c>
      <c r="G1301" s="125">
        <v>-800000</v>
      </c>
      <c r="H1301" s="125">
        <v>1622.8505038094593</v>
      </c>
      <c r="I1301" s="125">
        <v>1013.8360563642151</v>
      </c>
      <c r="J1301" s="125">
        <v>584.14112960357409</v>
      </c>
      <c r="K1301" s="125">
        <v>851.67262936225427</v>
      </c>
      <c r="L1301" s="164">
        <v>2449.6498153300436</v>
      </c>
      <c r="M1301" s="125">
        <v>0</v>
      </c>
      <c r="N1301" s="115">
        <v>15659.5</v>
      </c>
      <c r="O1301" s="139">
        <v>3328.2650000000003</v>
      </c>
      <c r="P1301" s="125">
        <v>-876953.05</v>
      </c>
      <c r="Q1301" s="125">
        <v>0</v>
      </c>
      <c r="S1301" s="125">
        <v>-3473754.4000030402</v>
      </c>
      <c r="T1301" s="125">
        <v>0</v>
      </c>
      <c r="U1301" s="125">
        <v>3177594.5260000001</v>
      </c>
      <c r="V1301" s="125">
        <v>-6.8000000000000001E-6</v>
      </c>
      <c r="W1301" s="142">
        <v>0</v>
      </c>
      <c r="X1301" s="142">
        <v>24.198565964355822</v>
      </c>
      <c r="Y1301" s="142">
        <v>61500572.184491783</v>
      </c>
      <c r="Z1301" s="142">
        <v>405.98837745897833</v>
      </c>
    </row>
    <row r="1302" spans="1:26" s="141" customFormat="1">
      <c r="A1302" s="121">
        <v>44875</v>
      </c>
      <c r="B1302" s="125">
        <v>158521298.69200274</v>
      </c>
      <c r="C1302" s="125">
        <v>60447308.797791243</v>
      </c>
      <c r="D1302" s="125">
        <v>62999219.173553385</v>
      </c>
      <c r="E1302" s="125">
        <v>61549776.490997821</v>
      </c>
      <c r="F1302" s="123">
        <v>184996304.46234244</v>
      </c>
      <c r="G1302" s="125">
        <v>-800000</v>
      </c>
      <c r="H1302" s="125">
        <v>1586.4586231055948</v>
      </c>
      <c r="I1302" s="125">
        <v>959.28173034119175</v>
      </c>
      <c r="J1302" s="125">
        <v>580.99632223721585</v>
      </c>
      <c r="K1302" s="125">
        <v>856.53374250873503</v>
      </c>
      <c r="L1302" s="164">
        <v>2396.8117950871429</v>
      </c>
      <c r="M1302" s="125">
        <v>0</v>
      </c>
      <c r="N1302" s="115">
        <v>15691</v>
      </c>
      <c r="O1302" s="139">
        <v>3336.38</v>
      </c>
      <c r="P1302" s="125">
        <v>-876953.05</v>
      </c>
      <c r="Q1302" s="125">
        <v>0</v>
      </c>
      <c r="S1302" s="125">
        <v>-3473754.4000030402</v>
      </c>
      <c r="T1302" s="125">
        <v>0</v>
      </c>
      <c r="U1302" s="125">
        <v>3363520.7659999998</v>
      </c>
      <c r="V1302" s="125">
        <v>-7.1200000000000004E-6</v>
      </c>
      <c r="W1302" s="142">
        <v>0</v>
      </c>
      <c r="X1302" s="142">
        <v>29.033407113233064</v>
      </c>
      <c r="Y1302" s="142">
        <v>62268319.630243905</v>
      </c>
      <c r="Z1302" s="142">
        <v>405.95175982811168</v>
      </c>
    </row>
    <row r="1303" spans="1:26" s="141" customFormat="1">
      <c r="A1303" s="121">
        <v>44876</v>
      </c>
      <c r="B1303" s="125">
        <v>158338987.82749102</v>
      </c>
      <c r="C1303" s="125">
        <v>59027955.25171537</v>
      </c>
      <c r="D1303" s="125">
        <v>63015081.630791821</v>
      </c>
      <c r="E1303" s="125">
        <v>61581338.893677711</v>
      </c>
      <c r="F1303" s="123">
        <v>183624375.77618492</v>
      </c>
      <c r="G1303" s="125">
        <v>-1000000</v>
      </c>
      <c r="H1303" s="125">
        <v>1587.1682413617341</v>
      </c>
      <c r="I1303" s="125">
        <v>958.9701849864249</v>
      </c>
      <c r="J1303" s="125">
        <v>590.0996151960768</v>
      </c>
      <c r="K1303" s="125">
        <v>855.83353557442035</v>
      </c>
      <c r="L1303" s="164">
        <v>2404.9033357569219</v>
      </c>
      <c r="M1303" s="125">
        <v>0</v>
      </c>
      <c r="N1303" s="115">
        <v>15495</v>
      </c>
      <c r="O1303" s="139">
        <v>3358.9949999999999</v>
      </c>
      <c r="P1303" s="125">
        <v>-876953.05</v>
      </c>
      <c r="Q1303" s="125">
        <v>0</v>
      </c>
      <c r="S1303" s="125">
        <v>-3473754.4000030402</v>
      </c>
      <c r="T1303" s="125">
        <v>0</v>
      </c>
      <c r="U1303" s="125">
        <v>3554947.7059999998</v>
      </c>
      <c r="V1303" s="125">
        <v>-5.1599999999999997E-6</v>
      </c>
      <c r="W1303" s="142">
        <v>0</v>
      </c>
      <c r="X1303" s="142">
        <v>22.218158872817035</v>
      </c>
      <c r="Y1303" s="142">
        <v>62182334.687956423</v>
      </c>
      <c r="Z1303" s="142">
        <v>405.89035698625418</v>
      </c>
    </row>
    <row r="1304" spans="1:26" s="141" customFormat="1">
      <c r="A1304" s="121">
        <v>44879</v>
      </c>
      <c r="B1304" s="125">
        <v>158326328.81167746</v>
      </c>
      <c r="C1304" s="125">
        <v>60287011.541022152</v>
      </c>
      <c r="D1304" s="125">
        <v>62946876.170201719</v>
      </c>
      <c r="E1304" s="125">
        <v>60383718.903678715</v>
      </c>
      <c r="F1304" s="123">
        <v>183617606.61490259</v>
      </c>
      <c r="G1304" s="125">
        <v>-1890000</v>
      </c>
      <c r="H1304" s="125">
        <v>1582.8891143620849</v>
      </c>
      <c r="I1304" s="125">
        <v>898.61571694739814</v>
      </c>
      <c r="J1304" s="125">
        <v>592.47792412240813</v>
      </c>
      <c r="K1304" s="125">
        <v>856.97132821851051</v>
      </c>
      <c r="L1304" s="164">
        <v>2348.0649692883171</v>
      </c>
      <c r="M1304" s="125">
        <v>0</v>
      </c>
      <c r="N1304" s="115">
        <v>15517.5</v>
      </c>
      <c r="O1304" s="139">
        <v>3380.7250000000004</v>
      </c>
      <c r="P1304" s="125">
        <v>-556090.19999999995</v>
      </c>
      <c r="Q1304" s="125">
        <v>0</v>
      </c>
      <c r="S1304" s="125">
        <v>-5887544.0500028804</v>
      </c>
      <c r="T1304" s="125">
        <v>0</v>
      </c>
      <c r="U1304" s="125">
        <v>3207087.389</v>
      </c>
      <c r="V1304" s="125">
        <v>-5.3900000000000001E-6</v>
      </c>
      <c r="W1304" s="142">
        <v>0</v>
      </c>
      <c r="X1304" s="142">
        <v>22.31452243885613</v>
      </c>
      <c r="Y1304" s="142">
        <v>62282618.763290018</v>
      </c>
      <c r="Z1304" s="142">
        <v>407.83932481571702</v>
      </c>
    </row>
    <row r="1305" spans="1:26" s="141" customFormat="1">
      <c r="A1305" s="121">
        <v>44880</v>
      </c>
      <c r="B1305" s="125">
        <v>158186949.01789007</v>
      </c>
      <c r="C1305" s="125">
        <v>59110225.524000384</v>
      </c>
      <c r="D1305" s="125">
        <v>62938539.05390393</v>
      </c>
      <c r="E1305" s="125">
        <v>61721901.936701566</v>
      </c>
      <c r="F1305" s="123">
        <v>183770666.51460588</v>
      </c>
      <c r="G1305" s="125">
        <v>-1875000</v>
      </c>
      <c r="H1305" s="125">
        <v>1583.8713773317045</v>
      </c>
      <c r="I1305" s="125">
        <v>915.60146723542994</v>
      </c>
      <c r="J1305" s="125">
        <v>590.77281460725726</v>
      </c>
      <c r="K1305" s="125">
        <v>859.62999898235978</v>
      </c>
      <c r="L1305" s="164">
        <v>2366.0042808250469</v>
      </c>
      <c r="M1305" s="125">
        <v>0</v>
      </c>
      <c r="N1305" s="115">
        <v>15537.5</v>
      </c>
      <c r="O1305" s="139">
        <v>3414.84</v>
      </c>
      <c r="P1305" s="125">
        <v>-556090.19999999995</v>
      </c>
      <c r="Q1305" s="125">
        <v>0</v>
      </c>
      <c r="S1305" s="125">
        <v>-7627729.8000028795</v>
      </c>
      <c r="T1305" s="125">
        <v>0</v>
      </c>
      <c r="U1305" s="125">
        <v>3207087.389</v>
      </c>
      <c r="V1305" s="125">
        <v>-5.5899999999999998E-6</v>
      </c>
      <c r="W1305" s="142">
        <v>0</v>
      </c>
      <c r="X1305" s="142">
        <v>12.395289955768302</v>
      </c>
      <c r="Y1305" s="142">
        <v>62273434.768299736</v>
      </c>
      <c r="Z1305" s="142">
        <v>408.16982745240432</v>
      </c>
    </row>
    <row r="1306" spans="1:26" s="141" customFormat="1">
      <c r="A1306" s="121">
        <v>44881</v>
      </c>
      <c r="B1306" s="125">
        <v>158395952.03200558</v>
      </c>
      <c r="C1306" s="125">
        <v>60280529.694215722</v>
      </c>
      <c r="D1306" s="125">
        <v>63047174.018748894</v>
      </c>
      <c r="E1306" s="125">
        <v>62282052.781450883</v>
      </c>
      <c r="F1306" s="123">
        <v>185609756.49441552</v>
      </c>
      <c r="G1306" s="125">
        <v>-950000</v>
      </c>
      <c r="H1306" s="125">
        <v>1567.1432892193397</v>
      </c>
      <c r="I1306" s="125">
        <v>961.95802776919061</v>
      </c>
      <c r="J1306" s="125">
        <v>588.21589464660758</v>
      </c>
      <c r="K1306" s="125">
        <v>878.70715172622329</v>
      </c>
      <c r="L1306" s="164">
        <v>2428.8810741420216</v>
      </c>
      <c r="M1306" s="125">
        <v>0</v>
      </c>
      <c r="N1306" s="115">
        <v>15602.5</v>
      </c>
      <c r="O1306" s="139">
        <v>3440.4650000000001</v>
      </c>
      <c r="P1306" s="125">
        <v>-556090.19999999995</v>
      </c>
      <c r="Q1306" s="125">
        <v>0</v>
      </c>
      <c r="S1306" s="125">
        <v>-6884830.3000028795</v>
      </c>
      <c r="T1306" s="125">
        <v>0</v>
      </c>
      <c r="U1306" s="125">
        <v>3207087.389</v>
      </c>
      <c r="V1306" s="125">
        <v>-6.2400000000000004E-6</v>
      </c>
      <c r="W1306" s="142">
        <v>0</v>
      </c>
      <c r="X1306" s="142">
        <v>11.980082925931741</v>
      </c>
      <c r="Y1306" s="142">
        <v>61522975.894879222</v>
      </c>
      <c r="Z1306" s="142">
        <v>409.78340214217781</v>
      </c>
    </row>
    <row r="1307" spans="1:26" s="141" customFormat="1">
      <c r="A1307" s="121">
        <v>44882</v>
      </c>
      <c r="B1307" s="125">
        <v>158351296.4631981</v>
      </c>
      <c r="C1307" s="125">
        <v>60272637.453390345</v>
      </c>
      <c r="D1307" s="125">
        <v>62990052.518045411</v>
      </c>
      <c r="E1307" s="125">
        <v>62242809.954687938</v>
      </c>
      <c r="F1307" s="123">
        <v>185505499.92612368</v>
      </c>
      <c r="G1307" s="125">
        <v>-450000</v>
      </c>
      <c r="H1307" s="125">
        <v>1555.5805992418739</v>
      </c>
      <c r="I1307" s="125">
        <v>981.58060769023552</v>
      </c>
      <c r="J1307" s="125">
        <v>589.35562232412497</v>
      </c>
      <c r="K1307" s="125">
        <v>883.27704529234916</v>
      </c>
      <c r="L1307" s="164">
        <v>2454.2132753067099</v>
      </c>
      <c r="M1307" s="125">
        <v>0</v>
      </c>
      <c r="N1307" s="115">
        <v>15662.5</v>
      </c>
      <c r="O1307" s="139">
        <v>3439.665</v>
      </c>
      <c r="P1307" s="125">
        <v>-556090.19999999995</v>
      </c>
      <c r="Q1307" s="125">
        <v>0</v>
      </c>
      <c r="S1307" s="125">
        <v>-6884830.3000028795</v>
      </c>
      <c r="T1307" s="125">
        <v>0</v>
      </c>
      <c r="U1307" s="125">
        <v>3493287.449</v>
      </c>
      <c r="V1307" s="125">
        <v>-6.8399999999999997E-6</v>
      </c>
      <c r="W1307" s="142">
        <v>0</v>
      </c>
      <c r="X1307" s="142">
        <v>6.9698669484596962</v>
      </c>
      <c r="Y1307" s="142">
        <v>62142391.107386738</v>
      </c>
      <c r="Z1307" s="142">
        <v>409.93772019435983</v>
      </c>
    </row>
    <row r="1308" spans="1:26" s="141" customFormat="1">
      <c r="A1308" s="121">
        <v>44883</v>
      </c>
      <c r="B1308" s="125">
        <v>158435524.05776531</v>
      </c>
      <c r="C1308" s="125">
        <v>58938441.487206817</v>
      </c>
      <c r="D1308" s="125">
        <v>62886023.532860793</v>
      </c>
      <c r="E1308" s="125">
        <v>62349696.732825808</v>
      </c>
      <c r="F1308" s="123">
        <v>184174161.75289342</v>
      </c>
      <c r="G1308" s="125">
        <v>-1550000</v>
      </c>
      <c r="H1308" s="125">
        <v>1548.4233881986713</v>
      </c>
      <c r="I1308" s="125">
        <v>975.72246098966855</v>
      </c>
      <c r="J1308" s="125">
        <v>585.25315063970345</v>
      </c>
      <c r="K1308" s="125">
        <v>891.12812041655297</v>
      </c>
      <c r="L1308" s="164">
        <v>2452.103732045925</v>
      </c>
      <c r="M1308" s="125">
        <v>0</v>
      </c>
      <c r="N1308" s="115">
        <v>15687.5</v>
      </c>
      <c r="O1308" s="139">
        <v>3445.1549999999997</v>
      </c>
      <c r="P1308" s="125">
        <v>-556090.19999999995</v>
      </c>
      <c r="Q1308" s="125">
        <v>0</v>
      </c>
      <c r="S1308" s="125">
        <v>-6884830.3000028795</v>
      </c>
      <c r="T1308" s="125">
        <v>0</v>
      </c>
      <c r="U1308" s="125">
        <v>3566665.2990000001</v>
      </c>
      <c r="V1308" s="125">
        <v>-7.0899999999999999E-6</v>
      </c>
      <c r="W1308" s="142">
        <v>0</v>
      </c>
      <c r="X1308" s="142">
        <v>6.9697393312350604</v>
      </c>
      <c r="Y1308" s="142">
        <v>62487822.584248826</v>
      </c>
      <c r="Z1308" s="142">
        <v>409.01275309132114</v>
      </c>
    </row>
    <row r="1309" spans="1:26" s="141" customFormat="1">
      <c r="A1309" s="121">
        <v>44886</v>
      </c>
      <c r="B1309" s="125">
        <v>158805954.82121062</v>
      </c>
      <c r="C1309" s="125">
        <v>60270831.065162681</v>
      </c>
      <c r="D1309" s="125">
        <v>62780026.408071183</v>
      </c>
      <c r="E1309" s="125">
        <v>63827503.914532974</v>
      </c>
      <c r="F1309" s="123">
        <v>186878361.38776684</v>
      </c>
      <c r="G1309" s="125">
        <v>-1100000</v>
      </c>
      <c r="H1309" s="125">
        <v>1551.6527770863665</v>
      </c>
      <c r="I1309" s="125">
        <v>979.95477148907696</v>
      </c>
      <c r="J1309" s="125">
        <v>588.0967400372665</v>
      </c>
      <c r="K1309" s="125">
        <v>876.36021108791692</v>
      </c>
      <c r="L1309" s="164">
        <v>2444.4117226142603</v>
      </c>
      <c r="M1309" s="125">
        <v>0</v>
      </c>
      <c r="N1309" s="115">
        <v>15712.5</v>
      </c>
      <c r="O1309" s="139">
        <v>3436.3150000000001</v>
      </c>
      <c r="P1309" s="125">
        <v>-333115.2</v>
      </c>
      <c r="Q1309" s="125">
        <v>0</v>
      </c>
      <c r="S1309" s="125">
        <v>-4832033.65000288</v>
      </c>
      <c r="T1309" s="125">
        <v>0</v>
      </c>
      <c r="U1309" s="125">
        <v>3638547.3289999999</v>
      </c>
      <c r="V1309" s="125">
        <v>-7.34E-6</v>
      </c>
      <c r="W1309" s="142">
        <v>0</v>
      </c>
      <c r="X1309" s="142">
        <v>6.9613543635481312</v>
      </c>
      <c r="Y1309" s="142">
        <v>62325566.452041589</v>
      </c>
      <c r="Z1309" s="142">
        <v>378.02122963372045</v>
      </c>
    </row>
    <row r="1310" spans="1:26" s="141" customFormat="1">
      <c r="A1310" s="121">
        <v>44887</v>
      </c>
      <c r="B1310" s="125">
        <v>158994758.92180374</v>
      </c>
      <c r="C1310" s="125">
        <v>59899407.649406433</v>
      </c>
      <c r="D1310" s="125">
        <v>62767556.016147718</v>
      </c>
      <c r="E1310" s="125">
        <v>64259758.19258032</v>
      </c>
      <c r="F1310" s="123">
        <v>186926721.85813448</v>
      </c>
      <c r="G1310" s="125">
        <v>-1100000</v>
      </c>
      <c r="H1310" s="125">
        <v>1553.3323119360168</v>
      </c>
      <c r="I1310" s="125">
        <v>1010.7782281742867</v>
      </c>
      <c r="J1310" s="125">
        <v>587.67588986411181</v>
      </c>
      <c r="K1310" s="125">
        <v>851.16523928168942</v>
      </c>
      <c r="L1310" s="164">
        <v>2449.6193573200881</v>
      </c>
      <c r="M1310" s="125">
        <v>0</v>
      </c>
      <c r="N1310" s="115">
        <v>15697</v>
      </c>
      <c r="O1310" s="139">
        <v>3430.665</v>
      </c>
      <c r="P1310" s="125">
        <v>-168616.8</v>
      </c>
      <c r="Q1310" s="125">
        <v>0</v>
      </c>
      <c r="S1310" s="125">
        <v>-3103491.4000033098</v>
      </c>
      <c r="T1310" s="125">
        <v>0</v>
      </c>
      <c r="U1310" s="125">
        <v>3738987.9720000001</v>
      </c>
      <c r="V1310" s="125">
        <v>-7.1799999999999999E-6</v>
      </c>
      <c r="W1310" s="142">
        <v>0</v>
      </c>
      <c r="X1310" s="142">
        <v>6.962687821658915</v>
      </c>
      <c r="Y1310" s="142">
        <v>61597921.408678569</v>
      </c>
      <c r="Z1310" s="142">
        <v>376.68092172857411</v>
      </c>
    </row>
    <row r="1311" spans="1:26" s="141" customFormat="1">
      <c r="A1311" s="121">
        <v>44888</v>
      </c>
      <c r="B1311" s="125">
        <v>159029315.71892056</v>
      </c>
      <c r="C1311" s="125">
        <v>59742722.552365266</v>
      </c>
      <c r="D1311" s="125">
        <v>63077585.489491768</v>
      </c>
      <c r="E1311" s="125">
        <v>64258697.955909535</v>
      </c>
      <c r="F1311" s="123">
        <v>187079005.99776655</v>
      </c>
      <c r="G1311" s="125">
        <v>-1100000</v>
      </c>
      <c r="H1311" s="125">
        <v>1672.981450353697</v>
      </c>
      <c r="I1311" s="125">
        <v>1012.7091508185323</v>
      </c>
      <c r="J1311" s="125">
        <v>588.45164118033642</v>
      </c>
      <c r="K1311" s="125">
        <v>885.52469990735904</v>
      </c>
      <c r="L1311" s="164">
        <v>2486.685491906228</v>
      </c>
      <c r="M1311" s="125">
        <v>0</v>
      </c>
      <c r="N1311" s="115">
        <v>15686.5</v>
      </c>
      <c r="O1311" s="139">
        <v>3429.3050000000003</v>
      </c>
      <c r="P1311" s="125">
        <v>-168616.8</v>
      </c>
      <c r="Q1311" s="125">
        <v>0</v>
      </c>
      <c r="S1311" s="125">
        <v>-3103491.4000033098</v>
      </c>
      <c r="T1311" s="125">
        <v>0</v>
      </c>
      <c r="U1311" s="125">
        <v>4020074.8119999999</v>
      </c>
      <c r="V1311" s="125">
        <v>-7.0700000000000001E-6</v>
      </c>
      <c r="W1311" s="142">
        <v>350000</v>
      </c>
      <c r="X1311" s="142">
        <v>1.9644866586944187</v>
      </c>
      <c r="Y1311" s="142">
        <v>61492318.897117987</v>
      </c>
      <c r="Z1311" s="142">
        <v>376.29720600755428</v>
      </c>
    </row>
    <row r="1312" spans="1:26" s="141" customFormat="1">
      <c r="A1312" s="121">
        <v>44889</v>
      </c>
      <c r="B1312" s="125">
        <v>159380365.12082794</v>
      </c>
      <c r="C1312" s="125">
        <v>60543039.745076358</v>
      </c>
      <c r="D1312" s="125">
        <v>62917413.61205063</v>
      </c>
      <c r="E1312" s="125">
        <v>64940099.869432531</v>
      </c>
      <c r="F1312" s="123">
        <v>188400553.22655952</v>
      </c>
      <c r="G1312" s="125">
        <v>-1100000</v>
      </c>
      <c r="H1312" s="125">
        <v>1674.2322237712779</v>
      </c>
      <c r="I1312" s="125">
        <v>954.06488581328347</v>
      </c>
      <c r="J1312" s="125">
        <v>589.59238678033023</v>
      </c>
      <c r="K1312" s="125">
        <v>872.15436593527431</v>
      </c>
      <c r="L1312" s="164">
        <v>2415.8116385288881</v>
      </c>
      <c r="M1312" s="125">
        <v>0</v>
      </c>
      <c r="N1312" s="115">
        <v>15665.5</v>
      </c>
      <c r="O1312" s="139">
        <v>3492.09</v>
      </c>
      <c r="P1312" s="125">
        <v>-168616.8</v>
      </c>
      <c r="Q1312" s="125">
        <v>0</v>
      </c>
      <c r="S1312" s="125">
        <v>-3103491.4000033098</v>
      </c>
      <c r="T1312" s="125">
        <v>0</v>
      </c>
      <c r="U1312" s="125">
        <v>3827549.8020000001</v>
      </c>
      <c r="V1312" s="125">
        <v>-6.8600000000000004E-6</v>
      </c>
      <c r="W1312" s="142">
        <v>0</v>
      </c>
      <c r="X1312" s="142">
        <v>1.9646125844479909</v>
      </c>
      <c r="Y1312" s="142">
        <v>62234325.812361687</v>
      </c>
      <c r="Z1312" s="142">
        <v>376.58483210704037</v>
      </c>
    </row>
    <row r="1313" spans="1:26" s="141" customFormat="1">
      <c r="A1313" s="121">
        <v>44890</v>
      </c>
      <c r="B1313" s="125">
        <v>159537852.41058588</v>
      </c>
      <c r="C1313" s="125">
        <v>59318357.288710654</v>
      </c>
      <c r="D1313" s="125">
        <v>63512184.609930426</v>
      </c>
      <c r="E1313" s="125">
        <v>65200738.806267664</v>
      </c>
      <c r="F1313" s="123">
        <v>188031280.70490873</v>
      </c>
      <c r="G1313" s="125">
        <v>-1100000</v>
      </c>
      <c r="H1313" s="125">
        <v>1682.0935123088991</v>
      </c>
      <c r="I1313" s="125">
        <v>911.67600262934263</v>
      </c>
      <c r="J1313" s="125">
        <v>585.1509218377181</v>
      </c>
      <c r="K1313" s="125">
        <v>899.87954393658208</v>
      </c>
      <c r="L1313" s="164">
        <v>2396.7064684036427</v>
      </c>
      <c r="M1313" s="125">
        <v>0</v>
      </c>
      <c r="N1313" s="115">
        <v>15672.5</v>
      </c>
      <c r="O1313" s="139">
        <v>3502.24</v>
      </c>
      <c r="P1313" s="125">
        <v>-168616.8</v>
      </c>
      <c r="Q1313" s="125">
        <v>0</v>
      </c>
      <c r="S1313" s="125">
        <v>-3103491.4000033098</v>
      </c>
      <c r="T1313" s="125">
        <v>0</v>
      </c>
      <c r="U1313" s="125">
        <v>3259761.8020000001</v>
      </c>
      <c r="V1313" s="125">
        <v>-6.9299999999999997E-6</v>
      </c>
      <c r="W1313" s="142">
        <v>0</v>
      </c>
      <c r="X1313" s="142">
        <v>19.126846320092518</v>
      </c>
      <c r="Y1313" s="142">
        <v>62098972.288979977</v>
      </c>
      <c r="Z1313" s="142">
        <v>377.37804826298753</v>
      </c>
    </row>
    <row r="1314" spans="1:26" s="141" customFormat="1">
      <c r="A1314" s="121">
        <v>44893</v>
      </c>
      <c r="B1314" s="125">
        <v>159848022.72459126</v>
      </c>
      <c r="C1314" s="125">
        <v>60073272.604728512</v>
      </c>
      <c r="D1314" s="125">
        <v>64707347.288770661</v>
      </c>
      <c r="E1314" s="125">
        <v>64101528.921401069</v>
      </c>
      <c r="F1314" s="123">
        <v>188882148.81490022</v>
      </c>
      <c r="G1314" s="125">
        <v>-1100000</v>
      </c>
      <c r="H1314" s="125">
        <v>1683.5165567799102</v>
      </c>
      <c r="I1314" s="125">
        <v>898.55326105355959</v>
      </c>
      <c r="J1314" s="125">
        <v>589.39200118683607</v>
      </c>
      <c r="K1314" s="125">
        <v>892.0780849857249</v>
      </c>
      <c r="L1314" s="164">
        <v>2380.0233472261207</v>
      </c>
      <c r="M1314" s="125">
        <v>0</v>
      </c>
      <c r="N1314" s="115">
        <v>15722.5</v>
      </c>
      <c r="O1314" s="139">
        <v>3509.4949999999999</v>
      </c>
      <c r="P1314" s="125">
        <v>-168616.8</v>
      </c>
      <c r="Q1314" s="125">
        <v>0</v>
      </c>
      <c r="S1314" s="125">
        <v>-1899198.4000033098</v>
      </c>
      <c r="T1314" s="125">
        <v>0</v>
      </c>
      <c r="U1314" s="125">
        <v>3259761.8020000001</v>
      </c>
      <c r="V1314" s="125">
        <v>-7.43E-6</v>
      </c>
      <c r="W1314" s="142">
        <v>0</v>
      </c>
      <c r="X1314" s="142">
        <v>19.010770444181905</v>
      </c>
      <c r="Y1314" s="142">
        <v>61553884.812111929</v>
      </c>
      <c r="Z1314" s="142">
        <v>374.93931462766153</v>
      </c>
    </row>
    <row r="1315" spans="1:26" s="141" customFormat="1">
      <c r="A1315" s="121">
        <v>44894</v>
      </c>
      <c r="B1315" s="125">
        <v>160664005.3564353</v>
      </c>
      <c r="C1315" s="125">
        <v>58120705.692817122</v>
      </c>
      <c r="D1315" s="125">
        <v>64761744.537794322</v>
      </c>
      <c r="E1315" s="125">
        <v>64253770.244667731</v>
      </c>
      <c r="F1315" s="123">
        <v>187136220.47527918</v>
      </c>
      <c r="G1315" s="125">
        <v>-1325000</v>
      </c>
      <c r="H1315" s="125">
        <v>1690.032258596603</v>
      </c>
      <c r="I1315" s="125">
        <v>891.30850805513217</v>
      </c>
      <c r="J1315" s="125">
        <v>586.58688265666274</v>
      </c>
      <c r="K1315" s="125">
        <v>889.23594726744443</v>
      </c>
      <c r="L1315" s="164">
        <v>2367.1313379792391</v>
      </c>
      <c r="M1315" s="125">
        <v>0</v>
      </c>
      <c r="N1315" s="115">
        <v>15742.5</v>
      </c>
      <c r="O1315" s="139">
        <v>3491.3550000000005</v>
      </c>
      <c r="P1315" s="125">
        <v>-168616.8</v>
      </c>
      <c r="Q1315" s="125">
        <v>0</v>
      </c>
      <c r="S1315" s="125">
        <v>-3.3099999999999996E-6</v>
      </c>
      <c r="T1315" s="125">
        <v>0</v>
      </c>
      <c r="U1315" s="125">
        <v>3019922.0520000001</v>
      </c>
      <c r="V1315" s="125">
        <v>-7.6299999999999998E-6</v>
      </c>
      <c r="W1315" s="142">
        <v>0</v>
      </c>
      <c r="X1315" s="142">
        <v>24.057068702648881</v>
      </c>
      <c r="Y1315" s="142">
        <v>61142602.22408691</v>
      </c>
      <c r="Z1315" s="142">
        <v>373.31843475458976</v>
      </c>
    </row>
    <row r="1316" spans="1:26" s="141" customFormat="1">
      <c r="A1316" s="121">
        <v>44895</v>
      </c>
      <c r="B1316" s="136">
        <v>163960314.352761</v>
      </c>
      <c r="C1316" s="136">
        <v>57876546.116828002</v>
      </c>
      <c r="D1316" s="136">
        <v>65371948.638232999</v>
      </c>
      <c r="E1316" s="136">
        <v>64497797.304384001</v>
      </c>
      <c r="F1316" s="137">
        <v>187746292.05944499</v>
      </c>
      <c r="G1316" s="125">
        <v>-1100000</v>
      </c>
      <c r="H1316" s="136">
        <v>1686.0250264216379</v>
      </c>
      <c r="I1316" s="136">
        <v>1037.60994822064</v>
      </c>
      <c r="J1316" s="136">
        <v>591.22812282744815</v>
      </c>
      <c r="K1316" s="136">
        <v>889.05589349216541</v>
      </c>
      <c r="L1316" s="165">
        <v>2517.8939645402538</v>
      </c>
      <c r="M1316" s="125">
        <v>0</v>
      </c>
      <c r="N1316" s="115">
        <v>15731.5</v>
      </c>
      <c r="O1316" s="139">
        <v>3520.5349999999999</v>
      </c>
      <c r="P1316" s="125">
        <v>-168616.8</v>
      </c>
      <c r="Q1316" s="125">
        <v>0</v>
      </c>
      <c r="S1316" s="125">
        <v>-3.3099999999999996E-6</v>
      </c>
      <c r="T1316" s="125">
        <v>0</v>
      </c>
      <c r="U1316" s="125">
        <v>2640023.8220000002</v>
      </c>
      <c r="V1316" s="125">
        <v>-7.5199999999999992E-6</v>
      </c>
      <c r="W1316" s="142">
        <v>0</v>
      </c>
      <c r="X1316" s="142">
        <v>24.035523020240287</v>
      </c>
      <c r="Y1316" s="142">
        <v>61041983.961603224</v>
      </c>
      <c r="Z1316" s="142">
        <v>372.58028358349304</v>
      </c>
    </row>
    <row r="1317" spans="1:26" s="141" customFormat="1">
      <c r="A1317" s="121">
        <v>44896</v>
      </c>
      <c r="B1317" s="125">
        <v>163668610.83129847</v>
      </c>
      <c r="C1317" s="125">
        <v>57924724.305578962</v>
      </c>
      <c r="D1317" s="125">
        <v>64946256.325650379</v>
      </c>
      <c r="E1317" s="125">
        <v>65107390.990221597</v>
      </c>
      <c r="F1317" s="123">
        <v>187978371.62145093</v>
      </c>
      <c r="G1317" s="125">
        <v>-1450000</v>
      </c>
      <c r="H1317" s="125">
        <v>1686.8742208272336</v>
      </c>
      <c r="I1317" s="125">
        <v>1021.2487986008745</v>
      </c>
      <c r="J1317" s="125">
        <v>594.37164108286242</v>
      </c>
      <c r="K1317" s="125">
        <v>895.66363689727189</v>
      </c>
      <c r="L1317" s="164">
        <v>2511.2840765810088</v>
      </c>
      <c r="M1317" s="125">
        <v>0</v>
      </c>
      <c r="N1317" s="115">
        <v>15562.5</v>
      </c>
      <c r="O1317" s="139">
        <v>3525.7200000000003</v>
      </c>
      <c r="P1317" s="125">
        <v>-168616.8</v>
      </c>
      <c r="Q1317" s="125">
        <v>0</v>
      </c>
      <c r="S1317" s="125">
        <v>-4381784.0000031404</v>
      </c>
      <c r="T1317" s="125">
        <v>0</v>
      </c>
      <c r="U1317" s="125">
        <v>2640023.8220000002</v>
      </c>
      <c r="V1317" s="125">
        <v>-5.8300000000000001E-6</v>
      </c>
      <c r="W1317" s="142">
        <v>0</v>
      </c>
      <c r="X1317" s="142">
        <v>24.189578304658632</v>
      </c>
      <c r="Y1317" s="142">
        <v>61229770.516203277</v>
      </c>
      <c r="Z1317" s="142">
        <v>374.4793928540202</v>
      </c>
    </row>
    <row r="1318" spans="1:26" s="141" customFormat="1">
      <c r="A1318" s="121">
        <v>44897</v>
      </c>
      <c r="B1318" s="125">
        <v>163675366.27938062</v>
      </c>
      <c r="C1318" s="125">
        <v>57457095.275137812</v>
      </c>
      <c r="D1318" s="125">
        <v>64344024.527839653</v>
      </c>
      <c r="E1318" s="125">
        <v>65517427.120945461</v>
      </c>
      <c r="F1318" s="123">
        <v>187318546.92392293</v>
      </c>
      <c r="G1318" s="125">
        <v>-1100000</v>
      </c>
      <c r="H1318" s="125">
        <v>1683.4876641008482</v>
      </c>
      <c r="I1318" s="125">
        <v>970.84275075199889</v>
      </c>
      <c r="J1318" s="125">
        <v>601.11733078449265</v>
      </c>
      <c r="K1318" s="125">
        <v>960.30644527534071</v>
      </c>
      <c r="L1318" s="164">
        <v>2532.2665268118321</v>
      </c>
      <c r="M1318" s="125">
        <v>0</v>
      </c>
      <c r="N1318" s="115">
        <v>15427.5</v>
      </c>
      <c r="O1318" s="139">
        <v>3510.6450000000004</v>
      </c>
      <c r="P1318" s="125">
        <v>-168616.8</v>
      </c>
      <c r="Q1318" s="125">
        <v>0</v>
      </c>
      <c r="S1318" s="125">
        <v>-5882165.0000031404</v>
      </c>
      <c r="T1318" s="125">
        <v>0</v>
      </c>
      <c r="U1318" s="125">
        <v>2934797.2976000002</v>
      </c>
      <c r="V1318" s="125">
        <v>-4.4800000000000003E-6</v>
      </c>
      <c r="W1318" s="142">
        <v>0</v>
      </c>
      <c r="X1318" s="142">
        <v>6.9863024535634421</v>
      </c>
      <c r="Y1318" s="142">
        <v>61589589.048296489</v>
      </c>
      <c r="Z1318" s="142">
        <v>376.30132303770932</v>
      </c>
    </row>
    <row r="1319" spans="1:26" s="141" customFormat="1">
      <c r="A1319" s="121">
        <v>44900</v>
      </c>
      <c r="B1319" s="125">
        <v>162766044.88551554</v>
      </c>
      <c r="C1319" s="125">
        <v>59793688.686484478</v>
      </c>
      <c r="D1319" s="125">
        <v>64866592.591990121</v>
      </c>
      <c r="E1319" s="125">
        <v>65377585.118788533</v>
      </c>
      <c r="F1319" s="123">
        <v>190037866.39726314</v>
      </c>
      <c r="G1319" s="125">
        <v>-1100000</v>
      </c>
      <c r="H1319" s="125">
        <v>1685.1473467943704</v>
      </c>
      <c r="I1319" s="125">
        <v>1010.1480132398329</v>
      </c>
      <c r="J1319" s="125">
        <v>592.36235629015391</v>
      </c>
      <c r="K1319" s="125">
        <v>966.76861446916644</v>
      </c>
      <c r="L1319" s="164">
        <v>2569.2789839991533</v>
      </c>
      <c r="M1319" s="125">
        <v>0</v>
      </c>
      <c r="N1319" s="115">
        <v>15467.5</v>
      </c>
      <c r="O1319" s="139">
        <v>3541.91</v>
      </c>
      <c r="P1319" s="125">
        <v>-168616.8</v>
      </c>
      <c r="Q1319" s="125">
        <v>0</v>
      </c>
      <c r="S1319" s="125">
        <v>-5882165.0000031404</v>
      </c>
      <c r="T1319" s="125">
        <v>0</v>
      </c>
      <c r="U1319" s="125">
        <v>2934797.2976000002</v>
      </c>
      <c r="V1319" s="125">
        <v>-4.8799999999999999E-6</v>
      </c>
      <c r="W1319" s="142">
        <v>0</v>
      </c>
      <c r="X1319" s="142">
        <v>7.0017108510069495</v>
      </c>
      <c r="Y1319" s="142">
        <v>58390123.07832019</v>
      </c>
      <c r="Z1319" s="142">
        <v>378.72983531547317</v>
      </c>
    </row>
    <row r="1320" spans="1:26" s="141" customFormat="1">
      <c r="A1320" s="121">
        <v>44901</v>
      </c>
      <c r="B1320" s="125">
        <v>162408841.96324751</v>
      </c>
      <c r="C1320" s="125">
        <v>58531554.698908955</v>
      </c>
      <c r="D1320" s="125">
        <v>64100363.659405835</v>
      </c>
      <c r="E1320" s="125">
        <v>63312140.041990221</v>
      </c>
      <c r="F1320" s="123">
        <v>185944058.400305</v>
      </c>
      <c r="G1320" s="125">
        <v>-1100000</v>
      </c>
      <c r="H1320" s="125">
        <v>1690.2184526191456</v>
      </c>
      <c r="I1320" s="125">
        <v>969.53150860628216</v>
      </c>
      <c r="J1320" s="125">
        <v>592.28793812577749</v>
      </c>
      <c r="K1320" s="125">
        <v>964.16569495631518</v>
      </c>
      <c r="L1320" s="164">
        <v>2525.9851416883748</v>
      </c>
      <c r="M1320" s="125">
        <v>0</v>
      </c>
      <c r="N1320" s="115">
        <v>15617.5</v>
      </c>
      <c r="O1320" s="139">
        <v>3555.4949999999999</v>
      </c>
      <c r="P1320" s="125">
        <v>0</v>
      </c>
      <c r="Q1320" s="125">
        <v>0</v>
      </c>
      <c r="S1320" s="125">
        <v>-5882165.0000031404</v>
      </c>
      <c r="T1320" s="125">
        <v>0</v>
      </c>
      <c r="U1320" s="125">
        <v>3351884.7196</v>
      </c>
      <c r="V1320" s="125">
        <v>-6.3799999999999999E-6</v>
      </c>
      <c r="W1320" s="142">
        <v>0</v>
      </c>
      <c r="X1320" s="142">
        <v>1.9958303607459582</v>
      </c>
      <c r="Y1320" s="142">
        <v>59615872.930986226</v>
      </c>
      <c r="Z1320" s="142">
        <v>376.71045105742854</v>
      </c>
    </row>
    <row r="1321" spans="1:26" s="141" customFormat="1">
      <c r="A1321" s="121">
        <v>44902</v>
      </c>
      <c r="B1321" s="125">
        <v>162570703.16316643</v>
      </c>
      <c r="C1321" s="125">
        <v>59512103.945828065</v>
      </c>
      <c r="D1321" s="125">
        <v>64458073.804893032</v>
      </c>
      <c r="E1321" s="125">
        <v>63629187.050699964</v>
      </c>
      <c r="F1321" s="123">
        <v>187599364.80142105</v>
      </c>
      <c r="G1321" s="125">
        <v>-1100000</v>
      </c>
      <c r="H1321" s="125">
        <v>1661.5928013912755</v>
      </c>
      <c r="I1321" s="125">
        <v>940.20177761129378</v>
      </c>
      <c r="J1321" s="125">
        <v>600.02984128655464</v>
      </c>
      <c r="K1321" s="125">
        <v>885.52778238223846</v>
      </c>
      <c r="L1321" s="164">
        <v>2425.7594012800869</v>
      </c>
      <c r="M1321" s="125">
        <v>0</v>
      </c>
      <c r="N1321" s="115">
        <v>15637.5</v>
      </c>
      <c r="O1321" s="139">
        <v>3548.7449999999999</v>
      </c>
      <c r="P1321" s="125">
        <v>0</v>
      </c>
      <c r="Q1321" s="125">
        <v>0</v>
      </c>
      <c r="S1321" s="125">
        <v>-5882165.0000031404</v>
      </c>
      <c r="T1321" s="125">
        <v>0</v>
      </c>
      <c r="U1321" s="125">
        <v>3746696.9196000001</v>
      </c>
      <c r="V1321" s="125">
        <v>-6.5799999999999997E-6</v>
      </c>
      <c r="W1321" s="142">
        <v>0</v>
      </c>
      <c r="X1321" s="142">
        <v>17.457959801870505</v>
      </c>
      <c r="Y1321" s="142">
        <v>59346585.091202281</v>
      </c>
      <c r="Z1321" s="142">
        <v>377.00732008019173</v>
      </c>
    </row>
    <row r="1322" spans="1:26" s="141" customFormat="1">
      <c r="A1322" s="121">
        <v>44903</v>
      </c>
      <c r="B1322" s="125">
        <v>162631731.45059615</v>
      </c>
      <c r="C1322" s="125">
        <v>60239079.781401582</v>
      </c>
      <c r="D1322" s="125">
        <v>64160903.731534787</v>
      </c>
      <c r="E1322" s="125">
        <v>63762219.649966717</v>
      </c>
      <c r="F1322" s="123">
        <v>188162203.16290307</v>
      </c>
      <c r="G1322" s="125">
        <v>-1100000</v>
      </c>
      <c r="H1322" s="125">
        <v>1690.7386585331928</v>
      </c>
      <c r="I1322" s="125">
        <v>927.1711706791807</v>
      </c>
      <c r="J1322" s="125">
        <v>591.07948280208336</v>
      </c>
      <c r="K1322" s="125">
        <v>861.58399634469822</v>
      </c>
      <c r="L1322" s="164">
        <v>2379.8346498259625</v>
      </c>
      <c r="M1322" s="125">
        <v>-3</v>
      </c>
      <c r="N1322" s="115">
        <v>15620.5</v>
      </c>
      <c r="O1322" s="139">
        <v>3550.12</v>
      </c>
      <c r="P1322" s="125">
        <v>0</v>
      </c>
      <c r="Q1322" s="125">
        <v>0</v>
      </c>
      <c r="S1322" s="125">
        <v>-1500381.00000314</v>
      </c>
      <c r="T1322" s="125">
        <v>0</v>
      </c>
      <c r="U1322" s="125">
        <v>4225548.9396000002</v>
      </c>
      <c r="V1322" s="125">
        <v>-6.4100000000000005E-6</v>
      </c>
      <c r="W1322" s="142">
        <v>0</v>
      </c>
      <c r="X1322" s="142">
        <v>17.526435006585576</v>
      </c>
      <c r="Y1322" s="142">
        <v>59526217.416985892</v>
      </c>
      <c r="Z1322" s="142">
        <v>377.56339728538973</v>
      </c>
    </row>
    <row r="1323" spans="1:26" s="141" customFormat="1">
      <c r="A1323" s="121">
        <v>44904</v>
      </c>
      <c r="B1323" s="125">
        <v>162560007.78699639</v>
      </c>
      <c r="C1323" s="125">
        <v>58707551.629526772</v>
      </c>
      <c r="D1323" s="125">
        <v>64296079.61391484</v>
      </c>
      <c r="E1323" s="125">
        <v>64899814.634753898</v>
      </c>
      <c r="F1323" s="123">
        <v>187903445.87819552</v>
      </c>
      <c r="G1323" s="125">
        <v>-1100000</v>
      </c>
      <c r="H1323" s="125">
        <v>1697.2504858186542</v>
      </c>
      <c r="I1323" s="125">
        <v>984.49904863125801</v>
      </c>
      <c r="J1323" s="125">
        <v>588.47640442147065</v>
      </c>
      <c r="K1323" s="125">
        <v>846.93488091934353</v>
      </c>
      <c r="L1323" s="164">
        <v>2419.9103339720723</v>
      </c>
      <c r="M1323" s="125">
        <v>-36</v>
      </c>
      <c r="N1323" s="115">
        <v>15582.5</v>
      </c>
      <c r="O1323" s="139">
        <v>3537.46</v>
      </c>
      <c r="P1323" s="125">
        <v>0</v>
      </c>
      <c r="Q1323" s="125">
        <v>0</v>
      </c>
      <c r="S1323" s="125">
        <v>-3.1399999999999996E-6</v>
      </c>
      <c r="T1323" s="125">
        <v>0</v>
      </c>
      <c r="U1323" s="125">
        <v>4845125.8846000005</v>
      </c>
      <c r="V1323" s="125">
        <v>-6.0299999999999999E-6</v>
      </c>
      <c r="W1323" s="142">
        <v>0</v>
      </c>
      <c r="X1323" s="142">
        <v>16.133786498254452</v>
      </c>
      <c r="Y1323" s="142">
        <v>59452523.866760291</v>
      </c>
      <c r="Z1323" s="142">
        <v>377.63668383204606</v>
      </c>
    </row>
    <row r="1324" spans="1:26" s="141" customFormat="1">
      <c r="A1324" s="121">
        <v>44907</v>
      </c>
      <c r="B1324" s="125">
        <v>162529232.1138069</v>
      </c>
      <c r="C1324" s="125">
        <v>59059668.065074973</v>
      </c>
      <c r="D1324" s="125">
        <v>63907657.546068475</v>
      </c>
      <c r="E1324" s="125">
        <v>63028327.043125868</v>
      </c>
      <c r="F1324" s="123">
        <v>185995652.65426931</v>
      </c>
      <c r="G1324" s="125">
        <v>-1100000</v>
      </c>
      <c r="H1324" s="125">
        <v>1689.6498144615459</v>
      </c>
      <c r="I1324" s="125">
        <v>970.07804041803774</v>
      </c>
      <c r="J1324" s="125">
        <v>588.4172654598184</v>
      </c>
      <c r="K1324" s="125">
        <v>837.14237231431923</v>
      </c>
      <c r="L1324" s="164">
        <v>2395.6376781921754</v>
      </c>
      <c r="M1324" s="125">
        <v>-36</v>
      </c>
      <c r="N1324" s="115">
        <v>15627.5</v>
      </c>
      <c r="O1324" s="139">
        <v>3540.44</v>
      </c>
      <c r="P1324" s="125">
        <v>0</v>
      </c>
      <c r="Q1324" s="125">
        <v>0</v>
      </c>
      <c r="S1324" s="125">
        <v>-3.1399999999999996E-6</v>
      </c>
      <c r="T1324" s="125">
        <v>0</v>
      </c>
      <c r="U1324" s="125">
        <v>5037139.4446</v>
      </c>
      <c r="V1324" s="125">
        <v>-6.4800000000000006E-6</v>
      </c>
      <c r="W1324" s="142">
        <v>0</v>
      </c>
      <c r="X1324" s="142">
        <v>16.091786180153576</v>
      </c>
      <c r="Y1324" s="142">
        <v>59829928.536490023</v>
      </c>
      <c r="Z1324" s="142">
        <v>377.61149415322609</v>
      </c>
    </row>
    <row r="1325" spans="1:26" s="141" customFormat="1">
      <c r="A1325" s="121">
        <v>44908</v>
      </c>
      <c r="B1325" s="125">
        <v>162793239.62984526</v>
      </c>
      <c r="C1325" s="125">
        <v>58618375.027982436</v>
      </c>
      <c r="D1325" s="125">
        <v>63300587.81073086</v>
      </c>
      <c r="E1325" s="125">
        <v>64147745.900286824</v>
      </c>
      <c r="F1325" s="123">
        <v>186066708.73900011</v>
      </c>
      <c r="G1325" s="125">
        <v>-2270000</v>
      </c>
      <c r="H1325" s="125">
        <v>1678.2993946388815</v>
      </c>
      <c r="I1325" s="125">
        <v>939.95561988557074</v>
      </c>
      <c r="J1325" s="125">
        <v>588.51334762504098</v>
      </c>
      <c r="K1325" s="125">
        <v>837.23906416528177</v>
      </c>
      <c r="L1325" s="164">
        <v>2365.7080316758934</v>
      </c>
      <c r="M1325" s="125">
        <v>-36</v>
      </c>
      <c r="N1325" s="115">
        <v>15657</v>
      </c>
      <c r="O1325" s="139">
        <v>3532.32</v>
      </c>
      <c r="P1325" s="125">
        <v>0</v>
      </c>
      <c r="Q1325" s="125">
        <v>0</v>
      </c>
      <c r="S1325" s="125">
        <v>-2475576.5000031404</v>
      </c>
      <c r="T1325" s="125">
        <v>0</v>
      </c>
      <c r="U1325" s="125">
        <v>4560776.5946000004</v>
      </c>
      <c r="V1325" s="125">
        <v>-6.7800000000000003E-6</v>
      </c>
      <c r="W1325" s="142">
        <v>0</v>
      </c>
      <c r="X1325" s="142">
        <v>16.116786692915628</v>
      </c>
      <c r="Y1325" s="142">
        <v>59643906.20957078</v>
      </c>
      <c r="Z1325" s="142">
        <v>374.80926495471999</v>
      </c>
    </row>
    <row r="1326" spans="1:26" s="141" customFormat="1">
      <c r="A1326" s="121">
        <v>44909</v>
      </c>
      <c r="B1326" s="125">
        <v>163021533.18734658</v>
      </c>
      <c r="C1326" s="125">
        <v>59834254.24826283</v>
      </c>
      <c r="D1326" s="125">
        <v>64056062.886869274</v>
      </c>
      <c r="E1326" s="125">
        <v>63106206.432320282</v>
      </c>
      <c r="F1326" s="123">
        <v>186996523.56745237</v>
      </c>
      <c r="G1326" s="125">
        <v>-1445000</v>
      </c>
      <c r="H1326" s="125">
        <v>1692.9397058710922</v>
      </c>
      <c r="I1326" s="125">
        <v>975.70866174998753</v>
      </c>
      <c r="J1326" s="125">
        <v>591.51291902736386</v>
      </c>
      <c r="K1326" s="125">
        <v>839.78294024940828</v>
      </c>
      <c r="L1326" s="164">
        <v>2407.0045210267599</v>
      </c>
      <c r="M1326" s="125">
        <v>-36</v>
      </c>
      <c r="N1326" s="115">
        <v>15592.5</v>
      </c>
      <c r="O1326" s="139">
        <v>3537.3249999999998</v>
      </c>
      <c r="P1326" s="125">
        <v>0</v>
      </c>
      <c r="Q1326" s="125">
        <v>0</v>
      </c>
      <c r="S1326" s="125">
        <v>-5238845.7000030708</v>
      </c>
      <c r="T1326" s="125">
        <v>0</v>
      </c>
      <c r="U1326" s="125">
        <v>4082444.3946000002</v>
      </c>
      <c r="V1326" s="125">
        <v>-6.1399999999999997E-6</v>
      </c>
      <c r="W1326" s="142">
        <v>0</v>
      </c>
      <c r="X1326" s="142">
        <v>0.56578714000000008</v>
      </c>
      <c r="Y1326" s="142">
        <v>59293713.75260216</v>
      </c>
      <c r="Z1326" s="142">
        <v>375.46838319133428</v>
      </c>
    </row>
    <row r="1327" spans="1:26" s="141" customFormat="1">
      <c r="A1327" s="121">
        <v>44910</v>
      </c>
      <c r="B1327" s="125">
        <v>163141456.87922567</v>
      </c>
      <c r="C1327" s="125">
        <v>60043664.307324186</v>
      </c>
      <c r="D1327" s="125">
        <v>64361308.494138345</v>
      </c>
      <c r="E1327" s="125">
        <v>63303822.760061607</v>
      </c>
      <c r="F1327" s="123">
        <v>187708795.56152415</v>
      </c>
      <c r="G1327" s="125">
        <v>-1445000</v>
      </c>
      <c r="H1327" s="125">
        <v>1682.9459112572747</v>
      </c>
      <c r="I1327" s="125">
        <v>991.85744968500899</v>
      </c>
      <c r="J1327" s="125">
        <v>588.71674061020019</v>
      </c>
      <c r="K1327" s="125">
        <v>912.54672591741996</v>
      </c>
      <c r="L1327" s="164">
        <v>2493.1209162126288</v>
      </c>
      <c r="M1327" s="125">
        <v>-36</v>
      </c>
      <c r="N1327" s="115">
        <v>15617.5</v>
      </c>
      <c r="O1327" s="139">
        <v>3541.3900000000003</v>
      </c>
      <c r="P1327" s="125">
        <v>0</v>
      </c>
      <c r="Q1327" s="125">
        <v>0</v>
      </c>
      <c r="S1327" s="125">
        <v>-5238845.7000030708</v>
      </c>
      <c r="T1327" s="125">
        <v>0</v>
      </c>
      <c r="U1327" s="125">
        <v>3797276.5745999999</v>
      </c>
      <c r="V1327" s="125">
        <v>-6.3899999999999998E-6</v>
      </c>
      <c r="W1327" s="142">
        <v>0</v>
      </c>
      <c r="X1327" s="142">
        <v>0.56578714000000008</v>
      </c>
      <c r="Y1327" s="142">
        <v>59328353.976200327</v>
      </c>
      <c r="Z1327" s="142">
        <v>374.66508343992888</v>
      </c>
    </row>
    <row r="1328" spans="1:26" s="141" customFormat="1">
      <c r="A1328" s="121">
        <v>44911</v>
      </c>
      <c r="B1328" s="125">
        <v>164144354.51803991</v>
      </c>
      <c r="C1328" s="125">
        <v>59737158.866316959</v>
      </c>
      <c r="D1328" s="125">
        <v>64536234.030571796</v>
      </c>
      <c r="E1328" s="125">
        <v>64581114.606098562</v>
      </c>
      <c r="F1328" s="123">
        <v>188854507.50298733</v>
      </c>
      <c r="G1328" s="125">
        <v>-1100000</v>
      </c>
      <c r="H1328" s="125">
        <v>1666.2471058666727</v>
      </c>
      <c r="I1328" s="125">
        <v>1002.1434284399835</v>
      </c>
      <c r="J1328" s="125">
        <v>584.32300109640119</v>
      </c>
      <c r="K1328" s="125">
        <v>914.45129627182007</v>
      </c>
      <c r="L1328" s="164">
        <v>2500.9177258082045</v>
      </c>
      <c r="M1328" s="125">
        <v>-36</v>
      </c>
      <c r="N1328" s="115">
        <v>15597.5</v>
      </c>
      <c r="O1328" s="139">
        <v>3526.0550000000003</v>
      </c>
      <c r="P1328" s="125">
        <v>0</v>
      </c>
      <c r="Q1328" s="125">
        <v>0</v>
      </c>
      <c r="S1328" s="125">
        <v>-5238845.7000030708</v>
      </c>
      <c r="T1328" s="125">
        <v>0</v>
      </c>
      <c r="U1328" s="125">
        <v>2977464.0096</v>
      </c>
      <c r="V1328" s="125">
        <v>-6.19E-6</v>
      </c>
      <c r="W1328" s="142">
        <v>0</v>
      </c>
      <c r="X1328" s="142">
        <v>0.56578713999999997</v>
      </c>
      <c r="Y1328" s="142">
        <v>59245268.517223671</v>
      </c>
      <c r="Z1328" s="142">
        <v>373.80634654518855</v>
      </c>
    </row>
    <row r="1329" spans="1:26" s="141" customFormat="1">
      <c r="A1329" s="121">
        <v>44914</v>
      </c>
      <c r="B1329" s="125">
        <v>164035617.7253446</v>
      </c>
      <c r="C1329" s="125">
        <v>58461789.254432604</v>
      </c>
      <c r="D1329" s="125">
        <v>64626783.410848409</v>
      </c>
      <c r="E1329" s="125">
        <v>65345850.664099649</v>
      </c>
      <c r="F1329" s="123">
        <v>188434423.32938066</v>
      </c>
      <c r="G1329" s="125">
        <v>-1100000</v>
      </c>
      <c r="H1329" s="125">
        <v>1628.9084549832548</v>
      </c>
      <c r="I1329" s="125">
        <v>1016.9560020869477</v>
      </c>
      <c r="J1329" s="125">
        <v>585.31521145245131</v>
      </c>
      <c r="K1329" s="125">
        <v>909.03016069590547</v>
      </c>
      <c r="L1329" s="164">
        <v>2511.3013742353046</v>
      </c>
      <c r="M1329" s="125">
        <v>-36</v>
      </c>
      <c r="N1329" s="115">
        <v>15597.5</v>
      </c>
      <c r="O1329" s="139">
        <v>3525.26</v>
      </c>
      <c r="P1329" s="125">
        <v>0</v>
      </c>
      <c r="Q1329" s="125">
        <v>0</v>
      </c>
      <c r="S1329" s="125">
        <v>-5238845.7000030708</v>
      </c>
      <c r="T1329" s="125">
        <v>0</v>
      </c>
      <c r="U1329" s="125">
        <v>2627108.8095999998</v>
      </c>
      <c r="V1329" s="125">
        <v>-6.19E-6</v>
      </c>
      <c r="W1329" s="142">
        <v>0</v>
      </c>
      <c r="X1329" s="142">
        <v>5.5657871399999994</v>
      </c>
      <c r="Y1329" s="142">
        <v>59652515.187393501</v>
      </c>
      <c r="Z1329" s="142">
        <v>372.81874754958153</v>
      </c>
    </row>
    <row r="1330" spans="1:26" s="141" customFormat="1">
      <c r="A1330" s="121">
        <v>44915</v>
      </c>
      <c r="B1330" s="125">
        <v>165063503.52762058</v>
      </c>
      <c r="C1330" s="125">
        <v>57858653.907501407</v>
      </c>
      <c r="D1330" s="125">
        <v>64582086.527910233</v>
      </c>
      <c r="E1330" s="125">
        <v>65448311.465724066</v>
      </c>
      <c r="F1330" s="123">
        <v>187889051.90113568</v>
      </c>
      <c r="G1330" s="125">
        <v>-1850000</v>
      </c>
      <c r="H1330" s="125">
        <v>1594.9825171983459</v>
      </c>
      <c r="I1330" s="125">
        <v>1004.1346172989508</v>
      </c>
      <c r="J1330" s="125">
        <v>585.24586122673406</v>
      </c>
      <c r="K1330" s="125">
        <v>918.71900271331981</v>
      </c>
      <c r="L1330" s="164">
        <v>2508.0994812390045</v>
      </c>
      <c r="M1330" s="125">
        <v>-36</v>
      </c>
      <c r="N1330" s="115">
        <v>15602.5</v>
      </c>
      <c r="O1330" s="139">
        <v>3520.0200000000004</v>
      </c>
      <c r="P1330" s="125">
        <v>0</v>
      </c>
      <c r="Q1330" s="125">
        <v>0</v>
      </c>
      <c r="S1330" s="125">
        <v>-4274920.0000028899</v>
      </c>
      <c r="T1330" s="125">
        <v>0</v>
      </c>
      <c r="U1330" s="125">
        <v>2114737.8695999999</v>
      </c>
      <c r="V1330" s="125">
        <v>-6.2400000000000004E-6</v>
      </c>
      <c r="W1330" s="142">
        <v>0</v>
      </c>
      <c r="X1330" s="142">
        <v>5.5657871399999994</v>
      </c>
      <c r="Y1330" s="142">
        <v>59138491.712269932</v>
      </c>
      <c r="Z1330" s="142">
        <v>371.18114862309761</v>
      </c>
    </row>
    <row r="1331" spans="1:26" s="141" customFormat="1">
      <c r="A1331" s="121">
        <v>44916</v>
      </c>
      <c r="B1331" s="125">
        <v>165561138.40755171</v>
      </c>
      <c r="C1331" s="125">
        <v>60531264.194943905</v>
      </c>
      <c r="D1331" s="125">
        <v>64988003.238002047</v>
      </c>
      <c r="E1331" s="125">
        <v>64287426.802759685</v>
      </c>
      <c r="F1331" s="123">
        <v>189806694.23570564</v>
      </c>
      <c r="G1331" s="125">
        <v>-1100000</v>
      </c>
      <c r="H1331" s="125">
        <v>1607.0716676066854</v>
      </c>
      <c r="I1331" s="125">
        <v>997.3318875723769</v>
      </c>
      <c r="J1331" s="125">
        <v>584.83739907020481</v>
      </c>
      <c r="K1331" s="125">
        <v>910.19967737192326</v>
      </c>
      <c r="L1331" s="164">
        <v>2492.3689640145049</v>
      </c>
      <c r="M1331" s="125">
        <v>-36</v>
      </c>
      <c r="N1331" s="115">
        <v>15587.5</v>
      </c>
      <c r="O1331" s="139">
        <v>3510.3050000000003</v>
      </c>
      <c r="P1331" s="125">
        <v>0</v>
      </c>
      <c r="Q1331" s="125">
        <v>0</v>
      </c>
      <c r="S1331" s="125">
        <v>-5797042.1000028905</v>
      </c>
      <c r="T1331" s="125">
        <v>0</v>
      </c>
      <c r="U1331" s="125">
        <v>1651883.5696</v>
      </c>
      <c r="V1331" s="125">
        <v>-6.0900000000000001E-6</v>
      </c>
      <c r="W1331" s="142">
        <v>0</v>
      </c>
      <c r="X1331" s="142">
        <v>5.5657871400000003</v>
      </c>
      <c r="Y1331" s="142">
        <v>59200452.440329209</v>
      </c>
      <c r="Z1331" s="142">
        <v>370.39960007211045</v>
      </c>
    </row>
    <row r="1332" spans="1:26" s="141" customFormat="1">
      <c r="A1332" s="121">
        <v>44917</v>
      </c>
      <c r="B1332" s="125">
        <v>166023964.75454456</v>
      </c>
      <c r="C1332" s="125">
        <v>62614572.514501072</v>
      </c>
      <c r="D1332" s="125">
        <v>64994621.284351565</v>
      </c>
      <c r="E1332" s="125">
        <v>64629841.961630002</v>
      </c>
      <c r="F1332" s="123">
        <v>192239035.76048264</v>
      </c>
      <c r="G1332" s="125">
        <v>-1100000</v>
      </c>
      <c r="H1332" s="125">
        <v>1646.2020063785099</v>
      </c>
      <c r="I1332" s="125">
        <v>996.32182009600785</v>
      </c>
      <c r="J1332" s="125">
        <v>581.65533131220843</v>
      </c>
      <c r="K1332" s="125">
        <v>904.71432786690934</v>
      </c>
      <c r="L1332" s="164">
        <v>2482.6914792751259</v>
      </c>
      <c r="M1332" s="125">
        <v>-33</v>
      </c>
      <c r="N1332" s="115">
        <v>15582.5</v>
      </c>
      <c r="O1332" s="139">
        <v>3518.29</v>
      </c>
      <c r="P1332" s="125">
        <v>0</v>
      </c>
      <c r="Q1332" s="125">
        <v>0</v>
      </c>
      <c r="S1332" s="125">
        <v>-5797042.1000028905</v>
      </c>
      <c r="T1332" s="125">
        <v>0</v>
      </c>
      <c r="U1332" s="125">
        <v>1005089.6156</v>
      </c>
      <c r="V1332" s="125">
        <v>-6.0399999999999998E-6</v>
      </c>
      <c r="W1332" s="142">
        <v>0</v>
      </c>
      <c r="X1332" s="142">
        <v>5.5657871400000003</v>
      </c>
      <c r="Y1332" s="142">
        <v>59169620.089925528</v>
      </c>
      <c r="Z1332" s="142">
        <v>370.71760842906531</v>
      </c>
    </row>
    <row r="1333" spans="1:26" s="141" customFormat="1">
      <c r="A1333" s="121">
        <v>44918</v>
      </c>
      <c r="B1333" s="125">
        <v>165715175.86211944</v>
      </c>
      <c r="C1333" s="125">
        <v>61332770.009524718</v>
      </c>
      <c r="D1333" s="125">
        <v>65827925.406167299</v>
      </c>
      <c r="E1333" s="125">
        <v>65418905.410211027</v>
      </c>
      <c r="F1333" s="123">
        <v>192579600.82590306</v>
      </c>
      <c r="G1333" s="125">
        <v>-1100000</v>
      </c>
      <c r="H1333" s="125">
        <v>1644.7500882998199</v>
      </c>
      <c r="I1333" s="125">
        <v>1019.9706790964169</v>
      </c>
      <c r="J1333" s="125">
        <v>582.59094351674742</v>
      </c>
      <c r="K1333" s="125">
        <v>902.22714777902775</v>
      </c>
      <c r="L1333" s="164">
        <v>2504.788770392192</v>
      </c>
      <c r="M1333" s="125">
        <v>0</v>
      </c>
      <c r="N1333" s="115">
        <v>15592.5</v>
      </c>
      <c r="O1333" s="139">
        <v>3527.32</v>
      </c>
      <c r="P1333" s="125">
        <v>0</v>
      </c>
      <c r="Q1333" s="125">
        <v>0</v>
      </c>
      <c r="S1333" s="125">
        <v>-5797042.1000028905</v>
      </c>
      <c r="T1333" s="125">
        <v>0</v>
      </c>
      <c r="U1333" s="125">
        <v>1005089.6156</v>
      </c>
      <c r="V1333" s="125">
        <v>-6.1399999999999997E-6</v>
      </c>
      <c r="W1333" s="142">
        <v>0</v>
      </c>
      <c r="X1333" s="142">
        <v>5.5657871400000003</v>
      </c>
      <c r="Y1333" s="142">
        <v>59147208.928950138</v>
      </c>
      <c r="Z1333" s="142">
        <v>370.73513175708553</v>
      </c>
    </row>
    <row r="1334" spans="1:26" s="141" customFormat="1">
      <c r="A1334" s="121">
        <v>44921</v>
      </c>
      <c r="B1334" s="125">
        <v>165617799.58550784</v>
      </c>
      <c r="C1334" s="125">
        <v>60867874.790555581</v>
      </c>
      <c r="D1334" s="125">
        <v>65375580.242055893</v>
      </c>
      <c r="E1334" s="125">
        <v>65469311.499082983</v>
      </c>
      <c r="F1334" s="123">
        <v>191712766.53169447</v>
      </c>
      <c r="G1334" s="125">
        <v>-1100000</v>
      </c>
      <c r="H1334" s="125">
        <v>1636.3403423869472</v>
      </c>
      <c r="I1334" s="125">
        <v>948.91269230232888</v>
      </c>
      <c r="J1334" s="125">
        <v>578.63777234180066</v>
      </c>
      <c r="K1334" s="125">
        <v>1004.7838426137757</v>
      </c>
      <c r="L1334" s="164">
        <v>2532.3343072579055</v>
      </c>
      <c r="M1334" s="125">
        <v>0</v>
      </c>
      <c r="N1334" s="115">
        <v>15632.5</v>
      </c>
      <c r="O1334" s="139">
        <v>3532.77</v>
      </c>
      <c r="P1334" s="125">
        <v>0</v>
      </c>
      <c r="Q1334" s="125">
        <v>0</v>
      </c>
      <c r="S1334" s="125">
        <v>-5797042.1000028905</v>
      </c>
      <c r="T1334" s="125">
        <v>0</v>
      </c>
      <c r="U1334" s="125">
        <v>813076.05559999996</v>
      </c>
      <c r="V1334" s="125">
        <v>-6.5400000000000001E-6</v>
      </c>
      <c r="W1334" s="142">
        <v>0</v>
      </c>
      <c r="X1334" s="142">
        <v>5.5657871400000003</v>
      </c>
      <c r="Y1334" s="142">
        <v>58989761.920343935</v>
      </c>
      <c r="Z1334" s="142">
        <v>370.12425705956701</v>
      </c>
    </row>
    <row r="1335" spans="1:26" s="141" customFormat="1">
      <c r="A1335" s="121">
        <v>44922</v>
      </c>
      <c r="B1335" s="125">
        <v>166140927.70993212</v>
      </c>
      <c r="C1335" s="125">
        <v>61103760.642317928</v>
      </c>
      <c r="D1335" s="125">
        <v>65342480.894097902</v>
      </c>
      <c r="E1335" s="125">
        <v>65633070.77363804</v>
      </c>
      <c r="F1335" s="123">
        <v>192079312.31005388</v>
      </c>
      <c r="G1335" s="125">
        <v>-1100000</v>
      </c>
      <c r="H1335" s="125">
        <v>1644.2295175844379</v>
      </c>
      <c r="I1335" s="125">
        <v>957.50560966204148</v>
      </c>
      <c r="J1335" s="125">
        <v>577.85152522986675</v>
      </c>
      <c r="K1335" s="125">
        <v>996.91498859787021</v>
      </c>
      <c r="L1335" s="164">
        <v>2532.2721234897781</v>
      </c>
      <c r="M1335" s="125">
        <v>0</v>
      </c>
      <c r="N1335" s="115">
        <v>15662.5</v>
      </c>
      <c r="O1335" s="139">
        <v>3541.15</v>
      </c>
      <c r="P1335" s="125">
        <v>0</v>
      </c>
      <c r="Q1335" s="125">
        <v>0</v>
      </c>
      <c r="S1335" s="125">
        <v>-5558916.5000029504</v>
      </c>
      <c r="T1335" s="125">
        <v>0</v>
      </c>
      <c r="U1335" s="125">
        <v>813076.05559999996</v>
      </c>
      <c r="V1335" s="125">
        <v>-6.8399999999999997E-6</v>
      </c>
      <c r="W1335" s="142">
        <v>0</v>
      </c>
      <c r="X1335" s="142">
        <v>0.56578713999999997</v>
      </c>
      <c r="Y1335" s="142">
        <v>58929684.72232049</v>
      </c>
      <c r="Z1335" s="142">
        <v>369.9565327250433</v>
      </c>
    </row>
    <row r="1336" spans="1:26" s="141" customFormat="1">
      <c r="A1336" s="121">
        <v>44923</v>
      </c>
      <c r="B1336" s="125">
        <v>166468849.35377634</v>
      </c>
      <c r="C1336" s="125">
        <v>58736415.462268174</v>
      </c>
      <c r="D1336" s="125">
        <v>65281316.298618644</v>
      </c>
      <c r="E1336" s="125">
        <v>65809082.683920488</v>
      </c>
      <c r="F1336" s="123">
        <v>189826814.44480729</v>
      </c>
      <c r="G1336" s="125">
        <v>-1100000</v>
      </c>
      <c r="H1336" s="125">
        <v>1611.8529404643755</v>
      </c>
      <c r="I1336" s="125">
        <v>954.97293105354811</v>
      </c>
      <c r="J1336" s="125">
        <v>575.37938180031972</v>
      </c>
      <c r="K1336" s="125">
        <v>994.48027004218227</v>
      </c>
      <c r="L1336" s="164">
        <v>2524.8325828960501</v>
      </c>
      <c r="M1336" s="125">
        <v>0</v>
      </c>
      <c r="N1336" s="115">
        <v>15702.5</v>
      </c>
      <c r="O1336" s="139">
        <v>3550.1950000000002</v>
      </c>
      <c r="P1336" s="125">
        <v>0</v>
      </c>
      <c r="Q1336" s="125">
        <v>0</v>
      </c>
      <c r="S1336" s="125">
        <v>-3665119.1000034399</v>
      </c>
      <c r="T1336" s="125">
        <v>0</v>
      </c>
      <c r="U1336" s="125">
        <v>813076.05559999996</v>
      </c>
      <c r="V1336" s="125">
        <v>-7.2400000000000001E-6</v>
      </c>
      <c r="W1336" s="142">
        <v>0</v>
      </c>
      <c r="X1336" s="142">
        <v>0.56578713999999997</v>
      </c>
      <c r="Y1336" s="142">
        <v>58850462.91081655</v>
      </c>
      <c r="Z1336" s="142">
        <v>372.772011486986</v>
      </c>
    </row>
    <row r="1337" spans="1:26" s="141" customFormat="1">
      <c r="A1337" s="121">
        <v>44924</v>
      </c>
      <c r="B1337" s="125">
        <v>167024472.58781928</v>
      </c>
      <c r="C1337" s="125">
        <v>58131799.170445971</v>
      </c>
      <c r="D1337" s="125">
        <v>65267853.311833523</v>
      </c>
      <c r="E1337" s="125">
        <v>66302377.869018979</v>
      </c>
      <c r="F1337" s="123">
        <v>189702030.35129848</v>
      </c>
      <c r="G1337" s="125">
        <v>-1100000</v>
      </c>
      <c r="H1337" s="125">
        <v>1608.0810744392998</v>
      </c>
      <c r="I1337" s="125">
        <v>927.1621128264469</v>
      </c>
      <c r="J1337" s="125">
        <v>572.17325764433781</v>
      </c>
      <c r="K1337" s="125">
        <v>1011.4268430121256</v>
      </c>
      <c r="L1337" s="164">
        <v>2510.7622134829103</v>
      </c>
      <c r="M1337" s="125">
        <v>0</v>
      </c>
      <c r="N1337" s="115">
        <v>15657.5</v>
      </c>
      <c r="O1337" s="139">
        <v>3539.62</v>
      </c>
      <c r="P1337" s="125">
        <v>0</v>
      </c>
      <c r="Q1337" s="125">
        <v>0</v>
      </c>
      <c r="S1337" s="125">
        <v>-4598509.1000034399</v>
      </c>
      <c r="T1337" s="125">
        <v>0</v>
      </c>
      <c r="U1337" s="125">
        <v>813076.05559999996</v>
      </c>
      <c r="V1337" s="125">
        <v>-6.7900000000000002E-6</v>
      </c>
      <c r="W1337" s="142">
        <v>0</v>
      </c>
      <c r="X1337" s="142">
        <v>0.56578713999999997</v>
      </c>
      <c r="Y1337" s="142">
        <v>59053618.919087999</v>
      </c>
      <c r="Z1337" s="142">
        <v>372.40123391863455</v>
      </c>
    </row>
    <row r="1338" spans="1:26" s="141" customFormat="1">
      <c r="A1338" s="121">
        <v>44925</v>
      </c>
      <c r="B1338" s="125">
        <v>167738463.09787729</v>
      </c>
      <c r="C1338" s="125">
        <v>56217471.882272132</v>
      </c>
      <c r="D1338" s="125">
        <v>65112083.653495803</v>
      </c>
      <c r="E1338" s="125">
        <v>67062495.466884702</v>
      </c>
      <c r="F1338" s="123">
        <v>188392051.00265265</v>
      </c>
      <c r="G1338" s="125">
        <v>-1100000</v>
      </c>
      <c r="H1338" s="125">
        <v>1584.3825739431206</v>
      </c>
      <c r="I1338" s="125">
        <v>921.39396214368787</v>
      </c>
      <c r="J1338" s="125">
        <v>566.45422953243224</v>
      </c>
      <c r="K1338" s="125">
        <v>1054.6833786244881</v>
      </c>
      <c r="L1338" s="164">
        <v>2542.5315703006081</v>
      </c>
      <c r="M1338" s="125">
        <v>0</v>
      </c>
      <c r="N1338" s="115">
        <v>15567.5</v>
      </c>
      <c r="O1338" s="139">
        <v>3533.6549999999997</v>
      </c>
      <c r="P1338" s="125">
        <v>0</v>
      </c>
      <c r="Q1338" s="125">
        <v>0</v>
      </c>
      <c r="S1338" s="125">
        <v>-6062726.6000038097</v>
      </c>
      <c r="T1338" s="125">
        <v>0</v>
      </c>
      <c r="U1338" s="125">
        <v>510306.53</v>
      </c>
      <c r="V1338" s="125">
        <v>-5.8899999999999995E-6</v>
      </c>
      <c r="W1338" s="142">
        <v>0</v>
      </c>
      <c r="X1338" s="142">
        <v>0.56578714000000008</v>
      </c>
      <c r="Y1338" s="142">
        <v>58988015.490593672</v>
      </c>
      <c r="Z1338" s="142">
        <v>372.07701587646181</v>
      </c>
    </row>
    <row r="1339" spans="1:26" s="141" customFormat="1">
      <c r="A1339" s="121">
        <v>44926</v>
      </c>
      <c r="B1339" s="136">
        <v>166670615.91462299</v>
      </c>
      <c r="C1339" s="136">
        <v>56355502.327756003</v>
      </c>
      <c r="D1339" s="136">
        <v>65267037.684095003</v>
      </c>
      <c r="E1339" s="136">
        <v>66995283.550329998</v>
      </c>
      <c r="F1339" s="137">
        <v>188617823.562181</v>
      </c>
      <c r="G1339" s="125">
        <v>-1100000</v>
      </c>
      <c r="H1339" s="136">
        <v>1585.1636193431827</v>
      </c>
      <c r="I1339" s="136">
        <v>921.31521210342066</v>
      </c>
      <c r="J1339" s="136">
        <v>566.46852538615701</v>
      </c>
      <c r="K1339" s="136">
        <v>1054.777354212237</v>
      </c>
      <c r="L1339" s="165">
        <v>2542.5610917018148</v>
      </c>
      <c r="M1339" s="125">
        <v>0</v>
      </c>
      <c r="N1339" s="115">
        <v>15567.5</v>
      </c>
      <c r="O1339" s="139">
        <v>3533.6549999999997</v>
      </c>
      <c r="P1339" s="125">
        <v>0</v>
      </c>
      <c r="Q1339" s="125">
        <v>0</v>
      </c>
      <c r="S1339" s="125">
        <v>-6062726.6000038097</v>
      </c>
      <c r="T1339" s="125">
        <v>0</v>
      </c>
      <c r="U1339" s="125">
        <v>510306.53</v>
      </c>
      <c r="V1339" s="125">
        <v>-5.8899999999999995E-6</v>
      </c>
      <c r="W1339" s="142">
        <v>0</v>
      </c>
      <c r="X1339" s="142">
        <v>0.56578714000000008</v>
      </c>
      <c r="Y1339" s="142">
        <v>58988015.490593672</v>
      </c>
      <c r="Z1339" s="142">
        <v>372.07701587646181</v>
      </c>
    </row>
    <row r="1340" spans="1:26" s="141" customFormat="1">
      <c r="A1340" s="121">
        <v>44928</v>
      </c>
      <c r="B1340" s="125">
        <v>166939399.73341301</v>
      </c>
      <c r="C1340" s="125">
        <v>57174788.703734323</v>
      </c>
      <c r="D1340" s="125">
        <v>64792259.540052935</v>
      </c>
      <c r="E1340" s="125">
        <v>65321341.251919866</v>
      </c>
      <c r="F1340" s="123">
        <v>187288389.49570712</v>
      </c>
      <c r="G1340" s="125">
        <v>-1100000</v>
      </c>
      <c r="H1340" s="125">
        <v>1586.8302989798801</v>
      </c>
      <c r="I1340" s="125">
        <v>921.29440837133245</v>
      </c>
      <c r="J1340" s="125">
        <v>568.42182256668764</v>
      </c>
      <c r="K1340" s="125">
        <v>1053.4242495045007</v>
      </c>
      <c r="L1340" s="164">
        <v>2543.140480442521</v>
      </c>
      <c r="M1340" s="125">
        <v>0</v>
      </c>
      <c r="N1340" s="115">
        <v>15572.5</v>
      </c>
      <c r="O1340" s="139">
        <v>3535.19</v>
      </c>
      <c r="P1340" s="125">
        <v>0</v>
      </c>
      <c r="Q1340" s="125">
        <v>0</v>
      </c>
      <c r="S1340" s="125">
        <v>-7608541.6000038106</v>
      </c>
      <c r="T1340" s="125">
        <v>0</v>
      </c>
      <c r="U1340" s="125">
        <v>972716.48</v>
      </c>
      <c r="V1340" s="125">
        <v>-5.9400000000000007E-6</v>
      </c>
      <c r="W1340" s="142">
        <v>0</v>
      </c>
      <c r="X1340" s="142">
        <v>0.56578713999999997</v>
      </c>
      <c r="Y1340" s="142">
        <v>59265324.822970904</v>
      </c>
      <c r="Z1340" s="142">
        <v>373.06696379555717</v>
      </c>
    </row>
    <row r="1341" spans="1:26" s="141" customFormat="1">
      <c r="A1341" s="121">
        <v>44929</v>
      </c>
      <c r="B1341" s="125">
        <v>166378822.79329827</v>
      </c>
      <c r="C1341" s="125">
        <v>58668022.767390162</v>
      </c>
      <c r="D1341" s="125">
        <v>64931772.800448269</v>
      </c>
      <c r="E1341" s="125">
        <v>66276182.628996521</v>
      </c>
      <c r="F1341" s="123">
        <v>189875978.19683495</v>
      </c>
      <c r="G1341" s="125">
        <v>-1100000</v>
      </c>
      <c r="H1341" s="125">
        <v>1548.4182707792479</v>
      </c>
      <c r="I1341" s="125">
        <v>934.99668192058948</v>
      </c>
      <c r="J1341" s="125">
        <v>567.97971540831725</v>
      </c>
      <c r="K1341" s="125">
        <v>1019.1857133960834</v>
      </c>
      <c r="L1341" s="164">
        <v>2522.1621107249903</v>
      </c>
      <c r="M1341" s="125">
        <v>0</v>
      </c>
      <c r="N1341" s="115">
        <v>15597.5</v>
      </c>
      <c r="O1341" s="139">
        <v>3544.4900000000002</v>
      </c>
      <c r="P1341" s="125">
        <v>0</v>
      </c>
      <c r="Q1341" s="125">
        <v>0</v>
      </c>
      <c r="S1341" s="125">
        <v>-6335016.1652212003</v>
      </c>
      <c r="T1341" s="125">
        <v>0</v>
      </c>
      <c r="U1341" s="125">
        <v>1148251.52</v>
      </c>
      <c r="V1341" s="125">
        <v>-6.19E-6</v>
      </c>
      <c r="W1341" s="142">
        <v>0</v>
      </c>
      <c r="X1341" s="142">
        <v>0.56578713999999997</v>
      </c>
      <c r="Y1341" s="142">
        <v>59431045.071094923</v>
      </c>
      <c r="Z1341" s="142">
        <v>375.33041147645457</v>
      </c>
    </row>
    <row r="1342" spans="1:26" s="141" customFormat="1">
      <c r="A1342" s="121">
        <v>44930</v>
      </c>
      <c r="B1342" s="125">
        <v>165505203.98037991</v>
      </c>
      <c r="C1342" s="125">
        <v>59499755.060634166</v>
      </c>
      <c r="D1342" s="1033">
        <v>64336764.6331072</v>
      </c>
      <c r="E1342" s="125">
        <v>66476541.644076094</v>
      </c>
      <c r="F1342" s="123">
        <v>190313061.33781746</v>
      </c>
      <c r="G1342" s="125">
        <v>-1100000</v>
      </c>
      <c r="H1342" s="125">
        <v>1583.5456469241742</v>
      </c>
      <c r="I1342" s="125">
        <v>946.07677411386749</v>
      </c>
      <c r="J1342" s="125">
        <v>569.20591569688281</v>
      </c>
      <c r="K1342" s="125">
        <v>1018.7171379009035</v>
      </c>
      <c r="L1342" s="164">
        <v>2533.9998277116538</v>
      </c>
      <c r="M1342" s="125">
        <v>0</v>
      </c>
      <c r="N1342" s="115">
        <v>15587.5</v>
      </c>
      <c r="O1342" s="139">
        <v>3542.21</v>
      </c>
      <c r="P1342" s="125">
        <v>0</v>
      </c>
      <c r="Q1342" s="125">
        <v>0</v>
      </c>
      <c r="S1342" s="125">
        <v>-3943421.7773091104</v>
      </c>
      <c r="T1342" s="125">
        <v>0</v>
      </c>
      <c r="U1342" s="125">
        <v>1333296.7</v>
      </c>
      <c r="V1342" s="125">
        <v>-6.0900000000000001E-6</v>
      </c>
      <c r="W1342" s="142">
        <v>0</v>
      </c>
      <c r="X1342" s="142">
        <v>0.56578713999999997</v>
      </c>
      <c r="Y1342" s="142">
        <v>59324194.64708671</v>
      </c>
      <c r="Z1342" s="142">
        <v>375.16239679907619</v>
      </c>
    </row>
    <row r="1343" spans="1:26" s="141" customFormat="1">
      <c r="A1343" s="121">
        <v>44931</v>
      </c>
      <c r="B1343" s="125">
        <v>164796941.85569039</v>
      </c>
      <c r="C1343" s="125">
        <v>59699990.516895451</v>
      </c>
      <c r="D1343" s="125">
        <v>64908997.296396546</v>
      </c>
      <c r="E1343" s="125">
        <v>64196729.750837639</v>
      </c>
      <c r="F1343" s="123">
        <v>188805717.56412965</v>
      </c>
      <c r="G1343" s="125">
        <v>-1450000</v>
      </c>
      <c r="H1343" s="125">
        <v>1575.8399823583409</v>
      </c>
      <c r="I1343" s="125">
        <v>987.46236486843327</v>
      </c>
      <c r="J1343" s="125">
        <v>568.61640949869661</v>
      </c>
      <c r="K1343" s="125">
        <v>979.98589655949229</v>
      </c>
      <c r="L1343" s="164">
        <v>2536.0646709266221</v>
      </c>
      <c r="M1343" s="125">
        <v>-1.0181159698862727</v>
      </c>
      <c r="N1343" s="115">
        <v>15607.5</v>
      </c>
      <c r="O1343" s="139">
        <v>3548.375</v>
      </c>
      <c r="P1343" s="125">
        <v>0</v>
      </c>
      <c r="Q1343" s="125">
        <v>0</v>
      </c>
      <c r="S1343" s="125">
        <v>-4156576.5773091102</v>
      </c>
      <c r="T1343" s="125">
        <v>0</v>
      </c>
      <c r="U1343" s="125">
        <v>1425434.66</v>
      </c>
      <c r="V1343" s="125">
        <v>-6.2899999999999999E-6</v>
      </c>
      <c r="W1343" s="142">
        <v>0</v>
      </c>
      <c r="X1343" s="142">
        <v>5.5657871400000003</v>
      </c>
      <c r="Y1343" s="142">
        <v>60054735.317819968</v>
      </c>
      <c r="Z1343" s="142">
        <v>374.91192324727024</v>
      </c>
    </row>
    <row r="1344" spans="1:26" s="141" customFormat="1">
      <c r="A1344" s="121">
        <v>44932</v>
      </c>
      <c r="B1344" s="125">
        <v>164768480.1714966</v>
      </c>
      <c r="C1344" s="125">
        <v>59589014.850559421</v>
      </c>
      <c r="D1344" s="125">
        <v>64897252.66571191</v>
      </c>
      <c r="E1344" s="125">
        <v>63901411.336581707</v>
      </c>
      <c r="F1344" s="123">
        <v>188387678.85285303</v>
      </c>
      <c r="G1344" s="125">
        <v>-1365000</v>
      </c>
      <c r="H1344" s="125">
        <v>1589.855577902171</v>
      </c>
      <c r="I1344" s="125">
        <v>940.3499885421038</v>
      </c>
      <c r="J1344" s="125">
        <v>564.99611943517652</v>
      </c>
      <c r="K1344" s="125">
        <v>992.5584184354625</v>
      </c>
      <c r="L1344" s="164">
        <v>2497.9045264127426</v>
      </c>
      <c r="M1344" s="125">
        <v>0</v>
      </c>
      <c r="N1344" s="115">
        <v>15632.5</v>
      </c>
      <c r="O1344" s="139">
        <v>3552.84</v>
      </c>
      <c r="P1344" s="125">
        <v>0</v>
      </c>
      <c r="Q1344" s="125">
        <v>0</v>
      </c>
      <c r="S1344" s="125">
        <v>-3623887.0773091102</v>
      </c>
      <c r="T1344" s="125">
        <v>0</v>
      </c>
      <c r="U1344" s="125">
        <v>2387797.66</v>
      </c>
      <c r="V1344" s="125">
        <v>-6.5400000000000001E-6</v>
      </c>
      <c r="W1344" s="142">
        <v>0</v>
      </c>
      <c r="X1344" s="142">
        <v>5.5657871400000003</v>
      </c>
      <c r="Y1344" s="142">
        <v>60315973.626899108</v>
      </c>
      <c r="Z1344" s="142">
        <v>375.30584430757648</v>
      </c>
    </row>
    <row r="1345" spans="1:26" s="141" customFormat="1">
      <c r="A1345" s="121">
        <v>44935</v>
      </c>
      <c r="B1345" s="125">
        <v>164495330.01366901</v>
      </c>
      <c r="C1345" s="125">
        <v>60039287.606886409</v>
      </c>
      <c r="D1345" s="125">
        <v>64707153.081963927</v>
      </c>
      <c r="E1345" s="125">
        <v>63496085.458100483</v>
      </c>
      <c r="F1345" s="123">
        <v>188242526.14695084</v>
      </c>
      <c r="G1345" s="125">
        <v>-615000</v>
      </c>
      <c r="H1345" s="125">
        <v>1611.8984793745142</v>
      </c>
      <c r="I1345" s="125">
        <v>966.00122623857771</v>
      </c>
      <c r="J1345" s="125">
        <v>571.24916675517852</v>
      </c>
      <c r="K1345" s="125">
        <v>990.52959695959225</v>
      </c>
      <c r="L1345" s="164">
        <v>2527.7799899533484</v>
      </c>
      <c r="M1345" s="125">
        <v>0</v>
      </c>
      <c r="N1345" s="115">
        <v>15567.5</v>
      </c>
      <c r="O1345" s="139">
        <v>3555.8500000000004</v>
      </c>
      <c r="P1345" s="125">
        <v>0</v>
      </c>
      <c r="Q1345" s="125">
        <v>0</v>
      </c>
      <c r="S1345" s="125">
        <v>-5724734.0273092296</v>
      </c>
      <c r="T1345" s="125">
        <v>0</v>
      </c>
      <c r="U1345" s="125">
        <v>2758261.42</v>
      </c>
      <c r="V1345" s="125">
        <v>-5.8899999999999995E-6</v>
      </c>
      <c r="W1345" s="142">
        <v>0</v>
      </c>
      <c r="X1345" s="142">
        <v>16.238788585318773</v>
      </c>
      <c r="Y1345" s="142">
        <v>60165365.771875761</v>
      </c>
      <c r="Z1345" s="142">
        <v>375.08144610527637</v>
      </c>
    </row>
    <row r="1346" spans="1:26" s="141" customFormat="1">
      <c r="A1346" s="121">
        <v>44936</v>
      </c>
      <c r="B1346" s="125">
        <v>164557358.32265663</v>
      </c>
      <c r="C1346" s="125">
        <v>58436140.463643059</v>
      </c>
      <c r="D1346" s="125">
        <v>64915469.114307962</v>
      </c>
      <c r="E1346" s="125">
        <v>63491686.898182362</v>
      </c>
      <c r="F1346" s="123">
        <v>186843296.47613338</v>
      </c>
      <c r="G1346" s="125">
        <v>-1390000</v>
      </c>
      <c r="H1346" s="125">
        <v>1616.6817248344375</v>
      </c>
      <c r="I1346" s="125">
        <v>964.28159342402842</v>
      </c>
      <c r="J1346" s="125">
        <v>578.75274781659004</v>
      </c>
      <c r="K1346" s="125">
        <v>990.50912020660428</v>
      </c>
      <c r="L1346" s="164">
        <v>2533.5434614472229</v>
      </c>
      <c r="M1346" s="125">
        <v>0</v>
      </c>
      <c r="N1346" s="115">
        <v>15572.5</v>
      </c>
      <c r="O1346" s="139">
        <v>3558.8150000000001</v>
      </c>
      <c r="P1346" s="125">
        <v>0</v>
      </c>
      <c r="Q1346" s="125">
        <v>0</v>
      </c>
      <c r="S1346" s="125">
        <v>-7270756.0273092296</v>
      </c>
      <c r="T1346" s="125">
        <v>0</v>
      </c>
      <c r="U1346" s="125">
        <v>3036859.93</v>
      </c>
      <c r="V1346" s="125">
        <v>-5.9400000000000007E-6</v>
      </c>
      <c r="W1346" s="142">
        <v>0</v>
      </c>
      <c r="X1346" s="142">
        <v>16.297789066472951</v>
      </c>
      <c r="Y1346" s="142">
        <v>60244742.777869694</v>
      </c>
      <c r="Z1346" s="142">
        <v>377.22802010175252</v>
      </c>
    </row>
    <row r="1347" spans="1:26" s="141" customFormat="1">
      <c r="A1347" s="121">
        <v>44937</v>
      </c>
      <c r="B1347" s="125">
        <v>164422897.29122511</v>
      </c>
      <c r="C1347" s="125">
        <v>59422734.333911397</v>
      </c>
      <c r="D1347" s="125">
        <v>64878936.147734307</v>
      </c>
      <c r="E1347" s="125">
        <v>63593439.078048438</v>
      </c>
      <c r="F1347" s="123">
        <v>187895109.55969414</v>
      </c>
      <c r="G1347" s="125">
        <v>-1300000</v>
      </c>
      <c r="H1347" s="125">
        <v>1616.4542828522253</v>
      </c>
      <c r="I1347" s="125">
        <v>976.98867804525298</v>
      </c>
      <c r="J1347" s="125">
        <v>579.62222200442341</v>
      </c>
      <c r="K1347" s="125">
        <v>989.81339850029508</v>
      </c>
      <c r="L1347" s="164">
        <v>2546.4242985499714</v>
      </c>
      <c r="M1347" s="125">
        <v>0</v>
      </c>
      <c r="N1347" s="115">
        <v>15482.5</v>
      </c>
      <c r="O1347" s="139">
        <v>3539.2650000000003</v>
      </c>
      <c r="P1347" s="125">
        <v>0</v>
      </c>
      <c r="Q1347" s="125">
        <v>0</v>
      </c>
      <c r="S1347" s="125">
        <v>-7270756.0273092296</v>
      </c>
      <c r="T1347" s="125">
        <v>0</v>
      </c>
      <c r="U1347" s="125">
        <v>3316478.02</v>
      </c>
      <c r="V1347" s="125">
        <v>-5.04E-6</v>
      </c>
      <c r="W1347" s="142">
        <v>0</v>
      </c>
      <c r="X1347" s="142">
        <v>16.312788593253675</v>
      </c>
      <c r="Y1347" s="142">
        <v>59824684.508015372</v>
      </c>
      <c r="Z1347" s="142">
        <v>382.17562781915962</v>
      </c>
    </row>
    <row r="1348" spans="1:26" s="141" customFormat="1">
      <c r="A1348" s="121">
        <v>44938</v>
      </c>
      <c r="B1348" s="125">
        <v>164627892.18228844</v>
      </c>
      <c r="C1348" s="125">
        <v>60282595.10215193</v>
      </c>
      <c r="D1348" s="125">
        <v>64982099.208528019</v>
      </c>
      <c r="E1348" s="125">
        <v>63907661.000852302</v>
      </c>
      <c r="F1348" s="123">
        <v>189172355.31153226</v>
      </c>
      <c r="G1348" s="125">
        <v>-1580000</v>
      </c>
      <c r="H1348" s="125">
        <v>1614.3048522289544</v>
      </c>
      <c r="I1348" s="125">
        <v>999.77719940281577</v>
      </c>
      <c r="J1348" s="125">
        <v>588.23873906796337</v>
      </c>
      <c r="K1348" s="125">
        <v>992.29192094497478</v>
      </c>
      <c r="L1348" s="164">
        <v>2580.3078594157537</v>
      </c>
      <c r="M1348" s="125">
        <v>-1.4796707416462918</v>
      </c>
      <c r="N1348" s="115">
        <v>15337.5</v>
      </c>
      <c r="O1348" s="139">
        <v>3512.54</v>
      </c>
      <c r="P1348" s="125">
        <v>0</v>
      </c>
      <c r="Q1348" s="125">
        <v>0</v>
      </c>
      <c r="S1348" s="125">
        <v>-9150462.8773092292</v>
      </c>
      <c r="T1348" s="125">
        <v>0</v>
      </c>
      <c r="U1348" s="125">
        <v>3723463.9610000001</v>
      </c>
      <c r="V1348" s="125">
        <v>-3.5899999999999999E-6</v>
      </c>
      <c r="W1348" s="142">
        <v>0</v>
      </c>
      <c r="X1348" s="142">
        <v>11.328786325004076</v>
      </c>
      <c r="Y1348" s="142">
        <v>60276335.54210297</v>
      </c>
      <c r="Z1348" s="142">
        <v>383.39670716934376</v>
      </c>
    </row>
    <row r="1349" spans="1:26" s="141" customFormat="1">
      <c r="A1349" s="121">
        <v>44939</v>
      </c>
      <c r="B1349" s="125">
        <v>164670231.55970299</v>
      </c>
      <c r="C1349" s="125">
        <v>60020687.089803144</v>
      </c>
      <c r="D1349" s="125">
        <v>65293829.446831651</v>
      </c>
      <c r="E1349" s="125">
        <v>65432673.674953289</v>
      </c>
      <c r="F1349" s="123">
        <v>190747190.21158808</v>
      </c>
      <c r="G1349" s="125">
        <v>-1280000</v>
      </c>
      <c r="H1349" s="125">
        <v>1636.2808828754248</v>
      </c>
      <c r="I1349" s="125">
        <v>980.29820743302867</v>
      </c>
      <c r="J1349" s="125">
        <v>586.85050637613176</v>
      </c>
      <c r="K1349" s="125">
        <v>1001.977517424744</v>
      </c>
      <c r="L1349" s="164">
        <v>2569.1262312339045</v>
      </c>
      <c r="M1349" s="125">
        <v>-1.4892571805876527</v>
      </c>
      <c r="N1349" s="115">
        <v>15145</v>
      </c>
      <c r="O1349" s="139">
        <v>3494.4650000000001</v>
      </c>
      <c r="P1349" s="125">
        <v>0</v>
      </c>
      <c r="Q1349" s="125">
        <v>0</v>
      </c>
      <c r="S1349" s="125">
        <v>-8218934.8773092292</v>
      </c>
      <c r="T1349" s="125">
        <v>0</v>
      </c>
      <c r="U1349" s="125">
        <v>3723463.9610000001</v>
      </c>
      <c r="V1349" s="125">
        <v>-1.6699999999999999E-6</v>
      </c>
      <c r="W1349" s="142">
        <v>0</v>
      </c>
      <c r="X1349" s="142">
        <v>11.41479011127765</v>
      </c>
      <c r="Y1349" s="142">
        <v>59620505.030452579</v>
      </c>
      <c r="Z1349" s="142">
        <v>383.55628962680697</v>
      </c>
    </row>
    <row r="1350" spans="1:26" s="141" customFormat="1">
      <c r="A1350" s="121">
        <v>44942</v>
      </c>
      <c r="B1350" s="125">
        <v>164114253.18184122</v>
      </c>
      <c r="C1350" s="125">
        <v>59382888.890216574</v>
      </c>
      <c r="D1350" s="125">
        <v>65039436.207567066</v>
      </c>
      <c r="E1350" s="125">
        <v>66023621.296885729</v>
      </c>
      <c r="F1350" s="123">
        <v>190445946.39466935</v>
      </c>
      <c r="G1350" s="125">
        <v>-1000000</v>
      </c>
      <c r="H1350" s="125">
        <v>1636.911247378466</v>
      </c>
      <c r="I1350" s="125">
        <v>1058.5673314506259</v>
      </c>
      <c r="J1350" s="125">
        <v>589.38464731902468</v>
      </c>
      <c r="K1350" s="125">
        <v>919.44636303480434</v>
      </c>
      <c r="L1350" s="164">
        <v>2567.398341804455</v>
      </c>
      <c r="M1350" s="125">
        <v>-1.4901561980724494</v>
      </c>
      <c r="N1350" s="115">
        <v>15045</v>
      </c>
      <c r="O1350" s="139">
        <v>3485.8649999999998</v>
      </c>
      <c r="P1350" s="125">
        <v>0</v>
      </c>
      <c r="Q1350" s="125">
        <v>0</v>
      </c>
      <c r="S1350" s="125">
        <v>-4572272.92730923</v>
      </c>
      <c r="T1350" s="125">
        <v>0</v>
      </c>
      <c r="U1350" s="125">
        <v>4147122.3259999999</v>
      </c>
      <c r="V1350" s="125">
        <v>-6.7000000000000004E-7</v>
      </c>
      <c r="W1350" s="142">
        <v>0</v>
      </c>
      <c r="X1350" s="142">
        <v>0.56578713999999997</v>
      </c>
      <c r="Y1350" s="142">
        <v>60170701.444786601</v>
      </c>
      <c r="Z1350" s="142">
        <v>383.51101271336256</v>
      </c>
    </row>
    <row r="1351" spans="1:26" s="141" customFormat="1">
      <c r="A1351" s="121">
        <v>44943</v>
      </c>
      <c r="B1351" s="125">
        <v>164130509.03427345</v>
      </c>
      <c r="C1351" s="125">
        <v>59993820.419309057</v>
      </c>
      <c r="D1351" s="125">
        <v>65063797.444117732</v>
      </c>
      <c r="E1351" s="125">
        <v>65960533.37951</v>
      </c>
      <c r="F1351" s="123">
        <v>191018151.24293679</v>
      </c>
      <c r="G1351" s="125">
        <v>-700000</v>
      </c>
      <c r="H1351" s="125">
        <v>1668.155220155171</v>
      </c>
      <c r="I1351" s="125">
        <v>1066.6191106395388</v>
      </c>
      <c r="J1351" s="125">
        <v>590.13183421162421</v>
      </c>
      <c r="K1351" s="125">
        <v>918.81635335965245</v>
      </c>
      <c r="L1351" s="164">
        <v>2575.5672982108154</v>
      </c>
      <c r="M1351" s="125">
        <v>-1.4773458621826574</v>
      </c>
      <c r="N1351" s="115">
        <v>15165</v>
      </c>
      <c r="O1351" s="139">
        <v>3503.9250000000002</v>
      </c>
      <c r="P1351" s="125">
        <v>-458422.35499999998</v>
      </c>
      <c r="Q1351" s="125">
        <v>0</v>
      </c>
      <c r="S1351" s="125">
        <v>-3026250.92730923</v>
      </c>
      <c r="T1351" s="125">
        <v>0</v>
      </c>
      <c r="U1351" s="125">
        <v>4892933.4460000005</v>
      </c>
      <c r="V1351" s="125">
        <v>-1.8700000000000001E-6</v>
      </c>
      <c r="W1351" s="142">
        <v>0</v>
      </c>
      <c r="X1351" s="142">
        <v>16.393789118239365</v>
      </c>
      <c r="Y1351" s="142">
        <v>59740979.547939293</v>
      </c>
      <c r="Z1351" s="142">
        <v>383.0470557959743</v>
      </c>
    </row>
    <row r="1352" spans="1:26" s="141" customFormat="1">
      <c r="A1352" s="121">
        <v>44944</v>
      </c>
      <c r="B1352" s="125">
        <v>164253499.00129807</v>
      </c>
      <c r="C1352" s="125">
        <v>58802409.71105957</v>
      </c>
      <c r="D1352" s="125">
        <v>65184503.891954504</v>
      </c>
      <c r="E1352" s="125">
        <v>67606080.28480576</v>
      </c>
      <c r="F1352" s="123">
        <v>191592993.88781983</v>
      </c>
      <c r="G1352" s="125">
        <v>-300000</v>
      </c>
      <c r="H1352" s="125">
        <v>1660.0359964736424</v>
      </c>
      <c r="I1352" s="125">
        <v>1045.1913178131492</v>
      </c>
      <c r="J1352" s="125">
        <v>592.2621487837946</v>
      </c>
      <c r="K1352" s="125">
        <v>914.3611697669578</v>
      </c>
      <c r="L1352" s="164">
        <v>2551.8146363639016</v>
      </c>
      <c r="M1352" s="125">
        <v>-1.4761259320629661</v>
      </c>
      <c r="N1352" s="115">
        <v>15087.5</v>
      </c>
      <c r="O1352" s="139">
        <v>3491.67</v>
      </c>
      <c r="P1352" s="125">
        <v>-458422.35499999998</v>
      </c>
      <c r="Q1352" s="125">
        <v>0</v>
      </c>
      <c r="S1352" s="125">
        <v>-5352450.1273092302</v>
      </c>
      <c r="T1352" s="125">
        <v>0</v>
      </c>
      <c r="U1352" s="125">
        <v>4892933.4460000005</v>
      </c>
      <c r="V1352" s="125">
        <v>-1.1000000000000001E-6</v>
      </c>
      <c r="W1352" s="142">
        <v>0</v>
      </c>
      <c r="X1352" s="142">
        <v>16.390787968500415</v>
      </c>
      <c r="Y1352" s="142">
        <v>59593968.369516812</v>
      </c>
      <c r="Z1352" s="142">
        <v>386.10522354450973</v>
      </c>
    </row>
    <row r="1353" spans="1:26" s="141" customFormat="1">
      <c r="A1353" s="121">
        <v>44945</v>
      </c>
      <c r="B1353" s="125">
        <v>164728083.93536586</v>
      </c>
      <c r="C1353" s="125">
        <v>59267431.809917867</v>
      </c>
      <c r="D1353" s="125">
        <v>65213743.890050717</v>
      </c>
      <c r="E1353" s="125">
        <v>68057803.818254486</v>
      </c>
      <c r="F1353" s="123">
        <v>192538979.51822305</v>
      </c>
      <c r="G1353" s="125">
        <v>0</v>
      </c>
      <c r="H1353" s="125">
        <v>1659.8134962735398</v>
      </c>
      <c r="I1353" s="125">
        <v>1006.2734838135309</v>
      </c>
      <c r="J1353" s="125">
        <v>591.90072480765696</v>
      </c>
      <c r="K1353" s="125">
        <v>914.3926191382335</v>
      </c>
      <c r="L1353" s="164">
        <v>2512.5668277594214</v>
      </c>
      <c r="M1353" s="125">
        <v>-1.4755263506355931</v>
      </c>
      <c r="N1353" s="115">
        <v>15104</v>
      </c>
      <c r="O1353" s="139">
        <v>3498.7250000000004</v>
      </c>
      <c r="P1353" s="125">
        <v>-458422.35499999998</v>
      </c>
      <c r="Q1353" s="125">
        <v>0</v>
      </c>
      <c r="S1353" s="125">
        <v>-3622173.9773092302</v>
      </c>
      <c r="T1353" s="125">
        <v>0</v>
      </c>
      <c r="U1353" s="125">
        <v>4892933.4460000005</v>
      </c>
      <c r="V1353" s="125">
        <v>-1.2700000000000001E-6</v>
      </c>
      <c r="W1353" s="142">
        <v>0</v>
      </c>
      <c r="X1353" s="142">
        <v>16.374788066906778</v>
      </c>
      <c r="Y1353" s="142">
        <v>60095376.750445463</v>
      </c>
      <c r="Z1353" s="142">
        <v>382.89998419979412</v>
      </c>
    </row>
    <row r="1354" spans="1:26" s="141" customFormat="1">
      <c r="A1354" s="121">
        <v>44946</v>
      </c>
      <c r="B1354" s="125">
        <v>164901611.64529464</v>
      </c>
      <c r="C1354" s="125">
        <v>58962766.604021788</v>
      </c>
      <c r="D1354" s="125">
        <v>65522018.711867481</v>
      </c>
      <c r="E1354" s="125">
        <v>69021015.73408103</v>
      </c>
      <c r="F1354" s="123">
        <v>193505801.0499703</v>
      </c>
      <c r="G1354" s="125">
        <v>0</v>
      </c>
      <c r="H1354" s="125">
        <v>1671.8756129800204</v>
      </c>
      <c r="I1354" s="125">
        <v>1007.3564719332925</v>
      </c>
      <c r="J1354" s="125">
        <v>588.62989639927491</v>
      </c>
      <c r="K1354" s="125">
        <v>917.18308073085711</v>
      </c>
      <c r="L1354" s="164">
        <v>2513.1694490634245</v>
      </c>
      <c r="M1354" s="125">
        <v>-1.476145936981758</v>
      </c>
      <c r="N1354" s="115">
        <v>15075</v>
      </c>
      <c r="O1354" s="139">
        <v>3513.17</v>
      </c>
      <c r="P1354" s="125">
        <v>-938943.54500000004</v>
      </c>
      <c r="Q1354" s="125">
        <v>0</v>
      </c>
      <c r="S1354" s="125">
        <v>-3622173.9773092302</v>
      </c>
      <c r="T1354" s="125">
        <v>0</v>
      </c>
      <c r="U1354" s="125">
        <v>5171346.3459999999</v>
      </c>
      <c r="V1354" s="125">
        <v>-9.7999999999999993E-7</v>
      </c>
      <c r="W1354" s="142">
        <v>0</v>
      </c>
      <c r="X1354" s="142">
        <v>16.405790456749585</v>
      </c>
      <c r="Y1354" s="142">
        <v>60249858.874462306</v>
      </c>
      <c r="Z1354" s="142">
        <v>382.19070758792702</v>
      </c>
    </row>
    <row r="1355" spans="1:26" s="141" customFormat="1">
      <c r="A1355" s="121">
        <v>44950</v>
      </c>
      <c r="B1355" s="125">
        <v>165143078.60659552</v>
      </c>
      <c r="C1355" s="125">
        <v>61678435.777967177</v>
      </c>
      <c r="D1355" s="125">
        <v>65558190.582339689</v>
      </c>
      <c r="E1355" s="125">
        <v>68208657.625982046</v>
      </c>
      <c r="F1355" s="123">
        <v>195445283.98628891</v>
      </c>
      <c r="G1355" s="125">
        <v>0</v>
      </c>
      <c r="H1355" s="125">
        <v>1669.050690048723</v>
      </c>
      <c r="I1355" s="125">
        <v>1009.0925530208456</v>
      </c>
      <c r="J1355" s="125">
        <v>594.85902186934084</v>
      </c>
      <c r="K1355" s="125">
        <v>871.30929885064972</v>
      </c>
      <c r="L1355" s="164">
        <v>2475.2608737408359</v>
      </c>
      <c r="M1355" s="125">
        <v>-1.4739479429051219</v>
      </c>
      <c r="N1355" s="115">
        <v>14887.5</v>
      </c>
      <c r="O1355" s="139">
        <v>3473.9300000000003</v>
      </c>
      <c r="P1355" s="125">
        <v>-939322.19</v>
      </c>
      <c r="Q1355" s="125">
        <v>0</v>
      </c>
      <c r="S1355" s="125">
        <v>-2695685.9773092298</v>
      </c>
      <c r="T1355" s="125">
        <v>0</v>
      </c>
      <c r="U1355" s="125">
        <v>6557759.2910000002</v>
      </c>
      <c r="V1355" s="125">
        <v>8.9000000000000006E-7</v>
      </c>
      <c r="W1355" s="142">
        <v>0</v>
      </c>
      <c r="X1355" s="142">
        <v>0.56578713999999997</v>
      </c>
      <c r="Y1355" s="142">
        <v>60609327.70587042</v>
      </c>
      <c r="Z1355" s="142">
        <v>385.22688634621193</v>
      </c>
    </row>
    <row r="1356" spans="1:26" s="141" customFormat="1">
      <c r="A1356" s="121">
        <v>44951</v>
      </c>
      <c r="B1356" s="125">
        <v>165838259.05859849</v>
      </c>
      <c r="C1356" s="125">
        <v>62449235.942784175</v>
      </c>
      <c r="D1356" s="125">
        <v>65778713.337283693</v>
      </c>
      <c r="E1356" s="125">
        <v>66609533.131120175</v>
      </c>
      <c r="F1356" s="123">
        <v>194837482.41118804</v>
      </c>
      <c r="G1356" s="125">
        <v>0</v>
      </c>
      <c r="H1356" s="125">
        <v>1667.0328561349352</v>
      </c>
      <c r="I1356" s="125">
        <v>1012.8058213069196</v>
      </c>
      <c r="J1356" s="125">
        <v>599.14054185886573</v>
      </c>
      <c r="K1356" s="125">
        <v>925.85784210666293</v>
      </c>
      <c r="L1356" s="164">
        <v>2537.8042052724486</v>
      </c>
      <c r="M1356" s="125">
        <v>-1.4739492148346143</v>
      </c>
      <c r="N1356" s="115">
        <v>14965</v>
      </c>
      <c r="O1356" s="139">
        <v>3507.9700000000003</v>
      </c>
      <c r="P1356" s="125">
        <v>-939322.19</v>
      </c>
      <c r="Q1356" s="125">
        <v>0</v>
      </c>
      <c r="S1356" s="125">
        <v>-2033342.1146426501</v>
      </c>
      <c r="T1356" s="125">
        <v>0</v>
      </c>
      <c r="U1356" s="125">
        <v>6557759.2910000002</v>
      </c>
      <c r="V1356" s="125">
        <v>1.1999999999999999E-7</v>
      </c>
      <c r="W1356" s="142">
        <v>0</v>
      </c>
      <c r="X1356" s="142">
        <v>0.56578714000000008</v>
      </c>
      <c r="Y1356" s="142">
        <v>60237168.665297352</v>
      </c>
      <c r="Z1356" s="142">
        <v>391.65556645471611</v>
      </c>
    </row>
    <row r="1357" spans="1:26" s="141" customFormat="1">
      <c r="A1357" s="121">
        <v>44952</v>
      </c>
      <c r="B1357" s="125">
        <v>166061439.96809602</v>
      </c>
      <c r="C1357" s="125">
        <v>60966791.12056271</v>
      </c>
      <c r="D1357" s="125">
        <v>66429024.842905156</v>
      </c>
      <c r="E1357" s="125">
        <v>66154428.198476434</v>
      </c>
      <c r="F1357" s="123">
        <v>193550244.1619443</v>
      </c>
      <c r="G1357" s="125">
        <v>0</v>
      </c>
      <c r="H1357" s="125">
        <v>1672.7437340797701</v>
      </c>
      <c r="I1357" s="125">
        <v>1044.9596973561022</v>
      </c>
      <c r="J1357" s="125">
        <v>605.03203769760239</v>
      </c>
      <c r="K1357" s="125">
        <v>999.95021368639004</v>
      </c>
      <c r="L1357" s="164">
        <v>2649.9419487400946</v>
      </c>
      <c r="M1357" s="125">
        <v>-1.4739488208730556</v>
      </c>
      <c r="N1357" s="115">
        <v>14947.5</v>
      </c>
      <c r="O1357" s="139">
        <v>3520.79</v>
      </c>
      <c r="P1357" s="125">
        <v>-939322.19</v>
      </c>
      <c r="Q1357" s="125">
        <v>0</v>
      </c>
      <c r="S1357" s="125">
        <v>-2968031.67730923</v>
      </c>
      <c r="T1357" s="125">
        <v>0</v>
      </c>
      <c r="U1357" s="125">
        <v>7322906.8109999998</v>
      </c>
      <c r="V1357" s="125">
        <v>2.9999999999999999E-7</v>
      </c>
      <c r="W1357" s="142">
        <v>0</v>
      </c>
      <c r="X1357" s="142">
        <v>11.485787140000001</v>
      </c>
      <c r="Y1357" s="142">
        <v>59780591.131948799</v>
      </c>
      <c r="Z1357" s="142">
        <v>394.22608251950641</v>
      </c>
    </row>
    <row r="1358" spans="1:26" s="141" customFormat="1">
      <c r="A1358" s="121">
        <v>44953</v>
      </c>
      <c r="B1358" s="125">
        <v>167175903.64320973</v>
      </c>
      <c r="C1358" s="125">
        <v>59161129.797425747</v>
      </c>
      <c r="D1358" s="125">
        <v>66605181.410961978</v>
      </c>
      <c r="E1358" s="125">
        <v>66005313.815223724</v>
      </c>
      <c r="F1358" s="123">
        <v>191771625.02361146</v>
      </c>
      <c r="G1358" s="125">
        <v>0</v>
      </c>
      <c r="H1358" s="125">
        <v>1675.4661082449129</v>
      </c>
      <c r="I1358" s="125">
        <v>997.57419595571685</v>
      </c>
      <c r="J1358" s="125">
        <v>603.73109281935308</v>
      </c>
      <c r="K1358" s="125">
        <v>1009.222668100698</v>
      </c>
      <c r="L1358" s="164">
        <v>2610.5279568757678</v>
      </c>
      <c r="M1358" s="125">
        <v>-1.4739472806139471</v>
      </c>
      <c r="N1358" s="115">
        <v>14985</v>
      </c>
      <c r="O1358" s="139">
        <v>3537.9549999999999</v>
      </c>
      <c r="P1358" s="125">
        <v>-458801</v>
      </c>
      <c r="Q1358" s="125">
        <v>0</v>
      </c>
      <c r="S1358" s="125">
        <v>-3929050.67730923</v>
      </c>
      <c r="T1358" s="125">
        <v>0</v>
      </c>
      <c r="U1358" s="125">
        <v>7796918.9110000003</v>
      </c>
      <c r="V1358" s="125">
        <v>-8.0000000000000002E-8</v>
      </c>
      <c r="W1358" s="142">
        <v>0</v>
      </c>
      <c r="X1358" s="142">
        <v>11.439290643503504</v>
      </c>
      <c r="Y1358" s="142">
        <v>59359476.39674136</v>
      </c>
      <c r="Z1358" s="142">
        <v>394.81324323186448</v>
      </c>
    </row>
    <row r="1359" spans="1:26" s="141" customFormat="1">
      <c r="A1359" s="121">
        <v>44956</v>
      </c>
      <c r="B1359" s="125">
        <v>166563394.02186912</v>
      </c>
      <c r="C1359" s="125">
        <v>60500912.13589298</v>
      </c>
      <c r="D1359" s="125">
        <v>66220756.580439009</v>
      </c>
      <c r="E1359" s="125">
        <v>65803923.676295511</v>
      </c>
      <c r="F1359" s="123">
        <v>192525592.39262751</v>
      </c>
      <c r="G1359" s="125">
        <v>0</v>
      </c>
      <c r="H1359" s="125">
        <v>1679.7858450752537</v>
      </c>
      <c r="I1359" s="125">
        <v>1018.3503629495887</v>
      </c>
      <c r="J1359" s="125">
        <v>605.78863233966399</v>
      </c>
      <c r="K1359" s="125">
        <v>983.41089229537226</v>
      </c>
      <c r="L1359" s="164">
        <v>2607.5498875846251</v>
      </c>
      <c r="M1359" s="125">
        <v>0</v>
      </c>
      <c r="N1359" s="115">
        <v>14970</v>
      </c>
      <c r="O1359" s="139">
        <v>3525.67</v>
      </c>
      <c r="P1359" s="125">
        <v>-458801</v>
      </c>
      <c r="Q1359" s="125">
        <v>0</v>
      </c>
      <c r="S1359" s="125">
        <v>-3929050.67730923</v>
      </c>
      <c r="T1359" s="125">
        <v>0</v>
      </c>
      <c r="U1359" s="125">
        <v>7799406.2110000001</v>
      </c>
      <c r="V1359" s="125">
        <v>7.0000000000000005E-8</v>
      </c>
      <c r="W1359" s="142">
        <v>0</v>
      </c>
      <c r="X1359" s="142">
        <v>16.424788476005343</v>
      </c>
      <c r="Y1359" s="142">
        <v>59482114.377971016</v>
      </c>
      <c r="Z1359" s="142">
        <v>392.28615796621585</v>
      </c>
    </row>
    <row r="1360" spans="1:26" s="141" customFormat="1">
      <c r="A1360" s="121">
        <v>44957</v>
      </c>
      <c r="B1360" s="136">
        <v>167025688.67376301</v>
      </c>
      <c r="C1360" s="136">
        <v>59814823.237689003</v>
      </c>
      <c r="D1360" s="136">
        <v>67439181.381676003</v>
      </c>
      <c r="E1360" s="136">
        <v>67351165.669067994</v>
      </c>
      <c r="F1360" s="137">
        <v>194605170.28843302</v>
      </c>
      <c r="G1360" s="125">
        <v>0</v>
      </c>
      <c r="H1360" s="136">
        <v>1670.4377136661108</v>
      </c>
      <c r="I1360" s="136">
        <v>1034.8811557262841</v>
      </c>
      <c r="J1360" s="136">
        <v>604.06354233168781</v>
      </c>
      <c r="K1360" s="136">
        <v>981.48620036270847</v>
      </c>
      <c r="L1360" s="165">
        <v>2620.4308984206805</v>
      </c>
      <c r="M1360" s="125">
        <v>0</v>
      </c>
      <c r="N1360" s="115">
        <v>14990</v>
      </c>
      <c r="O1360" s="139">
        <v>3524.99</v>
      </c>
      <c r="P1360" s="125">
        <v>0</v>
      </c>
      <c r="Q1360" s="125">
        <v>0</v>
      </c>
      <c r="S1360" s="125">
        <v>-7386307.177309229</v>
      </c>
      <c r="T1360" s="125">
        <v>0</v>
      </c>
      <c r="U1360" s="125">
        <v>6531156.4110000003</v>
      </c>
      <c r="V1360" s="125">
        <v>-1.3E-7</v>
      </c>
      <c r="W1360" s="142">
        <v>0</v>
      </c>
      <c r="X1360" s="142">
        <v>16.40978980844563</v>
      </c>
      <c r="Y1360" s="142">
        <v>59437360.167822555</v>
      </c>
      <c r="Z1360" s="142">
        <v>387.3867588450193</v>
      </c>
    </row>
    <row r="1361" spans="1:26" s="141" customFormat="1">
      <c r="A1361" s="121">
        <v>44958</v>
      </c>
      <c r="B1361" s="142">
        <v>166936098.07313663</v>
      </c>
      <c r="C1361" s="142">
        <v>58369173.709431209</v>
      </c>
      <c r="D1361" s="142">
        <v>66809262.103976108</v>
      </c>
      <c r="E1361" s="142">
        <v>67520588.431485951</v>
      </c>
      <c r="F1361" s="1118">
        <v>192699024.24489325</v>
      </c>
      <c r="G1361" s="142">
        <v>0</v>
      </c>
      <c r="H1361" s="142">
        <v>1668.6954129062256</v>
      </c>
      <c r="I1361" s="142">
        <v>1007.9361807783365</v>
      </c>
      <c r="J1361" s="142">
        <v>606.4232716651394</v>
      </c>
      <c r="K1361" s="142">
        <v>981.31513269320806</v>
      </c>
      <c r="L1361" s="1119">
        <v>2595.6745851366841</v>
      </c>
      <c r="M1361" s="125">
        <v>0</v>
      </c>
      <c r="N1361" s="115">
        <v>14975</v>
      </c>
      <c r="O1361" s="139">
        <v>3510.5250000000001</v>
      </c>
      <c r="P1361" s="125">
        <v>0</v>
      </c>
      <c r="Q1361" s="125">
        <v>0</v>
      </c>
      <c r="S1361" s="125">
        <v>-7373842.4773092298</v>
      </c>
      <c r="T1361" s="125">
        <v>0</v>
      </c>
      <c r="U1361" s="125">
        <v>6905922.301</v>
      </c>
      <c r="V1361" s="125">
        <v>2E-8</v>
      </c>
      <c r="W1361" s="142">
        <v>0</v>
      </c>
      <c r="X1361" s="142">
        <v>21.447787140000003</v>
      </c>
      <c r="Y1361" s="142">
        <v>59789516.857425414</v>
      </c>
      <c r="Z1361" s="142">
        <v>389.80821903955996</v>
      </c>
    </row>
    <row r="1362" spans="1:26" s="141" customFormat="1">
      <c r="A1362" s="121">
        <v>44959</v>
      </c>
      <c r="B1362" s="142">
        <v>166750290.50322884</v>
      </c>
      <c r="C1362" s="142">
        <v>58623098.634296805</v>
      </c>
      <c r="D1362" s="142">
        <v>66704571.272135824</v>
      </c>
      <c r="E1362" s="142">
        <v>66681972.133715853</v>
      </c>
      <c r="F1362" s="1118">
        <v>192009642.0401485</v>
      </c>
      <c r="G1362" s="142">
        <v>-700000</v>
      </c>
      <c r="H1362" s="142">
        <v>1661.349812117737</v>
      </c>
      <c r="I1362" s="142">
        <v>1038.92653643792</v>
      </c>
      <c r="J1362" s="142">
        <v>606.27968890094769</v>
      </c>
      <c r="K1362" s="142">
        <v>1062.0497616739815</v>
      </c>
      <c r="L1362" s="1119">
        <v>2707.2559870128489</v>
      </c>
      <c r="M1362" s="125">
        <v>0</v>
      </c>
      <c r="N1362" s="115">
        <v>14880</v>
      </c>
      <c r="O1362" s="139">
        <v>3504.8900000000003</v>
      </c>
      <c r="P1362" s="125">
        <v>0</v>
      </c>
      <c r="Q1362" s="125">
        <v>0</v>
      </c>
      <c r="S1362" s="125">
        <v>-7946934.4773092298</v>
      </c>
      <c r="T1362" s="125">
        <v>0</v>
      </c>
      <c r="U1362" s="125">
        <v>6522708.5609999998</v>
      </c>
      <c r="V1362" s="125">
        <v>9.7000000000000003E-7</v>
      </c>
      <c r="W1362" s="142">
        <v>0</v>
      </c>
      <c r="X1362" s="142">
        <v>5.5657871400000003</v>
      </c>
      <c r="Y1362" s="142">
        <v>59286907.630787827</v>
      </c>
      <c r="Z1362" s="142">
        <v>391.78185598480582</v>
      </c>
    </row>
    <row r="1363" spans="1:26" s="141" customFormat="1">
      <c r="A1363" s="121">
        <v>44960</v>
      </c>
      <c r="B1363" s="142">
        <v>165381509.27810207</v>
      </c>
      <c r="C1363" s="142">
        <v>58521973.351167157</v>
      </c>
      <c r="D1363" s="142">
        <v>66122042.371972166</v>
      </c>
      <c r="E1363" s="142">
        <v>67246603.923136503</v>
      </c>
      <c r="F1363" s="1118">
        <v>191890619.64627582</v>
      </c>
      <c r="G1363" s="142">
        <v>-700000</v>
      </c>
      <c r="H1363" s="142">
        <v>1651.3259134875216</v>
      </c>
      <c r="I1363" s="142">
        <v>1009.6479985816103</v>
      </c>
      <c r="J1363" s="142">
        <v>607.73173156996995</v>
      </c>
      <c r="K1363" s="142">
        <v>1079.0303476426998</v>
      </c>
      <c r="L1363" s="1119">
        <v>2696.4100777942799</v>
      </c>
      <c r="M1363" s="125">
        <v>0</v>
      </c>
      <c r="N1363" s="115">
        <v>14892.5</v>
      </c>
      <c r="O1363" s="139">
        <v>3492.6149999999998</v>
      </c>
      <c r="P1363" s="125">
        <v>0</v>
      </c>
      <c r="Q1363" s="125">
        <v>0</v>
      </c>
      <c r="S1363" s="125">
        <v>-7797557.9773092298</v>
      </c>
      <c r="T1363" s="125">
        <v>0</v>
      </c>
      <c r="U1363" s="125">
        <v>6522708.5609999998</v>
      </c>
      <c r="V1363" s="125">
        <v>8.4E-7</v>
      </c>
      <c r="W1363" s="142">
        <v>0</v>
      </c>
      <c r="X1363" s="142">
        <v>5.5657871400000003</v>
      </c>
      <c r="Y1363" s="142">
        <v>59098239.408013739</v>
      </c>
      <c r="Z1363" s="142">
        <v>392.16327180442022</v>
      </c>
    </row>
    <row r="1364" spans="1:26" s="141" customFormat="1">
      <c r="A1364" s="121">
        <v>44963</v>
      </c>
      <c r="B1364" s="142">
        <v>166235517.84093115</v>
      </c>
      <c r="C1364" s="142">
        <v>60292827.265940644</v>
      </c>
      <c r="D1364" s="142">
        <v>65574109.481357805</v>
      </c>
      <c r="E1364" s="142">
        <v>66901574.093367137</v>
      </c>
      <c r="F1364" s="1118">
        <v>192768510.84066558</v>
      </c>
      <c r="G1364" s="142">
        <v>0</v>
      </c>
      <c r="H1364" s="142">
        <v>1657.1668599069567</v>
      </c>
      <c r="I1364" s="142">
        <v>1004.9139960212237</v>
      </c>
      <c r="J1364" s="142">
        <v>601.27231270316668</v>
      </c>
      <c r="K1364" s="142">
        <v>1101.7127973131078</v>
      </c>
      <c r="L1364" s="1119">
        <v>2707.8991060374983</v>
      </c>
      <c r="M1364" s="125">
        <v>0</v>
      </c>
      <c r="N1364" s="115">
        <v>15055</v>
      </c>
      <c r="O1364" s="139">
        <v>3535.6950000000002</v>
      </c>
      <c r="P1364" s="125">
        <v>0</v>
      </c>
      <c r="Q1364" s="125">
        <v>0</v>
      </c>
      <c r="S1364" s="125">
        <v>-7797557.9773092298</v>
      </c>
      <c r="T1364" s="125">
        <v>0</v>
      </c>
      <c r="U1364" s="125">
        <v>6152244.801</v>
      </c>
      <c r="V1364" s="125">
        <v>-7.8000000000000005E-7</v>
      </c>
      <c r="W1364" s="142">
        <v>0</v>
      </c>
      <c r="X1364" s="142">
        <v>0.56578713999999997</v>
      </c>
      <c r="Y1364" s="142">
        <v>59501522.831797563</v>
      </c>
      <c r="Z1364" s="142">
        <v>386.51185955761673</v>
      </c>
    </row>
    <row r="1365" spans="1:26" s="141" customFormat="1">
      <c r="A1365" s="121">
        <v>44964</v>
      </c>
      <c r="B1365" s="142">
        <v>165853583.45081449</v>
      </c>
      <c r="C1365" s="142">
        <v>62224608.859107733</v>
      </c>
      <c r="D1365" s="142">
        <v>66344078.765157901</v>
      </c>
      <c r="E1365" s="142">
        <v>68603757.745854318</v>
      </c>
      <c r="F1365" s="1118">
        <v>197172445.37011996</v>
      </c>
      <c r="G1365" s="142">
        <v>0</v>
      </c>
      <c r="H1365" s="142">
        <v>1677.658540063127</v>
      </c>
      <c r="I1365" s="142">
        <v>1020.3091302834091</v>
      </c>
      <c r="J1365" s="142">
        <v>600.44336985622169</v>
      </c>
      <c r="K1365" s="142">
        <v>1091.3017509310187</v>
      </c>
      <c r="L1365" s="1119">
        <v>2712.0542510706491</v>
      </c>
      <c r="M1365" s="125">
        <v>0</v>
      </c>
      <c r="N1365" s="115">
        <v>15145</v>
      </c>
      <c r="O1365" s="139">
        <v>3518.415</v>
      </c>
      <c r="P1365" s="125">
        <v>0</v>
      </c>
      <c r="Q1365" s="125">
        <v>0</v>
      </c>
      <c r="S1365" s="125">
        <v>-8278763.4773092298</v>
      </c>
      <c r="T1365" s="125">
        <v>0</v>
      </c>
      <c r="U1365" s="125">
        <v>6153054.1409999998</v>
      </c>
      <c r="V1365" s="125">
        <v>-1.68E-6</v>
      </c>
      <c r="W1365" s="142">
        <v>0</v>
      </c>
      <c r="X1365" s="142">
        <v>0.56578713999999997</v>
      </c>
      <c r="Y1365" s="142">
        <v>59766702.726416633</v>
      </c>
      <c r="Z1365" s="142">
        <v>381.08688454728951</v>
      </c>
    </row>
    <row r="1366" spans="1:26" s="141" customFormat="1">
      <c r="A1366" s="121">
        <v>44965</v>
      </c>
      <c r="B1366" s="142">
        <v>165768636.09937516</v>
      </c>
      <c r="C1366" s="142">
        <v>62940105.040446624</v>
      </c>
      <c r="D1366" s="142">
        <v>66353800.504085653</v>
      </c>
      <c r="E1366" s="142">
        <v>69172684.632780522</v>
      </c>
      <c r="F1366" s="1118">
        <v>198466590.17731279</v>
      </c>
      <c r="G1366" s="142">
        <v>0</v>
      </c>
      <c r="H1366" s="142">
        <v>1631.6275450021321</v>
      </c>
      <c r="I1366" s="142">
        <v>1004.2270059823803</v>
      </c>
      <c r="J1366" s="142">
        <v>601.14893364829868</v>
      </c>
      <c r="K1366" s="142">
        <v>1070.3448157417117</v>
      </c>
      <c r="L1366" s="1119">
        <v>2675.7207553723911</v>
      </c>
      <c r="M1366" s="125">
        <v>0</v>
      </c>
      <c r="N1366" s="115">
        <v>15100</v>
      </c>
      <c r="O1366" s="139">
        <v>3514.08</v>
      </c>
      <c r="P1366" s="125">
        <v>0</v>
      </c>
      <c r="Q1366" s="125">
        <v>0</v>
      </c>
      <c r="S1366" s="125">
        <v>-7221596.7773092296</v>
      </c>
      <c r="T1366" s="125">
        <v>0</v>
      </c>
      <c r="U1366" s="125">
        <v>6827547.9210000001</v>
      </c>
      <c r="V1366" s="125">
        <v>-1.2300000000000001E-6</v>
      </c>
      <c r="W1366" s="142">
        <v>0</v>
      </c>
      <c r="X1366" s="142">
        <v>0.56578713999999997</v>
      </c>
      <c r="Y1366" s="142">
        <v>60132671.005082734</v>
      </c>
      <c r="Z1366" s="142">
        <v>387.22021736238139</v>
      </c>
    </row>
    <row r="1367" spans="1:26" s="141" customFormat="1">
      <c r="A1367" s="121">
        <v>44966</v>
      </c>
      <c r="B1367" s="142">
        <v>166276156.50026289</v>
      </c>
      <c r="C1367" s="142">
        <v>60418922.410184287</v>
      </c>
      <c r="D1367" s="142">
        <v>66108564.767281197</v>
      </c>
      <c r="E1367" s="142">
        <v>69748841.646514207</v>
      </c>
      <c r="F1367" s="1118">
        <v>196276328.82397968</v>
      </c>
      <c r="G1367" s="142">
        <v>0</v>
      </c>
      <c r="H1367" s="142">
        <v>1629.3544310461491</v>
      </c>
      <c r="I1367" s="142">
        <v>979.27609046345867</v>
      </c>
      <c r="J1367" s="142">
        <v>601.38738256345664</v>
      </c>
      <c r="K1367" s="142">
        <v>1072.5341881997606</v>
      </c>
      <c r="L1367" s="1119">
        <v>2653.1976612266758</v>
      </c>
      <c r="M1367" s="125">
        <v>0</v>
      </c>
      <c r="N1367" s="115">
        <v>15094.5</v>
      </c>
      <c r="O1367" s="139">
        <v>3495.3150000000001</v>
      </c>
      <c r="P1367" s="125">
        <v>0</v>
      </c>
      <c r="Q1367" s="125">
        <v>0</v>
      </c>
      <c r="S1367" s="125">
        <v>-6766921.2773092296</v>
      </c>
      <c r="T1367" s="125">
        <v>0</v>
      </c>
      <c r="U1367" s="125">
        <v>7396690.8509999998</v>
      </c>
      <c r="V1367" s="125">
        <v>-1.17E-6</v>
      </c>
      <c r="W1367" s="142">
        <v>0</v>
      </c>
      <c r="X1367" s="142">
        <v>5.5657871399999994</v>
      </c>
      <c r="Y1367" s="142">
        <v>60321455.982027531</v>
      </c>
      <c r="Z1367" s="142">
        <v>391.5278539089939</v>
      </c>
    </row>
    <row r="1368" spans="1:26" s="141" customFormat="1">
      <c r="A1368" s="121">
        <v>44967</v>
      </c>
      <c r="B1368" s="142">
        <v>166457756.39469284</v>
      </c>
      <c r="C1368" s="142">
        <v>60015512.121360302</v>
      </c>
      <c r="D1368" s="142">
        <v>66285792.511813015</v>
      </c>
      <c r="E1368" s="142">
        <v>71737931.814844862</v>
      </c>
      <c r="F1368" s="1118">
        <v>198039236.44801819</v>
      </c>
      <c r="G1368" s="142">
        <v>0</v>
      </c>
      <c r="H1368" s="142">
        <v>1651.0305906106739</v>
      </c>
      <c r="I1368" s="142">
        <v>955.1480900707661</v>
      </c>
      <c r="J1368" s="142">
        <v>597.11462246127496</v>
      </c>
      <c r="K1368" s="142">
        <v>1090.8107191149036</v>
      </c>
      <c r="L1368" s="1119">
        <v>2643.0734316469443</v>
      </c>
      <c r="M1368" s="125">
        <v>0</v>
      </c>
      <c r="N1368" s="115">
        <v>15133.5</v>
      </c>
      <c r="O1368" s="139">
        <v>3496.6549999999997</v>
      </c>
      <c r="P1368" s="125">
        <v>-458772.61499999999</v>
      </c>
      <c r="Q1368" s="125">
        <v>0</v>
      </c>
      <c r="S1368" s="125">
        <v>-6493965.7773092296</v>
      </c>
      <c r="T1368" s="125">
        <v>0</v>
      </c>
      <c r="U1368" s="125">
        <v>8351384.8509999998</v>
      </c>
      <c r="V1368" s="125">
        <v>-1.5600000000000001E-6</v>
      </c>
      <c r="W1368" s="142">
        <v>0</v>
      </c>
      <c r="X1368" s="142">
        <v>5.5657871400000003</v>
      </c>
      <c r="Y1368" s="142">
        <v>61066958.513168849</v>
      </c>
      <c r="Z1368" s="142">
        <v>389.65481396207076</v>
      </c>
    </row>
    <row r="1369" spans="1:26" s="141" customFormat="1">
      <c r="A1369" s="121">
        <v>44970</v>
      </c>
      <c r="B1369" s="142">
        <v>166631277.23054028</v>
      </c>
      <c r="C1369" s="142">
        <v>59102183.132886432</v>
      </c>
      <c r="D1369" s="142">
        <v>66182303.004923947</v>
      </c>
      <c r="E1369" s="142">
        <v>70152989.607562333</v>
      </c>
      <c r="F1369" s="1118">
        <v>195437475.74537271</v>
      </c>
      <c r="G1369" s="142">
        <v>0</v>
      </c>
      <c r="H1369" s="142">
        <v>1625.4081232994236</v>
      </c>
      <c r="I1369" s="142">
        <v>981.31251325470669</v>
      </c>
      <c r="J1369" s="142">
        <v>595.81550775557446</v>
      </c>
      <c r="K1369" s="142">
        <v>1076.565221742929</v>
      </c>
      <c r="L1369" s="1119">
        <v>2653.6932427532101</v>
      </c>
      <c r="M1369" s="125">
        <v>0</v>
      </c>
      <c r="N1369" s="115">
        <v>15195</v>
      </c>
      <c r="O1369" s="139">
        <v>3487.09</v>
      </c>
      <c r="P1369" s="125">
        <v>-558788.72611100995</v>
      </c>
      <c r="Q1369" s="125">
        <v>0</v>
      </c>
      <c r="S1369" s="125">
        <v>-6493965.7773092296</v>
      </c>
      <c r="T1369" s="125">
        <v>0</v>
      </c>
      <c r="U1369" s="125">
        <v>8130729.5300000003</v>
      </c>
      <c r="V1369" s="125">
        <v>-2.17E-6</v>
      </c>
      <c r="W1369" s="142">
        <v>0</v>
      </c>
      <c r="X1369" s="142">
        <v>5.5657871399999994</v>
      </c>
      <c r="Y1369" s="142">
        <v>61022747.269954517</v>
      </c>
      <c r="Z1369" s="142">
        <v>391.31487698259235</v>
      </c>
    </row>
    <row r="1370" spans="1:26" s="141" customFormat="1">
      <c r="A1370" s="121">
        <v>44971</v>
      </c>
      <c r="B1370" s="142">
        <v>166382299.70279893</v>
      </c>
      <c r="C1370" s="142">
        <v>60128269.331972383</v>
      </c>
      <c r="D1370" s="142">
        <v>66156470.309944741</v>
      </c>
      <c r="E1370" s="142">
        <v>70472157.456574053</v>
      </c>
      <c r="F1370" s="1118">
        <v>196756897.09849119</v>
      </c>
      <c r="G1370" s="142">
        <v>0</v>
      </c>
      <c r="H1370" s="142">
        <v>1613.3721084120293</v>
      </c>
      <c r="I1370" s="142">
        <v>982.64000982981565</v>
      </c>
      <c r="J1370" s="142">
        <v>596.64174104318681</v>
      </c>
      <c r="K1370" s="142">
        <v>1077.0820002695259</v>
      </c>
      <c r="L1370" s="1119">
        <v>2656.3637511425286</v>
      </c>
      <c r="M1370" s="125">
        <v>0</v>
      </c>
      <c r="N1370" s="115">
        <v>15159.5</v>
      </c>
      <c r="O1370" s="139">
        <v>3485.3450000000003</v>
      </c>
      <c r="P1370" s="125">
        <v>-1105991.3372220099</v>
      </c>
      <c r="Q1370" s="125">
        <v>0</v>
      </c>
      <c r="S1370" s="125">
        <v>-6181793.7773092296</v>
      </c>
      <c r="T1370" s="125">
        <v>0</v>
      </c>
      <c r="U1370" s="125">
        <v>7665964.9699999997</v>
      </c>
      <c r="V1370" s="125">
        <v>-1.81E-6</v>
      </c>
      <c r="W1370" s="142">
        <v>0</v>
      </c>
      <c r="X1370" s="142">
        <v>5.5657871399999994</v>
      </c>
      <c r="Y1370" s="142">
        <v>61178843.584094383</v>
      </c>
      <c r="Z1370" s="142">
        <v>390.84646784102972</v>
      </c>
    </row>
    <row r="1371" spans="1:26" s="141" customFormat="1">
      <c r="A1371" s="121">
        <v>44972</v>
      </c>
      <c r="B1371" s="142">
        <v>166394531.45408911</v>
      </c>
      <c r="C1371" s="142">
        <v>58903245.777277976</v>
      </c>
      <c r="D1371" s="142">
        <v>65992772.090090245</v>
      </c>
      <c r="E1371" s="142">
        <v>72713050.595707238</v>
      </c>
      <c r="F1371" s="1118">
        <v>197609068.46307546</v>
      </c>
      <c r="G1371" s="142">
        <v>0</v>
      </c>
      <c r="H1371" s="142">
        <v>1592.589314658406</v>
      </c>
      <c r="I1371" s="142">
        <v>1095.6822923350478</v>
      </c>
      <c r="J1371" s="142">
        <v>592.53657401023497</v>
      </c>
      <c r="K1371" s="142">
        <v>1077.0238464604995</v>
      </c>
      <c r="L1371" s="1119">
        <v>2765.2427128057825</v>
      </c>
      <c r="M1371" s="125">
        <v>0</v>
      </c>
      <c r="N1371" s="115">
        <v>15204</v>
      </c>
      <c r="O1371" s="139">
        <v>3462.9350000000004</v>
      </c>
      <c r="P1371" s="125">
        <v>-1005959.115</v>
      </c>
      <c r="Q1371" s="125">
        <v>0</v>
      </c>
      <c r="S1371" s="125">
        <v>-4735056.2773092296</v>
      </c>
      <c r="T1371" s="125">
        <v>0</v>
      </c>
      <c r="U1371" s="125">
        <v>6992741.7199999997</v>
      </c>
      <c r="V1371" s="125">
        <v>-2.26E-6</v>
      </c>
      <c r="W1371" s="142">
        <v>0</v>
      </c>
      <c r="X1371" s="142">
        <v>5.5657871399999994</v>
      </c>
      <c r="Y1371" s="142">
        <v>60866454.645776883</v>
      </c>
      <c r="Z1371" s="142">
        <v>389.78016798034929</v>
      </c>
    </row>
    <row r="1372" spans="1:26" s="141" customFormat="1">
      <c r="A1372" s="121">
        <v>44973</v>
      </c>
      <c r="B1372" s="142">
        <v>165481138.01280996</v>
      </c>
      <c r="C1372" s="142">
        <v>58985059.764994904</v>
      </c>
      <c r="D1372" s="142">
        <v>65965649.265310265</v>
      </c>
      <c r="E1372" s="142">
        <v>72983331.956821322</v>
      </c>
      <c r="F1372" s="1118">
        <v>197934040.9871265</v>
      </c>
      <c r="G1372" s="142">
        <v>-100000.00000001</v>
      </c>
      <c r="H1372" s="142">
        <v>1620.2460046239091</v>
      </c>
      <c r="I1372" s="142">
        <v>1025.6482193497736</v>
      </c>
      <c r="J1372" s="142">
        <v>592.71653248328766</v>
      </c>
      <c r="K1372" s="142">
        <v>1077.8360528381004</v>
      </c>
      <c r="L1372" s="1119">
        <v>2696.2008046711617</v>
      </c>
      <c r="M1372" s="125">
        <v>0</v>
      </c>
      <c r="N1372" s="115">
        <v>15156.5</v>
      </c>
      <c r="O1372" s="139">
        <v>3442.3100000000004</v>
      </c>
      <c r="P1372" s="125">
        <v>-1005959.115</v>
      </c>
      <c r="Q1372" s="125">
        <v>0</v>
      </c>
      <c r="S1372" s="125">
        <v>-4211574.7773092296</v>
      </c>
      <c r="T1372" s="125">
        <v>0</v>
      </c>
      <c r="U1372" s="125">
        <v>6517817.4199999999</v>
      </c>
      <c r="V1372" s="125">
        <v>-1.79E-6</v>
      </c>
      <c r="W1372" s="142">
        <v>0</v>
      </c>
      <c r="X1372" s="142">
        <v>0.56578713999999997</v>
      </c>
      <c r="Y1372" s="142">
        <v>62233423.566439174</v>
      </c>
      <c r="Z1372" s="142">
        <v>388.71607475400594</v>
      </c>
    </row>
    <row r="1373" spans="1:26" s="141" customFormat="1">
      <c r="A1373" s="121">
        <v>44974</v>
      </c>
      <c r="B1373" s="142">
        <v>166038477.89799508</v>
      </c>
      <c r="C1373" s="142">
        <v>59605506.593381956</v>
      </c>
      <c r="D1373" s="142">
        <v>65984755.604412079</v>
      </c>
      <c r="E1373" s="142">
        <v>73822683.143132389</v>
      </c>
      <c r="F1373" s="1118">
        <v>199412945.34092641</v>
      </c>
      <c r="G1373" s="142">
        <v>0</v>
      </c>
      <c r="H1373" s="142">
        <v>1576.8294987420468</v>
      </c>
      <c r="I1373" s="142">
        <v>1039.7758010644347</v>
      </c>
      <c r="J1373" s="142">
        <v>591.25376734591134</v>
      </c>
      <c r="K1373" s="142">
        <v>1079.1133697207802</v>
      </c>
      <c r="L1373" s="1119">
        <v>2710.1429381311264</v>
      </c>
      <c r="M1373" s="125">
        <v>0</v>
      </c>
      <c r="N1373" s="115">
        <v>15202.5</v>
      </c>
      <c r="O1373" s="139">
        <v>3433.2650000000003</v>
      </c>
      <c r="P1373" s="125">
        <v>-1197676.879</v>
      </c>
      <c r="Q1373" s="125">
        <v>0</v>
      </c>
      <c r="S1373" s="125">
        <v>-3748325.2773092301</v>
      </c>
      <c r="T1373" s="125">
        <v>0</v>
      </c>
      <c r="U1373" s="125">
        <v>6042816.5700000003</v>
      </c>
      <c r="V1373" s="125">
        <v>-2.2500000000000001E-6</v>
      </c>
      <c r="W1373" s="142">
        <v>0</v>
      </c>
      <c r="X1373" s="142">
        <v>0.56578713999999997</v>
      </c>
      <c r="Y1373" s="142">
        <v>62084199.235967129</v>
      </c>
      <c r="Z1373" s="142">
        <v>388.33331037347335</v>
      </c>
    </row>
    <row r="1374" spans="1:26" s="141" customFormat="1">
      <c r="A1374" s="121">
        <v>44977</v>
      </c>
      <c r="B1374" s="142">
        <v>166214459.76460427</v>
      </c>
      <c r="C1374" s="142">
        <v>59359043.521450929</v>
      </c>
      <c r="D1374" s="142">
        <v>65793579.25676278</v>
      </c>
      <c r="E1374" s="142">
        <v>71922184.938390344</v>
      </c>
      <c r="F1374" s="1118">
        <v>197074807.71660405</v>
      </c>
      <c r="G1374" s="142">
        <v>0</v>
      </c>
      <c r="H1374" s="142">
        <v>1579.4090022085336</v>
      </c>
      <c r="I1374" s="142">
        <v>1043.5350529213865</v>
      </c>
      <c r="J1374" s="142">
        <v>593.87906320464094</v>
      </c>
      <c r="K1374" s="142">
        <v>1073.4173303755128</v>
      </c>
      <c r="L1374" s="1119">
        <v>2710.8314465015401</v>
      </c>
      <c r="M1374" s="125">
        <v>0</v>
      </c>
      <c r="N1374" s="115">
        <v>15157.5</v>
      </c>
      <c r="O1374" s="139">
        <v>3423.4900000000002</v>
      </c>
      <c r="P1374" s="125">
        <v>-1197676.879</v>
      </c>
      <c r="Q1374" s="125">
        <v>0</v>
      </c>
      <c r="S1374" s="125">
        <v>-3748325.2773092301</v>
      </c>
      <c r="T1374" s="125">
        <v>0</v>
      </c>
      <c r="U1374" s="125">
        <v>6042816.5700000003</v>
      </c>
      <c r="V1374" s="125">
        <v>-1.8000000000000001E-6</v>
      </c>
      <c r="W1374" s="142">
        <v>0</v>
      </c>
      <c r="X1374" s="142">
        <v>0.56578713999999997</v>
      </c>
      <c r="Y1374" s="142">
        <v>62649597.310825236</v>
      </c>
      <c r="Z1374" s="142">
        <v>388.3820753740161</v>
      </c>
    </row>
    <row r="1375" spans="1:26" s="141" customFormat="1">
      <c r="A1375" s="121">
        <v>44978</v>
      </c>
      <c r="B1375" s="142">
        <v>166555428.05905452</v>
      </c>
      <c r="C1375" s="142">
        <v>59592817.899810128</v>
      </c>
      <c r="D1375" s="142">
        <v>65870170.709032595</v>
      </c>
      <c r="E1375" s="142">
        <v>72522753.297723353</v>
      </c>
      <c r="F1375" s="1118">
        <v>197985741.90656608</v>
      </c>
      <c r="G1375" s="142">
        <v>0</v>
      </c>
      <c r="H1375" s="142">
        <v>1621.600647053159</v>
      </c>
      <c r="I1375" s="142">
        <v>992.69683813248582</v>
      </c>
      <c r="J1375" s="142">
        <v>595.65254231010613</v>
      </c>
      <c r="K1375" s="142">
        <v>1088.1021702166679</v>
      </c>
      <c r="L1375" s="1119">
        <v>2676.4515506592597</v>
      </c>
      <c r="M1375" s="125">
        <v>0</v>
      </c>
      <c r="N1375" s="115">
        <v>15190</v>
      </c>
      <c r="O1375" s="139">
        <v>3428.125</v>
      </c>
      <c r="P1375" s="125">
        <v>-1222717.689</v>
      </c>
      <c r="Q1375" s="125">
        <v>0</v>
      </c>
      <c r="S1375" s="125">
        <v>-5257911.2773092296</v>
      </c>
      <c r="T1375" s="125">
        <v>0</v>
      </c>
      <c r="U1375" s="125">
        <v>5372017</v>
      </c>
      <c r="V1375" s="125">
        <v>-2.1299999999999999E-6</v>
      </c>
      <c r="W1375" s="142">
        <v>0</v>
      </c>
      <c r="X1375" s="142">
        <v>0.56578713999999997</v>
      </c>
      <c r="Y1375" s="142">
        <v>62380629.856958054</v>
      </c>
      <c r="Z1375" s="142">
        <v>387.61511725324488</v>
      </c>
    </row>
    <row r="1376" spans="1:26" s="141" customFormat="1">
      <c r="A1376" s="121">
        <v>44979</v>
      </c>
      <c r="B1376" s="142">
        <v>166279853.5298855</v>
      </c>
      <c r="C1376" s="142">
        <v>62182785.152086556</v>
      </c>
      <c r="D1376" s="142">
        <v>65229639.587940477</v>
      </c>
      <c r="E1376" s="142">
        <v>73705667.014063463</v>
      </c>
      <c r="F1376" s="1118">
        <v>201118091.75409049</v>
      </c>
      <c r="G1376" s="142">
        <v>0</v>
      </c>
      <c r="H1376" s="142">
        <v>1612.4204134129297</v>
      </c>
      <c r="I1376" s="142">
        <v>988.85855119872815</v>
      </c>
      <c r="J1376" s="142">
        <v>592.48357701156021</v>
      </c>
      <c r="K1376" s="142">
        <v>1088.3052043666132</v>
      </c>
      <c r="L1376" s="1119">
        <v>2669.6473325769016</v>
      </c>
      <c r="M1376" s="125">
        <v>0</v>
      </c>
      <c r="N1376" s="115">
        <v>15201.5</v>
      </c>
      <c r="O1376" s="139">
        <v>3425.3050000000003</v>
      </c>
      <c r="P1376" s="125">
        <v>-1222717.689</v>
      </c>
      <c r="Q1376" s="125">
        <v>0</v>
      </c>
      <c r="S1376" s="125">
        <v>-5257911.2773092296</v>
      </c>
      <c r="T1376" s="125">
        <v>0</v>
      </c>
      <c r="U1376" s="125">
        <v>5372017</v>
      </c>
      <c r="V1376" s="125">
        <v>-2.2500000000000001E-6</v>
      </c>
      <c r="W1376" s="142">
        <v>0</v>
      </c>
      <c r="X1376" s="142">
        <v>5.5657871399999994</v>
      </c>
      <c r="Y1376" s="142">
        <v>62026503.084396966</v>
      </c>
      <c r="Z1376" s="142">
        <v>387.23929043386568</v>
      </c>
    </row>
    <row r="1377" spans="1:26" s="141" customFormat="1">
      <c r="A1377" s="121">
        <v>44980</v>
      </c>
      <c r="B1377" s="142">
        <v>166354440.02655309</v>
      </c>
      <c r="C1377" s="142">
        <v>57705221.584405996</v>
      </c>
      <c r="D1377" s="142">
        <v>65292603.240352474</v>
      </c>
      <c r="E1377" s="142">
        <v>73219800.106051937</v>
      </c>
      <c r="F1377" s="1118">
        <v>196217624.93081039</v>
      </c>
      <c r="G1377" s="142">
        <v>0</v>
      </c>
      <c r="H1377" s="142">
        <v>1608.3433566146712</v>
      </c>
      <c r="I1377" s="142">
        <v>984.99613536989693</v>
      </c>
      <c r="J1377" s="142">
        <v>593.8276257063759</v>
      </c>
      <c r="K1377" s="142">
        <v>1088.701851830758</v>
      </c>
      <c r="L1377" s="1119">
        <v>2667.5256129070308</v>
      </c>
      <c r="M1377" s="125">
        <v>0</v>
      </c>
      <c r="N1377" s="115">
        <v>15190</v>
      </c>
      <c r="O1377" s="139">
        <v>3427.3450000000003</v>
      </c>
      <c r="P1377" s="125">
        <v>-1800706.8570000001</v>
      </c>
      <c r="Q1377" s="125">
        <v>0</v>
      </c>
      <c r="S1377" s="125">
        <v>-5283659.2773092296</v>
      </c>
      <c r="T1377" s="125">
        <v>0</v>
      </c>
      <c r="U1377" s="125">
        <v>5085086.68</v>
      </c>
      <c r="V1377" s="125">
        <v>-2.1299999999999999E-6</v>
      </c>
      <c r="W1377" s="142">
        <v>0</v>
      </c>
      <c r="X1377" s="142">
        <v>12.688987271665569</v>
      </c>
      <c r="Y1377" s="142">
        <v>61913016.185325488</v>
      </c>
      <c r="Z1377" s="142">
        <v>385.10724659325484</v>
      </c>
    </row>
    <row r="1378" spans="1:26" s="141" customFormat="1">
      <c r="A1378" s="121">
        <v>44981</v>
      </c>
      <c r="B1378" s="142">
        <v>166712178.82292533</v>
      </c>
      <c r="C1378" s="142">
        <v>58689611.154922098</v>
      </c>
      <c r="D1378" s="142">
        <v>66342097.273679927</v>
      </c>
      <c r="E1378" s="142">
        <v>73580072.033314914</v>
      </c>
      <c r="F1378" s="1118">
        <v>198611780.46191692</v>
      </c>
      <c r="G1378" s="142">
        <v>0</v>
      </c>
      <c r="H1378" s="142">
        <v>1605.6972307259718</v>
      </c>
      <c r="I1378" s="142">
        <v>949.23440079165459</v>
      </c>
      <c r="J1378" s="142">
        <v>589.94751442607219</v>
      </c>
      <c r="K1378" s="142">
        <v>1121.754617418394</v>
      </c>
      <c r="L1378" s="1119">
        <v>2660.9365326361208</v>
      </c>
      <c r="M1378" s="125">
        <v>0</v>
      </c>
      <c r="N1378" s="115">
        <v>15225</v>
      </c>
      <c r="O1378" s="139">
        <v>3432.15</v>
      </c>
      <c r="P1378" s="125">
        <v>-1839027.1259999999</v>
      </c>
      <c r="Q1378" s="125">
        <v>0</v>
      </c>
      <c r="S1378" s="125">
        <v>-5284697.2773092296</v>
      </c>
      <c r="T1378" s="125">
        <v>0</v>
      </c>
      <c r="U1378" s="125">
        <v>5561106.9450000003</v>
      </c>
      <c r="V1378" s="125">
        <v>-2.48E-6</v>
      </c>
      <c r="W1378" s="142">
        <v>0</v>
      </c>
      <c r="X1378" s="142">
        <v>10.565787139999999</v>
      </c>
      <c r="Y1378" s="142">
        <v>62045570.465278104</v>
      </c>
      <c r="Z1378" s="142">
        <v>383.54424135811161</v>
      </c>
    </row>
    <row r="1379" spans="1:26" s="141" customFormat="1">
      <c r="A1379" s="121">
        <v>44984</v>
      </c>
      <c r="B1379" s="142">
        <v>166926007.52688843</v>
      </c>
      <c r="C1379" s="142">
        <v>59159562.882284328</v>
      </c>
      <c r="D1379" s="142">
        <v>66177266.575863086</v>
      </c>
      <c r="E1379" s="142">
        <v>73288732.95357421</v>
      </c>
      <c r="F1379" s="1118">
        <v>198625562.41172162</v>
      </c>
      <c r="G1379" s="142">
        <v>0</v>
      </c>
      <c r="H1379" s="142">
        <v>1606.0380070449603</v>
      </c>
      <c r="I1379" s="142">
        <v>937.88293028111548</v>
      </c>
      <c r="J1379" s="142">
        <v>595.39768069533022</v>
      </c>
      <c r="K1379" s="142">
        <v>1062.9245723054228</v>
      </c>
      <c r="L1379" s="1119">
        <v>2596.2051832818684</v>
      </c>
      <c r="M1379" s="125">
        <v>0</v>
      </c>
      <c r="N1379" s="115">
        <v>15270</v>
      </c>
      <c r="O1379" s="139">
        <v>3409.63</v>
      </c>
      <c r="P1379" s="125">
        <v>-3125733.5320000001</v>
      </c>
      <c r="Q1379" s="125">
        <v>0</v>
      </c>
      <c r="S1379" s="125">
        <v>-5284697.2773092296</v>
      </c>
      <c r="T1379" s="125">
        <v>0</v>
      </c>
      <c r="U1379" s="125">
        <v>5096209.6950000003</v>
      </c>
      <c r="V1379" s="125">
        <v>-2.9300000000000003E-6</v>
      </c>
      <c r="W1379" s="142">
        <v>0</v>
      </c>
      <c r="X1379" s="142">
        <v>17.971275024741324</v>
      </c>
      <c r="Y1379" s="142">
        <v>62093349.092655659</v>
      </c>
      <c r="Z1379" s="142">
        <v>379.81640469939549</v>
      </c>
    </row>
    <row r="1380" spans="1:26" s="141" customFormat="1">
      <c r="A1380" s="121">
        <v>44985</v>
      </c>
      <c r="B1380" s="136">
        <v>167134053.74798399</v>
      </c>
      <c r="C1380" s="136">
        <v>57062100.334864996</v>
      </c>
      <c r="D1380" s="136">
        <v>67350476.994896993</v>
      </c>
      <c r="E1380" s="136">
        <v>74460391.371551007</v>
      </c>
      <c r="F1380" s="137">
        <v>198872968.70131299</v>
      </c>
      <c r="G1380" s="142">
        <v>0</v>
      </c>
      <c r="H1380" s="136">
        <v>1606.8132117878688</v>
      </c>
      <c r="I1380" s="136">
        <v>939.19783316406563</v>
      </c>
      <c r="J1380" s="136">
        <v>597.61968581777046</v>
      </c>
      <c r="K1380" s="136">
        <v>1240.5667585476065</v>
      </c>
      <c r="L1380" s="165">
        <v>2777.3842775294424</v>
      </c>
      <c r="M1380" s="125">
        <v>0</v>
      </c>
      <c r="N1380" s="115">
        <v>15250</v>
      </c>
      <c r="O1380" s="139">
        <v>3397.5749999999998</v>
      </c>
      <c r="P1380" s="125">
        <v>-2367153.8360000001</v>
      </c>
      <c r="Q1380" s="125">
        <v>0</v>
      </c>
      <c r="S1380" s="125">
        <v>-3868054.2773092301</v>
      </c>
      <c r="T1380" s="125">
        <v>0</v>
      </c>
      <c r="U1380" s="125">
        <v>5096209.6950000003</v>
      </c>
      <c r="V1380" s="125">
        <v>-2.7300000000000001E-6</v>
      </c>
      <c r="W1380" s="142">
        <v>0</v>
      </c>
      <c r="X1380" s="142">
        <v>17.975115008852459</v>
      </c>
      <c r="Y1380" s="142">
        <v>62339265.242389247</v>
      </c>
      <c r="Z1380" s="142">
        <v>379.86152521129566</v>
      </c>
    </row>
    <row r="1381" spans="1:26" s="141" customFormat="1">
      <c r="A1381" s="121">
        <v>44986</v>
      </c>
      <c r="B1381" s="142">
        <v>166519401.12712353</v>
      </c>
      <c r="C1381" s="142">
        <v>56560409.45569998</v>
      </c>
      <c r="D1381" s="142">
        <v>66465056.214433171</v>
      </c>
      <c r="E1381" s="142">
        <v>73959655.855227739</v>
      </c>
      <c r="F1381" s="1118">
        <v>196985121.52536088</v>
      </c>
      <c r="G1381" s="142">
        <v>0</v>
      </c>
      <c r="H1381" s="142">
        <v>1601.4251067421494</v>
      </c>
      <c r="I1381" s="142">
        <v>947.86049945244326</v>
      </c>
      <c r="J1381" s="142">
        <v>596.13140129117187</v>
      </c>
      <c r="K1381" s="142">
        <v>1077.3449140625376</v>
      </c>
      <c r="L1381" s="1119">
        <v>2621.3368148061527</v>
      </c>
      <c r="M1381" s="125">
        <v>0</v>
      </c>
      <c r="N1381" s="115">
        <v>15235</v>
      </c>
      <c r="O1381" s="139">
        <v>3407.895</v>
      </c>
      <c r="P1381" s="125">
        <v>-2593832.1159999999</v>
      </c>
      <c r="Q1381" s="125">
        <v>0</v>
      </c>
      <c r="S1381" s="125">
        <v>-5527466.5773092303</v>
      </c>
      <c r="T1381" s="125">
        <v>0</v>
      </c>
      <c r="U1381" s="125">
        <v>4815464.2350000003</v>
      </c>
      <c r="V1381" s="125">
        <v>-2.5799999999999999E-6</v>
      </c>
      <c r="W1381" s="142">
        <v>0</v>
      </c>
      <c r="X1381" s="142">
        <v>8.0098632804660319</v>
      </c>
      <c r="Y1381" s="142">
        <v>62853187.035375006</v>
      </c>
      <c r="Z1381" s="142">
        <v>262.80460252976241</v>
      </c>
    </row>
    <row r="1382" spans="1:26" s="141" customFormat="1">
      <c r="A1382" s="121">
        <v>44987</v>
      </c>
      <c r="B1382" s="142">
        <v>166497326.145529</v>
      </c>
      <c r="C1382" s="142">
        <v>55714832.878297038</v>
      </c>
      <c r="D1382" s="142">
        <v>66597186.779443979</v>
      </c>
      <c r="E1382" s="142">
        <v>75534985.495522052</v>
      </c>
      <c r="F1382" s="1118">
        <v>197847005.15326306</v>
      </c>
      <c r="G1382" s="142">
        <v>0</v>
      </c>
      <c r="H1382" s="142">
        <v>1577.3877322959997</v>
      </c>
      <c r="I1382" s="142">
        <v>960.76027074769183</v>
      </c>
      <c r="J1382" s="142">
        <v>595.9153129314443</v>
      </c>
      <c r="K1382" s="142">
        <v>1088.9828133098827</v>
      </c>
      <c r="L1382" s="1119">
        <v>2645.6583969890189</v>
      </c>
      <c r="M1382" s="125">
        <v>0</v>
      </c>
      <c r="N1382" s="115">
        <v>15280</v>
      </c>
      <c r="O1382" s="139">
        <v>3407.8649999999998</v>
      </c>
      <c r="P1382" s="125">
        <v>-3139412.7880000002</v>
      </c>
      <c r="Q1382" s="125">
        <v>0</v>
      </c>
      <c r="S1382" s="125">
        <v>-4783497.67730923</v>
      </c>
      <c r="T1382" s="125">
        <v>0</v>
      </c>
      <c r="U1382" s="125">
        <v>4913029.5449999999</v>
      </c>
      <c r="V1382" s="125">
        <v>-3.0299999999999998E-6</v>
      </c>
      <c r="W1382" s="142">
        <v>0</v>
      </c>
      <c r="X1382" s="142">
        <v>15.110758998638742</v>
      </c>
      <c r="Y1382" s="142">
        <v>63587747.184623852</v>
      </c>
      <c r="Z1382" s="142">
        <v>265.87479179095294</v>
      </c>
    </row>
    <row r="1383" spans="1:26" s="141" customFormat="1">
      <c r="A1383" s="121">
        <v>44988</v>
      </c>
      <c r="B1383" s="142">
        <v>166280189.24296111</v>
      </c>
      <c r="C1383" s="142">
        <v>55440590.646779381</v>
      </c>
      <c r="D1383" s="142">
        <v>67140504.581972733</v>
      </c>
      <c r="E1383" s="142">
        <v>75722873.752373457</v>
      </c>
      <c r="F1383" s="1118">
        <v>198303968.98112556</v>
      </c>
      <c r="G1383" s="142">
        <v>0</v>
      </c>
      <c r="H1383" s="142">
        <v>1546.0747091352512</v>
      </c>
      <c r="I1383" s="142">
        <v>939.99500468327642</v>
      </c>
      <c r="J1383" s="142">
        <v>595.00065831362156</v>
      </c>
      <c r="K1383" s="142">
        <v>1147.9191591437532</v>
      </c>
      <c r="L1383" s="1119">
        <v>2682.9148221406513</v>
      </c>
      <c r="M1383" s="125">
        <v>0</v>
      </c>
      <c r="N1383" s="115">
        <v>15300</v>
      </c>
      <c r="O1383" s="139">
        <v>3418.23</v>
      </c>
      <c r="P1383" s="125">
        <v>-3126100.1660000002</v>
      </c>
      <c r="Q1383" s="125">
        <v>0</v>
      </c>
      <c r="S1383" s="125">
        <v>-4779779.67730923</v>
      </c>
      <c r="T1383" s="125">
        <v>0</v>
      </c>
      <c r="U1383" s="125">
        <v>4673055.2949999999</v>
      </c>
      <c r="V1383" s="125">
        <v>-3.23E-6</v>
      </c>
      <c r="W1383" s="142">
        <v>0</v>
      </c>
      <c r="X1383" s="142">
        <v>12.992172760915032</v>
      </c>
      <c r="Y1383" s="142">
        <v>63491565.825248525</v>
      </c>
      <c r="Z1383" s="142">
        <v>271.14749741668106</v>
      </c>
    </row>
    <row r="1384" spans="1:26" s="141" customFormat="1">
      <c r="A1384" s="121">
        <v>44991</v>
      </c>
      <c r="B1384" s="142">
        <v>166189749.20449674</v>
      </c>
      <c r="C1384" s="142">
        <v>57141939.323440827</v>
      </c>
      <c r="D1384" s="142">
        <v>66051297.410775617</v>
      </c>
      <c r="E1384" s="142">
        <v>74666240.568125576</v>
      </c>
      <c r="F1384" s="1118">
        <v>197859477.30234203</v>
      </c>
      <c r="G1384" s="142">
        <v>0</v>
      </c>
      <c r="H1384" s="142">
        <v>1570.3630074427545</v>
      </c>
      <c r="I1384" s="142">
        <v>966.63549629986494</v>
      </c>
      <c r="J1384" s="142">
        <v>597.0706479180368</v>
      </c>
      <c r="K1384" s="142">
        <v>1093.5093988623146</v>
      </c>
      <c r="L1384" s="1119">
        <v>2657.2155430802163</v>
      </c>
      <c r="M1384" s="125">
        <v>0</v>
      </c>
      <c r="N1384" s="115">
        <v>15295</v>
      </c>
      <c r="O1384" s="139">
        <v>3421.7049999999999</v>
      </c>
      <c r="P1384" s="125">
        <v>-3126100.1660000002</v>
      </c>
      <c r="Q1384" s="125">
        <v>0</v>
      </c>
      <c r="S1384" s="125">
        <v>-4779779.67730923</v>
      </c>
      <c r="T1384" s="125">
        <v>0</v>
      </c>
      <c r="U1384" s="125">
        <v>4673055.2949999999</v>
      </c>
      <c r="V1384" s="125">
        <v>-3.18E-6</v>
      </c>
      <c r="W1384" s="142">
        <v>0</v>
      </c>
      <c r="X1384" s="142">
        <v>15.565787140000001</v>
      </c>
      <c r="Y1384" s="142">
        <v>64840250.725425504</v>
      </c>
      <c r="Z1384" s="142">
        <v>275.6056461620725</v>
      </c>
    </row>
    <row r="1385" spans="1:26" s="141" customFormat="1">
      <c r="A1385" s="121">
        <v>44992</v>
      </c>
      <c r="B1385" s="142">
        <v>166566523.74962056</v>
      </c>
      <c r="C1385" s="142">
        <v>57583967.363004372</v>
      </c>
      <c r="D1385" s="142">
        <v>66370569.352631144</v>
      </c>
      <c r="E1385" s="142">
        <v>76086914.964413002</v>
      </c>
      <c r="F1385" s="1118">
        <v>200041451.68004853</v>
      </c>
      <c r="G1385" s="142">
        <v>0</v>
      </c>
      <c r="H1385" s="142">
        <v>1577.4980664445288</v>
      </c>
      <c r="I1385" s="142">
        <v>976.30397187739072</v>
      </c>
      <c r="J1385" s="142">
        <v>595.84353452603375</v>
      </c>
      <c r="K1385" s="142">
        <v>1092.2194248319322</v>
      </c>
      <c r="L1385" s="1119">
        <v>2664.3669312353568</v>
      </c>
      <c r="M1385" s="125">
        <v>0</v>
      </c>
      <c r="N1385" s="115">
        <v>15350</v>
      </c>
      <c r="O1385" s="139">
        <v>3430.9349999999999</v>
      </c>
      <c r="P1385" s="125">
        <v>-3215529.8360000001</v>
      </c>
      <c r="Q1385" s="125">
        <v>0</v>
      </c>
      <c r="S1385" s="125">
        <v>-4775258.17730923</v>
      </c>
      <c r="T1385" s="125">
        <v>0</v>
      </c>
      <c r="U1385" s="125">
        <v>5043708.7149999999</v>
      </c>
      <c r="V1385" s="125">
        <v>-3.7299999999999999E-6</v>
      </c>
      <c r="W1385" s="142">
        <v>0</v>
      </c>
      <c r="X1385" s="142">
        <v>5.5657871400000003</v>
      </c>
      <c r="Y1385" s="142">
        <v>64811341.756123342</v>
      </c>
      <c r="Z1385" s="142">
        <v>274.97145958937591</v>
      </c>
    </row>
    <row r="1386" spans="1:26" s="141" customFormat="1">
      <c r="A1386" s="121">
        <v>44993</v>
      </c>
      <c r="B1386" s="142">
        <v>166330202.93209052</v>
      </c>
      <c r="C1386" s="142">
        <v>57256291.933330484</v>
      </c>
      <c r="D1386" s="142">
        <v>66100912.127157412</v>
      </c>
      <c r="E1386" s="142">
        <v>75492686.161470532</v>
      </c>
      <c r="F1386" s="1118">
        <v>198849890.22195843</v>
      </c>
      <c r="G1386" s="142">
        <v>0</v>
      </c>
      <c r="H1386" s="142">
        <v>1569.6706772164771</v>
      </c>
      <c r="I1386" s="142">
        <v>961.65356055160737</v>
      </c>
      <c r="J1386" s="142">
        <v>591.75503742152637</v>
      </c>
      <c r="K1386" s="142">
        <v>1092.8696124033017</v>
      </c>
      <c r="L1386" s="1119">
        <v>2646.2782103764357</v>
      </c>
      <c r="M1386" s="125">
        <v>0</v>
      </c>
      <c r="N1386" s="115">
        <v>15435</v>
      </c>
      <c r="O1386" s="139">
        <v>3413.125</v>
      </c>
      <c r="P1386" s="125">
        <v>-3425587.8659999999</v>
      </c>
      <c r="Q1386" s="125">
        <v>0</v>
      </c>
      <c r="S1386" s="125">
        <v>-4550357.8773092302</v>
      </c>
      <c r="T1386" s="125">
        <v>0</v>
      </c>
      <c r="U1386" s="125">
        <v>4762820.0949999997</v>
      </c>
      <c r="V1386" s="125">
        <v>-4.5800000000000002E-6</v>
      </c>
      <c r="W1386" s="142">
        <v>0</v>
      </c>
      <c r="X1386" s="142">
        <v>10.565787140000001</v>
      </c>
      <c r="Y1386" s="142">
        <v>63364452.7811746</v>
      </c>
      <c r="Z1386" s="142">
        <v>278.82495638846126</v>
      </c>
    </row>
    <row r="1387" spans="1:26" s="141" customFormat="1">
      <c r="A1387" s="121">
        <v>44994</v>
      </c>
      <c r="B1387" s="142">
        <v>166282047.19758815</v>
      </c>
      <c r="C1387" s="142">
        <v>57708516.257041246</v>
      </c>
      <c r="D1387" s="142">
        <v>66201018.384775639</v>
      </c>
      <c r="E1387" s="142">
        <v>74547642.78218928</v>
      </c>
      <c r="F1387" s="1118">
        <v>198457177.42400616</v>
      </c>
      <c r="G1387" s="142">
        <v>0</v>
      </c>
      <c r="H1387" s="142">
        <v>1567.190247741358</v>
      </c>
      <c r="I1387" s="142">
        <v>993.53385170759259</v>
      </c>
      <c r="J1387" s="142">
        <v>593.24263790499003</v>
      </c>
      <c r="K1387" s="142">
        <v>1092.6049807429549</v>
      </c>
      <c r="L1387" s="1119">
        <v>2679.3814703555377</v>
      </c>
      <c r="M1387" s="125">
        <v>0</v>
      </c>
      <c r="N1387" s="115">
        <v>15425</v>
      </c>
      <c r="O1387" s="139">
        <v>3409.2200000000003</v>
      </c>
      <c r="P1387" s="125">
        <v>-3402571.0559999999</v>
      </c>
      <c r="Q1387" s="125">
        <v>0</v>
      </c>
      <c r="S1387" s="125">
        <v>-4829016.5773092294</v>
      </c>
      <c r="T1387" s="125">
        <v>0</v>
      </c>
      <c r="U1387" s="125">
        <v>4671654.2450000001</v>
      </c>
      <c r="V1387" s="125">
        <v>-4.4800000000000003E-6</v>
      </c>
      <c r="W1387" s="142">
        <v>0</v>
      </c>
      <c r="X1387" s="142">
        <v>0.56578713999999997</v>
      </c>
      <c r="Y1387" s="142">
        <v>63415414.038607411</v>
      </c>
      <c r="Z1387" s="142">
        <v>278.98163633724408</v>
      </c>
    </row>
    <row r="1388" spans="1:26" s="141" customFormat="1">
      <c r="A1388" s="121">
        <v>44995</v>
      </c>
      <c r="B1388" s="142">
        <v>166440184.92744723</v>
      </c>
      <c r="C1388" s="142">
        <v>56379120.109639511</v>
      </c>
      <c r="D1388" s="142">
        <v>66276076.546844974</v>
      </c>
      <c r="E1388" s="142">
        <v>75526154.525161266</v>
      </c>
      <c r="F1388" s="1118">
        <v>198181351.18164575</v>
      </c>
      <c r="G1388" s="142">
        <v>0</v>
      </c>
      <c r="H1388" s="142">
        <v>1584.1439726399799</v>
      </c>
      <c r="I1388" s="142">
        <v>959.01888983386357</v>
      </c>
      <c r="J1388" s="142">
        <v>595.76070041304001</v>
      </c>
      <c r="K1388" s="142">
        <v>1099.1035977033368</v>
      </c>
      <c r="L1388" s="1119">
        <v>2653.8831879502404</v>
      </c>
      <c r="M1388" s="125">
        <v>0</v>
      </c>
      <c r="N1388" s="115">
        <v>15450</v>
      </c>
      <c r="O1388" s="139">
        <v>3418.9</v>
      </c>
      <c r="P1388" s="125">
        <v>-3393462.702</v>
      </c>
      <c r="Q1388" s="125">
        <v>0</v>
      </c>
      <c r="S1388" s="125">
        <v>-4829558.5773092294</v>
      </c>
      <c r="T1388" s="125">
        <v>0</v>
      </c>
      <c r="U1388" s="125">
        <v>5227251.9550000001</v>
      </c>
      <c r="V1388" s="125">
        <v>-4.7300000000000005E-6</v>
      </c>
      <c r="W1388" s="142">
        <v>0</v>
      </c>
      <c r="X1388" s="142">
        <v>5.5657871400000003</v>
      </c>
      <c r="Y1388" s="142">
        <v>62791538.320961252</v>
      </c>
      <c r="Z1388" s="142">
        <v>276.28461833482015</v>
      </c>
    </row>
    <row r="1389" spans="1:26" s="141" customFormat="1">
      <c r="A1389" s="121">
        <v>44998</v>
      </c>
      <c r="B1389" s="142">
        <v>167301964.8988446</v>
      </c>
      <c r="C1389" s="142">
        <v>57047551.953079194</v>
      </c>
      <c r="D1389" s="142">
        <v>66096239.955350921</v>
      </c>
      <c r="E1389" s="142">
        <v>74529493.805571467</v>
      </c>
      <c r="F1389" s="1118">
        <v>197673285.7140016</v>
      </c>
      <c r="G1389" s="142">
        <v>0</v>
      </c>
      <c r="H1389" s="142">
        <v>1561.4823491155014</v>
      </c>
      <c r="I1389" s="142">
        <v>957.293894593451</v>
      </c>
      <c r="J1389" s="142">
        <v>596.99572901225497</v>
      </c>
      <c r="K1389" s="142">
        <v>1103.7786625686401</v>
      </c>
      <c r="L1389" s="1119">
        <v>2658.0682861743462</v>
      </c>
      <c r="M1389" s="125">
        <v>0</v>
      </c>
      <c r="N1389" s="115">
        <v>15365</v>
      </c>
      <c r="O1389" s="139">
        <v>3424.34</v>
      </c>
      <c r="P1389" s="125">
        <v>-3393462.702</v>
      </c>
      <c r="Q1389" s="125">
        <v>0</v>
      </c>
      <c r="S1389" s="125">
        <v>-4829558.5773092294</v>
      </c>
      <c r="T1389" s="125">
        <v>0</v>
      </c>
      <c r="U1389" s="125">
        <v>6073735.5470000003</v>
      </c>
      <c r="V1389" s="125">
        <v>-3.8800000000000001E-6</v>
      </c>
      <c r="W1389" s="142">
        <v>550000</v>
      </c>
      <c r="X1389" s="142">
        <v>0.56578714000000008</v>
      </c>
      <c r="Y1389" s="142">
        <v>62714291.320355713</v>
      </c>
      <c r="Z1389" s="142">
        <v>278.77039393498274</v>
      </c>
    </row>
    <row r="1390" spans="1:26" s="141" customFormat="1">
      <c r="A1390" s="121">
        <v>44999</v>
      </c>
      <c r="B1390" s="142">
        <v>168513015.54654837</v>
      </c>
      <c r="C1390" s="142">
        <v>58144342.294483148</v>
      </c>
      <c r="D1390" s="142">
        <v>66330028.815570891</v>
      </c>
      <c r="E1390" s="142">
        <v>74425657.763549358</v>
      </c>
      <c r="F1390" s="1118">
        <v>198900028.8736034</v>
      </c>
      <c r="G1390" s="142">
        <v>0</v>
      </c>
      <c r="H1390" s="142">
        <v>1585.6478277962044</v>
      </c>
      <c r="I1390" s="142">
        <v>964.29905223744095</v>
      </c>
      <c r="J1390" s="142">
        <v>599.39815436637969</v>
      </c>
      <c r="K1390" s="142">
        <v>1111.2410040368075</v>
      </c>
      <c r="L1390" s="1119">
        <v>2674.9382106406283</v>
      </c>
      <c r="M1390" s="125">
        <v>0</v>
      </c>
      <c r="N1390" s="115">
        <v>15385</v>
      </c>
      <c r="O1390" s="139">
        <v>3430.3249999999998</v>
      </c>
      <c r="P1390" s="125">
        <v>-3304722.702</v>
      </c>
      <c r="Q1390" s="125">
        <v>0</v>
      </c>
      <c r="S1390" s="125">
        <v>-4830452.0773092294</v>
      </c>
      <c r="T1390" s="125">
        <v>0</v>
      </c>
      <c r="U1390" s="125">
        <v>5792688.9869999997</v>
      </c>
      <c r="V1390" s="125">
        <v>-4.0799999999999999E-6</v>
      </c>
      <c r="W1390" s="142">
        <v>200000</v>
      </c>
      <c r="X1390" s="142">
        <v>0.56578713999999997</v>
      </c>
      <c r="Y1390" s="142">
        <v>62794281.110898517</v>
      </c>
      <c r="Z1390" s="142">
        <v>279.0445532551401</v>
      </c>
    </row>
    <row r="1391" spans="1:26" s="141" customFormat="1">
      <c r="A1391" s="121">
        <v>45000</v>
      </c>
      <c r="B1391" s="142">
        <v>168624240.07177946</v>
      </c>
      <c r="C1391" s="142">
        <v>58938854.56746541</v>
      </c>
      <c r="D1391" s="142">
        <v>66644881.993464574</v>
      </c>
      <c r="E1391" s="142">
        <v>75761741.710010469</v>
      </c>
      <c r="F1391" s="1118">
        <v>201345478.27094045</v>
      </c>
      <c r="G1391" s="142">
        <v>0</v>
      </c>
      <c r="H1391" s="142">
        <v>1583.1218006700371</v>
      </c>
      <c r="I1391" s="142">
        <v>970.31117177575811</v>
      </c>
      <c r="J1391" s="142">
        <v>597.13970562577958</v>
      </c>
      <c r="K1391" s="142">
        <v>1110.39115329029</v>
      </c>
      <c r="L1391" s="1119">
        <v>2677.8420306918279</v>
      </c>
      <c r="M1391" s="125">
        <v>0</v>
      </c>
      <c r="N1391" s="115">
        <v>15365</v>
      </c>
      <c r="O1391" s="139">
        <v>3431.605</v>
      </c>
      <c r="P1391" s="125">
        <v>-2340902.9369999999</v>
      </c>
      <c r="Q1391" s="125">
        <v>0</v>
      </c>
      <c r="S1391" s="125">
        <v>-3395940.0773092299</v>
      </c>
      <c r="T1391" s="125">
        <v>0</v>
      </c>
      <c r="U1391" s="125">
        <v>6079266.5970000001</v>
      </c>
      <c r="V1391" s="125">
        <v>-3.8800000000000001E-6</v>
      </c>
      <c r="W1391" s="142">
        <v>0</v>
      </c>
      <c r="X1391" s="142">
        <v>5.5657871399999994</v>
      </c>
      <c r="Y1391" s="142">
        <v>62437018.44085218</v>
      </c>
      <c r="Z1391" s="142">
        <v>276.5832886120059</v>
      </c>
    </row>
    <row r="1392" spans="1:26" s="141" customFormat="1">
      <c r="A1392" s="121">
        <v>45001</v>
      </c>
      <c r="B1392" s="142">
        <v>168793058.94359347</v>
      </c>
      <c r="C1392" s="142">
        <v>58093916.129909076</v>
      </c>
      <c r="D1392" s="142">
        <v>66715909.557204664</v>
      </c>
      <c r="E1392" s="142">
        <v>77102207.613109812</v>
      </c>
      <c r="F1392" s="1118">
        <v>201912033.30022353</v>
      </c>
      <c r="G1392" s="142">
        <v>0</v>
      </c>
      <c r="H1392" s="142">
        <v>1590.3127107718367</v>
      </c>
      <c r="I1392" s="142">
        <v>980.95492633858407</v>
      </c>
      <c r="J1392" s="142">
        <v>598.33303140879593</v>
      </c>
      <c r="K1392" s="142">
        <v>1101.4968556348567</v>
      </c>
      <c r="L1392" s="1119">
        <v>2680.7848133822367</v>
      </c>
      <c r="M1392" s="125">
        <v>0</v>
      </c>
      <c r="N1392" s="115">
        <v>15380</v>
      </c>
      <c r="O1392" s="139">
        <v>3415.5050000000001</v>
      </c>
      <c r="P1392" s="125">
        <v>-1822350.0719999999</v>
      </c>
      <c r="Q1392" s="125">
        <v>0</v>
      </c>
      <c r="S1392" s="125">
        <v>-1297553.2773092301</v>
      </c>
      <c r="T1392" s="125">
        <v>0</v>
      </c>
      <c r="U1392" s="125">
        <v>6079266.5970000001</v>
      </c>
      <c r="V1392" s="125">
        <v>-4.0300000000000004E-6</v>
      </c>
      <c r="W1392" s="142">
        <v>0</v>
      </c>
      <c r="X1392" s="142">
        <v>5.5657871400000003</v>
      </c>
      <c r="Y1392" s="142">
        <v>63672010.642474324</v>
      </c>
      <c r="Z1392" s="142">
        <v>276.25288172090836</v>
      </c>
    </row>
    <row r="1393" spans="1:26" s="141" customFormat="1">
      <c r="A1393" s="121">
        <v>45002</v>
      </c>
      <c r="B1393" s="142">
        <v>169066127.06265974</v>
      </c>
      <c r="C1393" s="142">
        <v>56174250.657393403</v>
      </c>
      <c r="D1393" s="142">
        <v>66393783.012566224</v>
      </c>
      <c r="E1393" s="142">
        <v>77668471.175673977</v>
      </c>
      <c r="F1393" s="1118">
        <v>200236504.84563363</v>
      </c>
      <c r="G1393" s="142">
        <v>0</v>
      </c>
      <c r="H1393" s="142">
        <v>1551.6074663875661</v>
      </c>
      <c r="I1393" s="142">
        <v>989.23158339658391</v>
      </c>
      <c r="J1393" s="142">
        <v>593.64384375764917</v>
      </c>
      <c r="K1393" s="142">
        <v>1289.7144421578635</v>
      </c>
      <c r="L1393" s="1119">
        <v>2872.5898693120962</v>
      </c>
      <c r="M1393" s="125">
        <v>0</v>
      </c>
      <c r="N1393" s="115">
        <v>15345</v>
      </c>
      <c r="O1393" s="139">
        <v>3420.6450000000004</v>
      </c>
      <c r="P1393" s="125">
        <v>-1971906.5870000001</v>
      </c>
      <c r="Q1393" s="125">
        <v>0</v>
      </c>
      <c r="S1393" s="125">
        <v>-1858001.2773092301</v>
      </c>
      <c r="T1393" s="125">
        <v>0</v>
      </c>
      <c r="U1393" s="125">
        <v>5792985.7170000002</v>
      </c>
      <c r="V1393" s="125">
        <v>-3.6800000000000003E-6</v>
      </c>
      <c r="W1393" s="142">
        <v>0</v>
      </c>
      <c r="X1393" s="142">
        <v>8.5657871400000012</v>
      </c>
      <c r="Y1393" s="142">
        <v>62529232.517265014</v>
      </c>
      <c r="Z1393" s="142">
        <v>276.10204842176074</v>
      </c>
    </row>
    <row r="1394" spans="1:26" s="141" customFormat="1">
      <c r="A1394" s="121">
        <v>45005</v>
      </c>
      <c r="B1394" s="142">
        <v>168538014.03995016</v>
      </c>
      <c r="C1394" s="142">
        <v>57274960.50371746</v>
      </c>
      <c r="D1394" s="142">
        <v>66088471.088431694</v>
      </c>
      <c r="E1394" s="142">
        <v>77206204.519158587</v>
      </c>
      <c r="F1394" s="1118">
        <v>200569636.11130774</v>
      </c>
      <c r="G1394" s="142">
        <v>0</v>
      </c>
      <c r="H1394" s="142">
        <v>1559.6891075900467</v>
      </c>
      <c r="I1394" s="142">
        <v>990.33172036095573</v>
      </c>
      <c r="J1394" s="142">
        <v>591.07164422263611</v>
      </c>
      <c r="K1394" s="142">
        <v>1117.9209486008263</v>
      </c>
      <c r="L1394" s="1119">
        <v>2699.3243131844183</v>
      </c>
      <c r="M1394" s="125">
        <v>0</v>
      </c>
      <c r="N1394" s="115">
        <v>15360</v>
      </c>
      <c r="O1394" s="139">
        <v>3423.99</v>
      </c>
      <c r="P1394" s="125">
        <v>-2172610.2289999998</v>
      </c>
      <c r="Q1394" s="125">
        <v>0</v>
      </c>
      <c r="S1394" s="125">
        <v>-1858001.2773092301</v>
      </c>
      <c r="T1394" s="125">
        <v>0</v>
      </c>
      <c r="U1394" s="125">
        <v>5697876.3669999996</v>
      </c>
      <c r="V1394" s="125">
        <v>-3.8299999999999998E-6</v>
      </c>
      <c r="W1394" s="142">
        <v>0</v>
      </c>
      <c r="X1394" s="142">
        <v>11.565787139999999</v>
      </c>
      <c r="Y1394" s="142">
        <v>62990221.722150505</v>
      </c>
      <c r="Z1394" s="142">
        <v>275.08909082059125</v>
      </c>
    </row>
    <row r="1395" spans="1:26" s="141" customFormat="1">
      <c r="A1395" s="121">
        <v>45006</v>
      </c>
      <c r="B1395" s="142">
        <v>167638880.50197607</v>
      </c>
      <c r="C1395" s="142">
        <v>57122708.105068006</v>
      </c>
      <c r="D1395" s="142">
        <v>66415522.84207011</v>
      </c>
      <c r="E1395" s="142">
        <v>77233659.626353413</v>
      </c>
      <c r="F1395" s="1118">
        <v>200771890.57349151</v>
      </c>
      <c r="G1395" s="142">
        <v>0</v>
      </c>
      <c r="H1395" s="142">
        <v>1582.2488885803234</v>
      </c>
      <c r="I1395" s="142">
        <v>987.70100072636217</v>
      </c>
      <c r="J1395" s="142">
        <v>590.33204073764034</v>
      </c>
      <c r="K1395" s="142">
        <v>1115.4932722417552</v>
      </c>
      <c r="L1395" s="1119">
        <v>2693.5263137057577</v>
      </c>
      <c r="M1395" s="125">
        <v>0</v>
      </c>
      <c r="N1395" s="115">
        <v>15345</v>
      </c>
      <c r="O1395" s="139">
        <v>3428.2849999999999</v>
      </c>
      <c r="P1395" s="125">
        <v>-2679969.1184999999</v>
      </c>
      <c r="Q1395" s="125">
        <v>0</v>
      </c>
      <c r="S1395" s="125">
        <v>-1856648.2773092301</v>
      </c>
      <c r="T1395" s="125">
        <v>0</v>
      </c>
      <c r="U1395" s="125">
        <v>5697876.3669999996</v>
      </c>
      <c r="V1395" s="125">
        <v>-3.6800000000000003E-6</v>
      </c>
      <c r="W1395" s="142">
        <v>0</v>
      </c>
      <c r="X1395" s="142">
        <v>5.5657871400000003</v>
      </c>
      <c r="Y1395" s="142">
        <v>62985165.961052395</v>
      </c>
      <c r="Z1395" s="142">
        <v>272.61050050424171</v>
      </c>
    </row>
    <row r="1396" spans="1:26" s="141" customFormat="1">
      <c r="A1396" s="121">
        <v>45009</v>
      </c>
      <c r="B1396" s="142">
        <v>167834872.77513877</v>
      </c>
      <c r="C1396" s="142">
        <v>56119916.494413868</v>
      </c>
      <c r="D1396" s="142">
        <v>67781914.556789562</v>
      </c>
      <c r="E1396" s="142">
        <v>75702783.806927234</v>
      </c>
      <c r="F1396" s="1118">
        <v>199604614.85813066</v>
      </c>
      <c r="G1396" s="142">
        <v>0</v>
      </c>
      <c r="H1396" s="142">
        <v>1538.6128646079521</v>
      </c>
      <c r="I1396" s="142">
        <v>989.21864231413849</v>
      </c>
      <c r="J1396" s="142">
        <v>598.41281449212806</v>
      </c>
      <c r="K1396" s="142">
        <v>1121.0998378570257</v>
      </c>
      <c r="L1396" s="1119">
        <v>2708.7312946632924</v>
      </c>
      <c r="M1396" s="125">
        <v>0</v>
      </c>
      <c r="N1396" s="115">
        <v>15155</v>
      </c>
      <c r="O1396" s="139">
        <v>3424.86</v>
      </c>
      <c r="P1396" s="125">
        <v>-2226546.4334999998</v>
      </c>
      <c r="Q1396" s="125">
        <v>0</v>
      </c>
      <c r="S1396" s="125">
        <v>-1855464.2773092301</v>
      </c>
      <c r="T1396" s="125">
        <v>0</v>
      </c>
      <c r="U1396" s="125">
        <v>5747992.3119999999</v>
      </c>
      <c r="V1396" s="125">
        <v>-1.7800000000000001E-6</v>
      </c>
      <c r="W1396" s="142">
        <v>0</v>
      </c>
      <c r="X1396" s="142">
        <v>0.56578713999999997</v>
      </c>
      <c r="Y1396" s="142">
        <v>63701336.648757473</v>
      </c>
      <c r="Z1396" s="142">
        <v>274.82758953635624</v>
      </c>
    </row>
    <row r="1397" spans="1:26" s="141" customFormat="1">
      <c r="A1397" s="121">
        <v>45012</v>
      </c>
      <c r="B1397" s="142">
        <v>168111602.02516165</v>
      </c>
      <c r="C1397" s="142">
        <v>58072382.88933894</v>
      </c>
      <c r="D1397" s="142">
        <v>67448718.081799686</v>
      </c>
      <c r="E1397" s="142">
        <v>74246197.688716888</v>
      </c>
      <c r="F1397" s="1118">
        <v>199767298.65985551</v>
      </c>
      <c r="G1397" s="142">
        <v>0</v>
      </c>
      <c r="H1397" s="142">
        <v>1558.1939082825672</v>
      </c>
      <c r="I1397" s="142">
        <v>1043.7805698155175</v>
      </c>
      <c r="J1397" s="142">
        <v>594.53556799159105</v>
      </c>
      <c r="K1397" s="142">
        <v>1124.8877424643792</v>
      </c>
      <c r="L1397" s="1119">
        <v>2763.2038802714878</v>
      </c>
      <c r="M1397" s="125">
        <v>0</v>
      </c>
      <c r="N1397" s="115">
        <v>15160</v>
      </c>
      <c r="O1397" s="139">
        <v>3422.125</v>
      </c>
      <c r="P1397" s="125">
        <v>-2025842.7915000001</v>
      </c>
      <c r="Q1397" s="125">
        <v>0</v>
      </c>
      <c r="S1397" s="125">
        <v>-4795906.2773092296</v>
      </c>
      <c r="T1397" s="125">
        <v>0</v>
      </c>
      <c r="U1397" s="125">
        <v>5275845.84</v>
      </c>
      <c r="V1397" s="125">
        <v>-1.8300000000000001E-6</v>
      </c>
      <c r="W1397" s="142">
        <v>0</v>
      </c>
      <c r="X1397" s="142">
        <v>5.5657871400000003</v>
      </c>
      <c r="Y1397" s="142">
        <v>63831783.494573183</v>
      </c>
      <c r="Z1397" s="142">
        <v>274.35930438031926</v>
      </c>
    </row>
    <row r="1398" spans="1:26" s="141" customFormat="1">
      <c r="A1398" s="121">
        <v>45013</v>
      </c>
      <c r="B1398" s="142">
        <v>167825972.26736513</v>
      </c>
      <c r="C1398" s="142">
        <v>55271851.724267192</v>
      </c>
      <c r="D1398" s="142">
        <v>67232612.280104175</v>
      </c>
      <c r="E1398" s="142">
        <v>76099257.643828273</v>
      </c>
      <c r="F1398" s="1118">
        <v>198603721.64819965</v>
      </c>
      <c r="G1398" s="142">
        <v>0</v>
      </c>
      <c r="H1398" s="142">
        <v>1557.7225781367474</v>
      </c>
      <c r="I1398" s="142">
        <v>972.54000543000518</v>
      </c>
      <c r="J1398" s="142">
        <v>597.1637387575164</v>
      </c>
      <c r="K1398" s="142">
        <v>1119.0025692290558</v>
      </c>
      <c r="L1398" s="1119">
        <v>2688.7063134165774</v>
      </c>
      <c r="M1398" s="125">
        <v>0</v>
      </c>
      <c r="N1398" s="115">
        <v>15086.5</v>
      </c>
      <c r="O1398" s="139">
        <v>3426.415</v>
      </c>
      <c r="P1398" s="125">
        <v>-1518483.902</v>
      </c>
      <c r="Q1398" s="125">
        <v>0</v>
      </c>
      <c r="S1398" s="125">
        <v>-6277516.8273092294</v>
      </c>
      <c r="T1398" s="125">
        <v>0</v>
      </c>
      <c r="U1398" s="125">
        <v>5275845.84</v>
      </c>
      <c r="V1398" s="125">
        <v>-1.1000000000000001E-6</v>
      </c>
      <c r="W1398" s="142">
        <v>0</v>
      </c>
      <c r="X1398" s="142">
        <v>0.56578713999999997</v>
      </c>
      <c r="Y1398" s="142">
        <v>62128699.410391279</v>
      </c>
      <c r="Z1398" s="142">
        <v>274.25808684501771</v>
      </c>
    </row>
    <row r="1399" spans="1:26" s="141" customFormat="1">
      <c r="A1399" s="121">
        <v>45014</v>
      </c>
      <c r="B1399" s="142">
        <v>168312729.34819138</v>
      </c>
      <c r="C1399" s="142">
        <v>56654314.683158271</v>
      </c>
      <c r="D1399" s="142">
        <v>67570864.139364958</v>
      </c>
      <c r="E1399" s="142">
        <v>75893112.016332954</v>
      </c>
      <c r="F1399" s="1118">
        <v>200118290.83885619</v>
      </c>
      <c r="G1399" s="142">
        <v>0</v>
      </c>
      <c r="H1399" s="142">
        <v>1577.1241273081037</v>
      </c>
      <c r="I1399" s="142">
        <v>1019.6463566811319</v>
      </c>
      <c r="J1399" s="142">
        <v>598.15556605643894</v>
      </c>
      <c r="K1399" s="142">
        <v>1140.5363517532653</v>
      </c>
      <c r="L1399" s="1119">
        <v>2758.3382744908358</v>
      </c>
      <c r="M1399" s="125">
        <v>0</v>
      </c>
      <c r="N1399" s="115">
        <v>15065</v>
      </c>
      <c r="O1399" s="139">
        <v>3414.17</v>
      </c>
      <c r="P1399" s="125">
        <v>-1518483.902</v>
      </c>
      <c r="Q1399" s="125">
        <v>0</v>
      </c>
      <c r="S1399" s="125">
        <v>-6277517.5500033796</v>
      </c>
      <c r="T1399" s="125">
        <v>0</v>
      </c>
      <c r="U1399" s="125">
        <v>5275845.84</v>
      </c>
      <c r="V1399" s="125">
        <v>-8.8000000000000004E-7</v>
      </c>
      <c r="W1399" s="142">
        <v>0</v>
      </c>
      <c r="X1399" s="142">
        <v>5.5657871400000003</v>
      </c>
      <c r="Y1399" s="142">
        <v>62705604.200273022</v>
      </c>
      <c r="Z1399" s="142">
        <v>275.08171214006563</v>
      </c>
    </row>
    <row r="1400" spans="1:26" s="141" customFormat="1">
      <c r="A1400" s="121">
        <v>45015</v>
      </c>
      <c r="B1400" s="142">
        <v>168391271.48909658</v>
      </c>
      <c r="C1400" s="142">
        <v>56132820.04943081</v>
      </c>
      <c r="D1400" s="142">
        <v>67256693.124091208</v>
      </c>
      <c r="E1400" s="142">
        <v>76518470.178426147</v>
      </c>
      <c r="F1400" s="1118">
        <v>199907983.35194817</v>
      </c>
      <c r="G1400" s="142">
        <v>0</v>
      </c>
      <c r="H1400" s="142">
        <v>1574.6165492065581</v>
      </c>
      <c r="I1400" s="142">
        <v>1051.3853231860944</v>
      </c>
      <c r="J1400" s="142">
        <v>605.45332890776569</v>
      </c>
      <c r="K1400" s="142">
        <v>1144.029072991957</v>
      </c>
      <c r="L1400" s="1119">
        <v>2800.8677250858173</v>
      </c>
      <c r="M1400" s="125">
        <v>0</v>
      </c>
      <c r="N1400" s="115">
        <v>15047</v>
      </c>
      <c r="O1400" s="139">
        <v>3403.5299999999997</v>
      </c>
      <c r="P1400" s="125">
        <v>-1718336.0560000001</v>
      </c>
      <c r="Q1400" s="125">
        <v>0</v>
      </c>
      <c r="S1400" s="125">
        <v>-6277517.5500033796</v>
      </c>
      <c r="T1400" s="125">
        <v>0</v>
      </c>
      <c r="U1400" s="125">
        <v>5460631.04</v>
      </c>
      <c r="V1400" s="125">
        <v>-6.9999999999999997E-7</v>
      </c>
      <c r="W1400" s="142">
        <v>0</v>
      </c>
      <c r="X1400" s="142">
        <v>5.5657871399999994</v>
      </c>
      <c r="Y1400" s="142">
        <v>63727675.06375926</v>
      </c>
      <c r="Z1400" s="142">
        <v>278.01871497594533</v>
      </c>
    </row>
    <row r="1401" spans="1:26" s="141" customFormat="1">
      <c r="A1401" s="121">
        <v>45016</v>
      </c>
      <c r="B1401" s="136">
        <v>170717482.454629</v>
      </c>
      <c r="C1401" s="136">
        <v>55636648.706407003</v>
      </c>
      <c r="D1401" s="136">
        <v>67565892.530878007</v>
      </c>
      <c r="E1401" s="136">
        <v>76686150.748199001</v>
      </c>
      <c r="F1401" s="137">
        <v>199888691.985484</v>
      </c>
      <c r="G1401" s="142">
        <v>0</v>
      </c>
      <c r="H1401" s="136">
        <v>1538.6756120750274</v>
      </c>
      <c r="I1401" s="136">
        <v>1030.4062599179033</v>
      </c>
      <c r="J1401" s="136">
        <v>603.15365592597277</v>
      </c>
      <c r="K1401" s="136">
        <v>1160.1936603890092</v>
      </c>
      <c r="L1401" s="165">
        <v>2793.7535762328853</v>
      </c>
      <c r="M1401" s="125">
        <v>0</v>
      </c>
      <c r="N1401" s="115">
        <v>14994.5</v>
      </c>
      <c r="O1401" s="139">
        <v>3396.2650000000003</v>
      </c>
      <c r="P1401" s="125">
        <v>-2164771.2259999998</v>
      </c>
      <c r="Q1401" s="125">
        <v>0</v>
      </c>
      <c r="S1401" s="125">
        <v>-6278619.5500033796</v>
      </c>
      <c r="T1401" s="125">
        <v>0</v>
      </c>
      <c r="U1401" s="125">
        <v>5456503.8600000003</v>
      </c>
      <c r="V1401" s="125">
        <v>-1.8E-7</v>
      </c>
      <c r="W1401" s="142">
        <v>0</v>
      </c>
      <c r="X1401" s="142">
        <v>0.56578713999999997</v>
      </c>
      <c r="Y1401" s="142">
        <v>64432212.442393489</v>
      </c>
      <c r="Z1401" s="142">
        <v>276.96245839138754</v>
      </c>
    </row>
    <row r="1402" spans="1:26" s="141" customFormat="1">
      <c r="A1402" s="121">
        <v>45019</v>
      </c>
      <c r="B1402" s="142">
        <v>168028828.23275718</v>
      </c>
      <c r="C1402" s="142">
        <v>55971161.760213703</v>
      </c>
      <c r="D1402" s="142">
        <v>66850998.497494027</v>
      </c>
      <c r="E1402" s="142">
        <v>76489393.518940777</v>
      </c>
      <c r="F1402" s="1118">
        <v>199311553.77664852</v>
      </c>
      <c r="G1402" s="142">
        <v>0</v>
      </c>
      <c r="H1402" s="142">
        <v>1530.8403540958545</v>
      </c>
      <c r="I1402" s="142">
        <v>1045.4012718040121</v>
      </c>
      <c r="J1402" s="142">
        <v>606.15825763881742</v>
      </c>
      <c r="K1402" s="142">
        <v>1143.0706539017781</v>
      </c>
      <c r="L1402" s="1119">
        <v>2794.6301833446078</v>
      </c>
      <c r="M1402" s="125">
        <v>0</v>
      </c>
      <c r="N1402" s="115">
        <v>14970</v>
      </c>
      <c r="O1402" s="139">
        <v>3386.3050000000003</v>
      </c>
      <c r="P1402" s="125">
        <v>-2067228.5959999999</v>
      </c>
      <c r="Q1402" s="125">
        <v>0</v>
      </c>
      <c r="S1402" s="125">
        <v>-6286256.5500033796</v>
      </c>
      <c r="T1402" s="125">
        <v>0</v>
      </c>
      <c r="U1402" s="125">
        <v>5358938.55</v>
      </c>
      <c r="V1402" s="125">
        <v>7.0000000000000005E-8</v>
      </c>
      <c r="W1402" s="142">
        <v>0</v>
      </c>
      <c r="X1402" s="142">
        <v>0.56578713999999997</v>
      </c>
      <c r="Y1402" s="142">
        <v>64591165.406591013</v>
      </c>
      <c r="Z1402" s="142">
        <v>276.35681445447159</v>
      </c>
    </row>
    <row r="1403" spans="1:26" s="141" customFormat="1">
      <c r="A1403" s="121">
        <v>45020</v>
      </c>
      <c r="B1403" s="142">
        <v>167764300.08165571</v>
      </c>
      <c r="C1403" s="142">
        <v>57115809.399516873</v>
      </c>
      <c r="D1403" s="142">
        <v>66586845.588883281</v>
      </c>
      <c r="E1403" s="142">
        <v>77153010.811796516</v>
      </c>
      <c r="F1403" s="1118">
        <v>200855665.80019668</v>
      </c>
      <c r="G1403" s="142">
        <v>0</v>
      </c>
      <c r="H1403" s="142">
        <v>1544.653562155281</v>
      </c>
      <c r="I1403" s="142">
        <v>1064.0165742509869</v>
      </c>
      <c r="J1403" s="142">
        <v>607.78756299563554</v>
      </c>
      <c r="K1403" s="142">
        <v>1146.7113662995496</v>
      </c>
      <c r="L1403" s="1119">
        <v>2818.5155035461721</v>
      </c>
      <c r="M1403" s="125">
        <v>0</v>
      </c>
      <c r="N1403" s="115">
        <v>14898.5</v>
      </c>
      <c r="O1403" s="139">
        <v>3382.9449999999997</v>
      </c>
      <c r="P1403" s="125">
        <v>-2067228.5959999999</v>
      </c>
      <c r="Q1403" s="125">
        <v>0</v>
      </c>
      <c r="S1403" s="125">
        <v>-4804572.5000033798</v>
      </c>
      <c r="T1403" s="125">
        <v>0</v>
      </c>
      <c r="U1403" s="125">
        <v>5358938.55</v>
      </c>
      <c r="V1403" s="125">
        <v>7.8000000000000005E-7</v>
      </c>
      <c r="W1403" s="142">
        <v>0</v>
      </c>
      <c r="X1403" s="142">
        <v>5.5657871400000003</v>
      </c>
      <c r="Y1403" s="142">
        <v>64653815.403476395</v>
      </c>
      <c r="Z1403" s="142">
        <v>275.72151371256842</v>
      </c>
    </row>
    <row r="1404" spans="1:26" s="141" customFormat="1">
      <c r="A1404" s="121">
        <v>45021</v>
      </c>
      <c r="B1404" s="142">
        <v>167437699.7706638</v>
      </c>
      <c r="C1404" s="142">
        <v>56958433.438601092</v>
      </c>
      <c r="D1404" s="142">
        <v>65714404.734318323</v>
      </c>
      <c r="E1404" s="142">
        <v>78793503.500071108</v>
      </c>
      <c r="F1404" s="1118">
        <v>201466341.67299053</v>
      </c>
      <c r="G1404" s="142">
        <v>0</v>
      </c>
      <c r="H1404" s="142">
        <v>1550.9079620702696</v>
      </c>
      <c r="I1404" s="142">
        <v>1062.6038292929343</v>
      </c>
      <c r="J1404" s="142">
        <v>606.45085660768848</v>
      </c>
      <c r="K1404" s="142">
        <v>1149.4949306156661</v>
      </c>
      <c r="L1404" s="1119">
        <v>2818.5496165162886</v>
      </c>
      <c r="M1404" s="125">
        <v>0</v>
      </c>
      <c r="N1404" s="115">
        <v>14925</v>
      </c>
      <c r="O1404" s="139">
        <v>3393.9750000000004</v>
      </c>
      <c r="P1404" s="125">
        <v>-2067228.5959999999</v>
      </c>
      <c r="Q1404" s="125">
        <v>0</v>
      </c>
      <c r="S1404" s="125">
        <v>-4804572.5000033798</v>
      </c>
      <c r="T1404" s="125">
        <v>0</v>
      </c>
      <c r="U1404" s="125">
        <v>6219111.2400000002</v>
      </c>
      <c r="V1404" s="125">
        <v>5.0999999999999999E-7</v>
      </c>
      <c r="W1404" s="142">
        <v>0</v>
      </c>
      <c r="X1404" s="142">
        <v>10.565787139999999</v>
      </c>
      <c r="Y1404" s="142">
        <v>64660439.920963533</v>
      </c>
      <c r="Z1404" s="142">
        <v>275.20961612754979</v>
      </c>
    </row>
    <row r="1405" spans="1:26" s="141" customFormat="1">
      <c r="A1405" s="121">
        <v>45022</v>
      </c>
      <c r="B1405" s="142">
        <v>167401092.38240027</v>
      </c>
      <c r="C1405" s="142">
        <v>54881009.250021882</v>
      </c>
      <c r="D1405" s="142">
        <v>67394123.816513076</v>
      </c>
      <c r="E1405" s="142">
        <v>77318405.927397549</v>
      </c>
      <c r="F1405" s="1118">
        <v>199593538.99393252</v>
      </c>
      <c r="G1405" s="142">
        <v>0</v>
      </c>
      <c r="H1405" s="142">
        <v>1549.0234862737236</v>
      </c>
      <c r="I1405" s="142">
        <v>1026.6632652335686</v>
      </c>
      <c r="J1405" s="142">
        <v>608.84392428926117</v>
      </c>
      <c r="K1405" s="142">
        <v>1199.3391570865579</v>
      </c>
      <c r="L1405" s="1119">
        <v>2834.8463466093876</v>
      </c>
      <c r="M1405" s="125">
        <v>0</v>
      </c>
      <c r="N1405" s="115">
        <v>14912.5</v>
      </c>
      <c r="O1405" s="139">
        <v>3387.665</v>
      </c>
      <c r="P1405" s="125">
        <v>-1311402.4950000001</v>
      </c>
      <c r="Q1405" s="125">
        <v>0</v>
      </c>
      <c r="S1405" s="125">
        <v>-4804572.5000033798</v>
      </c>
      <c r="T1405" s="125">
        <v>0</v>
      </c>
      <c r="U1405" s="125">
        <v>6222650.8099999996</v>
      </c>
      <c r="V1405" s="125">
        <v>6.4000000000000001E-7</v>
      </c>
      <c r="W1405" s="142">
        <v>0</v>
      </c>
      <c r="X1405" s="142">
        <v>10.565787140000001</v>
      </c>
      <c r="Y1405" s="142">
        <v>64887419.206535354</v>
      </c>
      <c r="Z1405" s="142">
        <v>275.61415559354629</v>
      </c>
    </row>
    <row r="1406" spans="1:26" s="141" customFormat="1">
      <c r="A1406" s="121">
        <v>45026</v>
      </c>
      <c r="B1406" s="142">
        <v>167387574.12026957</v>
      </c>
      <c r="C1406" s="142">
        <v>57153685.674814969</v>
      </c>
      <c r="D1406" s="142">
        <v>67255279.315328136</v>
      </c>
      <c r="E1406" s="142">
        <v>78318591.452819109</v>
      </c>
      <c r="F1406" s="1118">
        <v>202727556.44296223</v>
      </c>
      <c r="G1406" s="142">
        <v>0</v>
      </c>
      <c r="H1406" s="142">
        <v>1563.0236049301689</v>
      </c>
      <c r="I1406" s="142">
        <v>1039.953486222721</v>
      </c>
      <c r="J1406" s="142">
        <v>613.86516453002844</v>
      </c>
      <c r="K1406" s="142">
        <v>1196.4259834410002</v>
      </c>
      <c r="L1406" s="1119">
        <v>2850.2446341937493</v>
      </c>
      <c r="M1406" s="125">
        <v>0</v>
      </c>
      <c r="N1406" s="115">
        <v>14902</v>
      </c>
      <c r="O1406" s="1328">
        <v>3380.6750000000002</v>
      </c>
      <c r="P1406" s="125">
        <v>-1311402.4950000001</v>
      </c>
      <c r="Q1406" s="125">
        <v>0</v>
      </c>
      <c r="S1406" s="125">
        <v>-4809159.5000033798</v>
      </c>
      <c r="T1406" s="125">
        <v>0</v>
      </c>
      <c r="U1406" s="125">
        <v>5752539.6699999999</v>
      </c>
      <c r="V1406" s="125">
        <v>7.5000000000000002E-7</v>
      </c>
      <c r="W1406" s="142">
        <v>0</v>
      </c>
      <c r="X1406" s="142">
        <v>10.566185795547579</v>
      </c>
      <c r="Y1406" s="142">
        <v>64965153.709948368</v>
      </c>
      <c r="Z1406" s="142">
        <v>275.1899390206234</v>
      </c>
    </row>
    <row r="1407" spans="1:26" s="141" customFormat="1">
      <c r="A1407" s="121">
        <v>45027</v>
      </c>
      <c r="B1407" s="142">
        <v>167783191.98598921</v>
      </c>
      <c r="C1407" s="142">
        <v>58515073.037626997</v>
      </c>
      <c r="D1407" s="142">
        <v>67881210.207836106</v>
      </c>
      <c r="E1407" s="142">
        <v>76665330.310337737</v>
      </c>
      <c r="F1407" s="1118">
        <v>203061613.55580086</v>
      </c>
      <c r="G1407" s="142">
        <v>0</v>
      </c>
      <c r="H1407" s="142">
        <v>1585.4017594781715</v>
      </c>
      <c r="I1407" s="142">
        <v>1039.8712009660874</v>
      </c>
      <c r="J1407" s="142">
        <v>617.58148842218873</v>
      </c>
      <c r="K1407" s="142">
        <v>1201.330217086851</v>
      </c>
      <c r="L1407" s="1119">
        <v>2858.7829064751272</v>
      </c>
      <c r="M1407" s="125">
        <v>0</v>
      </c>
      <c r="N1407" s="115">
        <v>14883</v>
      </c>
      <c r="O1407" s="1328">
        <v>3371.3900000000003</v>
      </c>
      <c r="P1407" s="125">
        <v>-1311402.4950000001</v>
      </c>
      <c r="Q1407" s="125">
        <v>0</v>
      </c>
      <c r="S1407" s="125">
        <v>-4809226.0000033798</v>
      </c>
      <c r="T1407" s="125">
        <v>0</v>
      </c>
      <c r="U1407" s="125">
        <v>6040694.8899999997</v>
      </c>
      <c r="V1407" s="125">
        <v>9.3999999999999989E-7</v>
      </c>
      <c r="W1407" s="142">
        <v>0</v>
      </c>
      <c r="X1407" s="142">
        <v>5.5669086021131493</v>
      </c>
      <c r="Y1407" s="142">
        <v>66419370.52951698</v>
      </c>
      <c r="Z1407" s="142">
        <v>277.06534144003774</v>
      </c>
    </row>
    <row r="1408" spans="1:26" s="141" customFormat="1">
      <c r="A1408" s="121">
        <v>45028</v>
      </c>
      <c r="B1408" s="142">
        <v>168034511.30946589</v>
      </c>
      <c r="C1408" s="142">
        <v>60376771.816695511</v>
      </c>
      <c r="D1408" s="142">
        <v>67548573.598499432</v>
      </c>
      <c r="E1408" s="142">
        <v>76153418.552344382</v>
      </c>
      <c r="F1408" s="1118">
        <v>204078763.96753931</v>
      </c>
      <c r="G1408" s="142">
        <v>0</v>
      </c>
      <c r="H1408" s="142">
        <v>1574.6058679704252</v>
      </c>
      <c r="I1408" s="142">
        <v>964.13993828088678</v>
      </c>
      <c r="J1408" s="142">
        <v>613.94629051113589</v>
      </c>
      <c r="K1408" s="142">
        <v>1178.6446297869634</v>
      </c>
      <c r="L1408" s="1119">
        <v>2756.730858578986</v>
      </c>
      <c r="M1408" s="125">
        <v>0</v>
      </c>
      <c r="N1408" s="115">
        <v>14880</v>
      </c>
      <c r="O1408" s="1328">
        <v>3372.2400000000002</v>
      </c>
      <c r="P1408" s="125">
        <v>-1311402.4950000001</v>
      </c>
      <c r="Q1408" s="125">
        <v>0</v>
      </c>
      <c r="S1408" s="125">
        <v>-4809226.0000033798</v>
      </c>
      <c r="T1408" s="125">
        <v>0</v>
      </c>
      <c r="U1408" s="125">
        <v>5356953.16</v>
      </c>
      <c r="V1408" s="125">
        <v>9.7000000000000003E-7</v>
      </c>
      <c r="W1408" s="142">
        <v>0</v>
      </c>
      <c r="X1408" s="142">
        <v>0.56426620682795703</v>
      </c>
      <c r="Y1408" s="142">
        <v>66673607.490507796</v>
      </c>
      <c r="Z1408" s="142">
        <v>272.82673134648525</v>
      </c>
    </row>
    <row r="1409" spans="1:26" s="141" customFormat="1">
      <c r="A1409" s="121">
        <v>45029</v>
      </c>
      <c r="B1409" s="142">
        <v>167724775.71860579</v>
      </c>
      <c r="C1409" s="142">
        <v>56933662.718951978</v>
      </c>
      <c r="D1409" s="142">
        <v>68308020.859807327</v>
      </c>
      <c r="E1409" s="142">
        <v>76070740.352282375</v>
      </c>
      <c r="F1409" s="1118">
        <v>201312423.93104169</v>
      </c>
      <c r="G1409" s="142">
        <v>0</v>
      </c>
      <c r="H1409" s="142">
        <v>1583.0617599952029</v>
      </c>
      <c r="I1409" s="142">
        <v>950.4371030729078</v>
      </c>
      <c r="J1409" s="142">
        <v>616.88883304728847</v>
      </c>
      <c r="K1409" s="142">
        <v>1192.5175879027902</v>
      </c>
      <c r="L1409" s="1119">
        <v>2759.8435240229865</v>
      </c>
      <c r="M1409" s="125">
        <v>0</v>
      </c>
      <c r="N1409" s="115">
        <v>14751</v>
      </c>
      <c r="O1409" s="1328">
        <v>3350.98</v>
      </c>
      <c r="P1409" s="125">
        <v>0</v>
      </c>
      <c r="Q1409" s="125">
        <v>0</v>
      </c>
      <c r="S1409" s="125">
        <v>-6851673.0000033798</v>
      </c>
      <c r="T1409" s="125">
        <v>0</v>
      </c>
      <c r="U1409" s="125">
        <v>5356953.16</v>
      </c>
      <c r="V1409" s="125">
        <v>2.26E-6</v>
      </c>
      <c r="W1409" s="142">
        <v>0</v>
      </c>
      <c r="X1409" s="142">
        <v>0.56578713999999997</v>
      </c>
      <c r="Y1409" s="142">
        <v>67848447.286168411</v>
      </c>
      <c r="Z1409" s="142">
        <v>271.24100520904551</v>
      </c>
    </row>
    <row r="1410" spans="1:26" s="141" customFormat="1">
      <c r="A1410" s="121">
        <v>45030</v>
      </c>
      <c r="B1410" s="142">
        <v>167593826.36854839</v>
      </c>
      <c r="C1410" s="142">
        <v>54329391.397772759</v>
      </c>
      <c r="D1410" s="142">
        <v>66481550.177899383</v>
      </c>
      <c r="E1410" s="142">
        <v>78043325.349309385</v>
      </c>
      <c r="F1410" s="1118">
        <v>198854266.92498153</v>
      </c>
      <c r="G1410" s="142">
        <v>0</v>
      </c>
      <c r="H1410" s="142">
        <v>1576.0913106265325</v>
      </c>
      <c r="I1410" s="142">
        <v>891.3627019126543</v>
      </c>
      <c r="J1410" s="142">
        <v>619.54073978940755</v>
      </c>
      <c r="K1410" s="142">
        <v>1178.436484849474</v>
      </c>
      <c r="L1410" s="1119">
        <v>2689.3399265515359</v>
      </c>
      <c r="M1410" s="125">
        <v>0</v>
      </c>
      <c r="N1410" s="115">
        <v>14700</v>
      </c>
      <c r="O1410" s="1328">
        <v>3342.81</v>
      </c>
      <c r="P1410" s="125">
        <v>0</v>
      </c>
      <c r="Q1410" s="125">
        <v>0</v>
      </c>
      <c r="S1410" s="125">
        <v>-6851673.0000033798</v>
      </c>
      <c r="T1410" s="125">
        <v>0</v>
      </c>
      <c r="U1410" s="125">
        <v>5356953.16</v>
      </c>
      <c r="V1410" s="125">
        <v>2.7700000000000002E-6</v>
      </c>
      <c r="W1410" s="142">
        <v>0</v>
      </c>
      <c r="X1410" s="142">
        <v>0.56578713999999997</v>
      </c>
      <c r="Y1410" s="142">
        <v>67745696.436340004</v>
      </c>
      <c r="Z1410" s="142">
        <v>269.8068859780293</v>
      </c>
    </row>
    <row r="1411" spans="1:26" s="141" customFormat="1">
      <c r="A1411" s="121">
        <v>45033</v>
      </c>
      <c r="B1411" s="142">
        <v>168032642.38914689</v>
      </c>
      <c r="C1411" s="142">
        <v>56689451.261753082</v>
      </c>
      <c r="D1411" s="142">
        <v>67577822.713893771</v>
      </c>
      <c r="E1411" s="142">
        <v>78207002.85301362</v>
      </c>
      <c r="F1411" s="1118">
        <v>202474276.82866049</v>
      </c>
      <c r="G1411" s="142">
        <v>0</v>
      </c>
      <c r="H1411" s="142">
        <v>1536.4756351672252</v>
      </c>
      <c r="I1411" s="142">
        <v>884.00199556577161</v>
      </c>
      <c r="J1411" s="142">
        <v>619.98546443123769</v>
      </c>
      <c r="K1411" s="142">
        <v>1127.7535666913409</v>
      </c>
      <c r="L1411" s="1119">
        <v>2631.7410266883503</v>
      </c>
      <c r="M1411" s="125">
        <v>0</v>
      </c>
      <c r="N1411" s="115">
        <v>14790</v>
      </c>
      <c r="O1411" s="1328">
        <v>3347.67</v>
      </c>
      <c r="P1411" s="125">
        <v>0</v>
      </c>
      <c r="Q1411" s="125">
        <v>0</v>
      </c>
      <c r="S1411" s="125">
        <v>-8882968.0000033807</v>
      </c>
      <c r="T1411" s="125">
        <v>0</v>
      </c>
      <c r="U1411" s="125">
        <v>5356953.16</v>
      </c>
      <c r="V1411" s="125">
        <v>1.8700000000000001E-6</v>
      </c>
      <c r="W1411" s="142">
        <v>0</v>
      </c>
      <c r="X1411" s="142">
        <v>5.5657871399999994</v>
      </c>
      <c r="Y1411" s="142">
        <v>67551878.014834911</v>
      </c>
      <c r="Z1411" s="142">
        <v>262.78253300742801</v>
      </c>
    </row>
    <row r="1412" spans="1:26" s="141" customFormat="1">
      <c r="A1412" s="121">
        <v>45034</v>
      </c>
      <c r="B1412" s="142">
        <v>167953759.67262074</v>
      </c>
      <c r="C1412" s="142">
        <v>52834951.187296771</v>
      </c>
      <c r="D1412" s="142">
        <v>68507484.185066238</v>
      </c>
      <c r="E1412" s="142">
        <v>79516568.503711015</v>
      </c>
      <c r="F1412" s="1118">
        <v>200859003.87607402</v>
      </c>
      <c r="G1412" s="142">
        <v>0</v>
      </c>
      <c r="H1412" s="142">
        <v>1552.3348908201478</v>
      </c>
      <c r="I1412" s="142">
        <v>850.31286138321286</v>
      </c>
      <c r="J1412" s="142">
        <v>625.71176294904285</v>
      </c>
      <c r="K1412" s="142">
        <v>1136.1505298847535</v>
      </c>
      <c r="L1412" s="1119">
        <v>2612.1751542170095</v>
      </c>
      <c r="M1412" s="125">
        <v>0</v>
      </c>
      <c r="N1412" s="115">
        <v>14845</v>
      </c>
      <c r="O1412" s="1328">
        <v>3345.355</v>
      </c>
      <c r="P1412" s="125">
        <v>0</v>
      </c>
      <c r="Q1412" s="125">
        <v>0</v>
      </c>
      <c r="S1412" s="125">
        <v>-9702547.0000033807</v>
      </c>
      <c r="T1412" s="125">
        <v>0</v>
      </c>
      <c r="U1412" s="125">
        <v>5068797.9400000004</v>
      </c>
      <c r="V1412" s="125">
        <v>1.3200000000000001E-6</v>
      </c>
      <c r="W1412" s="142">
        <v>0</v>
      </c>
      <c r="X1412" s="142">
        <v>15.565787139999999</v>
      </c>
      <c r="Y1412" s="142">
        <v>67860640.739795849</v>
      </c>
      <c r="Z1412" s="142">
        <v>264.69666630859683</v>
      </c>
    </row>
    <row r="1413" spans="1:26" s="141" customFormat="1">
      <c r="A1413" s="121">
        <v>45042</v>
      </c>
      <c r="B1413" s="142">
        <v>167541735.23053369</v>
      </c>
      <c r="C1413" s="142">
        <v>56639963.472888298</v>
      </c>
      <c r="D1413" s="142">
        <v>67668805.836795703</v>
      </c>
      <c r="E1413" s="142">
        <v>79509673.01931484</v>
      </c>
      <c r="F1413" s="1118">
        <v>203818442.32899886</v>
      </c>
      <c r="G1413" s="142">
        <v>0</v>
      </c>
      <c r="H1413" s="142">
        <v>1558.3298625851489</v>
      </c>
      <c r="I1413" s="142">
        <v>931.57056141427142</v>
      </c>
      <c r="J1413" s="142">
        <v>631.28679469865449</v>
      </c>
      <c r="K1413" s="142">
        <v>1128.7338445391356</v>
      </c>
      <c r="L1413" s="1119">
        <v>2691.5912006520616</v>
      </c>
      <c r="M1413" s="125">
        <v>0</v>
      </c>
      <c r="N1413" s="115">
        <v>14835</v>
      </c>
      <c r="O1413" s="1328">
        <v>3327.355</v>
      </c>
      <c r="P1413" s="125">
        <v>0</v>
      </c>
      <c r="Q1413" s="125">
        <v>0</v>
      </c>
      <c r="S1413" s="125">
        <v>-7062059.70000338</v>
      </c>
      <c r="T1413" s="125">
        <v>0</v>
      </c>
      <c r="U1413" s="125">
        <v>5068797.9400000004</v>
      </c>
      <c r="V1413" s="125">
        <v>1.42E-6</v>
      </c>
      <c r="W1413" s="142">
        <v>0</v>
      </c>
      <c r="X1413" s="142">
        <v>5.5657871399999994</v>
      </c>
      <c r="Y1413" s="142">
        <v>67586502.068232268</v>
      </c>
      <c r="Z1413" s="142">
        <v>264.38946042380587</v>
      </c>
    </row>
    <row r="1414" spans="1:26" s="141" customFormat="1">
      <c r="A1414" s="121">
        <v>45043</v>
      </c>
      <c r="B1414" s="142">
        <v>168148455.81235257</v>
      </c>
      <c r="C1414" s="142">
        <v>56127944.606402911</v>
      </c>
      <c r="D1414" s="142">
        <v>68730443.317806676</v>
      </c>
      <c r="E1414" s="142">
        <v>77938429.488477021</v>
      </c>
      <c r="F1414" s="1118">
        <v>202796817.41268662</v>
      </c>
      <c r="G1414" s="142">
        <v>0</v>
      </c>
      <c r="H1414" s="142">
        <v>1556.662552855601</v>
      </c>
      <c r="I1414" s="142">
        <v>968.01644462050115</v>
      </c>
      <c r="J1414" s="142">
        <v>631.38216156439955</v>
      </c>
      <c r="K1414" s="142">
        <v>1016.0713289569785</v>
      </c>
      <c r="L1414" s="1119">
        <v>2615.4699351418794</v>
      </c>
      <c r="M1414" s="125">
        <v>0</v>
      </c>
      <c r="N1414" s="115">
        <v>14702.5</v>
      </c>
      <c r="O1414" s="1328">
        <v>3296.34</v>
      </c>
      <c r="P1414" s="125">
        <v>0</v>
      </c>
      <c r="Q1414" s="125">
        <v>0</v>
      </c>
      <c r="S1414" s="125">
        <v>-9804213.9000033811</v>
      </c>
      <c r="T1414" s="125">
        <v>0</v>
      </c>
      <c r="U1414" s="125">
        <v>5068797.9400000004</v>
      </c>
      <c r="V1414" s="125">
        <v>2.74E-6</v>
      </c>
      <c r="W1414" s="142">
        <v>0</v>
      </c>
      <c r="X1414" s="142">
        <v>15.565787139999999</v>
      </c>
      <c r="Y1414" s="142">
        <v>67667881.675368279</v>
      </c>
      <c r="Z1414" s="142">
        <v>262.59871411886007</v>
      </c>
    </row>
    <row r="1415" spans="1:26" s="141" customFormat="1">
      <c r="A1415" s="121">
        <v>45044</v>
      </c>
      <c r="B1415" s="142">
        <v>169491275.19203249</v>
      </c>
      <c r="C1415" s="142">
        <v>55146471.707365759</v>
      </c>
      <c r="D1415" s="142">
        <v>69296979.259216771</v>
      </c>
      <c r="E1415" s="142">
        <v>78674020.991526842</v>
      </c>
      <c r="F1415" s="1118">
        <v>203117471.95810938</v>
      </c>
      <c r="G1415" s="142">
        <v>0</v>
      </c>
      <c r="H1415" s="142">
        <v>1549.6654996131915</v>
      </c>
      <c r="I1415" s="142">
        <v>975.87703256856923</v>
      </c>
      <c r="J1415" s="142">
        <v>629.8737451482084</v>
      </c>
      <c r="K1415" s="142">
        <v>1006.5785678657854</v>
      </c>
      <c r="L1415" s="1119">
        <v>2612.3293455825628</v>
      </c>
      <c r="M1415" s="125">
        <v>0</v>
      </c>
      <c r="N1415" s="115">
        <v>14670</v>
      </c>
      <c r="O1415" s="1328">
        <v>3287.7650000000003</v>
      </c>
      <c r="P1415" s="125">
        <v>0</v>
      </c>
      <c r="Q1415" s="125">
        <v>0</v>
      </c>
      <c r="S1415" s="125">
        <v>-9804213.9000033811</v>
      </c>
      <c r="T1415" s="125">
        <v>0</v>
      </c>
      <c r="U1415" s="125">
        <v>4787820.49</v>
      </c>
      <c r="V1415" s="125">
        <v>3.0699999999999998E-6</v>
      </c>
      <c r="W1415" s="142">
        <v>0</v>
      </c>
      <c r="X1415" s="142">
        <v>5.5657871400000003</v>
      </c>
      <c r="Y1415" s="142">
        <v>67674544.911364496</v>
      </c>
      <c r="Z1415" s="142">
        <v>261.19386917401908</v>
      </c>
    </row>
    <row r="1416" spans="1:26" s="141" customFormat="1">
      <c r="A1416" s="121">
        <v>45046</v>
      </c>
      <c r="B1416" s="136">
        <v>170696890.174532</v>
      </c>
      <c r="C1416" s="136">
        <v>55254531.841983996</v>
      </c>
      <c r="D1416" s="136">
        <v>69129848.419235006</v>
      </c>
      <c r="E1416" s="136">
        <v>78596817.874829993</v>
      </c>
      <c r="F1416" s="137">
        <v>202981198.13604897</v>
      </c>
      <c r="G1416" s="142">
        <v>0</v>
      </c>
      <c r="H1416" s="136">
        <v>1548.9672713738923</v>
      </c>
      <c r="I1416" s="136">
        <v>974.99923585998647</v>
      </c>
      <c r="J1416" s="136">
        <v>630.92816440149966</v>
      </c>
      <c r="K1416" s="136">
        <v>1005.4746749677573</v>
      </c>
      <c r="L1416" s="165">
        <v>2611.4020752292436</v>
      </c>
      <c r="M1416" s="125">
        <v>0</v>
      </c>
      <c r="N1416" s="115">
        <v>14670</v>
      </c>
      <c r="O1416" s="1328">
        <v>3287.7650000000003</v>
      </c>
      <c r="P1416" s="125">
        <v>0</v>
      </c>
      <c r="Q1416" s="125">
        <v>0</v>
      </c>
      <c r="S1416" s="125">
        <v>-9804213.9000033811</v>
      </c>
      <c r="T1416" s="125">
        <v>0</v>
      </c>
      <c r="U1416" s="125">
        <v>4787820.49</v>
      </c>
      <c r="V1416" s="125">
        <v>3.0699999999999998E-6</v>
      </c>
      <c r="W1416" s="142">
        <v>0</v>
      </c>
      <c r="X1416" s="142">
        <v>5.5657871400000003</v>
      </c>
      <c r="Y1416" s="142">
        <v>67674544.911364496</v>
      </c>
      <c r="Z1416" s="142">
        <v>261.19386917401908</v>
      </c>
    </row>
    <row r="1417" spans="1:26" s="141" customFormat="1">
      <c r="A1417" s="121">
        <v>45048</v>
      </c>
      <c r="B1417" s="142">
        <v>169209921.18871903</v>
      </c>
      <c r="C1417" s="142">
        <v>58096820.916181594</v>
      </c>
      <c r="D1417" s="142">
        <v>68719838.094914958</v>
      </c>
      <c r="E1417" s="142">
        <v>77895049.653551906</v>
      </c>
      <c r="F1417" s="1118">
        <v>204711708.66464847</v>
      </c>
      <c r="G1417" s="142">
        <v>0</v>
      </c>
      <c r="H1417" s="142">
        <v>1561.6700404465364</v>
      </c>
      <c r="I1417" s="142">
        <v>1012.081394325488</v>
      </c>
      <c r="J1417" s="142">
        <v>634.63540953185748</v>
      </c>
      <c r="K1417" s="142">
        <v>900.41014253960191</v>
      </c>
      <c r="L1417" s="1119">
        <v>2547.1269463969475</v>
      </c>
      <c r="M1417" s="125">
        <v>0</v>
      </c>
      <c r="N1417" s="115">
        <v>14704.5</v>
      </c>
      <c r="O1417" s="1328">
        <v>3287.7650000000003</v>
      </c>
      <c r="P1417" s="125">
        <v>0</v>
      </c>
      <c r="Q1417" s="125">
        <v>0</v>
      </c>
      <c r="S1417" s="125">
        <v>-9804213.9000033811</v>
      </c>
      <c r="T1417" s="125">
        <v>0</v>
      </c>
      <c r="U1417" s="125">
        <v>4787820.49</v>
      </c>
      <c r="V1417" s="125">
        <v>2.7200000000000002E-6</v>
      </c>
      <c r="W1417" s="142">
        <v>0</v>
      </c>
      <c r="X1417" s="142">
        <v>5.5788764144601233</v>
      </c>
      <c r="Y1417" s="142">
        <v>67302764.613921285</v>
      </c>
      <c r="Z1417" s="142">
        <v>261.02730155284593</v>
      </c>
    </row>
    <row r="1418" spans="1:26" s="141" customFormat="1">
      <c r="A1418" s="121">
        <v>45049</v>
      </c>
      <c r="B1418" s="142">
        <v>168237196.62603566</v>
      </c>
      <c r="C1418" s="142">
        <v>58175220.039805301</v>
      </c>
      <c r="D1418" s="142">
        <v>68825764.401597083</v>
      </c>
      <c r="E1418" s="142">
        <v>78572348.693602681</v>
      </c>
      <c r="F1418" s="1118">
        <v>205573333.13500506</v>
      </c>
      <c r="G1418" s="142">
        <v>0</v>
      </c>
      <c r="H1418" s="142">
        <v>1577.2851157634057</v>
      </c>
      <c r="I1418" s="142">
        <v>1025.1989772094328</v>
      </c>
      <c r="J1418" s="142">
        <v>630.28895658416684</v>
      </c>
      <c r="K1418" s="142">
        <v>897.56197586764529</v>
      </c>
      <c r="L1418" s="1119">
        <v>2553.0499096612448</v>
      </c>
      <c r="M1418" s="125">
        <v>0</v>
      </c>
      <c r="N1418" s="115">
        <v>14685</v>
      </c>
      <c r="O1418" s="1328">
        <v>3298.145</v>
      </c>
      <c r="P1418" s="125">
        <v>0</v>
      </c>
      <c r="Q1418" s="125">
        <v>0</v>
      </c>
      <c r="S1418" s="125">
        <v>-7180569.5000033798</v>
      </c>
      <c r="T1418" s="125">
        <v>0</v>
      </c>
      <c r="U1418" s="125">
        <v>4323736.5999999996</v>
      </c>
      <c r="V1418" s="125">
        <v>2.92E-6</v>
      </c>
      <c r="W1418" s="142">
        <v>0</v>
      </c>
      <c r="X1418" s="142">
        <v>5.5584062124451696</v>
      </c>
      <c r="Y1418" s="142">
        <v>68233307.561897576</v>
      </c>
      <c r="Z1418" s="142">
        <v>260.56021217888872</v>
      </c>
    </row>
    <row r="1419" spans="1:26" s="141" customFormat="1">
      <c r="A1419" s="121">
        <v>45050</v>
      </c>
      <c r="B1419" s="142">
        <v>168028720.7768214</v>
      </c>
      <c r="C1419" s="142">
        <v>58863942.184918799</v>
      </c>
      <c r="D1419" s="142">
        <v>67268316.380999386</v>
      </c>
      <c r="E1419" s="142">
        <v>78606054.834620997</v>
      </c>
      <c r="F1419" s="1118">
        <v>204738313.40053916</v>
      </c>
      <c r="G1419" s="142">
        <v>0</v>
      </c>
      <c r="H1419" s="142">
        <v>1576.8351244779458</v>
      </c>
      <c r="I1419" s="142">
        <v>1022.6758289981155</v>
      </c>
      <c r="J1419" s="142">
        <v>638.21481422022498</v>
      </c>
      <c r="K1419" s="142">
        <v>901.57404860039071</v>
      </c>
      <c r="L1419" s="1119">
        <v>2562.4646918187314</v>
      </c>
      <c r="M1419" s="125">
        <v>0</v>
      </c>
      <c r="N1419" s="115">
        <v>14680</v>
      </c>
      <c r="O1419" s="1328">
        <v>3296.6549999999997</v>
      </c>
      <c r="P1419" s="125">
        <v>-850148.65</v>
      </c>
      <c r="Q1419" s="125">
        <v>0</v>
      </c>
      <c r="S1419" s="125">
        <v>-5085470.3000033805</v>
      </c>
      <c r="T1419" s="125">
        <v>0</v>
      </c>
      <c r="U1419" s="125">
        <v>4718537.09</v>
      </c>
      <c r="V1419" s="125">
        <v>2.9700000000000004E-6</v>
      </c>
      <c r="W1419" s="142">
        <v>0</v>
      </c>
      <c r="X1419" s="142">
        <v>5.5638920813891728</v>
      </c>
      <c r="Y1419" s="142">
        <v>67961220.148040593</v>
      </c>
      <c r="Z1419" s="142">
        <v>261.77717798645222</v>
      </c>
    </row>
    <row r="1420" spans="1:26" s="141" customFormat="1">
      <c r="A1420" s="121">
        <v>45051</v>
      </c>
      <c r="B1420" s="142">
        <v>168051966.08739194</v>
      </c>
      <c r="C1420" s="142">
        <v>58461762.270021677</v>
      </c>
      <c r="D1420" s="142">
        <v>67739733.618095145</v>
      </c>
      <c r="E1420" s="142">
        <v>78938788.410406575</v>
      </c>
      <c r="F1420" s="1118">
        <v>205140284.2985234</v>
      </c>
      <c r="G1420" s="142">
        <v>0</v>
      </c>
      <c r="H1420" s="142">
        <v>1563.6065014376566</v>
      </c>
      <c r="I1420" s="142">
        <v>1022.7818582098427</v>
      </c>
      <c r="J1420" s="142">
        <v>633.06244893847474</v>
      </c>
      <c r="K1420" s="142">
        <v>911.23582388249383</v>
      </c>
      <c r="L1420" s="1119">
        <v>2567.0801310308116</v>
      </c>
      <c r="M1420" s="125">
        <v>0</v>
      </c>
      <c r="N1420" s="115">
        <v>14675</v>
      </c>
      <c r="O1420" s="1328">
        <v>3306.67</v>
      </c>
      <c r="P1420" s="125">
        <v>-3185298.85</v>
      </c>
      <c r="Q1420" s="125">
        <v>0</v>
      </c>
      <c r="S1420" s="125">
        <v>-5085470.3000033805</v>
      </c>
      <c r="T1420" s="125">
        <v>0</v>
      </c>
      <c r="U1420" s="125">
        <v>6420446.8250000002</v>
      </c>
      <c r="V1420" s="125">
        <v>3.0199999999999999E-6</v>
      </c>
      <c r="W1420" s="142">
        <v>0</v>
      </c>
      <c r="X1420" s="142">
        <v>0.56559443320844682</v>
      </c>
      <c r="Y1420" s="142">
        <v>68638078.842436761</v>
      </c>
      <c r="Z1420" s="142">
        <v>258.05097665359267</v>
      </c>
    </row>
    <row r="1421" spans="1:26" s="141" customFormat="1">
      <c r="A1421" s="121">
        <v>45054</v>
      </c>
      <c r="B1421" s="142">
        <v>168124275.2696968</v>
      </c>
      <c r="C1421" s="142">
        <v>59472657.68004021</v>
      </c>
      <c r="D1421" s="142">
        <v>68049048.119284168</v>
      </c>
      <c r="E1421" s="142">
        <v>81040852.735894576</v>
      </c>
      <c r="F1421" s="1118">
        <v>208562558.53521895</v>
      </c>
      <c r="G1421" s="142">
        <v>0</v>
      </c>
      <c r="H1421" s="142">
        <v>1563.0011964832515</v>
      </c>
      <c r="I1421" s="142">
        <v>1004.397389686244</v>
      </c>
      <c r="J1421" s="142">
        <v>631.0986012287209</v>
      </c>
      <c r="K1421" s="142">
        <v>924.15357529609935</v>
      </c>
      <c r="L1421" s="1119">
        <v>2559.6495662110642</v>
      </c>
      <c r="M1421" s="125">
        <v>0</v>
      </c>
      <c r="N1421" s="115">
        <v>14700</v>
      </c>
      <c r="O1421" s="1328">
        <v>3311.9300000000003</v>
      </c>
      <c r="P1421" s="125">
        <v>-3185298.85</v>
      </c>
      <c r="Q1421" s="125">
        <v>0</v>
      </c>
      <c r="S1421" s="125">
        <v>-5085470.3000033805</v>
      </c>
      <c r="T1421" s="125">
        <v>0</v>
      </c>
      <c r="U1421" s="125">
        <v>7594900.7400000002</v>
      </c>
      <c r="V1421" s="125">
        <v>2.7700000000000002E-6</v>
      </c>
      <c r="W1421" s="142">
        <v>200000</v>
      </c>
      <c r="X1421" s="142">
        <v>5.5752688898126062</v>
      </c>
      <c r="Y1421" s="142">
        <v>68543381.135132715</v>
      </c>
      <c r="Z1421" s="142">
        <v>259.25754391611792</v>
      </c>
    </row>
    <row r="1422" spans="1:26" s="141" customFormat="1">
      <c r="A1422" s="121">
        <v>45055</v>
      </c>
      <c r="B1422" s="142">
        <v>167983829.03537315</v>
      </c>
      <c r="C1422" s="142">
        <v>58954950.258685127</v>
      </c>
      <c r="D1422" s="142">
        <v>68071797.005388841</v>
      </c>
      <c r="E1422" s="142">
        <v>81425214.164003193</v>
      </c>
      <c r="F1422" s="1118">
        <v>208451961.42807716</v>
      </c>
      <c r="G1422" s="142">
        <v>0</v>
      </c>
      <c r="H1422" s="142">
        <v>1580.5575939457956</v>
      </c>
      <c r="I1422" s="142">
        <v>983.33758023984251</v>
      </c>
      <c r="J1422" s="142">
        <v>628.94741190243019</v>
      </c>
      <c r="K1422" s="142">
        <v>925.26943940649426</v>
      </c>
      <c r="L1422" s="1119">
        <v>2537.5544315487668</v>
      </c>
      <c r="M1422" s="125">
        <v>0</v>
      </c>
      <c r="N1422" s="115">
        <v>14730</v>
      </c>
      <c r="O1422" s="1328">
        <v>3315.7</v>
      </c>
      <c r="P1422" s="125">
        <v>-3185298.85</v>
      </c>
      <c r="Q1422" s="125">
        <v>0</v>
      </c>
      <c r="S1422" s="125">
        <v>-5085470.3000033805</v>
      </c>
      <c r="T1422" s="125">
        <v>0</v>
      </c>
      <c r="U1422" s="125">
        <v>8376336.8899999997</v>
      </c>
      <c r="V1422" s="125">
        <v>2.4700000000000001E-6</v>
      </c>
      <c r="W1422" s="142">
        <v>500000</v>
      </c>
      <c r="X1422" s="142">
        <v>5.5771458892653065</v>
      </c>
      <c r="Y1422" s="142">
        <v>68646178.606226355</v>
      </c>
      <c r="Z1422" s="142">
        <v>267.16971698810403</v>
      </c>
    </row>
    <row r="1423" spans="1:26" s="141" customFormat="1">
      <c r="A1423" s="121">
        <v>45056</v>
      </c>
      <c r="B1423" s="142">
        <v>168058570.20889187</v>
      </c>
      <c r="C1423" s="142">
        <v>59679331.272282116</v>
      </c>
      <c r="D1423" s="142">
        <v>67054206.910247713</v>
      </c>
      <c r="E1423" s="142">
        <v>81525826.180524841</v>
      </c>
      <c r="F1423" s="1118">
        <v>208259364.36305469</v>
      </c>
      <c r="G1423" s="142">
        <v>0</v>
      </c>
      <c r="H1423" s="142">
        <v>1546.4495843094446</v>
      </c>
      <c r="I1423" s="142">
        <v>989.11813006681825</v>
      </c>
      <c r="J1423" s="142">
        <v>628.12534187160213</v>
      </c>
      <c r="K1423" s="142">
        <v>919.65230351885816</v>
      </c>
      <c r="L1423" s="1119">
        <v>2536.8957754572784</v>
      </c>
      <c r="M1423" s="125">
        <v>0</v>
      </c>
      <c r="N1423" s="115">
        <v>14725</v>
      </c>
      <c r="O1423" s="1328">
        <v>3304.9050000000002</v>
      </c>
      <c r="P1423" s="125">
        <v>-3708401.2659999998</v>
      </c>
      <c r="Q1423" s="125">
        <v>0</v>
      </c>
      <c r="S1423" s="125">
        <v>-1861029.00000338</v>
      </c>
      <c r="T1423" s="125">
        <v>0</v>
      </c>
      <c r="U1423" s="125">
        <v>8376336.8899999997</v>
      </c>
      <c r="V1423" s="125">
        <v>2.52E-6</v>
      </c>
      <c r="W1423" s="142">
        <v>0</v>
      </c>
      <c r="X1423" s="142">
        <v>5.5638978707739302</v>
      </c>
      <c r="Y1423" s="142">
        <v>68837681.695468798</v>
      </c>
      <c r="Z1423" s="142">
        <v>271.3347235095668</v>
      </c>
    </row>
    <row r="1424" spans="1:26" s="141" customFormat="1">
      <c r="A1424" s="121">
        <v>45057</v>
      </c>
      <c r="B1424" s="142">
        <v>167935451.55231133</v>
      </c>
      <c r="C1424" s="142">
        <v>56881545.302239388</v>
      </c>
      <c r="D1424" s="142">
        <v>68119938.80171895</v>
      </c>
      <c r="E1424" s="142">
        <v>81439757.954945862</v>
      </c>
      <c r="F1424" s="1118">
        <v>206441242.0589042</v>
      </c>
      <c r="G1424" s="142">
        <v>0</v>
      </c>
      <c r="H1424" s="142">
        <v>1550.1868092723275</v>
      </c>
      <c r="I1424" s="142">
        <v>988.61846840852763</v>
      </c>
      <c r="J1424" s="142">
        <v>631.69931576009719</v>
      </c>
      <c r="K1424" s="142">
        <v>921.03188066707753</v>
      </c>
      <c r="L1424" s="1119">
        <v>2541.3496648357022</v>
      </c>
      <c r="M1424" s="125">
        <v>0</v>
      </c>
      <c r="N1424" s="115">
        <v>14723.5</v>
      </c>
      <c r="O1424" s="1328">
        <v>3299.3850000000002</v>
      </c>
      <c r="P1424" s="125">
        <v>-2858252.6159999999</v>
      </c>
      <c r="Q1424" s="125">
        <v>0</v>
      </c>
      <c r="S1424" s="125">
        <v>-4479271.0000033798</v>
      </c>
      <c r="T1424" s="125">
        <v>0</v>
      </c>
      <c r="U1424" s="125">
        <v>7700991.9400000004</v>
      </c>
      <c r="V1424" s="125">
        <v>2.5400000000000002E-6</v>
      </c>
      <c r="W1424" s="142">
        <v>250000</v>
      </c>
      <c r="X1424" s="142">
        <v>5.5652201667769097</v>
      </c>
      <c r="Y1424" s="142">
        <v>69900920.104488045</v>
      </c>
      <c r="Z1424" s="142">
        <v>272.72986803217185</v>
      </c>
    </row>
    <row r="1425" spans="1:26" s="141" customFormat="1">
      <c r="A1425" s="121">
        <v>45058</v>
      </c>
      <c r="B1425" s="142">
        <v>168273421.55701032</v>
      </c>
      <c r="C1425" s="142">
        <v>57778093.246949501</v>
      </c>
      <c r="D1425" s="142">
        <v>68108658.516053766</v>
      </c>
      <c r="E1425" s="142">
        <v>81451249.814638942</v>
      </c>
      <c r="F1425" s="1118">
        <v>207338001.5776422</v>
      </c>
      <c r="G1425" s="142">
        <v>0</v>
      </c>
      <c r="H1425" s="142">
        <v>1544.7332133370567</v>
      </c>
      <c r="I1425" s="142">
        <v>1024.6888218910274</v>
      </c>
      <c r="J1425" s="142">
        <v>628.90651004161305</v>
      </c>
      <c r="K1425" s="142">
        <v>927.23399198590482</v>
      </c>
      <c r="L1425" s="1119">
        <v>2580.829323918545</v>
      </c>
      <c r="M1425" s="125">
        <v>0</v>
      </c>
      <c r="N1425" s="115">
        <v>14750</v>
      </c>
      <c r="O1425" s="1328">
        <v>3296.83</v>
      </c>
      <c r="P1425" s="125">
        <v>-523102.41600000003</v>
      </c>
      <c r="Q1425" s="125">
        <v>0</v>
      </c>
      <c r="S1425" s="125">
        <v>-4479271.0000033798</v>
      </c>
      <c r="T1425" s="125">
        <v>0</v>
      </c>
      <c r="U1425" s="125">
        <v>8733864.6199999992</v>
      </c>
      <c r="V1425" s="125">
        <v>2.2699999999999999E-6</v>
      </c>
      <c r="W1425" s="142">
        <v>0</v>
      </c>
      <c r="X1425" s="142">
        <v>5.5758046874044895</v>
      </c>
      <c r="Y1425" s="142">
        <v>69967668.932655513</v>
      </c>
      <c r="Z1425" s="142">
        <v>273.48415145447552</v>
      </c>
    </row>
    <row r="1426" spans="1:26" s="141" customFormat="1">
      <c r="A1426" s="121">
        <v>45061</v>
      </c>
      <c r="B1426" s="142">
        <v>169151914.88407698</v>
      </c>
      <c r="C1426" s="142">
        <v>58757794.324044511</v>
      </c>
      <c r="D1426" s="142">
        <v>67983090.093388259</v>
      </c>
      <c r="E1426" s="142">
        <v>82547601.313603282</v>
      </c>
      <c r="F1426" s="1118">
        <v>209288485.73103607</v>
      </c>
      <c r="G1426" s="142">
        <v>0</v>
      </c>
      <c r="H1426" s="142">
        <v>1561.1351683541586</v>
      </c>
      <c r="I1426" s="142">
        <v>1009.0749758978951</v>
      </c>
      <c r="J1426" s="142">
        <v>630.83146202503735</v>
      </c>
      <c r="K1426" s="142">
        <v>921.75475222891873</v>
      </c>
      <c r="L1426" s="1119">
        <v>2561.6611901518513</v>
      </c>
      <c r="M1426" s="125">
        <v>0</v>
      </c>
      <c r="N1426" s="115">
        <v>14800</v>
      </c>
      <c r="O1426" s="1328">
        <v>3291.085</v>
      </c>
      <c r="P1426" s="125">
        <v>-523102.41600000003</v>
      </c>
      <c r="Q1426" s="125">
        <v>0</v>
      </c>
      <c r="S1426" s="125">
        <v>-4479271.0000033798</v>
      </c>
      <c r="T1426" s="125">
        <v>0</v>
      </c>
      <c r="U1426" s="125">
        <v>9824464.5690000001</v>
      </c>
      <c r="V1426" s="125">
        <v>1.77E-6</v>
      </c>
      <c r="W1426" s="142">
        <v>0</v>
      </c>
      <c r="X1426" s="142">
        <v>0.56770506250847452</v>
      </c>
      <c r="Y1426" s="142">
        <v>66736893.498575114</v>
      </c>
      <c r="Z1426" s="142">
        <v>280.98195575386097</v>
      </c>
    </row>
    <row r="1427" spans="1:26" s="141" customFormat="1">
      <c r="A1427" s="121">
        <v>45062</v>
      </c>
      <c r="B1427" s="142">
        <v>169261199.18517154</v>
      </c>
      <c r="C1427" s="142">
        <v>59049846.541485295</v>
      </c>
      <c r="D1427" s="142">
        <v>67948496.826615244</v>
      </c>
      <c r="E1427" s="142">
        <v>82748895.25441432</v>
      </c>
      <c r="F1427" s="1118">
        <v>209747238.62251484</v>
      </c>
      <c r="G1427" s="142">
        <v>0</v>
      </c>
      <c r="H1427" s="142">
        <v>1591.5875611830704</v>
      </c>
      <c r="I1427" s="142">
        <v>1011.6329929364884</v>
      </c>
      <c r="J1427" s="142">
        <v>626.57598430734458</v>
      </c>
      <c r="K1427" s="142">
        <v>911.843832432564</v>
      </c>
      <c r="L1427" s="1119">
        <v>2550.0528096763969</v>
      </c>
      <c r="M1427" s="125">
        <v>0</v>
      </c>
      <c r="N1427" s="115">
        <v>14820</v>
      </c>
      <c r="O1427" s="1328">
        <v>3292.605</v>
      </c>
      <c r="P1427" s="125">
        <v>-2408310.8760000002</v>
      </c>
      <c r="Q1427" s="125">
        <v>0</v>
      </c>
      <c r="S1427" s="125">
        <v>-4479271.0000033798</v>
      </c>
      <c r="T1427" s="125">
        <v>0</v>
      </c>
      <c r="U1427" s="125">
        <v>9721414.9690000005</v>
      </c>
      <c r="V1427" s="125">
        <v>1.57E-6</v>
      </c>
      <c r="W1427" s="142">
        <v>150000</v>
      </c>
      <c r="X1427" s="142">
        <v>0.56655171721621622</v>
      </c>
      <c r="Y1427" s="142">
        <v>65278403.406135842</v>
      </c>
      <c r="Z1427" s="142">
        <v>280.93290875908309</v>
      </c>
    </row>
    <row r="1428" spans="1:26" s="141" customFormat="1">
      <c r="A1428" s="121">
        <v>45063</v>
      </c>
      <c r="B1428" s="142">
        <v>169019456.92246458</v>
      </c>
      <c r="C1428" s="142">
        <v>58693660.660055861</v>
      </c>
      <c r="D1428" s="142">
        <v>67980694.047008008</v>
      </c>
      <c r="E1428" s="142">
        <v>82423863.520342797</v>
      </c>
      <c r="F1428" s="1118">
        <v>209098218.22740668</v>
      </c>
      <c r="G1428" s="142">
        <v>0</v>
      </c>
      <c r="H1428" s="142">
        <v>1579.9044128981993</v>
      </c>
      <c r="I1428" s="142">
        <v>1096.4879773115329</v>
      </c>
      <c r="J1428" s="142">
        <v>628.71146095899132</v>
      </c>
      <c r="K1428" s="142">
        <v>913.25297620271363</v>
      </c>
      <c r="L1428" s="1119">
        <v>2638.4524144732377</v>
      </c>
      <c r="M1428" s="125">
        <v>0</v>
      </c>
      <c r="N1428" s="115">
        <v>14865</v>
      </c>
      <c r="O1428" s="1328">
        <v>3285.45</v>
      </c>
      <c r="P1428" s="125">
        <v>-2411397.06</v>
      </c>
      <c r="Q1428" s="125">
        <v>0</v>
      </c>
      <c r="S1428" s="125">
        <v>-3917499.5000033798</v>
      </c>
      <c r="T1428" s="125">
        <v>0</v>
      </c>
      <c r="U1428" s="125">
        <v>10187881.419</v>
      </c>
      <c r="V1428" s="125">
        <v>1.1200000000000001E-6</v>
      </c>
      <c r="W1428" s="142">
        <v>0</v>
      </c>
      <c r="X1428" s="142">
        <v>0.56750511714574903</v>
      </c>
      <c r="Y1428" s="142">
        <v>65998023.404859833</v>
      </c>
      <c r="Z1428" s="142">
        <v>281.63971228030636</v>
      </c>
    </row>
    <row r="1429" spans="1:26" s="141" customFormat="1">
      <c r="A1429" s="121">
        <v>45065</v>
      </c>
      <c r="B1429" s="142">
        <v>168811099.97104427</v>
      </c>
      <c r="C1429" s="142">
        <v>56157620.841006592</v>
      </c>
      <c r="D1429" s="142">
        <v>68078356.986173958</v>
      </c>
      <c r="E1429" s="142">
        <v>81596477.168537647</v>
      </c>
      <c r="F1429" s="1118">
        <v>205832454.99571818</v>
      </c>
      <c r="G1429" s="142">
        <v>0</v>
      </c>
      <c r="H1429" s="142">
        <v>1575.0701436077259</v>
      </c>
      <c r="I1429" s="142">
        <v>1064.4980347472049</v>
      </c>
      <c r="J1429" s="142">
        <v>630.93912095789904</v>
      </c>
      <c r="K1429" s="142">
        <v>904.12432809302118</v>
      </c>
      <c r="L1429" s="1119">
        <v>2599.5614837981252</v>
      </c>
      <c r="M1429" s="125">
        <v>0</v>
      </c>
      <c r="N1429" s="115">
        <v>14925</v>
      </c>
      <c r="O1429" s="1328">
        <v>3282.3850000000002</v>
      </c>
      <c r="P1429" s="125">
        <v>-3484672.75</v>
      </c>
      <c r="Q1429" s="125">
        <v>0</v>
      </c>
      <c r="S1429" s="125">
        <v>-1869829.50000338</v>
      </c>
      <c r="T1429" s="125">
        <v>0</v>
      </c>
      <c r="U1429" s="125">
        <v>9261878.4189999998</v>
      </c>
      <c r="V1429" s="125">
        <v>5.2E-7</v>
      </c>
      <c r="W1429" s="142">
        <v>0</v>
      </c>
      <c r="X1429" s="142">
        <v>0.56807084187689205</v>
      </c>
      <c r="Y1429" s="142">
        <v>66358984.916468322</v>
      </c>
      <c r="Z1429" s="142">
        <v>281.38531315929976</v>
      </c>
    </row>
    <row r="1430" spans="1:26" s="141" customFormat="1">
      <c r="A1430" s="121">
        <v>45068</v>
      </c>
      <c r="B1430" s="142">
        <v>169104014.95588154</v>
      </c>
      <c r="C1430" s="142">
        <v>58639072.226946175</v>
      </c>
      <c r="D1430" s="142">
        <v>67865972.574849799</v>
      </c>
      <c r="E1430" s="142">
        <v>81288202.241644397</v>
      </c>
      <c r="F1430" s="1118">
        <v>207793247.04344037</v>
      </c>
      <c r="G1430" s="142">
        <v>0</v>
      </c>
      <c r="H1430" s="142">
        <v>1562.4940136509415</v>
      </c>
      <c r="I1430" s="142">
        <v>1027.391979901679</v>
      </c>
      <c r="J1430" s="142">
        <v>628.7865003544523</v>
      </c>
      <c r="K1430" s="142">
        <v>883.26596365821445</v>
      </c>
      <c r="L1430" s="1119">
        <v>2539.4444439143458</v>
      </c>
      <c r="M1430" s="125">
        <v>0</v>
      </c>
      <c r="N1430" s="115">
        <v>14890</v>
      </c>
      <c r="O1430" s="1328">
        <v>3272.17</v>
      </c>
      <c r="P1430" s="125">
        <v>-5342643.97</v>
      </c>
      <c r="Q1430" s="125">
        <v>0</v>
      </c>
      <c r="S1430" s="125">
        <v>-1869829.50000338</v>
      </c>
      <c r="T1430" s="125">
        <v>0</v>
      </c>
      <c r="U1430" s="125">
        <v>8688761.2225000001</v>
      </c>
      <c r="V1430" s="125">
        <v>8.7000000000000003E-7</v>
      </c>
      <c r="W1430" s="142">
        <v>0</v>
      </c>
      <c r="X1430" s="142">
        <v>0.56446033598659962</v>
      </c>
      <c r="Y1430" s="142">
        <v>66023735.838679984</v>
      </c>
      <c r="Z1430" s="142">
        <v>273.98502359330519</v>
      </c>
    </row>
    <row r="1431" spans="1:26" s="141" customFormat="1">
      <c r="A1431" s="121">
        <v>45069</v>
      </c>
      <c r="B1431" s="142">
        <v>168997573.22795144</v>
      </c>
      <c r="C1431" s="142">
        <v>59439452.636254981</v>
      </c>
      <c r="D1431" s="142">
        <v>67772877.809964448</v>
      </c>
      <c r="E1431" s="142">
        <v>81223791.954273671</v>
      </c>
      <c r="F1431" s="1118">
        <v>208436122.40049309</v>
      </c>
      <c r="G1431" s="142">
        <v>0</v>
      </c>
      <c r="H1431" s="142">
        <v>1570.412551729434</v>
      </c>
      <c r="I1431" s="142">
        <v>1061.1819145975994</v>
      </c>
      <c r="J1431" s="142">
        <v>627.60439147446948</v>
      </c>
      <c r="K1431" s="142">
        <v>857.91018278163881</v>
      </c>
      <c r="L1431" s="1119">
        <v>2546.6964888537077</v>
      </c>
      <c r="M1431" s="125">
        <v>0</v>
      </c>
      <c r="N1431" s="115">
        <v>14880</v>
      </c>
      <c r="O1431" s="1328">
        <v>3258.5150000000003</v>
      </c>
      <c r="P1431" s="125">
        <v>-5327693.91</v>
      </c>
      <c r="Q1431" s="125">
        <v>0</v>
      </c>
      <c r="S1431" s="125">
        <v>-1869829.50000338</v>
      </c>
      <c r="T1431" s="125">
        <v>0</v>
      </c>
      <c r="U1431" s="125">
        <v>8682135.9224999994</v>
      </c>
      <c r="V1431" s="125">
        <v>9.7000000000000003E-7</v>
      </c>
      <c r="W1431" s="142">
        <v>0</v>
      </c>
      <c r="X1431" s="142">
        <v>0.56540716206850228</v>
      </c>
      <c r="Y1431" s="142">
        <v>65765218.903162658</v>
      </c>
      <c r="Z1431" s="142">
        <v>273.34294804039894</v>
      </c>
    </row>
    <row r="1432" spans="1:26" s="141" customFormat="1">
      <c r="A1432" s="121">
        <v>45070</v>
      </c>
      <c r="B1432" s="142">
        <v>168791314.78381175</v>
      </c>
      <c r="C1432" s="142">
        <v>58464103.297158226</v>
      </c>
      <c r="D1432" s="142">
        <v>67866532.036124855</v>
      </c>
      <c r="E1432" s="142">
        <v>82131968.928012699</v>
      </c>
      <c r="F1432" s="1118">
        <v>208462604.2612958</v>
      </c>
      <c r="G1432" s="142">
        <v>0</v>
      </c>
      <c r="H1432" s="142">
        <v>1581.454587551443</v>
      </c>
      <c r="I1432" s="142">
        <v>1070.3127656967531</v>
      </c>
      <c r="J1432" s="142">
        <v>628.46342789203618</v>
      </c>
      <c r="K1432" s="142">
        <v>858.70486540888226</v>
      </c>
      <c r="L1432" s="1119">
        <v>2557.4810589976714</v>
      </c>
      <c r="M1432" s="125">
        <v>0</v>
      </c>
      <c r="N1432" s="115">
        <v>14900</v>
      </c>
      <c r="O1432" s="1328">
        <v>3246.8950000000004</v>
      </c>
      <c r="P1432" s="125">
        <v>-4801505.3099999996</v>
      </c>
      <c r="Q1432" s="125">
        <v>0</v>
      </c>
      <c r="S1432" s="125">
        <v>-1869890.00000338</v>
      </c>
      <c r="T1432" s="125">
        <v>0</v>
      </c>
      <c r="U1432" s="125">
        <v>9914202.1925000008</v>
      </c>
      <c r="V1432" s="125">
        <v>7.7000000000000004E-7</v>
      </c>
      <c r="W1432" s="142">
        <v>0</v>
      </c>
      <c r="X1432" s="142">
        <v>15.586708896908602</v>
      </c>
      <c r="Y1432" s="142">
        <v>65559441.300484456</v>
      </c>
      <c r="Z1432" s="142">
        <v>272.20314775598456</v>
      </c>
    </row>
    <row r="1433" spans="1:26" s="141" customFormat="1">
      <c r="A1433" s="121">
        <v>45071</v>
      </c>
      <c r="B1433" s="142">
        <v>169172919.64328042</v>
      </c>
      <c r="C1433" s="142">
        <v>60003112.854136065</v>
      </c>
      <c r="D1433" s="142">
        <v>68520078.688211545</v>
      </c>
      <c r="E1433" s="142">
        <v>82020064.592330068</v>
      </c>
      <c r="F1433" s="1118">
        <v>210543256.13467768</v>
      </c>
      <c r="G1433" s="142">
        <v>0</v>
      </c>
      <c r="H1433" s="142">
        <v>1585.2183079044405</v>
      </c>
      <c r="I1433" s="142">
        <v>1013.6363376460878</v>
      </c>
      <c r="J1433" s="142">
        <v>629.1348137251523</v>
      </c>
      <c r="K1433" s="142">
        <v>851.73786839380864</v>
      </c>
      <c r="L1433" s="1119">
        <v>2494.5090197650488</v>
      </c>
      <c r="M1433" s="125">
        <v>0</v>
      </c>
      <c r="N1433" s="115">
        <v>14950</v>
      </c>
      <c r="O1433" s="1328">
        <v>3232.085</v>
      </c>
      <c r="P1433" s="125">
        <v>-4801505.3099999996</v>
      </c>
      <c r="Q1433" s="125">
        <v>0</v>
      </c>
      <c r="S1433" s="125">
        <v>-1869890.00000338</v>
      </c>
      <c r="T1433" s="125">
        <v>0</v>
      </c>
      <c r="U1433" s="125">
        <v>10389973.8925</v>
      </c>
      <c r="V1433" s="125">
        <v>2.7000000000000001E-7</v>
      </c>
      <c r="W1433" s="142">
        <v>0</v>
      </c>
      <c r="X1433" s="142">
        <v>12.607954210939598</v>
      </c>
      <c r="Y1433" s="142">
        <v>65535424.023954846</v>
      </c>
      <c r="Z1433" s="142">
        <v>275.85344106195038</v>
      </c>
    </row>
    <row r="1434" spans="1:26" s="141" customFormat="1">
      <c r="A1434" s="121">
        <v>45072</v>
      </c>
      <c r="B1434" s="142">
        <v>168706116.65250894</v>
      </c>
      <c r="C1434" s="142">
        <v>55899062.531082027</v>
      </c>
      <c r="D1434" s="142">
        <v>69091356.045627922</v>
      </c>
      <c r="E1434" s="142">
        <v>82178460.25275147</v>
      </c>
      <c r="F1434" s="1118">
        <v>207168878.82946143</v>
      </c>
      <c r="G1434" s="142">
        <v>0</v>
      </c>
      <c r="H1434" s="142">
        <v>1587.9349099026997</v>
      </c>
      <c r="I1434" s="142">
        <v>1028.9680205246032</v>
      </c>
      <c r="J1434" s="142">
        <v>625.86382598141051</v>
      </c>
      <c r="K1434" s="142">
        <v>856.4107932460164</v>
      </c>
      <c r="L1434" s="1119">
        <v>2511.2426397520303</v>
      </c>
      <c r="M1434" s="125">
        <v>0</v>
      </c>
      <c r="N1434" s="115">
        <v>14955</v>
      </c>
      <c r="O1434" s="1328">
        <v>3243.16</v>
      </c>
      <c r="P1434" s="125">
        <v>-4959354.2949999999</v>
      </c>
      <c r="Q1434" s="125">
        <v>0</v>
      </c>
      <c r="S1434" s="125">
        <v>-1682587.00000338</v>
      </c>
      <c r="T1434" s="125">
        <v>0</v>
      </c>
      <c r="U1434" s="125">
        <v>9919853.0225000009</v>
      </c>
      <c r="V1434" s="125">
        <v>2.2000000000000001E-7</v>
      </c>
      <c r="W1434" s="142">
        <v>0</v>
      </c>
      <c r="X1434" s="142">
        <v>5.567648607270903</v>
      </c>
      <c r="Y1434" s="142">
        <v>64802486.237317771</v>
      </c>
      <c r="Z1434" s="142">
        <v>275.34257069061664</v>
      </c>
    </row>
    <row r="1435" spans="1:26" s="141" customFormat="1">
      <c r="A1435" s="121">
        <v>45075</v>
      </c>
      <c r="B1435" s="142">
        <v>169142701.59659666</v>
      </c>
      <c r="C1435" s="142">
        <v>57692643.07347589</v>
      </c>
      <c r="D1435" s="142">
        <v>69092640.920340151</v>
      </c>
      <c r="E1435" s="142">
        <v>82096395.321276158</v>
      </c>
      <c r="F1435" s="1118">
        <v>208881679.31509221</v>
      </c>
      <c r="G1435" s="142">
        <v>0</v>
      </c>
      <c r="H1435" s="142">
        <v>1585.788968658668</v>
      </c>
      <c r="I1435" s="142">
        <v>952.55174906056584</v>
      </c>
      <c r="J1435" s="142">
        <v>625.39127330723579</v>
      </c>
      <c r="K1435" s="142">
        <v>782.96174548699742</v>
      </c>
      <c r="L1435" s="1119">
        <v>2360.904767854799</v>
      </c>
      <c r="M1435" s="125">
        <v>0</v>
      </c>
      <c r="N1435" s="115">
        <v>14970</v>
      </c>
      <c r="O1435" s="1328">
        <v>3247.9949999999999</v>
      </c>
      <c r="P1435" s="125">
        <v>-4270600.6500000004</v>
      </c>
      <c r="Q1435" s="125">
        <v>0</v>
      </c>
      <c r="S1435" s="125">
        <v>-1682587.00000338</v>
      </c>
      <c r="T1435" s="125">
        <v>0</v>
      </c>
      <c r="U1435" s="125">
        <v>9444774.8289999999</v>
      </c>
      <c r="V1435" s="125">
        <v>7.0000000000000005E-8</v>
      </c>
      <c r="W1435" s="142">
        <v>0</v>
      </c>
      <c r="X1435" s="142">
        <v>5.5657871400000003</v>
      </c>
      <c r="Y1435" s="142">
        <v>65121686.716740899</v>
      </c>
      <c r="Z1435" s="142">
        <v>274.82474416745691</v>
      </c>
    </row>
    <row r="1436" spans="1:26" s="141" customFormat="1">
      <c r="A1436" s="121">
        <v>45076</v>
      </c>
      <c r="B1436" s="142">
        <v>169355681.71064791</v>
      </c>
      <c r="C1436" s="142">
        <v>57554816.593919657</v>
      </c>
      <c r="D1436" s="142">
        <v>68995077.492488697</v>
      </c>
      <c r="E1436" s="142">
        <v>81682280.856842488</v>
      </c>
      <c r="F1436" s="1118">
        <v>208232174.94325083</v>
      </c>
      <c r="G1436" s="142">
        <v>0</v>
      </c>
      <c r="H1436" s="142">
        <v>1605.7932692855654</v>
      </c>
      <c r="I1436" s="142">
        <v>964.00152295735347</v>
      </c>
      <c r="J1436" s="142">
        <v>623.18871204318157</v>
      </c>
      <c r="K1436" s="142">
        <v>739.36429654926917</v>
      </c>
      <c r="L1436" s="1119">
        <v>2326.5545315498043</v>
      </c>
      <c r="M1436" s="125">
        <v>0</v>
      </c>
      <c r="N1436" s="115">
        <v>14985</v>
      </c>
      <c r="O1436" s="1328">
        <v>3247.7250000000004</v>
      </c>
      <c r="P1436" s="125">
        <v>-4713983.3779999996</v>
      </c>
      <c r="Q1436" s="125">
        <v>0</v>
      </c>
      <c r="S1436" s="125">
        <v>-1682587.00000338</v>
      </c>
      <c r="T1436" s="125">
        <v>0</v>
      </c>
      <c r="U1436" s="125">
        <v>9160332.4189999998</v>
      </c>
      <c r="V1436" s="125">
        <v>-8.0000000000000002E-8</v>
      </c>
      <c r="W1436" s="142">
        <v>0</v>
      </c>
      <c r="X1436" s="142">
        <v>10.565787139999999</v>
      </c>
      <c r="Y1436" s="142">
        <v>65142697.482591443</v>
      </c>
      <c r="Z1436" s="142">
        <v>276.5596725283711</v>
      </c>
    </row>
    <row r="1437" spans="1:26" s="141" customFormat="1">
      <c r="A1437" s="121">
        <v>45077</v>
      </c>
      <c r="B1437" s="136">
        <v>171902365.530164</v>
      </c>
      <c r="C1437" s="136">
        <v>54773281.294197001</v>
      </c>
      <c r="D1437" s="136">
        <v>69586742.758315995</v>
      </c>
      <c r="E1437" s="136">
        <v>81948490.365195006</v>
      </c>
      <c r="F1437" s="137">
        <v>206308514.41770801</v>
      </c>
      <c r="G1437" s="142">
        <v>0</v>
      </c>
      <c r="H1437" s="136">
        <v>1593.5808182889925</v>
      </c>
      <c r="I1437" s="136">
        <v>965.43374671294202</v>
      </c>
      <c r="J1437" s="136">
        <v>620.69430028519014</v>
      </c>
      <c r="K1437" s="136">
        <v>797.70314796057369</v>
      </c>
      <c r="L1437" s="165">
        <v>2383.831194958706</v>
      </c>
      <c r="M1437" s="125">
        <v>0</v>
      </c>
      <c r="N1437" s="115">
        <v>14990</v>
      </c>
      <c r="O1437" s="1328">
        <v>3242.1350000000002</v>
      </c>
      <c r="P1437" s="125">
        <v>-4713983.3779999996</v>
      </c>
      <c r="Q1437" s="125">
        <v>0</v>
      </c>
      <c r="S1437" s="125">
        <v>-1683732.50000338</v>
      </c>
      <c r="T1437" s="125">
        <v>0</v>
      </c>
      <c r="U1437" s="125">
        <v>8722664.4440000001</v>
      </c>
      <c r="V1437" s="125">
        <v>-1.3E-7</v>
      </c>
      <c r="W1437" s="142">
        <v>0</v>
      </c>
      <c r="X1437" s="142">
        <v>30.565787140000001</v>
      </c>
      <c r="Y1437" s="142">
        <v>65557463.07028883</v>
      </c>
      <c r="Z1437" s="142">
        <v>276.79418336238285</v>
      </c>
    </row>
    <row r="1438" spans="1:26" s="141" customFormat="1">
      <c r="A1438" s="121">
        <v>45082</v>
      </c>
      <c r="B1438" s="142">
        <v>170175896.15277818</v>
      </c>
      <c r="C1438" s="142">
        <v>57912200.799912669</v>
      </c>
      <c r="D1438" s="142">
        <v>69035283.629857689</v>
      </c>
      <c r="E1438" s="142">
        <v>80074656.75865528</v>
      </c>
      <c r="F1438" s="1118">
        <v>207022141.18842563</v>
      </c>
      <c r="G1438" s="142">
        <v>0</v>
      </c>
      <c r="H1438" s="142">
        <v>1588.3927610959422</v>
      </c>
      <c r="I1438" s="142">
        <v>1153.7054319788681</v>
      </c>
      <c r="J1438" s="142">
        <v>624.52966919495691</v>
      </c>
      <c r="K1438" s="142">
        <v>982.80672279294618</v>
      </c>
      <c r="L1438" s="1119">
        <v>2761.0418239667715</v>
      </c>
      <c r="M1438" s="125">
        <v>0</v>
      </c>
      <c r="N1438" s="115">
        <v>14890</v>
      </c>
      <c r="O1438" s="1328">
        <v>3252.87</v>
      </c>
      <c r="P1438" s="125">
        <v>-2313641.128</v>
      </c>
      <c r="Q1438" s="125">
        <v>0</v>
      </c>
      <c r="S1438" s="125">
        <v>-1684765.50000338</v>
      </c>
      <c r="T1438" s="125">
        <v>0</v>
      </c>
      <c r="U1438" s="125">
        <v>7295636.2640000004</v>
      </c>
      <c r="V1438" s="125">
        <v>8.7000000000000003E-7</v>
      </c>
      <c r="W1438" s="142">
        <v>0</v>
      </c>
      <c r="X1438" s="142">
        <v>10.565787139999999</v>
      </c>
      <c r="Y1438" s="142">
        <v>66015739.8894822</v>
      </c>
      <c r="Z1438" s="142">
        <v>279.4126493134533</v>
      </c>
    </row>
    <row r="1439" spans="1:26" s="141" customFormat="1">
      <c r="A1439" s="121">
        <v>45083</v>
      </c>
      <c r="B1439" s="125">
        <v>170364680.55404645</v>
      </c>
      <c r="C1439" s="125">
        <v>58635060.140633523</v>
      </c>
      <c r="D1439" s="125">
        <v>69784589.355705723</v>
      </c>
      <c r="E1439" s="125">
        <v>79993500.241462946</v>
      </c>
      <c r="F1439" s="123">
        <v>208413149.73780221</v>
      </c>
      <c r="G1439" s="125">
        <v>0</v>
      </c>
      <c r="H1439" s="125">
        <v>1578.7263932058108</v>
      </c>
      <c r="I1439" s="125">
        <v>1025.3519838876366</v>
      </c>
      <c r="J1439" s="125">
        <v>624.56277723589471</v>
      </c>
      <c r="K1439" s="125">
        <v>1099.2060083535728</v>
      </c>
      <c r="L1439" s="164">
        <v>2749.1207694771037</v>
      </c>
      <c r="M1439" s="125">
        <v>0</v>
      </c>
      <c r="N1439" s="115">
        <v>14860</v>
      </c>
      <c r="O1439" s="1328">
        <v>3229.38</v>
      </c>
      <c r="P1439" s="125">
        <v>-2294998.4360000002</v>
      </c>
      <c r="Q1439" s="125">
        <v>0</v>
      </c>
      <c r="R1439" s="114"/>
      <c r="S1439" s="125">
        <v>-1684765.50000338</v>
      </c>
      <c r="T1439" s="125">
        <v>0</v>
      </c>
      <c r="U1439" s="125">
        <v>6347872.3039999995</v>
      </c>
      <c r="V1439" s="125">
        <v>1.17E-6</v>
      </c>
      <c r="W1439" s="142">
        <v>0</v>
      </c>
      <c r="X1439" s="142">
        <v>10.565787140000001</v>
      </c>
      <c r="Y1439" s="142">
        <v>65705345.629145019</v>
      </c>
      <c r="Z1439" s="142">
        <v>277.81635528139969</v>
      </c>
    </row>
    <row r="1440" spans="1:26" s="141" customFormat="1">
      <c r="A1440" s="121">
        <v>45084</v>
      </c>
      <c r="B1440" s="125">
        <v>170684119.21597156</v>
      </c>
      <c r="C1440" s="125">
        <v>59969859.274919741</v>
      </c>
      <c r="D1440" s="125">
        <v>69674856.899032414</v>
      </c>
      <c r="E1440" s="125">
        <v>79718413.132850289</v>
      </c>
      <c r="F1440" s="123">
        <v>209363129.30680245</v>
      </c>
      <c r="G1440" s="125">
        <v>0</v>
      </c>
      <c r="H1440" s="125">
        <v>1549.9858618489363</v>
      </c>
      <c r="I1440" s="125">
        <v>1037.7565848173508</v>
      </c>
      <c r="J1440" s="125">
        <v>625.60017451469469</v>
      </c>
      <c r="K1440" s="125">
        <v>737.60505692282459</v>
      </c>
      <c r="L1440" s="164">
        <v>2400.96181625487</v>
      </c>
      <c r="M1440" s="125">
        <v>0</v>
      </c>
      <c r="N1440" s="115">
        <v>14877.5</v>
      </c>
      <c r="O1440" s="1328">
        <v>3232.4800000000005</v>
      </c>
      <c r="P1440" s="125">
        <v>-4790989.6960000005</v>
      </c>
      <c r="Q1440" s="125">
        <v>0</v>
      </c>
      <c r="R1440" s="114"/>
      <c r="S1440" s="125">
        <v>-1687468.00000338</v>
      </c>
      <c r="T1440" s="125">
        <v>0</v>
      </c>
      <c r="U1440" s="125">
        <v>6824864.2039999999</v>
      </c>
      <c r="V1440" s="125">
        <v>9.9000000000000005E-7</v>
      </c>
      <c r="W1440" s="142">
        <v>100000</v>
      </c>
      <c r="X1440" s="142">
        <v>0.56578713999999997</v>
      </c>
      <c r="Y1440" s="142">
        <v>65951154.142239131</v>
      </c>
      <c r="Z1440" s="142">
        <v>277.01743727870206</v>
      </c>
    </row>
    <row r="1441" spans="1:26" s="141" customFormat="1">
      <c r="A1441" s="121">
        <v>45085</v>
      </c>
      <c r="B1441" s="125">
        <v>170926682.19314185</v>
      </c>
      <c r="C1441" s="125">
        <v>60600229.028210483</v>
      </c>
      <c r="D1441" s="125">
        <v>69110087.805052966</v>
      </c>
      <c r="E1441" s="125">
        <v>78721204.958475769</v>
      </c>
      <c r="F1441" s="123">
        <v>208431521.79173923</v>
      </c>
      <c r="G1441" s="125">
        <v>0</v>
      </c>
      <c r="H1441" s="125">
        <v>1555.6368941978817</v>
      </c>
      <c r="I1441" s="125">
        <v>972.81719235122068</v>
      </c>
      <c r="J1441" s="125">
        <v>626.10444008034301</v>
      </c>
      <c r="K1441" s="125">
        <v>744.78686493875307</v>
      </c>
      <c r="L1441" s="164">
        <v>2343.7084973703168</v>
      </c>
      <c r="M1441" s="125">
        <v>0</v>
      </c>
      <c r="N1441" s="115">
        <v>14895</v>
      </c>
      <c r="O1441" s="1328">
        <v>3223.6750000000002</v>
      </c>
      <c r="P1441" s="125">
        <v>-5209073.9639999997</v>
      </c>
      <c r="Q1441" s="125">
        <v>0</v>
      </c>
      <c r="R1441" s="114"/>
      <c r="S1441" s="125">
        <v>-1687468.00000338</v>
      </c>
      <c r="T1441" s="125">
        <v>0</v>
      </c>
      <c r="U1441" s="125">
        <v>7786736.3039999995</v>
      </c>
      <c r="V1441" s="125">
        <v>8.1000000000000008E-7</v>
      </c>
      <c r="W1441" s="142">
        <v>0</v>
      </c>
      <c r="X1441" s="142">
        <v>0.56578713999999997</v>
      </c>
      <c r="Y1441" s="142">
        <v>66704546.682337247</v>
      </c>
      <c r="Z1441" s="142">
        <v>280.16945985084186</v>
      </c>
    </row>
    <row r="1442" spans="1:26" s="141" customFormat="1">
      <c r="A1442" s="121">
        <v>45086</v>
      </c>
      <c r="B1442" s="125">
        <v>170527917.05967894</v>
      </c>
      <c r="C1442" s="125">
        <v>55382986.687154293</v>
      </c>
      <c r="D1442" s="125">
        <v>69613360.919986531</v>
      </c>
      <c r="E1442" s="125">
        <v>78061281.433624476</v>
      </c>
      <c r="F1442" s="123">
        <v>203057629.04076529</v>
      </c>
      <c r="G1442" s="125">
        <v>0</v>
      </c>
      <c r="H1442" s="125">
        <v>1539.0404455529444</v>
      </c>
      <c r="I1442" s="125">
        <v>975.76441093547703</v>
      </c>
      <c r="J1442" s="125">
        <v>625.07207356481877</v>
      </c>
      <c r="K1442" s="125">
        <v>751.31878502097231</v>
      </c>
      <c r="L1442" s="164">
        <v>2352.1552695212681</v>
      </c>
      <c r="M1442" s="125">
        <v>0</v>
      </c>
      <c r="N1442" s="115">
        <v>14840</v>
      </c>
      <c r="O1442" s="1328">
        <v>3217</v>
      </c>
      <c r="P1442" s="125">
        <v>-5209073.9639999997</v>
      </c>
      <c r="Q1442" s="125">
        <v>0</v>
      </c>
      <c r="R1442" s="114"/>
      <c r="S1442" s="125">
        <v>-1687468.00000338</v>
      </c>
      <c r="T1442" s="125">
        <v>0</v>
      </c>
      <c r="U1442" s="125">
        <v>8069102.0939999996</v>
      </c>
      <c r="V1442" s="125">
        <v>1.3600000000000001E-6</v>
      </c>
      <c r="W1442" s="142">
        <v>0</v>
      </c>
      <c r="X1442" s="142">
        <v>15.565787139999999</v>
      </c>
      <c r="Y1442" s="142">
        <v>66430594.259914458</v>
      </c>
      <c r="Z1442" s="142">
        <v>282.75704917419</v>
      </c>
    </row>
    <row r="1443" spans="1:26" s="141" customFormat="1">
      <c r="A1443" s="121">
        <v>45089</v>
      </c>
      <c r="B1443" s="125">
        <v>170642233.33595982</v>
      </c>
      <c r="C1443" s="125">
        <v>58519640.295640692</v>
      </c>
      <c r="D1443" s="125">
        <v>69292741.166735634</v>
      </c>
      <c r="E1443" s="125">
        <v>77839017.233001232</v>
      </c>
      <c r="F1443" s="123">
        <v>205651398.69537756</v>
      </c>
      <c r="G1443" s="125">
        <v>0</v>
      </c>
      <c r="H1443" s="125">
        <v>1591.5167638968737</v>
      </c>
      <c r="I1443" s="125">
        <v>995.50873187151296</v>
      </c>
      <c r="J1443" s="125">
        <v>625.10658940336054</v>
      </c>
      <c r="K1443" s="125">
        <v>741.18990291573061</v>
      </c>
      <c r="L1443" s="164">
        <v>2361.8052241906043</v>
      </c>
      <c r="M1443" s="125">
        <v>0</v>
      </c>
      <c r="N1443" s="115">
        <v>14862.5</v>
      </c>
      <c r="O1443" s="1328">
        <v>3218.0349999999999</v>
      </c>
      <c r="P1443" s="125">
        <v>-6295842.199</v>
      </c>
      <c r="Q1443" s="125">
        <v>0</v>
      </c>
      <c r="R1443" s="114"/>
      <c r="S1443" s="125">
        <v>-1692007.00000338</v>
      </c>
      <c r="T1443" s="125">
        <v>0</v>
      </c>
      <c r="U1443" s="125">
        <v>7558222.4939999999</v>
      </c>
      <c r="V1443" s="125">
        <v>1.13E-6</v>
      </c>
      <c r="W1443" s="142">
        <v>0</v>
      </c>
      <c r="X1443" s="142">
        <v>5.5657871399999994</v>
      </c>
      <c r="Y1443" s="142">
        <v>66603839.25307183</v>
      </c>
      <c r="Z1443" s="142">
        <v>282.41359553434887</v>
      </c>
    </row>
    <row r="1444" spans="1:26" s="141" customFormat="1">
      <c r="A1444" s="121">
        <v>45090</v>
      </c>
      <c r="B1444" s="125">
        <v>170755431.60152572</v>
      </c>
      <c r="C1444" s="125">
        <v>58730120.161815859</v>
      </c>
      <c r="D1444" s="125">
        <v>69334119.31378296</v>
      </c>
      <c r="E1444" s="125">
        <v>78517456.070747942</v>
      </c>
      <c r="F1444" s="123">
        <v>206581695.54634675</v>
      </c>
      <c r="G1444" s="125">
        <v>0</v>
      </c>
      <c r="H1444" s="125">
        <v>1577.2992974711347</v>
      </c>
      <c r="I1444" s="125">
        <v>989.49053706463997</v>
      </c>
      <c r="J1444" s="125">
        <v>622.56651392551453</v>
      </c>
      <c r="K1444" s="125">
        <v>738.5360886868724</v>
      </c>
      <c r="L1444" s="164">
        <v>2350.593139677027</v>
      </c>
      <c r="M1444" s="125">
        <v>0</v>
      </c>
      <c r="N1444" s="115">
        <v>14860</v>
      </c>
      <c r="O1444" s="1328">
        <v>3218.8900000000003</v>
      </c>
      <c r="P1444" s="125">
        <v>-5375384.8480000002</v>
      </c>
      <c r="Q1444" s="125">
        <v>0</v>
      </c>
      <c r="R1444" s="114"/>
      <c r="S1444" s="125">
        <v>-4110804.5000033798</v>
      </c>
      <c r="T1444" s="125">
        <v>0</v>
      </c>
      <c r="U1444" s="125">
        <v>7558222.4939999999</v>
      </c>
      <c r="V1444" s="125">
        <v>1.1599999999999999E-6</v>
      </c>
      <c r="W1444" s="142">
        <v>0</v>
      </c>
      <c r="X1444" s="142">
        <v>5.5657871400000003</v>
      </c>
      <c r="Y1444" s="142">
        <v>67321018.292280033</v>
      </c>
      <c r="Z1444" s="142">
        <v>282.81157187707004</v>
      </c>
    </row>
    <row r="1445" spans="1:26" s="141" customFormat="1">
      <c r="A1445" s="121">
        <v>45091</v>
      </c>
      <c r="B1445" s="125">
        <v>170939691.77442682</v>
      </c>
      <c r="C1445" s="125">
        <v>59582102.493868276</v>
      </c>
      <c r="D1445" s="125">
        <v>69441077.234916225</v>
      </c>
      <c r="E1445" s="125">
        <v>78548950.059556633</v>
      </c>
      <c r="F1445" s="123">
        <v>207572129.78834113</v>
      </c>
      <c r="G1445" s="125">
        <v>0</v>
      </c>
      <c r="H1445" s="125">
        <v>1620.1959697909192</v>
      </c>
      <c r="I1445" s="125">
        <v>977.27638520559117</v>
      </c>
      <c r="J1445" s="125">
        <v>619.62145928319501</v>
      </c>
      <c r="K1445" s="125">
        <v>740.98356025414125</v>
      </c>
      <c r="L1445" s="164">
        <v>2337.8814047429273</v>
      </c>
      <c r="M1445" s="125">
        <v>0</v>
      </c>
      <c r="N1445" s="115">
        <v>14897.5</v>
      </c>
      <c r="O1445" s="1328">
        <v>3224.2150000000001</v>
      </c>
      <c r="P1445" s="125">
        <v>-3877772.6379999998</v>
      </c>
      <c r="Q1445" s="125">
        <v>0</v>
      </c>
      <c r="R1445" s="114"/>
      <c r="S1445" s="125">
        <v>-6758633.5000033807</v>
      </c>
      <c r="T1445" s="125">
        <v>0</v>
      </c>
      <c r="U1445" s="125">
        <v>6614764.1440000003</v>
      </c>
      <c r="V1445" s="125">
        <v>7.8000000000000005E-7</v>
      </c>
      <c r="W1445" s="142">
        <v>0</v>
      </c>
      <c r="X1445" s="142">
        <v>5.5657871400000003</v>
      </c>
      <c r="Y1445" s="142">
        <v>67052933.288182221</v>
      </c>
      <c r="Z1445" s="142">
        <v>293.13783492986335</v>
      </c>
    </row>
    <row r="1446" spans="1:26" s="141" customFormat="1">
      <c r="A1446" s="121">
        <v>45092</v>
      </c>
      <c r="B1446" s="125">
        <v>171113860.66901234</v>
      </c>
      <c r="C1446" s="125">
        <v>58218884.758086555</v>
      </c>
      <c r="D1446" s="125">
        <v>68681896.086974412</v>
      </c>
      <c r="E1446" s="125">
        <v>78463647.806489915</v>
      </c>
      <c r="F1446" s="123">
        <v>205364428.65155089</v>
      </c>
      <c r="G1446" s="125">
        <v>0</v>
      </c>
      <c r="H1446" s="125">
        <v>1625.3165206245014</v>
      </c>
      <c r="I1446" s="125">
        <v>946.17829526505795</v>
      </c>
      <c r="J1446" s="125">
        <v>620.18870116082883</v>
      </c>
      <c r="K1446" s="125">
        <v>737.37368055144236</v>
      </c>
      <c r="L1446" s="164">
        <v>2303.7406769773293</v>
      </c>
      <c r="M1446" s="125">
        <v>0</v>
      </c>
      <c r="N1446" s="115">
        <v>14945</v>
      </c>
      <c r="O1446" s="1328">
        <v>3225.7750000000001</v>
      </c>
      <c r="P1446" s="125">
        <v>-3459688.37</v>
      </c>
      <c r="Q1446" s="125">
        <v>0</v>
      </c>
      <c r="R1446" s="114"/>
      <c r="S1446" s="125">
        <v>-6758633.5000033807</v>
      </c>
      <c r="T1446" s="125">
        <v>0</v>
      </c>
      <c r="U1446" s="125">
        <v>5371057.2450000001</v>
      </c>
      <c r="V1446" s="125">
        <v>3.1E-7</v>
      </c>
      <c r="W1446" s="142">
        <v>0</v>
      </c>
      <c r="X1446" s="142">
        <v>5.5657871400000003</v>
      </c>
      <c r="Y1446" s="142">
        <v>66941260.347057834</v>
      </c>
      <c r="Z1446" s="142">
        <v>293.45209008611113</v>
      </c>
    </row>
    <row r="1447" spans="1:26" s="141" customFormat="1">
      <c r="A1447" s="121">
        <v>45093</v>
      </c>
      <c r="B1447" s="125">
        <v>170601529.99772683</v>
      </c>
      <c r="C1447" s="125">
        <v>57723551.40292532</v>
      </c>
      <c r="D1447" s="125">
        <v>69416220.973172233</v>
      </c>
      <c r="E1447" s="125">
        <v>78889899.927580714</v>
      </c>
      <c r="F1447" s="123">
        <v>206029672.30367827</v>
      </c>
      <c r="G1447" s="125">
        <v>0</v>
      </c>
      <c r="H1447" s="125">
        <v>1629.4065231026354</v>
      </c>
      <c r="I1447" s="125">
        <v>934.96716278638678</v>
      </c>
      <c r="J1447" s="125">
        <v>618.08064405706705</v>
      </c>
      <c r="K1447" s="125">
        <v>739.05459990042766</v>
      </c>
      <c r="L1447" s="164">
        <v>2292.1024067438816</v>
      </c>
      <c r="M1447" s="125">
        <v>0</v>
      </c>
      <c r="N1447" s="115">
        <v>14935</v>
      </c>
      <c r="O1447" s="1328">
        <v>3234.7849999999999</v>
      </c>
      <c r="P1447" s="125">
        <v>-3459688.37</v>
      </c>
      <c r="Q1447" s="125">
        <v>-54682.393827349995</v>
      </c>
      <c r="R1447" s="114"/>
      <c r="S1447" s="125">
        <v>-6758633.5000033807</v>
      </c>
      <c r="T1447" s="125">
        <v>0</v>
      </c>
      <c r="U1447" s="125">
        <v>7090232.835</v>
      </c>
      <c r="V1447" s="125">
        <v>4.0999999999999999E-7</v>
      </c>
      <c r="W1447" s="142">
        <v>0</v>
      </c>
      <c r="X1447" s="142">
        <v>0.56578713999999997</v>
      </c>
      <c r="Y1447" s="142">
        <v>67706057.982250646</v>
      </c>
      <c r="Z1447" s="142">
        <v>292.94426889472595</v>
      </c>
    </row>
    <row r="1448" spans="1:26" s="141" customFormat="1">
      <c r="A1448" s="121">
        <v>45096</v>
      </c>
      <c r="B1448" s="125">
        <v>170975169.27893522</v>
      </c>
      <c r="C1448" s="125">
        <v>61209586.55333972</v>
      </c>
      <c r="D1448" s="125">
        <v>69233771.747811988</v>
      </c>
      <c r="E1448" s="125">
        <v>78477528.565194845</v>
      </c>
      <c r="F1448" s="123">
        <v>208920886.86634654</v>
      </c>
      <c r="G1448" s="125">
        <v>0</v>
      </c>
      <c r="H1448" s="125">
        <v>1620.9022566004451</v>
      </c>
      <c r="I1448" s="125">
        <v>916.36941918165678</v>
      </c>
      <c r="J1448" s="125">
        <v>618.80495717044312</v>
      </c>
      <c r="K1448" s="125">
        <v>736.17850354103302</v>
      </c>
      <c r="L1448" s="164">
        <v>2271.3528798931329</v>
      </c>
      <c r="M1448" s="125">
        <v>0</v>
      </c>
      <c r="N1448" s="115">
        <v>14994.5</v>
      </c>
      <c r="O1448" s="1328">
        <v>3242.4050000000002</v>
      </c>
      <c r="P1448" s="125">
        <v>-2843596.1349999998</v>
      </c>
      <c r="Q1448" s="125">
        <v>-54900.244676550006</v>
      </c>
      <c r="R1448" s="114"/>
      <c r="S1448" s="125">
        <v>-6758946.5000033807</v>
      </c>
      <c r="T1448" s="125">
        <v>0</v>
      </c>
      <c r="U1448" s="125">
        <v>8105876.1299999999</v>
      </c>
      <c r="V1448" s="125">
        <v>-1.8E-7</v>
      </c>
      <c r="W1448" s="142">
        <v>100000</v>
      </c>
      <c r="X1448" s="142">
        <v>0.56578713999999997</v>
      </c>
      <c r="Y1448" s="142">
        <v>67985057.494054466</v>
      </c>
      <c r="Z1448" s="142">
        <v>292.89431286448161</v>
      </c>
    </row>
    <row r="1449" spans="1:26" s="141" customFormat="1">
      <c r="A1449" s="121">
        <v>45097</v>
      </c>
      <c r="B1449" s="125">
        <v>171494198.63711038</v>
      </c>
      <c r="C1449" s="125">
        <v>59576051.720738418</v>
      </c>
      <c r="D1449" s="125">
        <v>69185033.400021762</v>
      </c>
      <c r="E1449" s="125">
        <v>77991505.353161424</v>
      </c>
      <c r="F1449" s="123">
        <v>206752590.4739216</v>
      </c>
      <c r="G1449" s="125">
        <v>-1585000</v>
      </c>
      <c r="H1449" s="125">
        <v>1636.4791057703808</v>
      </c>
      <c r="I1449" s="125">
        <v>928.93043484799023</v>
      </c>
      <c r="J1449" s="125">
        <v>647.61022059386187</v>
      </c>
      <c r="K1449" s="125">
        <v>733.80244052579349</v>
      </c>
      <c r="L1449" s="164">
        <v>2310.3430959676457</v>
      </c>
      <c r="M1449" s="125">
        <v>0</v>
      </c>
      <c r="N1449" s="115">
        <v>15000</v>
      </c>
      <c r="O1449" s="1328">
        <v>3234.5</v>
      </c>
      <c r="P1449" s="125">
        <v>-1939249.385</v>
      </c>
      <c r="Q1449" s="125">
        <v>-54920.382149999998</v>
      </c>
      <c r="R1449" s="114"/>
      <c r="S1449" s="125">
        <v>-4340149.0000033798</v>
      </c>
      <c r="T1449" s="125">
        <v>0</v>
      </c>
      <c r="U1449" s="125">
        <v>8105876.1299999999</v>
      </c>
      <c r="V1449" s="125">
        <v>-2.3999999999999998E-7</v>
      </c>
      <c r="W1449" s="142">
        <v>0</v>
      </c>
      <c r="X1449" s="142">
        <v>0.56578713999999997</v>
      </c>
      <c r="Y1449" s="142">
        <v>67720944.956096888</v>
      </c>
      <c r="Z1449" s="142">
        <v>291.73919492180801</v>
      </c>
    </row>
    <row r="1450" spans="1:26" s="141" customFormat="1">
      <c r="A1450" s="121">
        <v>45098</v>
      </c>
      <c r="B1450" s="125">
        <v>171517741.07204843</v>
      </c>
      <c r="C1450" s="125">
        <v>58887211.900008038</v>
      </c>
      <c r="D1450" s="125">
        <v>69176277.004627988</v>
      </c>
      <c r="E1450" s="125">
        <v>78156266.455945164</v>
      </c>
      <c r="F1450" s="123">
        <v>206219755.36058119</v>
      </c>
      <c r="G1450" s="125">
        <v>-1045000</v>
      </c>
      <c r="H1450" s="125">
        <v>1639.7308908680536</v>
      </c>
      <c r="I1450" s="125">
        <v>950.52787246889727</v>
      </c>
      <c r="J1450" s="125">
        <v>640.54029840389626</v>
      </c>
      <c r="K1450" s="125">
        <v>733.97909791661448</v>
      </c>
      <c r="L1450" s="164">
        <v>2325.047268789408</v>
      </c>
      <c r="M1450" s="125">
        <v>0</v>
      </c>
      <c r="N1450" s="115">
        <v>14945</v>
      </c>
      <c r="O1450" s="1328">
        <v>3217.0950000000003</v>
      </c>
      <c r="P1450" s="125">
        <v>-940870.33499999996</v>
      </c>
      <c r="Q1450" s="125">
        <v>-54719.007415449996</v>
      </c>
      <c r="R1450" s="114"/>
      <c r="S1450" s="125">
        <v>-5813994.5000033807</v>
      </c>
      <c r="T1450" s="125">
        <v>0</v>
      </c>
      <c r="U1450" s="125">
        <v>7545323.0099999998</v>
      </c>
      <c r="V1450" s="125">
        <v>3.1E-7</v>
      </c>
      <c r="W1450" s="142">
        <v>0</v>
      </c>
      <c r="X1450" s="142">
        <v>0.56578714000000008</v>
      </c>
      <c r="Y1450" s="142">
        <v>68715112.107517108</v>
      </c>
      <c r="Z1450" s="142">
        <v>292.44705868186009</v>
      </c>
    </row>
    <row r="1451" spans="1:26" s="141" customFormat="1">
      <c r="A1451" s="121">
        <v>45099</v>
      </c>
      <c r="B1451" s="125">
        <v>171641732.41793087</v>
      </c>
      <c r="C1451" s="125">
        <v>61739469.203649335</v>
      </c>
      <c r="D1451" s="125">
        <v>69202843.97440584</v>
      </c>
      <c r="E1451" s="125">
        <v>77658206.543902218</v>
      </c>
      <c r="F1451" s="123">
        <v>208600519.72195739</v>
      </c>
      <c r="G1451" s="125">
        <v>-550000</v>
      </c>
      <c r="H1451" s="125">
        <v>1652.5607206469572</v>
      </c>
      <c r="I1451" s="125">
        <v>955.37944400243873</v>
      </c>
      <c r="J1451" s="125">
        <v>632.97519461525735</v>
      </c>
      <c r="K1451" s="125">
        <v>736.43386683659162</v>
      </c>
      <c r="L1451" s="164">
        <v>2324.7885054542876</v>
      </c>
      <c r="M1451" s="125">
        <v>0</v>
      </c>
      <c r="N1451" s="115">
        <v>14940</v>
      </c>
      <c r="O1451" s="1328">
        <v>3211.87</v>
      </c>
      <c r="P1451" s="125">
        <v>-940870.33499999996</v>
      </c>
      <c r="Q1451" s="125">
        <v>-54700.700621399999</v>
      </c>
      <c r="R1451" s="114"/>
      <c r="S1451" s="125">
        <v>-9660109.0000033807</v>
      </c>
      <c r="T1451" s="125">
        <v>0</v>
      </c>
      <c r="U1451" s="125">
        <v>7545323.0099999998</v>
      </c>
      <c r="V1451" s="125">
        <v>3.5999999999999999E-7</v>
      </c>
      <c r="W1451" s="142">
        <v>0</v>
      </c>
      <c r="X1451" s="142">
        <v>0.56578713999999997</v>
      </c>
      <c r="Y1451" s="142">
        <v>69243263.756489173</v>
      </c>
      <c r="Z1451" s="142">
        <v>292.59396765792559</v>
      </c>
    </row>
    <row r="1452" spans="1:26" s="141" customFormat="1">
      <c r="A1452" s="121">
        <v>45100</v>
      </c>
      <c r="B1452" s="125">
        <v>171316526.7732574</v>
      </c>
      <c r="C1452" s="125">
        <v>57718197.614621475</v>
      </c>
      <c r="D1452" s="125">
        <v>70033101.738890916</v>
      </c>
      <c r="E1452" s="125">
        <v>77701559.604077488</v>
      </c>
      <c r="F1452" s="123">
        <v>205452858.95758986</v>
      </c>
      <c r="G1452" s="125">
        <v>-2326000</v>
      </c>
      <c r="H1452" s="125">
        <v>1624.4270956320315</v>
      </c>
      <c r="I1452" s="125">
        <v>950.63263200608071</v>
      </c>
      <c r="J1452" s="125">
        <v>629.87251190185418</v>
      </c>
      <c r="K1452" s="125">
        <v>738.93267670359216</v>
      </c>
      <c r="L1452" s="164">
        <v>2319.4378206115271</v>
      </c>
      <c r="M1452" s="125">
        <v>0</v>
      </c>
      <c r="N1452" s="115">
        <v>14994</v>
      </c>
      <c r="O1452" s="1328">
        <v>3206.9300000000003</v>
      </c>
      <c r="P1452" s="125">
        <v>-940870.33499999996</v>
      </c>
      <c r="Q1452" s="125">
        <v>0</v>
      </c>
      <c r="R1452" s="114"/>
      <c r="S1452" s="125">
        <v>-9660109.0000033807</v>
      </c>
      <c r="T1452" s="125">
        <v>0</v>
      </c>
      <c r="U1452" s="125">
        <v>6570703.0999999996</v>
      </c>
      <c r="V1452" s="125">
        <v>-1.8E-7</v>
      </c>
      <c r="W1452" s="142">
        <v>0</v>
      </c>
      <c r="X1452" s="142">
        <v>0.56578714000000008</v>
      </c>
      <c r="Y1452" s="142">
        <v>69750970.855055556</v>
      </c>
      <c r="Z1452" s="142">
        <v>299.78580816176128</v>
      </c>
    </row>
    <row r="1453" spans="1:26" s="141" customFormat="1">
      <c r="A1453" s="121">
        <v>45103</v>
      </c>
      <c r="B1453" s="125">
        <v>171323959.16943806</v>
      </c>
      <c r="C1453" s="125">
        <v>59211371.216279343</v>
      </c>
      <c r="D1453" s="125">
        <v>69998382.772497341</v>
      </c>
      <c r="E1453" s="125">
        <v>75915329.879557461</v>
      </c>
      <c r="F1453" s="123">
        <v>205125083.86833414</v>
      </c>
      <c r="G1453" s="125">
        <v>-1295000</v>
      </c>
      <c r="H1453" s="125">
        <v>1626.9990048374625</v>
      </c>
      <c r="I1453" s="125">
        <v>948.37782897201726</v>
      </c>
      <c r="J1453" s="125">
        <v>622.80861493823511</v>
      </c>
      <c r="K1453" s="125">
        <v>733.94156770948882</v>
      </c>
      <c r="L1453" s="164">
        <v>2305.1280116197413</v>
      </c>
      <c r="M1453" s="125">
        <v>0</v>
      </c>
      <c r="N1453" s="115">
        <v>15015</v>
      </c>
      <c r="O1453" s="1328">
        <v>3210.7350000000001</v>
      </c>
      <c r="P1453" s="125">
        <v>-4239187.1469999999</v>
      </c>
      <c r="Q1453" s="125">
        <v>0</v>
      </c>
      <c r="R1453" s="114"/>
      <c r="S1453" s="125">
        <v>-9001972.0000033807</v>
      </c>
      <c r="T1453" s="125">
        <v>0</v>
      </c>
      <c r="U1453" s="125">
        <v>5366838.165</v>
      </c>
      <c r="V1453" s="125">
        <v>-3.9000000000000002E-7</v>
      </c>
      <c r="W1453" s="142">
        <v>0</v>
      </c>
      <c r="X1453" s="142">
        <v>0.56578713999999997</v>
      </c>
      <c r="Y1453" s="142">
        <v>70263396.157260224</v>
      </c>
      <c r="Z1453" s="142">
        <v>299.72464265706355</v>
      </c>
    </row>
    <row r="1454" spans="1:26" s="141" customFormat="1">
      <c r="A1454" s="121">
        <v>45104</v>
      </c>
      <c r="B1454" s="125">
        <v>172502325.13602582</v>
      </c>
      <c r="C1454" s="125">
        <v>56516484.86279282</v>
      </c>
      <c r="D1454" s="125">
        <v>70581952.398056969</v>
      </c>
      <c r="E1454" s="125">
        <v>74517694.5258542</v>
      </c>
      <c r="F1454" s="123">
        <v>201616131.786704</v>
      </c>
      <c r="G1454" s="125">
        <v>0</v>
      </c>
      <c r="H1454" s="125">
        <v>1642.7194901832293</v>
      </c>
      <c r="I1454" s="125">
        <v>1053.071356027883</v>
      </c>
      <c r="J1454" s="125">
        <v>610.45914039811464</v>
      </c>
      <c r="K1454" s="125">
        <v>737.9765875438901</v>
      </c>
      <c r="L1454" s="164">
        <v>2401.5070839698878</v>
      </c>
      <c r="M1454" s="125">
        <v>0</v>
      </c>
      <c r="N1454" s="115">
        <v>14992.5</v>
      </c>
      <c r="O1454" s="1328">
        <v>3213.83</v>
      </c>
      <c r="P1454" s="125">
        <v>-6170456.8504999997</v>
      </c>
      <c r="Q1454" s="125">
        <v>0</v>
      </c>
      <c r="R1454" s="114"/>
      <c r="S1454" s="125">
        <v>-7849636.20000338</v>
      </c>
      <c r="T1454" s="125">
        <v>0</v>
      </c>
      <c r="U1454" s="125">
        <v>5182052.9649999999</v>
      </c>
      <c r="V1454" s="125">
        <v>-1.6E-7</v>
      </c>
      <c r="W1454" s="142">
        <v>0</v>
      </c>
      <c r="X1454" s="142">
        <v>0.56578713999999997</v>
      </c>
      <c r="Y1454" s="142">
        <v>70570191.372095719</v>
      </c>
      <c r="Z1454" s="142">
        <v>299.1968039268375</v>
      </c>
    </row>
    <row r="1455" spans="1:26" s="141" customFormat="1">
      <c r="A1455" s="121">
        <v>45107</v>
      </c>
      <c r="B1455" s="136">
        <v>174205210.51922601</v>
      </c>
      <c r="C1455" s="136">
        <v>56898776.912289001</v>
      </c>
      <c r="D1455" s="136">
        <v>70464576.293924004</v>
      </c>
      <c r="E1455" s="136">
        <v>73262332.904484004</v>
      </c>
      <c r="F1455" s="137">
        <v>200625686.110697</v>
      </c>
      <c r="G1455" s="142">
        <v>0</v>
      </c>
      <c r="H1455" s="136">
        <v>1636.1382022349842</v>
      </c>
      <c r="I1455" s="136">
        <v>1046.4263941085876</v>
      </c>
      <c r="J1455" s="136">
        <v>610.2784438892113</v>
      </c>
      <c r="K1455" s="136">
        <v>728.30327958412545</v>
      </c>
      <c r="L1455" s="165">
        <v>2385.0081175819241</v>
      </c>
      <c r="M1455" s="125">
        <v>0</v>
      </c>
      <c r="N1455" s="115">
        <f>VLOOKUP(A1455,'Closing Rate'!A:R,18,0)</f>
        <v>14992.5</v>
      </c>
      <c r="O1455" s="1328">
        <f>VLOOKUP(A1455,'Closing Rate'!A:Z,25,0)</f>
        <v>104.46000000000001</v>
      </c>
      <c r="P1455" s="125">
        <v>-6170456.8504999997</v>
      </c>
      <c r="Q1455" s="125">
        <v>0</v>
      </c>
      <c r="R1455" s="114"/>
      <c r="S1455" s="125">
        <v>-7849636.20000338</v>
      </c>
      <c r="T1455" s="125">
        <v>0</v>
      </c>
      <c r="U1455" s="125">
        <v>5182052.9649999999</v>
      </c>
      <c r="V1455" s="125">
        <v>-1.6E-7</v>
      </c>
      <c r="W1455" s="142">
        <v>0</v>
      </c>
      <c r="X1455" s="142">
        <v>0.56578713999999997</v>
      </c>
      <c r="Y1455" s="142">
        <v>70570191.372095719</v>
      </c>
      <c r="Z1455" s="142">
        <v>299.1968039268375</v>
      </c>
    </row>
    <row r="1456" spans="1:26" s="141" customFormat="1">
      <c r="A1456" s="121">
        <v>45110</v>
      </c>
      <c r="B1456" s="125">
        <v>170969268.52902031</v>
      </c>
      <c r="C1456" s="125">
        <v>58416678.987927392</v>
      </c>
      <c r="D1456" s="125">
        <v>70472550.498201475</v>
      </c>
      <c r="E1456" s="125">
        <v>72823148.736513793</v>
      </c>
      <c r="F1456" s="123">
        <v>201712378.22264266</v>
      </c>
      <c r="G1456" s="125">
        <v>0</v>
      </c>
      <c r="H1456" s="125">
        <v>1583.7896422374142</v>
      </c>
      <c r="I1456" s="125">
        <v>999.05382298090137</v>
      </c>
      <c r="J1456" s="125">
        <v>613.13334087816111</v>
      </c>
      <c r="K1456" s="125">
        <v>716.29387705405713</v>
      </c>
      <c r="L1456" s="164">
        <v>2328.4810409131196</v>
      </c>
      <c r="M1456" s="125">
        <v>0</v>
      </c>
      <c r="N1456" s="115">
        <v>15025</v>
      </c>
      <c r="O1456" s="1328">
        <v>3214.5950000000003</v>
      </c>
      <c r="P1456" s="125">
        <v>-7956906.7740000002</v>
      </c>
      <c r="Q1456" s="125">
        <v>0</v>
      </c>
      <c r="R1456" s="114"/>
      <c r="S1456" s="125">
        <v>-4570469.70000338</v>
      </c>
      <c r="T1456" s="125">
        <v>0</v>
      </c>
      <c r="U1456" s="125">
        <v>5182052.9649999999</v>
      </c>
      <c r="V1456" s="125">
        <v>-4.8999999999999997E-7</v>
      </c>
      <c r="W1456" s="142">
        <v>0</v>
      </c>
      <c r="X1456" s="142">
        <v>5.5657871400000003</v>
      </c>
      <c r="Y1456" s="142">
        <v>70983852.785218745</v>
      </c>
      <c r="Z1456" s="142">
        <v>305.35101673232816</v>
      </c>
    </row>
    <row r="1457" spans="1:26" s="141" customFormat="1">
      <c r="A1457" s="121">
        <v>45111</v>
      </c>
      <c r="B1457" s="125">
        <v>169701231.73986673</v>
      </c>
      <c r="C1457" s="125">
        <v>59892989.825132743</v>
      </c>
      <c r="D1457" s="125">
        <v>70443331.832689345</v>
      </c>
      <c r="E1457" s="125">
        <v>72843185.664703965</v>
      </c>
      <c r="F1457" s="123">
        <v>203179507.32252604</v>
      </c>
      <c r="G1457" s="125">
        <v>-1395000</v>
      </c>
      <c r="H1457" s="125">
        <v>1585.2076579548002</v>
      </c>
      <c r="I1457" s="125">
        <v>997.45385830771659</v>
      </c>
      <c r="J1457" s="125">
        <v>611.89242341048691</v>
      </c>
      <c r="K1457" s="125">
        <v>715.15037907958867</v>
      </c>
      <c r="L1457" s="164">
        <v>2324.4966607977922</v>
      </c>
      <c r="M1457" s="125">
        <v>0</v>
      </c>
      <c r="N1457" s="115">
        <v>14992.5</v>
      </c>
      <c r="O1457" s="1328">
        <v>3222.46</v>
      </c>
      <c r="P1457" s="125">
        <v>-8375895.5180000002</v>
      </c>
      <c r="Q1457" s="125">
        <v>0</v>
      </c>
      <c r="R1457" s="114"/>
      <c r="S1457" s="125">
        <v>-2133408.2500033798</v>
      </c>
      <c r="T1457" s="125">
        <v>0</v>
      </c>
      <c r="U1457" s="125">
        <v>5373457.8629999999</v>
      </c>
      <c r="V1457" s="125">
        <v>-1.6E-7</v>
      </c>
      <c r="W1457" s="142">
        <v>0</v>
      </c>
      <c r="X1457" s="142">
        <v>6.9017871399999997</v>
      </c>
      <c r="Y1457" s="142">
        <v>71525485.704333231</v>
      </c>
      <c r="Z1457" s="142">
        <v>305.14750340077364</v>
      </c>
    </row>
    <row r="1458" spans="1:26" s="141" customFormat="1">
      <c r="A1458" s="121">
        <v>45112</v>
      </c>
      <c r="B1458" s="125">
        <v>169370544.6727339</v>
      </c>
      <c r="C1458" s="125">
        <v>60522248.943309903</v>
      </c>
      <c r="D1458" s="125">
        <v>69872229.740933031</v>
      </c>
      <c r="E1458" s="125">
        <v>72771067.145923242</v>
      </c>
      <c r="F1458" s="123">
        <v>203165545.83016616</v>
      </c>
      <c r="G1458" s="125">
        <v>-295000</v>
      </c>
      <c r="H1458" s="125">
        <v>1585.7705578146386</v>
      </c>
      <c r="I1458" s="125">
        <v>1000.5914188677999</v>
      </c>
      <c r="J1458" s="125">
        <v>611.52243306157266</v>
      </c>
      <c r="K1458" s="125">
        <v>726.6976944920533</v>
      </c>
      <c r="L1458" s="164">
        <v>2338.8115464214261</v>
      </c>
      <c r="M1458" s="125">
        <v>0</v>
      </c>
      <c r="N1458" s="115">
        <v>15015</v>
      </c>
      <c r="O1458" s="1328">
        <v>3228.69</v>
      </c>
      <c r="P1458" s="125">
        <v>-7449188.1670000004</v>
      </c>
      <c r="Q1458" s="125">
        <v>0</v>
      </c>
      <c r="R1458" s="114"/>
      <c r="S1458" s="125">
        <v>-6145391.1000033803</v>
      </c>
      <c r="T1458" s="125">
        <v>0</v>
      </c>
      <c r="U1458" s="125">
        <v>5373457.8629999999</v>
      </c>
      <c r="V1458" s="125">
        <v>-3.9000000000000002E-7</v>
      </c>
      <c r="W1458" s="142">
        <v>0</v>
      </c>
      <c r="X1458" s="142">
        <v>5.5657871400000003</v>
      </c>
      <c r="Y1458" s="142">
        <v>71088739.81739752</v>
      </c>
      <c r="Z1458" s="142">
        <v>305.46095644114342</v>
      </c>
    </row>
    <row r="1459" spans="1:26" s="141" customFormat="1">
      <c r="A1459" s="121">
        <v>45113</v>
      </c>
      <c r="B1459" s="125">
        <v>169518854.76182929</v>
      </c>
      <c r="C1459" s="125">
        <v>61334997.413346633</v>
      </c>
      <c r="D1459" s="125">
        <v>69583217.977553591</v>
      </c>
      <c r="E1459" s="125">
        <v>72293857.221177459</v>
      </c>
      <c r="F1459" s="123">
        <v>203212072.61207768</v>
      </c>
      <c r="G1459" s="125">
        <v>0</v>
      </c>
      <c r="H1459" s="125">
        <v>1581.7500039755414</v>
      </c>
      <c r="I1459" s="125">
        <v>1007.1922046143924</v>
      </c>
      <c r="J1459" s="125">
        <v>613.01437380607058</v>
      </c>
      <c r="K1459" s="125">
        <v>720.94212018310679</v>
      </c>
      <c r="L1459" s="164">
        <v>2341.1486986035698</v>
      </c>
      <c r="M1459" s="125">
        <v>0</v>
      </c>
      <c r="N1459" s="115">
        <v>15044.5</v>
      </c>
      <c r="O1459" s="1328">
        <v>3229.13</v>
      </c>
      <c r="P1459" s="125">
        <v>-6431789.2249999996</v>
      </c>
      <c r="Q1459" s="125">
        <v>-109503.91666399001</v>
      </c>
      <c r="R1459" s="114"/>
      <c r="S1459" s="125">
        <v>-6145391.1000033803</v>
      </c>
      <c r="T1459" s="125">
        <v>0</v>
      </c>
      <c r="U1459" s="125">
        <v>5280302.1430000002</v>
      </c>
      <c r="V1459" s="125">
        <v>-6.8999999999999996E-7</v>
      </c>
      <c r="W1459" s="142">
        <v>0</v>
      </c>
      <c r="X1459" s="142">
        <v>5.5657871399999994</v>
      </c>
      <c r="Y1459" s="142">
        <v>71185671.079829678</v>
      </c>
      <c r="Z1459" s="142">
        <v>307.06217911357186</v>
      </c>
    </row>
    <row r="1460" spans="1:26" s="141" customFormat="1">
      <c r="A1460" s="121">
        <v>45114</v>
      </c>
      <c r="B1460" s="125">
        <v>169063348.0715892</v>
      </c>
      <c r="C1460" s="125">
        <v>59385055.345842548</v>
      </c>
      <c r="D1460" s="125">
        <v>70305240.859336406</v>
      </c>
      <c r="E1460" s="125">
        <v>72529510.384609669</v>
      </c>
      <c r="F1460" s="123">
        <v>202219806.58978862</v>
      </c>
      <c r="G1460" s="125">
        <v>0</v>
      </c>
      <c r="H1460" s="125">
        <v>1577.3095293152116</v>
      </c>
      <c r="I1460" s="125">
        <v>963.2903068188059</v>
      </c>
      <c r="J1460" s="125">
        <v>610.97447320769004</v>
      </c>
      <c r="K1460" s="125">
        <v>726.28907584856279</v>
      </c>
      <c r="L1460" s="164">
        <v>2300.5538558750586</v>
      </c>
      <c r="M1460" s="125">
        <v>0</v>
      </c>
      <c r="N1460" s="115">
        <v>15135</v>
      </c>
      <c r="O1460" s="1328">
        <v>3244.03</v>
      </c>
      <c r="P1460" s="125">
        <v>-5395366.4649999999</v>
      </c>
      <c r="Q1460" s="125">
        <v>-110162.63609355</v>
      </c>
      <c r="R1460" s="114"/>
      <c r="S1460" s="125">
        <v>-6720323.1000033803</v>
      </c>
      <c r="T1460" s="125">
        <v>0</v>
      </c>
      <c r="U1460" s="125">
        <v>5661469.6229999997</v>
      </c>
      <c r="V1460" s="125">
        <v>-1.59E-6</v>
      </c>
      <c r="W1460" s="142">
        <v>0</v>
      </c>
      <c r="X1460" s="142">
        <v>5.5657871400000003</v>
      </c>
      <c r="Y1460" s="142">
        <v>71208753.763770103</v>
      </c>
      <c r="Z1460" s="142">
        <v>307.92457451167371</v>
      </c>
    </row>
    <row r="1461" spans="1:26" s="141" customFormat="1">
      <c r="A1461" s="121">
        <v>45117</v>
      </c>
      <c r="B1461" s="125">
        <v>169044955.1270718</v>
      </c>
      <c r="C1461" s="125">
        <v>60216690.580784202</v>
      </c>
      <c r="D1461" s="125">
        <v>70079058.649737448</v>
      </c>
      <c r="E1461" s="125">
        <v>72167281.414443791</v>
      </c>
      <c r="F1461" s="123">
        <v>202463030.64496544</v>
      </c>
      <c r="G1461" s="125">
        <v>0</v>
      </c>
      <c r="H1461" s="125">
        <v>1576.8822094285918</v>
      </c>
      <c r="I1461" s="125">
        <v>942.72136530051148</v>
      </c>
      <c r="J1461" s="125">
        <v>612.49984080068668</v>
      </c>
      <c r="K1461" s="125">
        <v>724.26745143055177</v>
      </c>
      <c r="L1461" s="164">
        <v>2279.4886575317501</v>
      </c>
      <c r="M1461" s="125">
        <v>0</v>
      </c>
      <c r="N1461" s="115">
        <v>15194.5</v>
      </c>
      <c r="O1461" s="139">
        <f>VLOOKUP(A1461,'Closing Rate'!A:AI,25,0)</f>
        <v>106.785</v>
      </c>
      <c r="P1461" s="125">
        <v>-3935851.415</v>
      </c>
      <c r="Q1461" s="125">
        <v>-110595.71682349</v>
      </c>
      <c r="R1461" s="114"/>
      <c r="S1461" s="125">
        <v>-6738883.1000033803</v>
      </c>
      <c r="T1461" s="125">
        <v>0</v>
      </c>
      <c r="U1461" s="125">
        <v>5661469.6229999997</v>
      </c>
      <c r="V1461" s="125">
        <v>-2.1800000000000003E-6</v>
      </c>
      <c r="W1461" s="142">
        <v>0</v>
      </c>
      <c r="X1461" s="142">
        <v>0.56578713999999997</v>
      </c>
      <c r="Y1461" s="142">
        <v>71836012.853391781</v>
      </c>
      <c r="Z1461" s="142">
        <v>309.09460219216169</v>
      </c>
    </row>
    <row r="1462" spans="1:26" s="141" customFormat="1">
      <c r="A1462" s="121">
        <v>45118</v>
      </c>
      <c r="B1462" s="125">
        <v>169000112.61535764</v>
      </c>
      <c r="C1462" s="125">
        <v>60368096.772135884</v>
      </c>
      <c r="D1462" s="125">
        <v>69967822.259658381</v>
      </c>
      <c r="E1462" s="125">
        <v>72673455.517920464</v>
      </c>
      <c r="F1462" s="123">
        <v>203009374.54971474</v>
      </c>
      <c r="G1462" s="125">
        <v>0</v>
      </c>
      <c r="H1462" s="125">
        <v>1680.3775230714205</v>
      </c>
      <c r="I1462" s="125">
        <v>981.17291500241674</v>
      </c>
      <c r="J1462" s="125">
        <v>641.1401206358438</v>
      </c>
      <c r="K1462" s="125">
        <v>760.35524154742632</v>
      </c>
      <c r="L1462" s="164">
        <v>2382.6682771856867</v>
      </c>
      <c r="M1462" s="125">
        <v>0</v>
      </c>
      <c r="N1462" s="115">
        <v>15140</v>
      </c>
      <c r="O1462" s="139">
        <v>3249.9749999999999</v>
      </c>
      <c r="P1462" s="125">
        <v>-2972262.81</v>
      </c>
      <c r="Q1462" s="125">
        <v>-110199.0294322</v>
      </c>
      <c r="R1462" s="114"/>
      <c r="S1462" s="125">
        <v>-7664798.8500033803</v>
      </c>
      <c r="T1462" s="125">
        <v>0</v>
      </c>
      <c r="U1462" s="125">
        <v>5661469.6229999997</v>
      </c>
      <c r="V1462" s="125">
        <v>-1.64E-6</v>
      </c>
      <c r="W1462" s="142">
        <v>0</v>
      </c>
      <c r="X1462" s="142">
        <v>5.8126520866110232</v>
      </c>
      <c r="Y1462" s="142">
        <v>72475794.865357965</v>
      </c>
      <c r="Z1462" s="142">
        <v>325.16470226445745</v>
      </c>
    </row>
    <row r="1463" spans="1:26" s="141" customFormat="1">
      <c r="A1463" s="121">
        <v>45119</v>
      </c>
      <c r="B1463" s="125">
        <v>169046049.1867553</v>
      </c>
      <c r="C1463" s="125">
        <v>61119247.776753455</v>
      </c>
      <c r="D1463" s="125">
        <v>69985388.048454225</v>
      </c>
      <c r="E1463" s="125">
        <v>72589985.569727659</v>
      </c>
      <c r="F1463" s="123">
        <v>203694621.39493534</v>
      </c>
      <c r="G1463" s="125">
        <v>0</v>
      </c>
      <c r="H1463" s="125">
        <v>1641.5132085313394</v>
      </c>
      <c r="I1463" s="125">
        <v>972.85149248575738</v>
      </c>
      <c r="J1463" s="125">
        <v>641.92786738348934</v>
      </c>
      <c r="K1463" s="125">
        <v>759.82345499143059</v>
      </c>
      <c r="L1463" s="164">
        <v>2374.6028148606774</v>
      </c>
      <c r="M1463" s="125">
        <v>0</v>
      </c>
      <c r="N1463" s="115">
        <v>15077.5</v>
      </c>
      <c r="O1463" s="139">
        <v>3241.7799999999997</v>
      </c>
      <c r="P1463" s="125">
        <v>-4098347.6359999999</v>
      </c>
      <c r="Q1463" s="125">
        <v>-316218.80069083004</v>
      </c>
      <c r="R1463" s="114"/>
      <c r="S1463" s="125">
        <v>-9093355.5000033807</v>
      </c>
      <c r="T1463" s="125">
        <v>0</v>
      </c>
      <c r="U1463" s="125">
        <v>5383479.3329999996</v>
      </c>
      <c r="V1463" s="125">
        <v>-1.02E-6</v>
      </c>
      <c r="W1463" s="142">
        <v>0</v>
      </c>
      <c r="X1463" s="142">
        <v>5.7886566602297025</v>
      </c>
      <c r="Y1463" s="142">
        <v>72803161.91562891</v>
      </c>
      <c r="Z1463" s="142">
        <v>324.93430603142519</v>
      </c>
    </row>
    <row r="1464" spans="1:26" s="141" customFormat="1">
      <c r="A1464" s="121">
        <v>45120</v>
      </c>
      <c r="B1464" s="125">
        <v>169140768.42999774</v>
      </c>
      <c r="C1464" s="125">
        <v>62507120.054368936</v>
      </c>
      <c r="D1464" s="125">
        <v>70017599.253493384</v>
      </c>
      <c r="E1464" s="125">
        <v>72042892.213743329</v>
      </c>
      <c r="F1464" s="123">
        <v>204567611.52160564</v>
      </c>
      <c r="G1464" s="125">
        <v>0</v>
      </c>
      <c r="H1464" s="125">
        <v>1662.9512679567908</v>
      </c>
      <c r="I1464" s="125">
        <v>952.39148248016579</v>
      </c>
      <c r="J1464" s="125">
        <v>642.684547356297</v>
      </c>
      <c r="K1464" s="125">
        <v>753.70346134337967</v>
      </c>
      <c r="L1464" s="164">
        <v>2348.7794911798424</v>
      </c>
      <c r="M1464" s="125">
        <v>0</v>
      </c>
      <c r="N1464" s="115">
        <v>14967.5</v>
      </c>
      <c r="O1464" s="139">
        <v>3248.86</v>
      </c>
      <c r="P1464" s="125">
        <v>-3506930.16</v>
      </c>
      <c r="Q1464" s="125">
        <v>-204968.32316475001</v>
      </c>
      <c r="R1464" s="114"/>
      <c r="S1464" s="125">
        <v>-9093355.5000033807</v>
      </c>
      <c r="T1464" s="125">
        <v>0</v>
      </c>
      <c r="U1464" s="125">
        <v>5383479.3329999996</v>
      </c>
      <c r="V1464" s="125">
        <v>8.0000000000000002E-8</v>
      </c>
      <c r="W1464" s="142">
        <v>0</v>
      </c>
      <c r="X1464" s="142">
        <v>5.7464247097985792</v>
      </c>
      <c r="Y1464" s="142">
        <v>73773698.885835618</v>
      </c>
      <c r="Z1464" s="142">
        <v>334.90940983175676</v>
      </c>
    </row>
    <row r="1465" spans="1:26" s="141" customFormat="1">
      <c r="A1465" s="121">
        <v>45121</v>
      </c>
      <c r="B1465" s="125">
        <v>168753180.16574427</v>
      </c>
      <c r="C1465" s="125">
        <v>60619931.033040464</v>
      </c>
      <c r="D1465" s="125">
        <v>70252876.994683996</v>
      </c>
      <c r="E1465" s="125">
        <v>72113649.679012209</v>
      </c>
      <c r="F1465" s="123">
        <v>202986457.70673668</v>
      </c>
      <c r="G1465" s="125">
        <v>0</v>
      </c>
      <c r="H1465" s="125">
        <v>1651.1541961087664</v>
      </c>
      <c r="I1465" s="125">
        <v>977.75442449226944</v>
      </c>
      <c r="J1465" s="125">
        <v>638.03430077014684</v>
      </c>
      <c r="K1465" s="125">
        <v>758.94140996467024</v>
      </c>
      <c r="L1465" s="164">
        <v>2374.7301352270865</v>
      </c>
      <c r="M1465" s="125">
        <v>0</v>
      </c>
      <c r="N1465" s="115">
        <v>14957.5</v>
      </c>
      <c r="O1465" s="139">
        <v>3302.6099999999997</v>
      </c>
      <c r="P1465" s="125">
        <v>-4531227.8600000003</v>
      </c>
      <c r="Q1465" s="125">
        <v>-204831.38090774999</v>
      </c>
      <c r="R1465" s="114"/>
      <c r="S1465" s="125">
        <v>-9093355.5000033807</v>
      </c>
      <c r="T1465" s="125">
        <v>0</v>
      </c>
      <c r="U1465" s="125">
        <v>5568744.5130000003</v>
      </c>
      <c r="V1465" s="125">
        <v>1.8E-7</v>
      </c>
      <c r="W1465" s="142">
        <v>0</v>
      </c>
      <c r="X1465" s="142">
        <v>5.7425854415775675</v>
      </c>
      <c r="Y1465" s="142">
        <v>73623879.014125377</v>
      </c>
      <c r="Z1465" s="142">
        <v>334.81377179090435</v>
      </c>
    </row>
    <row r="1466" spans="1:26" s="141" customFormat="1">
      <c r="A1466" s="121">
        <v>45124</v>
      </c>
      <c r="B1466" s="125">
        <v>169343771.33157939</v>
      </c>
      <c r="C1466" s="125">
        <v>61940599.309231102</v>
      </c>
      <c r="D1466" s="125">
        <v>70026838.762042552</v>
      </c>
      <c r="E1466" s="125">
        <v>72934845.060448766</v>
      </c>
      <c r="F1466" s="123">
        <v>204902283.13172242</v>
      </c>
      <c r="G1466" s="125">
        <v>0</v>
      </c>
      <c r="H1466" s="125">
        <v>1589.4760595751857</v>
      </c>
      <c r="I1466" s="125">
        <v>934.20753886175896</v>
      </c>
      <c r="J1466" s="125">
        <v>617.40686644029881</v>
      </c>
      <c r="K1466" s="125">
        <v>737.89941969521885</v>
      </c>
      <c r="L1466" s="164">
        <v>2289.5138249972765</v>
      </c>
      <c r="M1466" s="125">
        <v>-45</v>
      </c>
      <c r="N1466" s="115">
        <v>15005</v>
      </c>
      <c r="O1466" s="139">
        <v>3295.99</v>
      </c>
      <c r="P1466" s="125">
        <v>-4047281.5</v>
      </c>
      <c r="Q1466" s="125">
        <v>-205481.85662850001</v>
      </c>
      <c r="R1466" s="114"/>
      <c r="S1466" s="125">
        <v>-8129775.5000033807</v>
      </c>
      <c r="T1466" s="125">
        <v>0</v>
      </c>
      <c r="U1466" s="125">
        <v>5383101.0729999999</v>
      </c>
      <c r="V1466" s="125">
        <v>-2.8999999999999998E-7</v>
      </c>
      <c r="W1466" s="142">
        <v>0</v>
      </c>
      <c r="X1466" s="142">
        <v>5.5657871399999994</v>
      </c>
      <c r="Y1466" s="142">
        <v>73125747.580571786</v>
      </c>
      <c r="Z1466" s="142">
        <v>322.96525164116696</v>
      </c>
    </row>
    <row r="1467" spans="1:26" s="141" customFormat="1">
      <c r="A1467" s="121">
        <v>45125</v>
      </c>
      <c r="B1467" s="125">
        <v>169090291.02483231</v>
      </c>
      <c r="C1467" s="125">
        <v>62640995.14608261</v>
      </c>
      <c r="D1467" s="125">
        <v>70043005.485206395</v>
      </c>
      <c r="E1467" s="125">
        <v>72997445.544909209</v>
      </c>
      <c r="F1467" s="123">
        <v>205681446.17619821</v>
      </c>
      <c r="G1467" s="125">
        <v>0</v>
      </c>
      <c r="H1467" s="125">
        <v>1575.9505647943245</v>
      </c>
      <c r="I1467" s="125">
        <v>938.6525004580385</v>
      </c>
      <c r="J1467" s="125">
        <v>619.91552165281621</v>
      </c>
      <c r="K1467" s="125">
        <v>738.78669925717043</v>
      </c>
      <c r="L1467" s="164">
        <v>2297.3547213680249</v>
      </c>
      <c r="M1467" s="125">
        <v>-45</v>
      </c>
      <c r="N1467" s="115">
        <v>14995</v>
      </c>
      <c r="O1467" s="139">
        <v>3304.6850000000004</v>
      </c>
      <c r="P1467" s="125">
        <v>-4047281.5</v>
      </c>
      <c r="Q1467" s="125">
        <v>-205344.9143715</v>
      </c>
      <c r="R1467" s="114"/>
      <c r="S1467" s="125">
        <v>-6015471.5000033807</v>
      </c>
      <c r="T1467" s="125">
        <v>0</v>
      </c>
      <c r="U1467" s="125">
        <v>5191696.1749999998</v>
      </c>
      <c r="V1467" s="125">
        <v>-1.9000000000000001E-7</v>
      </c>
      <c r="W1467" s="142">
        <v>100000</v>
      </c>
      <c r="X1467" s="142">
        <v>2.5657871400000003</v>
      </c>
      <c r="Y1467" s="142">
        <v>72405214.504558161</v>
      </c>
      <c r="Z1467" s="142">
        <v>325.43360186300566</v>
      </c>
    </row>
    <row r="1468" spans="1:26" s="141" customFormat="1">
      <c r="A1468" s="121">
        <v>45127</v>
      </c>
      <c r="B1468" s="125">
        <v>169267912.56070554</v>
      </c>
      <c r="C1468" s="125">
        <v>63905773.03620708</v>
      </c>
      <c r="D1468" s="125">
        <v>69907410.389684841</v>
      </c>
      <c r="E1468" s="125">
        <v>73080294.171545982</v>
      </c>
      <c r="F1468" s="123">
        <v>206893477.59743792</v>
      </c>
      <c r="G1468" s="125">
        <v>0</v>
      </c>
      <c r="H1468" s="125">
        <v>1588.9775019368594</v>
      </c>
      <c r="I1468" s="125">
        <v>945.97522651330974</v>
      </c>
      <c r="J1468" s="125">
        <v>619.74011672721917</v>
      </c>
      <c r="K1468" s="125">
        <v>734.6485915254508</v>
      </c>
      <c r="L1468" s="164">
        <v>2300.3639347659796</v>
      </c>
      <c r="M1468" s="125">
        <v>-45</v>
      </c>
      <c r="N1468" s="115">
        <v>14987.5</v>
      </c>
      <c r="O1468" s="139">
        <v>3292.87</v>
      </c>
      <c r="P1468" s="125">
        <v>-4047281.5</v>
      </c>
      <c r="Q1468" s="125">
        <v>0</v>
      </c>
      <c r="R1468" s="114"/>
      <c r="S1468" s="125">
        <v>-4000793.45000338</v>
      </c>
      <c r="T1468" s="125">
        <v>0</v>
      </c>
      <c r="U1468" s="125">
        <v>5191696.1749999998</v>
      </c>
      <c r="V1468" s="125">
        <v>-1.1000000000000001E-7</v>
      </c>
      <c r="W1468" s="142">
        <v>100000</v>
      </c>
      <c r="X1468" s="142">
        <v>5.5657871399999994</v>
      </c>
      <c r="Y1468" s="142">
        <v>72311133.144932687</v>
      </c>
      <c r="Z1468" s="142">
        <v>317.79313117150082</v>
      </c>
    </row>
    <row r="1469" spans="1:26" s="141" customFormat="1">
      <c r="A1469" s="121">
        <v>45128</v>
      </c>
      <c r="B1469" s="125">
        <v>168900424.56402108</v>
      </c>
      <c r="C1469" s="125">
        <v>63524405.899824902</v>
      </c>
      <c r="D1469" s="125">
        <v>69328984.166923851</v>
      </c>
      <c r="E1469" s="125">
        <v>72189441.032016665</v>
      </c>
      <c r="F1469" s="123">
        <v>205042831.09876543</v>
      </c>
      <c r="G1469" s="125">
        <v>0</v>
      </c>
      <c r="H1469" s="125">
        <v>1584.8855496458584</v>
      </c>
      <c r="I1469" s="125">
        <v>946.61958299251899</v>
      </c>
      <c r="J1469" s="125">
        <v>614.97110069046391</v>
      </c>
      <c r="K1469" s="125">
        <v>739.05810422417028</v>
      </c>
      <c r="L1469" s="164">
        <v>2300.6487879071533</v>
      </c>
      <c r="M1469" s="125">
        <v>-45</v>
      </c>
      <c r="N1469" s="115">
        <v>15025</v>
      </c>
      <c r="O1469" s="139">
        <v>3296.7650000000003</v>
      </c>
      <c r="P1469" s="125">
        <v>-3000579.43</v>
      </c>
      <c r="Q1469" s="125">
        <v>0</v>
      </c>
      <c r="R1469" s="114"/>
      <c r="S1469" s="125">
        <v>-4000793.45000338</v>
      </c>
      <c r="T1469" s="125">
        <v>0</v>
      </c>
      <c r="U1469" s="125">
        <v>5750962.665</v>
      </c>
      <c r="V1469" s="125">
        <v>-4.8999999999999997E-7</v>
      </c>
      <c r="W1469" s="142">
        <v>0</v>
      </c>
      <c r="X1469" s="142">
        <v>5.5657871400000003</v>
      </c>
      <c r="Y1469" s="142">
        <v>72138386.136431396</v>
      </c>
      <c r="Z1469" s="142">
        <v>316.76743055146886</v>
      </c>
    </row>
    <row r="1470" spans="1:26" s="141" customFormat="1">
      <c r="A1470" s="121">
        <v>45131</v>
      </c>
      <c r="B1470" s="125">
        <v>169364913.84202975</v>
      </c>
      <c r="C1470" s="125">
        <v>64283439.146899916</v>
      </c>
      <c r="D1470" s="125">
        <v>69874673.868638188</v>
      </c>
      <c r="E1470" s="125">
        <v>72171217.680671155</v>
      </c>
      <c r="F1470" s="123">
        <v>206329330.69620925</v>
      </c>
      <c r="G1470" s="125">
        <v>0</v>
      </c>
      <c r="H1470" s="125">
        <v>1608.6223952530345</v>
      </c>
      <c r="I1470" s="125">
        <v>962.08909600694608</v>
      </c>
      <c r="J1470" s="125">
        <v>615.72466585375935</v>
      </c>
      <c r="K1470" s="125">
        <v>734.8809085227067</v>
      </c>
      <c r="L1470" s="164">
        <v>2312.6946703834119</v>
      </c>
      <c r="M1470" s="125">
        <v>-45</v>
      </c>
      <c r="N1470" s="115">
        <v>15022.5</v>
      </c>
      <c r="O1470" s="139">
        <v>3281.46</v>
      </c>
      <c r="P1470" s="125">
        <v>-3673122.6039999998</v>
      </c>
      <c r="Q1470" s="125">
        <v>0</v>
      </c>
      <c r="R1470" s="114"/>
      <c r="S1470" s="125">
        <v>-5512906.6500033801</v>
      </c>
      <c r="T1470" s="125">
        <v>0</v>
      </c>
      <c r="U1470" s="125">
        <v>5750962.665</v>
      </c>
      <c r="V1470" s="125">
        <v>-4.6000000000000004E-7</v>
      </c>
      <c r="W1470" s="142">
        <v>0</v>
      </c>
      <c r="X1470" s="142">
        <v>5.5657871400000003</v>
      </c>
      <c r="Y1470" s="142">
        <v>71937470.35041903</v>
      </c>
      <c r="Z1470" s="142">
        <v>315.89545610418628</v>
      </c>
    </row>
    <row r="1471" spans="1:26" s="141" customFormat="1">
      <c r="A1471" s="121">
        <v>45132</v>
      </c>
      <c r="B1471" s="125">
        <v>169172258.70211864</v>
      </c>
      <c r="C1471" s="125">
        <v>64720845.118554488</v>
      </c>
      <c r="D1471" s="125">
        <v>70435315.840688035</v>
      </c>
      <c r="E1471" s="125">
        <v>72526255.018275127</v>
      </c>
      <c r="F1471" s="123">
        <v>207682415.97751766</v>
      </c>
      <c r="G1471" s="125">
        <v>-590000</v>
      </c>
      <c r="H1471" s="125">
        <v>1611.3172965255419</v>
      </c>
      <c r="I1471" s="125">
        <v>974.68544665214699</v>
      </c>
      <c r="J1471" s="125">
        <v>618.10038404885495</v>
      </c>
      <c r="K1471" s="125">
        <v>742.85915687240367</v>
      </c>
      <c r="L1471" s="164">
        <v>2335.6449875734056</v>
      </c>
      <c r="M1471" s="125">
        <v>-45</v>
      </c>
      <c r="N1471" s="115">
        <v>14992.5</v>
      </c>
      <c r="O1471" s="139">
        <v>3287.11</v>
      </c>
      <c r="P1471" s="125">
        <v>-2166108.4040000001</v>
      </c>
      <c r="Q1471" s="125">
        <v>0</v>
      </c>
      <c r="R1471" s="114"/>
      <c r="S1471" s="125">
        <v>-5512906.6500033801</v>
      </c>
      <c r="T1471" s="125">
        <v>0</v>
      </c>
      <c r="U1471" s="125">
        <v>5750962.665</v>
      </c>
      <c r="V1471" s="125">
        <v>-1.6E-7</v>
      </c>
      <c r="W1471" s="142">
        <v>0</v>
      </c>
      <c r="X1471" s="142">
        <v>5.5657871400000003</v>
      </c>
      <c r="Y1471" s="142">
        <v>73157410.433765113</v>
      </c>
      <c r="Z1471" s="142">
        <v>314.66275177588608</v>
      </c>
    </row>
    <row r="1472" spans="1:26" s="141" customFormat="1">
      <c r="A1472" s="121">
        <v>45133</v>
      </c>
      <c r="B1472" s="125">
        <v>169247790.23860368</v>
      </c>
      <c r="C1472" s="125">
        <v>64818166.205776848</v>
      </c>
      <c r="D1472" s="125">
        <v>70725703.71798335</v>
      </c>
      <c r="E1472" s="125">
        <v>72177461.406460568</v>
      </c>
      <c r="F1472" s="123">
        <v>207721331.33022076</v>
      </c>
      <c r="G1472" s="125">
        <v>-500000</v>
      </c>
      <c r="H1472" s="125">
        <v>1602.3407247553898</v>
      </c>
      <c r="I1472" s="125">
        <v>953.32591688816649</v>
      </c>
      <c r="J1472" s="125">
        <v>620.65810537721029</v>
      </c>
      <c r="K1472" s="125">
        <v>742.43767850869472</v>
      </c>
      <c r="L1472" s="164">
        <v>2316.4217007740717</v>
      </c>
      <c r="M1472" s="125">
        <v>-45</v>
      </c>
      <c r="N1472" s="115">
        <v>15017.5</v>
      </c>
      <c r="O1472" s="139">
        <v>3298.375</v>
      </c>
      <c r="P1472" s="125">
        <v>-4140969.1770000001</v>
      </c>
      <c r="Q1472" s="125">
        <v>0</v>
      </c>
      <c r="R1472" s="114"/>
      <c r="S1472" s="125">
        <v>-3737505.20000338</v>
      </c>
      <c r="T1472" s="125">
        <v>0</v>
      </c>
      <c r="U1472" s="125">
        <v>5750962.665</v>
      </c>
      <c r="V1472" s="125">
        <v>-4.0999999999999999E-7</v>
      </c>
      <c r="W1472" s="142">
        <v>0</v>
      </c>
      <c r="X1472" s="142">
        <v>5.5657871400000003</v>
      </c>
      <c r="Y1472" s="142">
        <v>73432573.169955432</v>
      </c>
      <c r="Z1472" s="142">
        <v>320.00756009656521</v>
      </c>
    </row>
    <row r="1473" spans="1:26" s="141" customFormat="1">
      <c r="A1473" s="121">
        <v>45134</v>
      </c>
      <c r="B1473" s="125">
        <v>169426174.13143688</v>
      </c>
      <c r="C1473" s="125">
        <v>64028236.393401474</v>
      </c>
      <c r="D1473" s="125">
        <v>70473504.796743542</v>
      </c>
      <c r="E1473" s="125">
        <v>72029169.633035034</v>
      </c>
      <c r="F1473" s="123">
        <v>206530910.82318005</v>
      </c>
      <c r="G1473" s="125">
        <v>-265000</v>
      </c>
      <c r="H1473" s="125">
        <v>1604.6712188898343</v>
      </c>
      <c r="I1473" s="125">
        <v>982.84631716646754</v>
      </c>
      <c r="J1473" s="125">
        <v>625.92139335740853</v>
      </c>
      <c r="K1473" s="125">
        <v>728.74575227945729</v>
      </c>
      <c r="L1473" s="164">
        <v>2337.5134628033334</v>
      </c>
      <c r="M1473" s="125">
        <v>-45</v>
      </c>
      <c r="N1473" s="115">
        <v>15000</v>
      </c>
      <c r="O1473" s="139">
        <v>3320.4250000000002</v>
      </c>
      <c r="P1473" s="125">
        <v>-4557131.2139999997</v>
      </c>
      <c r="Q1473" s="125">
        <v>0</v>
      </c>
      <c r="R1473" s="114"/>
      <c r="S1473" s="125">
        <v>-3737505.20000338</v>
      </c>
      <c r="T1473" s="125">
        <v>0</v>
      </c>
      <c r="U1473" s="125">
        <v>5750962.665</v>
      </c>
      <c r="V1473" s="125">
        <v>-2.3000000000000002E-7</v>
      </c>
      <c r="W1473" s="142">
        <v>0</v>
      </c>
      <c r="X1473" s="142">
        <v>4.5657871400000003</v>
      </c>
      <c r="Y1473" s="142">
        <v>73151458.589957491</v>
      </c>
      <c r="Z1473" s="142">
        <v>332.61860465889589</v>
      </c>
    </row>
    <row r="1474" spans="1:26" s="141" customFormat="1">
      <c r="A1474" s="121">
        <v>45135</v>
      </c>
      <c r="B1474" s="125">
        <v>169151994.36160433</v>
      </c>
      <c r="C1474" s="125">
        <v>61584860.822932281</v>
      </c>
      <c r="D1474" s="125">
        <v>70881641.950570181</v>
      </c>
      <c r="E1474" s="125">
        <v>72195760.198888928</v>
      </c>
      <c r="F1474" s="123">
        <v>204662262.9723914</v>
      </c>
      <c r="G1474" s="125">
        <v>-1150000</v>
      </c>
      <c r="H1474" s="125">
        <v>1595.0083785613135</v>
      </c>
      <c r="I1474" s="125">
        <v>949.45839900040789</v>
      </c>
      <c r="J1474" s="125">
        <v>622.43059662193616</v>
      </c>
      <c r="K1474" s="125">
        <v>744.44129118468834</v>
      </c>
      <c r="L1474" s="164">
        <v>2316.3302868070323</v>
      </c>
      <c r="M1474" s="125">
        <v>-45</v>
      </c>
      <c r="N1474" s="115">
        <v>15094.5</v>
      </c>
      <c r="O1474" s="139">
        <v>3314.1949999999997</v>
      </c>
      <c r="P1474" s="125">
        <v>-5913398.6739999996</v>
      </c>
      <c r="Q1474" s="125">
        <v>0</v>
      </c>
      <c r="R1474" s="114"/>
      <c r="S1474" s="125">
        <v>-3737505.20000338</v>
      </c>
      <c r="T1474" s="125">
        <v>0</v>
      </c>
      <c r="U1474" s="125">
        <v>5750962.665</v>
      </c>
      <c r="V1474" s="125">
        <v>-1.17E-6</v>
      </c>
      <c r="W1474" s="142">
        <v>0</v>
      </c>
      <c r="X1474" s="142">
        <v>4.5657871399999994</v>
      </c>
      <c r="Y1474" s="142">
        <v>73175603.542610064</v>
      </c>
      <c r="Z1474" s="142">
        <v>342.31097486907549</v>
      </c>
    </row>
    <row r="1475" spans="1:26" s="141" customFormat="1">
      <c r="A1475" s="121">
        <v>45138</v>
      </c>
      <c r="B1475" s="136">
        <v>172344595.18865299</v>
      </c>
      <c r="C1475" s="136">
        <v>61028796.655556999</v>
      </c>
      <c r="D1475" s="136">
        <v>70826883.925136</v>
      </c>
      <c r="E1475" s="136">
        <v>71268710.756285995</v>
      </c>
      <c r="F1475" s="137">
        <v>203124391.336979</v>
      </c>
      <c r="G1475" s="142">
        <v>0</v>
      </c>
      <c r="H1475" s="136">
        <v>1599.2206603129312</v>
      </c>
      <c r="I1475" s="136">
        <v>963.54969197950925</v>
      </c>
      <c r="J1475" s="136">
        <v>658.35067007539783</v>
      </c>
      <c r="K1475" s="136">
        <v>740.29071076830246</v>
      </c>
      <c r="L1475" s="165">
        <v>2362.1910728232097</v>
      </c>
      <c r="M1475" s="125">
        <v>-45</v>
      </c>
      <c r="N1475" s="115">
        <v>15080</v>
      </c>
      <c r="O1475" s="139">
        <v>3351.4850000000001</v>
      </c>
      <c r="P1475" s="125">
        <v>-6824915.3870000001</v>
      </c>
      <c r="Q1475" s="125">
        <v>0</v>
      </c>
      <c r="R1475" s="114"/>
      <c r="S1475" s="125">
        <v>-8532332.8500033803</v>
      </c>
      <c r="T1475" s="125">
        <v>0</v>
      </c>
      <c r="U1475" s="125">
        <v>5750962.665</v>
      </c>
      <c r="V1475" s="125">
        <v>-1.02E-6</v>
      </c>
      <c r="W1475" s="142">
        <v>0</v>
      </c>
      <c r="X1475" s="142">
        <v>12.565787139999999</v>
      </c>
      <c r="Y1475" s="142">
        <v>72916292.404003054</v>
      </c>
      <c r="Z1475" s="142">
        <v>342.21527252022145</v>
      </c>
    </row>
    <row r="1476" spans="1:26" s="141" customFormat="1">
      <c r="A1476" s="121">
        <v>45139</v>
      </c>
      <c r="B1476" s="125">
        <v>168832584.04098737</v>
      </c>
      <c r="C1476" s="125">
        <v>60261358.028457448</v>
      </c>
      <c r="D1476" s="125">
        <v>70553140.211101487</v>
      </c>
      <c r="E1476" s="125">
        <v>73965570.105178267</v>
      </c>
      <c r="F1476" s="123">
        <v>204780068.3447372</v>
      </c>
      <c r="G1476" s="125">
        <v>0</v>
      </c>
      <c r="H1476" s="125">
        <v>1611.3207032474911</v>
      </c>
      <c r="I1476" s="125">
        <v>945.18882121691297</v>
      </c>
      <c r="J1476" s="125">
        <v>660.55091011484399</v>
      </c>
      <c r="K1476" s="125">
        <v>740.97247373908965</v>
      </c>
      <c r="L1476" s="164">
        <v>2346.7122050708467</v>
      </c>
      <c r="M1476" s="125">
        <v>-45</v>
      </c>
      <c r="N1476" s="115">
        <v>15115</v>
      </c>
      <c r="O1476" s="139">
        <v>3349.2150000000001</v>
      </c>
      <c r="P1476" s="125">
        <v>-6209247.8930000002</v>
      </c>
      <c r="Q1476" s="125">
        <v>0</v>
      </c>
      <c r="R1476" s="114"/>
      <c r="S1476" s="125">
        <v>-8532332.8500033803</v>
      </c>
      <c r="T1476" s="125">
        <v>0</v>
      </c>
      <c r="U1476" s="125">
        <v>5750962.665</v>
      </c>
      <c r="V1476" s="125">
        <v>-1.37E-6</v>
      </c>
      <c r="W1476" s="142">
        <v>0</v>
      </c>
      <c r="X1476" s="142">
        <v>17.565787139999998</v>
      </c>
      <c r="Y1476" s="142">
        <v>73225505.530193478</v>
      </c>
      <c r="Z1476" s="142">
        <v>344.05167071637175</v>
      </c>
    </row>
    <row r="1477" spans="1:26" s="141" customFormat="1">
      <c r="A1477" s="121">
        <v>45140</v>
      </c>
      <c r="B1477" s="125">
        <v>168624897.67271978</v>
      </c>
      <c r="C1477" s="125">
        <v>60675726.401824564</v>
      </c>
      <c r="D1477" s="125">
        <v>70495301.545723349</v>
      </c>
      <c r="E1477" s="125">
        <v>73667857.623758301</v>
      </c>
      <c r="F1477" s="123">
        <v>204838885.57130623</v>
      </c>
      <c r="G1477" s="125">
        <v>0</v>
      </c>
      <c r="H1477" s="125">
        <v>1649.7497890288864</v>
      </c>
      <c r="I1477" s="125">
        <v>955.60907245369287</v>
      </c>
      <c r="J1477" s="125">
        <v>663.48046309675249</v>
      </c>
      <c r="K1477" s="125">
        <v>740.82355102852796</v>
      </c>
      <c r="L1477" s="164">
        <v>2359.9130865789734</v>
      </c>
      <c r="M1477" s="125">
        <v>-45</v>
      </c>
      <c r="N1477" s="115">
        <v>15175</v>
      </c>
      <c r="O1477" s="139">
        <v>3339.94</v>
      </c>
      <c r="P1477" s="125">
        <v>-6291337.9929999998</v>
      </c>
      <c r="Q1477" s="125">
        <v>0</v>
      </c>
      <c r="R1477" s="114"/>
      <c r="S1477" s="125">
        <v>-9635168.3500033803</v>
      </c>
      <c r="T1477" s="125">
        <v>0</v>
      </c>
      <c r="U1477" s="125">
        <v>5750962.665</v>
      </c>
      <c r="V1477" s="125">
        <v>-1.9699999999999998E-6</v>
      </c>
      <c r="W1477" s="142">
        <v>0</v>
      </c>
      <c r="X1477" s="142">
        <v>12.565787139999999</v>
      </c>
      <c r="Y1477" s="142">
        <v>73704290.651324779</v>
      </c>
      <c r="Z1477" s="142">
        <v>340.21907858249222</v>
      </c>
    </row>
    <row r="1478" spans="1:26" s="141" customFormat="1">
      <c r="A1478" s="121">
        <v>45141</v>
      </c>
      <c r="B1478" s="125">
        <v>168413960.92093149</v>
      </c>
      <c r="C1478" s="125">
        <v>60060049.265247509</v>
      </c>
      <c r="D1478" s="125">
        <v>70262722.06355235</v>
      </c>
      <c r="E1478" s="125">
        <v>72419976.001788691</v>
      </c>
      <c r="F1478" s="123">
        <v>202742747.33058855</v>
      </c>
      <c r="G1478" s="125">
        <v>0</v>
      </c>
      <c r="H1478" s="125">
        <v>1648.8829203162543</v>
      </c>
      <c r="I1478" s="125">
        <v>940.14260206765425</v>
      </c>
      <c r="J1478" s="125">
        <v>664.12106622845192</v>
      </c>
      <c r="K1478" s="125">
        <v>739.55167369783612</v>
      </c>
      <c r="L1478" s="164">
        <v>2343.8153419939422</v>
      </c>
      <c r="M1478" s="125">
        <v>-45</v>
      </c>
      <c r="N1478" s="115">
        <v>15185</v>
      </c>
      <c r="O1478" s="139">
        <v>3333.335</v>
      </c>
      <c r="P1478" s="125">
        <v>-5265225.5029999996</v>
      </c>
      <c r="Q1478" s="125">
        <v>0</v>
      </c>
      <c r="R1478" s="114"/>
      <c r="S1478" s="125">
        <v>-9635168.3500033803</v>
      </c>
      <c r="T1478" s="125">
        <v>0</v>
      </c>
      <c r="U1478" s="125">
        <v>5750962.665</v>
      </c>
      <c r="V1478" s="125">
        <v>-2.0699999999999997E-6</v>
      </c>
      <c r="W1478" s="142">
        <v>0</v>
      </c>
      <c r="X1478" s="142">
        <v>15.565787139999999</v>
      </c>
      <c r="Y1478" s="142">
        <v>73693780.00490661</v>
      </c>
      <c r="Z1478" s="142">
        <v>338.35289612720373</v>
      </c>
    </row>
    <row r="1479" spans="1:26" s="141" customFormat="1">
      <c r="A1479" s="121">
        <v>45142</v>
      </c>
      <c r="B1479" s="125">
        <v>167992700.08481008</v>
      </c>
      <c r="C1479" s="125">
        <v>58459616.59784323</v>
      </c>
      <c r="D1479" s="125">
        <v>70079242.173606366</v>
      </c>
      <c r="E1479" s="125">
        <v>72511508.576743841</v>
      </c>
      <c r="F1479" s="123">
        <v>201050367.34819344</v>
      </c>
      <c r="G1479" s="125">
        <v>0</v>
      </c>
      <c r="H1479" s="125">
        <v>1644.0373529421545</v>
      </c>
      <c r="I1479" s="125">
        <v>925.55049478826743</v>
      </c>
      <c r="J1479" s="125">
        <v>663.30336500786325</v>
      </c>
      <c r="K1479" s="125">
        <v>753.83482386693788</v>
      </c>
      <c r="L1479" s="164">
        <v>2342.6886836630683</v>
      </c>
      <c r="M1479" s="125">
        <v>-45</v>
      </c>
      <c r="N1479" s="115">
        <v>15170</v>
      </c>
      <c r="O1479" s="139">
        <v>3333.7</v>
      </c>
      <c r="P1479" s="125">
        <v>-6305553.3030000003</v>
      </c>
      <c r="Q1479" s="125">
        <v>0</v>
      </c>
      <c r="R1479" s="114"/>
      <c r="S1479" s="125">
        <v>-9060236.3500033803</v>
      </c>
      <c r="T1479" s="125">
        <v>0</v>
      </c>
      <c r="U1479" s="125">
        <v>5461470.3449999997</v>
      </c>
      <c r="V1479" s="125">
        <v>-1.9199999999999998E-6</v>
      </c>
      <c r="W1479" s="142">
        <v>0</v>
      </c>
      <c r="X1479" s="142">
        <v>15.565787139999999</v>
      </c>
      <c r="Y1479" s="142">
        <v>73499230.926121712</v>
      </c>
      <c r="Z1479" s="142">
        <v>341.6225253104476</v>
      </c>
    </row>
    <row r="1480" spans="1:26" s="141" customFormat="1">
      <c r="A1480" s="121">
        <v>45145</v>
      </c>
      <c r="B1480" s="125">
        <v>167467612.60444954</v>
      </c>
      <c r="C1480" s="125">
        <v>60988777.92007985</v>
      </c>
      <c r="D1480" s="125">
        <v>69846198.622630686</v>
      </c>
      <c r="E1480" s="125">
        <v>73327152.902056292</v>
      </c>
      <c r="F1480" s="123">
        <v>204162129.44476682</v>
      </c>
      <c r="G1480" s="125">
        <v>0</v>
      </c>
      <c r="H1480" s="125">
        <v>1668.1852584198657</v>
      </c>
      <c r="I1480" s="125">
        <v>919.31992578842755</v>
      </c>
      <c r="J1480" s="125">
        <v>667.51498259419975</v>
      </c>
      <c r="K1480" s="125">
        <v>758.34295691600903</v>
      </c>
      <c r="L1480" s="164">
        <v>2345.1778652986363</v>
      </c>
      <c r="M1480" s="125">
        <v>-45</v>
      </c>
      <c r="N1480" s="115">
        <v>15185</v>
      </c>
      <c r="O1480" s="139">
        <v>3330.0450000000001</v>
      </c>
      <c r="P1480" s="125">
        <v>-6916908.051</v>
      </c>
      <c r="Q1480" s="125">
        <v>0</v>
      </c>
      <c r="R1480" s="114"/>
      <c r="S1480" s="125">
        <v>-6043958.5500033796</v>
      </c>
      <c r="T1480" s="125">
        <v>0</v>
      </c>
      <c r="U1480" s="125">
        <v>5461470.3449999997</v>
      </c>
      <c r="V1480" s="125">
        <v>-2.0699999999999997E-6</v>
      </c>
      <c r="W1480" s="142">
        <v>0</v>
      </c>
      <c r="X1480" s="142">
        <v>5.5657871400000003</v>
      </c>
      <c r="Y1480" s="142">
        <v>73074331.691202417</v>
      </c>
      <c r="Z1480" s="142">
        <v>339.89314085718064</v>
      </c>
    </row>
    <row r="1481" spans="1:26" s="141" customFormat="1">
      <c r="A1481" s="121">
        <v>45146</v>
      </c>
      <c r="B1481" s="125">
        <v>167303987.02557075</v>
      </c>
      <c r="C1481" s="125">
        <v>61746604.922491625</v>
      </c>
      <c r="D1481" s="125">
        <v>70318632.27182366</v>
      </c>
      <c r="E1481" s="125">
        <v>75218309.294836417</v>
      </c>
      <c r="F1481" s="123">
        <v>207283546.48915172</v>
      </c>
      <c r="G1481" s="125">
        <v>0</v>
      </c>
      <c r="H1481" s="125">
        <v>1665.5474059068611</v>
      </c>
      <c r="I1481" s="125">
        <v>913.38215245450203</v>
      </c>
      <c r="J1481" s="125">
        <v>667.75899043213849</v>
      </c>
      <c r="K1481" s="125">
        <v>754.57179828821995</v>
      </c>
      <c r="L1481" s="164">
        <v>2335.7129411748601</v>
      </c>
      <c r="M1481" s="125">
        <v>-45</v>
      </c>
      <c r="N1481" s="115">
        <v>15217.5</v>
      </c>
      <c r="O1481" s="139">
        <v>3322.2350000000001</v>
      </c>
      <c r="P1481" s="125">
        <v>-7522759.7189999996</v>
      </c>
      <c r="Q1481" s="125">
        <v>0</v>
      </c>
      <c r="R1481" s="114"/>
      <c r="S1481" s="125">
        <v>-6043958.5500033796</v>
      </c>
      <c r="T1481" s="125">
        <v>0</v>
      </c>
      <c r="U1481" s="125">
        <v>5461470.3449999997</v>
      </c>
      <c r="V1481" s="125">
        <v>-2.3999999999999999E-6</v>
      </c>
      <c r="W1481" s="142">
        <v>0</v>
      </c>
      <c r="X1481" s="142">
        <v>5.5657871399999994</v>
      </c>
      <c r="Y1481" s="142">
        <v>73985366.491569743</v>
      </c>
      <c r="Z1481" s="142">
        <v>342.8290825581318</v>
      </c>
    </row>
    <row r="1482" spans="1:26" s="141" customFormat="1">
      <c r="A1482" s="121">
        <v>45147</v>
      </c>
      <c r="B1482" s="125">
        <v>167091706.2045255</v>
      </c>
      <c r="C1482" s="125">
        <v>61896533.360652618</v>
      </c>
      <c r="D1482" s="125">
        <v>70289365.681428179</v>
      </c>
      <c r="E1482" s="125">
        <v>75037331.096835196</v>
      </c>
      <c r="F1482" s="123">
        <v>207223230.13891599</v>
      </c>
      <c r="G1482" s="125">
        <v>0</v>
      </c>
      <c r="H1482" s="125">
        <v>1677.8613897417206</v>
      </c>
      <c r="I1482" s="125">
        <v>915.24587769322261</v>
      </c>
      <c r="J1482" s="125">
        <v>667.94725552079751</v>
      </c>
      <c r="K1482" s="125">
        <v>744.73815670286945</v>
      </c>
      <c r="L1482" s="164">
        <v>2327.9312899168899</v>
      </c>
      <c r="M1482" s="125">
        <v>-45</v>
      </c>
      <c r="N1482" s="115">
        <v>15190.5</v>
      </c>
      <c r="O1482" s="139">
        <v>3323.6000000000004</v>
      </c>
      <c r="P1482" s="125">
        <v>-6603000.9709999999</v>
      </c>
      <c r="Q1482" s="125">
        <v>0</v>
      </c>
      <c r="R1482" s="114"/>
      <c r="S1482" s="125">
        <v>-4863353.5500033796</v>
      </c>
      <c r="T1482" s="125">
        <v>0</v>
      </c>
      <c r="U1482" s="125">
        <v>5461470.3449999997</v>
      </c>
      <c r="V1482" s="125">
        <v>-2.1299999999999999E-6</v>
      </c>
      <c r="W1482" s="142">
        <v>0</v>
      </c>
      <c r="X1482" s="142">
        <v>0.56578713999999997</v>
      </c>
      <c r="Y1482" s="142">
        <v>73867945.607985005</v>
      </c>
      <c r="Z1482" s="142">
        <v>341.57361147271456</v>
      </c>
    </row>
    <row r="1483" spans="1:26" s="141" customFormat="1">
      <c r="A1483" s="121">
        <v>45148</v>
      </c>
      <c r="B1483" s="125">
        <v>167317409.2544941</v>
      </c>
      <c r="C1483" s="125">
        <v>60540162.665804625</v>
      </c>
      <c r="D1483" s="125">
        <v>70456738.569719523</v>
      </c>
      <c r="E1483" s="125">
        <v>74913885.12028414</v>
      </c>
      <c r="F1483" s="123">
        <v>205910786.35580829</v>
      </c>
      <c r="G1483" s="125">
        <v>0</v>
      </c>
      <c r="H1483" s="125">
        <v>1659.3212849037482</v>
      </c>
      <c r="I1483" s="125">
        <v>955.31558402125506</v>
      </c>
      <c r="J1483" s="125">
        <v>670.59231109482971</v>
      </c>
      <c r="K1483" s="125">
        <v>752.75527378031938</v>
      </c>
      <c r="L1483" s="164">
        <v>2378.6631688964044</v>
      </c>
      <c r="M1483" s="125">
        <v>-45</v>
      </c>
      <c r="N1483" s="115">
        <v>15185</v>
      </c>
      <c r="O1483" s="139">
        <v>3320.5749999999998</v>
      </c>
      <c r="P1483" s="125">
        <v>-6603000.9709999999</v>
      </c>
      <c r="Q1483" s="125">
        <v>0</v>
      </c>
      <c r="R1483" s="114"/>
      <c r="S1483" s="125">
        <v>-4863353.5500033796</v>
      </c>
      <c r="T1483" s="125">
        <v>0</v>
      </c>
      <c r="U1483" s="125">
        <v>5461470.3449999997</v>
      </c>
      <c r="V1483" s="125">
        <v>-2.0699999999999997E-6</v>
      </c>
      <c r="W1483" s="142">
        <v>0</v>
      </c>
      <c r="X1483" s="142">
        <v>0.56578714000000008</v>
      </c>
      <c r="Y1483" s="142">
        <v>74765111.373642787</v>
      </c>
      <c r="Z1483" s="142">
        <v>346.23393156200785</v>
      </c>
    </row>
    <row r="1484" spans="1:26" s="141" customFormat="1">
      <c r="A1484" s="121">
        <v>45149</v>
      </c>
      <c r="B1484" s="125">
        <v>166909923.4511092</v>
      </c>
      <c r="C1484" s="125">
        <v>58884306.152095646</v>
      </c>
      <c r="D1484" s="125">
        <v>70399038.681173891</v>
      </c>
      <c r="E1484" s="125">
        <v>74800831.229077846</v>
      </c>
      <c r="F1484" s="123">
        <v>204084176.06234738</v>
      </c>
      <c r="G1484" s="125">
        <v>0</v>
      </c>
      <c r="H1484" s="125">
        <v>1620.4103278534237</v>
      </c>
      <c r="I1484" s="125">
        <v>969.15669161990786</v>
      </c>
      <c r="J1484" s="125">
        <v>664.16557458496504</v>
      </c>
      <c r="K1484" s="125">
        <v>758.86249573373777</v>
      </c>
      <c r="L1484" s="164">
        <v>2392.1847619386108</v>
      </c>
      <c r="M1484" s="125">
        <v>-45</v>
      </c>
      <c r="N1484" s="115">
        <v>15215</v>
      </c>
      <c r="O1484" s="139">
        <v>3317.7049999999999</v>
      </c>
      <c r="P1484" s="125">
        <v>-5296719.1009999998</v>
      </c>
      <c r="Q1484" s="125">
        <v>0</v>
      </c>
      <c r="R1484" s="114"/>
      <c r="S1484" s="125">
        <v>-4863353.5500033796</v>
      </c>
      <c r="T1484" s="125">
        <v>0</v>
      </c>
      <c r="U1484" s="125">
        <v>5461470.3449999997</v>
      </c>
      <c r="V1484" s="125">
        <v>-2.3700000000000002E-6</v>
      </c>
      <c r="W1484" s="142">
        <v>0</v>
      </c>
      <c r="X1484" s="142">
        <v>0.56578714000000008</v>
      </c>
      <c r="Y1484" s="142">
        <v>74622811.587249577</v>
      </c>
      <c r="Z1484" s="142">
        <v>344.91738259393173</v>
      </c>
    </row>
    <row r="1485" spans="1:26" s="141" customFormat="1">
      <c r="A1485" s="121">
        <v>45152</v>
      </c>
      <c r="B1485" s="125">
        <v>167289091.01314476</v>
      </c>
      <c r="C1485" s="125">
        <v>61462976.867935292</v>
      </c>
      <c r="D1485" s="125">
        <v>70300235.401867718</v>
      </c>
      <c r="E1485" s="125">
        <v>73756813.707012877</v>
      </c>
      <c r="F1485" s="123">
        <v>205520025.97681588</v>
      </c>
      <c r="G1485" s="125">
        <v>0</v>
      </c>
      <c r="H1485" s="125">
        <v>1635.8313717334624</v>
      </c>
      <c r="I1485" s="125">
        <v>993.39813463739642</v>
      </c>
      <c r="J1485" s="125">
        <v>669.82951200475691</v>
      </c>
      <c r="K1485" s="125">
        <v>767.22857970599864</v>
      </c>
      <c r="L1485" s="164">
        <v>2430.4562263481521</v>
      </c>
      <c r="M1485" s="125">
        <v>-45</v>
      </c>
      <c r="N1485" s="115">
        <v>15315</v>
      </c>
      <c r="O1485" s="139">
        <v>3320.3249999999998</v>
      </c>
      <c r="P1485" s="125">
        <v>-5310797.3609999996</v>
      </c>
      <c r="Q1485" s="125">
        <v>0</v>
      </c>
      <c r="R1485" s="114"/>
      <c r="S1485" s="125">
        <v>-5446790.1000033803</v>
      </c>
      <c r="T1485" s="125">
        <v>0</v>
      </c>
      <c r="U1485" s="125">
        <v>5461470.3449999997</v>
      </c>
      <c r="V1485" s="125">
        <v>-3.3699999999999999E-6</v>
      </c>
      <c r="W1485" s="142">
        <v>0</v>
      </c>
      <c r="X1485" s="142">
        <v>5.5657871399999994</v>
      </c>
      <c r="Y1485" s="142">
        <v>74698504.811225995</v>
      </c>
      <c r="Z1485" s="142">
        <v>344.97917991990852</v>
      </c>
    </row>
    <row r="1486" spans="1:26" s="141" customFormat="1">
      <c r="A1486" s="121">
        <v>45153</v>
      </c>
      <c r="B1486" s="125">
        <v>166816235.01769423</v>
      </c>
      <c r="C1486" s="125">
        <v>61805539.217768557</v>
      </c>
      <c r="D1486" s="125">
        <v>70284778.698541299</v>
      </c>
      <c r="E1486" s="125">
        <v>73945946.229203403</v>
      </c>
      <c r="F1486" s="123">
        <v>206036264.14551327</v>
      </c>
      <c r="G1486" s="125">
        <v>0</v>
      </c>
      <c r="H1486" s="125">
        <v>1647.7928702296324</v>
      </c>
      <c r="I1486" s="125">
        <v>1001.7213129492275</v>
      </c>
      <c r="J1486" s="125">
        <v>670.51791881717156</v>
      </c>
      <c r="K1486" s="125">
        <v>766.22294798618157</v>
      </c>
      <c r="L1486" s="164">
        <v>2438.4621797525806</v>
      </c>
      <c r="M1486" s="125">
        <v>-45</v>
      </c>
      <c r="N1486" s="115">
        <v>15340</v>
      </c>
      <c r="O1486" s="139">
        <v>3309.6000000000004</v>
      </c>
      <c r="P1486" s="125">
        <v>-5310797.3609999996</v>
      </c>
      <c r="Q1486" s="125">
        <v>0</v>
      </c>
      <c r="R1486" s="114"/>
      <c r="S1486" s="125">
        <v>-5446790.1000033803</v>
      </c>
      <c r="T1486" s="125">
        <v>0</v>
      </c>
      <c r="U1486" s="125">
        <v>5461470.3449999997</v>
      </c>
      <c r="V1486" s="125">
        <v>-3.6200000000000001E-6</v>
      </c>
      <c r="W1486" s="142">
        <v>0</v>
      </c>
      <c r="X1486" s="142">
        <v>5.5657871399999994</v>
      </c>
      <c r="Y1486" s="142">
        <v>73836441.567864358</v>
      </c>
      <c r="Z1486" s="142">
        <v>344.73854095015326</v>
      </c>
    </row>
    <row r="1487" spans="1:26" s="141" customFormat="1">
      <c r="A1487" s="121">
        <v>45154</v>
      </c>
      <c r="B1487" s="125">
        <v>166766830.49579906</v>
      </c>
      <c r="C1487" s="125">
        <v>60370830.884916604</v>
      </c>
      <c r="D1487" s="125">
        <v>70346183.155486494</v>
      </c>
      <c r="E1487" s="125">
        <v>73250310.828252316</v>
      </c>
      <c r="F1487" s="123">
        <v>203967324.86865541</v>
      </c>
      <c r="G1487" s="125">
        <v>0</v>
      </c>
      <c r="H1487" s="125">
        <v>1653.771844703258</v>
      </c>
      <c r="I1487" s="125">
        <v>1003.2015619658952</v>
      </c>
      <c r="J1487" s="125">
        <v>673.2364423618335</v>
      </c>
      <c r="K1487" s="125">
        <v>764.21542480347932</v>
      </c>
      <c r="L1487" s="164">
        <v>2440.6534291312082</v>
      </c>
      <c r="M1487" s="125">
        <v>-45</v>
      </c>
      <c r="N1487" s="115">
        <v>15282.5</v>
      </c>
      <c r="O1487" s="139">
        <v>3301.8249999999998</v>
      </c>
      <c r="P1487" s="125">
        <v>-6911763.6804999998</v>
      </c>
      <c r="Q1487" s="125">
        <v>0</v>
      </c>
      <c r="R1487" s="114"/>
      <c r="S1487" s="125">
        <v>-3874099.6000033803</v>
      </c>
      <c r="T1487" s="125">
        <v>0</v>
      </c>
      <c r="U1487" s="125">
        <v>5461470.3449999997</v>
      </c>
      <c r="V1487" s="125">
        <v>-3.05E-6</v>
      </c>
      <c r="W1487" s="142">
        <v>0</v>
      </c>
      <c r="X1487" s="142">
        <v>0.56578713999999997</v>
      </c>
      <c r="Y1487" s="142">
        <v>73660476.232087225</v>
      </c>
      <c r="Z1487" s="142">
        <v>345.06703293003699</v>
      </c>
    </row>
    <row r="1488" spans="1:26" s="141" customFormat="1">
      <c r="A1488" s="121">
        <v>45156</v>
      </c>
      <c r="B1488" s="125">
        <v>166880371.78724647</v>
      </c>
      <c r="C1488" s="125">
        <v>60247741.509734236</v>
      </c>
      <c r="D1488" s="125">
        <v>69346734.902099058</v>
      </c>
      <c r="E1488" s="125">
        <v>72326385.408388972</v>
      </c>
      <c r="F1488" s="123">
        <v>201920861.82022226</v>
      </c>
      <c r="G1488" s="125">
        <v>-50000</v>
      </c>
      <c r="H1488" s="125">
        <v>1604.1666303872896</v>
      </c>
      <c r="I1488" s="125">
        <v>1006.6350990355438</v>
      </c>
      <c r="J1488" s="125">
        <v>677.16079697952728</v>
      </c>
      <c r="K1488" s="125">
        <v>761.13462477948667</v>
      </c>
      <c r="L1488" s="164">
        <v>2444.9305207945577</v>
      </c>
      <c r="M1488" s="125">
        <v>0</v>
      </c>
      <c r="N1488" s="115">
        <v>15285</v>
      </c>
      <c r="O1488" s="139">
        <v>3292.41</v>
      </c>
      <c r="P1488" s="125">
        <v>-5662672.8805</v>
      </c>
      <c r="Q1488" s="125">
        <v>0</v>
      </c>
      <c r="R1488" s="114"/>
      <c r="S1488" s="125">
        <v>-5968545.6000033803</v>
      </c>
      <c r="T1488" s="125">
        <v>0</v>
      </c>
      <c r="U1488" s="125">
        <v>5461470.3449999997</v>
      </c>
      <c r="V1488" s="125">
        <v>-3.0800000000000002E-6</v>
      </c>
      <c r="W1488" s="142">
        <v>0</v>
      </c>
      <c r="X1488" s="142">
        <v>0.56578713999999997</v>
      </c>
      <c r="Y1488" s="142">
        <v>73589042.274783969</v>
      </c>
      <c r="Z1488" s="142">
        <v>347.06062626053119</v>
      </c>
    </row>
    <row r="1489" spans="1:26" s="141" customFormat="1">
      <c r="A1489" s="121">
        <v>45159</v>
      </c>
      <c r="B1489" s="125">
        <v>166965032.87060884</v>
      </c>
      <c r="C1489" s="125">
        <v>62647934.453359634</v>
      </c>
      <c r="D1489" s="125">
        <v>69219568.942419171</v>
      </c>
      <c r="E1489" s="125">
        <v>71618646.648646653</v>
      </c>
      <c r="F1489" s="123">
        <v>203486150.04442546</v>
      </c>
      <c r="G1489" s="125">
        <v>-50000</v>
      </c>
      <c r="H1489" s="125">
        <v>1614.0594794339859</v>
      </c>
      <c r="I1489" s="125">
        <v>998.2368192962349</v>
      </c>
      <c r="J1489" s="125">
        <v>673.26674600667002</v>
      </c>
      <c r="K1489" s="125">
        <v>765.35894773385985</v>
      </c>
      <c r="L1489" s="164">
        <v>2436.8625130367645</v>
      </c>
      <c r="M1489" s="125">
        <v>-5</v>
      </c>
      <c r="N1489" s="115">
        <v>15325</v>
      </c>
      <c r="O1489" s="139">
        <v>3293.9250000000002</v>
      </c>
      <c r="P1489" s="125">
        <v>-5842494.7094999999</v>
      </c>
      <c r="Q1489" s="125">
        <v>0</v>
      </c>
      <c r="R1489" s="114"/>
      <c r="S1489" s="125">
        <v>-5391225.1500033801</v>
      </c>
      <c r="T1489" s="125">
        <v>0</v>
      </c>
      <c r="U1489" s="125">
        <v>5461470.3449999997</v>
      </c>
      <c r="V1489" s="125">
        <v>-3.4800000000000001E-6</v>
      </c>
      <c r="W1489" s="142">
        <v>0</v>
      </c>
      <c r="X1489" s="142">
        <v>5.5657871400000003</v>
      </c>
      <c r="Y1489" s="142">
        <v>73800638.055801004</v>
      </c>
      <c r="Z1489" s="142">
        <v>346.61536951989228</v>
      </c>
    </row>
    <row r="1490" spans="1:26" s="141" customFormat="1">
      <c r="A1490" s="121">
        <v>45160</v>
      </c>
      <c r="B1490" s="125">
        <v>167020158.98358759</v>
      </c>
      <c r="C1490" s="125">
        <v>62910088.270277403</v>
      </c>
      <c r="D1490" s="125">
        <v>69256676.478321105</v>
      </c>
      <c r="E1490" s="125">
        <v>69658130.096280724</v>
      </c>
      <c r="F1490" s="123">
        <v>201824894.84487924</v>
      </c>
      <c r="G1490" s="125">
        <v>-290000</v>
      </c>
      <c r="H1490" s="125">
        <v>1614.045646568354</v>
      </c>
      <c r="I1490" s="125">
        <v>979.50852485026246</v>
      </c>
      <c r="J1490" s="125">
        <v>673.45867933468321</v>
      </c>
      <c r="K1490" s="125">
        <v>765.33765256075117</v>
      </c>
      <c r="L1490" s="164">
        <v>2418.3048567456972</v>
      </c>
      <c r="M1490" s="125">
        <v>-5</v>
      </c>
      <c r="N1490" s="115">
        <v>15315</v>
      </c>
      <c r="O1490" s="139">
        <v>3294.9650000000001</v>
      </c>
      <c r="P1490" s="125">
        <v>-6454522.4773000004</v>
      </c>
      <c r="Q1490" s="125">
        <v>0</v>
      </c>
      <c r="R1490" s="114"/>
      <c r="S1490" s="125">
        <v>-5391225.1500033801</v>
      </c>
      <c r="T1490" s="125">
        <v>0</v>
      </c>
      <c r="U1490" s="125">
        <v>5461470.3449999997</v>
      </c>
      <c r="V1490" s="125">
        <v>-3.3799999999999998E-6</v>
      </c>
      <c r="W1490" s="142">
        <v>0</v>
      </c>
      <c r="X1490" s="142">
        <v>10.565787139999999</v>
      </c>
      <c r="Y1490" s="142">
        <v>73831692.335303456</v>
      </c>
      <c r="Z1490" s="142">
        <v>345.46202022071185</v>
      </c>
    </row>
    <row r="1491" spans="1:26" s="141" customFormat="1">
      <c r="A1491" s="121">
        <v>45161</v>
      </c>
      <c r="B1491" s="125">
        <v>167120019.19660285</v>
      </c>
      <c r="C1491" s="125">
        <v>61610944.272027649</v>
      </c>
      <c r="D1491" s="125">
        <v>69119552.014031097</v>
      </c>
      <c r="E1491" s="125">
        <v>69678411.63102895</v>
      </c>
      <c r="F1491" s="123">
        <v>200408907.9170877</v>
      </c>
      <c r="G1491" s="125">
        <v>-750000</v>
      </c>
      <c r="H1491" s="125">
        <v>1640.8882583369411</v>
      </c>
      <c r="I1491" s="125">
        <v>981.82014096729938</v>
      </c>
      <c r="J1491" s="125">
        <v>677.18891311040966</v>
      </c>
      <c r="K1491" s="125">
        <v>764.68984193884592</v>
      </c>
      <c r="L1491" s="164">
        <v>2423.698896016555</v>
      </c>
      <c r="M1491" s="125">
        <v>-5</v>
      </c>
      <c r="N1491" s="115">
        <v>15295</v>
      </c>
      <c r="O1491" s="139">
        <v>3283.9549999999999</v>
      </c>
      <c r="P1491" s="125">
        <v>-6174573.3118000003</v>
      </c>
      <c r="Q1491" s="125">
        <v>0</v>
      </c>
      <c r="R1491" s="114"/>
      <c r="S1491" s="125">
        <v>-7387500.1500033801</v>
      </c>
      <c r="T1491" s="125">
        <v>0</v>
      </c>
      <c r="U1491" s="125">
        <v>5461470.3449999997</v>
      </c>
      <c r="V1491" s="125">
        <v>-3.18E-6</v>
      </c>
      <c r="W1491" s="142">
        <v>0</v>
      </c>
      <c r="X1491" s="142">
        <v>5.5657871399999994</v>
      </c>
      <c r="Y1491" s="142">
        <v>74868441.243386045</v>
      </c>
      <c r="Z1491" s="142">
        <v>345.54212595245383</v>
      </c>
    </row>
    <row r="1492" spans="1:26" s="141" customFormat="1">
      <c r="A1492" s="121">
        <v>45162</v>
      </c>
      <c r="B1492" s="125">
        <v>167111490.29772955</v>
      </c>
      <c r="C1492" s="125">
        <v>61211371.796230942</v>
      </c>
      <c r="D1492" s="125">
        <v>69370850.348001853</v>
      </c>
      <c r="E1492" s="125">
        <v>69295638.268719554</v>
      </c>
      <c r="F1492" s="123">
        <v>199877860.41295236</v>
      </c>
      <c r="G1492" s="125">
        <v>-50000</v>
      </c>
      <c r="H1492" s="125">
        <v>1647.2012531105911</v>
      </c>
      <c r="I1492" s="125">
        <v>967.16299392357325</v>
      </c>
      <c r="J1492" s="125">
        <v>676.07084866858384</v>
      </c>
      <c r="K1492" s="125">
        <v>766.08333604612585</v>
      </c>
      <c r="L1492" s="164">
        <v>2409.3171786382827</v>
      </c>
      <c r="M1492" s="125">
        <v>-5</v>
      </c>
      <c r="N1492" s="115">
        <v>15245</v>
      </c>
      <c r="O1492" s="139">
        <v>3282.7300000000005</v>
      </c>
      <c r="P1492" s="125">
        <v>-8341761.3357999995</v>
      </c>
      <c r="Q1492" s="125">
        <v>0</v>
      </c>
      <c r="R1492" s="114"/>
      <c r="S1492" s="125">
        <v>-7387500.1500033801</v>
      </c>
      <c r="T1492" s="125">
        <v>0</v>
      </c>
      <c r="U1492" s="125">
        <v>5461470.3449999997</v>
      </c>
      <c r="V1492" s="125">
        <v>-2.6800000000000002E-6</v>
      </c>
      <c r="W1492" s="142">
        <v>0</v>
      </c>
      <c r="X1492" s="142">
        <v>5.5657871399999994</v>
      </c>
      <c r="Y1492" s="142">
        <v>74601125.787072971</v>
      </c>
      <c r="Z1492" s="142">
        <v>342.00598192408324</v>
      </c>
    </row>
    <row r="1493" spans="1:26" s="141" customFormat="1">
      <c r="A1493" s="121">
        <v>45163</v>
      </c>
      <c r="B1493" s="125">
        <v>167199589.56365111</v>
      </c>
      <c r="C1493" s="125">
        <v>58670984.19513537</v>
      </c>
      <c r="D1493" s="125">
        <v>70121998.107445434</v>
      </c>
      <c r="E1493" s="125">
        <v>69087232.770808533</v>
      </c>
      <c r="F1493" s="123">
        <v>197880215.07338935</v>
      </c>
      <c r="G1493" s="125">
        <v>-1060000</v>
      </c>
      <c r="H1493" s="125">
        <v>1632.0697886856465</v>
      </c>
      <c r="I1493" s="125">
        <v>975.9692580152456</v>
      </c>
      <c r="J1493" s="125">
        <v>671.80957358816681</v>
      </c>
      <c r="K1493" s="125">
        <v>775.5032537810348</v>
      </c>
      <c r="L1493" s="164">
        <v>2423.2820853844473</v>
      </c>
      <c r="M1493" s="125">
        <v>-5</v>
      </c>
      <c r="N1493" s="115">
        <v>15295</v>
      </c>
      <c r="O1493" s="139">
        <v>3291.0150000000003</v>
      </c>
      <c r="P1493" s="125">
        <v>-9009343.1030000001</v>
      </c>
      <c r="Q1493" s="125">
        <v>0</v>
      </c>
      <c r="R1493" s="114"/>
      <c r="S1493" s="125">
        <v>-7738249.5500033796</v>
      </c>
      <c r="T1493" s="125">
        <v>0</v>
      </c>
      <c r="U1493" s="125">
        <v>5461470.3449999997</v>
      </c>
      <c r="V1493" s="125">
        <v>-3.18E-6</v>
      </c>
      <c r="W1493" s="142">
        <v>0</v>
      </c>
      <c r="X1493" s="142">
        <v>5.5657871399999994</v>
      </c>
      <c r="Y1493" s="142">
        <v>75072484.380173326</v>
      </c>
      <c r="Z1493" s="142">
        <v>353.59021802607316</v>
      </c>
    </row>
    <row r="1494" spans="1:26" s="141" customFormat="1">
      <c r="A1494" s="121">
        <v>45166</v>
      </c>
      <c r="B1494" s="125">
        <v>167017903.22344026</v>
      </c>
      <c r="C1494" s="125">
        <v>58532543.83206439</v>
      </c>
      <c r="D1494" s="125">
        <v>70046373.100848719</v>
      </c>
      <c r="E1494" s="125">
        <v>69096977.180572674</v>
      </c>
      <c r="F1494" s="123">
        <v>197675894.11348578</v>
      </c>
      <c r="G1494" s="125">
        <v>-200000</v>
      </c>
      <c r="H1494" s="125">
        <v>1635.9655953280485</v>
      </c>
      <c r="I1494" s="125">
        <v>973.36597144239568</v>
      </c>
      <c r="J1494" s="125">
        <v>675.17176612544972</v>
      </c>
      <c r="K1494" s="125">
        <v>755.08099804849041</v>
      </c>
      <c r="L1494" s="164">
        <v>2403.6187356163359</v>
      </c>
      <c r="M1494" s="125">
        <v>-5</v>
      </c>
      <c r="N1494" s="115">
        <v>15290</v>
      </c>
      <c r="O1494" s="139">
        <v>3286.0550000000003</v>
      </c>
      <c r="P1494" s="125">
        <v>-10327404.4505</v>
      </c>
      <c r="Q1494" s="125">
        <v>0</v>
      </c>
      <c r="R1494" s="114"/>
      <c r="S1494" s="125">
        <v>-8218051.5000033798</v>
      </c>
      <c r="T1494" s="125">
        <v>0</v>
      </c>
      <c r="U1494" s="125">
        <v>5461470.3449999997</v>
      </c>
      <c r="V1494" s="125">
        <v>-3.1300000000000001E-6</v>
      </c>
      <c r="W1494" s="142">
        <v>0</v>
      </c>
      <c r="X1494" s="142">
        <v>10.565787140000001</v>
      </c>
      <c r="Y1494" s="142">
        <v>74974803.027024567</v>
      </c>
      <c r="Z1494" s="142">
        <v>357.90156143796207</v>
      </c>
    </row>
    <row r="1495" spans="1:26" s="141" customFormat="1">
      <c r="A1495" s="121">
        <v>45167</v>
      </c>
      <c r="B1495" s="125">
        <v>167033163.3273809</v>
      </c>
      <c r="C1495" s="125">
        <v>58259532.403427564</v>
      </c>
      <c r="D1495" s="125">
        <v>70005180.456061199</v>
      </c>
      <c r="E1495" s="125">
        <v>69223872.276199192</v>
      </c>
      <c r="F1495" s="123">
        <v>197488585.13568795</v>
      </c>
      <c r="G1495" s="125">
        <v>-925000</v>
      </c>
      <c r="H1495" s="125">
        <v>1631.8764269927929</v>
      </c>
      <c r="I1495" s="125">
        <v>977.7802145477782</v>
      </c>
      <c r="J1495" s="125">
        <v>674.38922482350904</v>
      </c>
      <c r="K1495" s="125">
        <v>766.54095800259279</v>
      </c>
      <c r="L1495" s="164">
        <v>2418.7103973738804</v>
      </c>
      <c r="M1495" s="125">
        <v>-5</v>
      </c>
      <c r="N1495" s="115">
        <v>15260</v>
      </c>
      <c r="O1495" s="139">
        <v>3282.7799999999997</v>
      </c>
      <c r="P1495" s="125">
        <v>-9880509.9415000007</v>
      </c>
      <c r="Q1495" s="125">
        <v>0</v>
      </c>
      <c r="R1495" s="114"/>
      <c r="S1495" s="125">
        <v>-8218051.5000033798</v>
      </c>
      <c r="T1495" s="125">
        <v>0</v>
      </c>
      <c r="U1495" s="125">
        <v>5461470.3449999997</v>
      </c>
      <c r="V1495" s="125">
        <v>-2.83E-6</v>
      </c>
      <c r="W1495" s="142">
        <v>0</v>
      </c>
      <c r="X1495" s="142">
        <v>15.565787139999999</v>
      </c>
      <c r="Y1495" s="142">
        <v>74736084.587765515</v>
      </c>
      <c r="Z1495" s="142">
        <v>358.00601221204118</v>
      </c>
    </row>
    <row r="1496" spans="1:26" s="141" customFormat="1">
      <c r="A1496" s="121">
        <v>45168</v>
      </c>
      <c r="B1496" s="125">
        <v>167423020.3701717</v>
      </c>
      <c r="C1496" s="125">
        <v>58952223.946127869</v>
      </c>
      <c r="D1496" s="125">
        <v>69847780.502463445</v>
      </c>
      <c r="E1496" s="125">
        <v>69590809.781295836</v>
      </c>
      <c r="F1496" s="123">
        <v>198390814.22988716</v>
      </c>
      <c r="G1496" s="125">
        <v>-215000</v>
      </c>
      <c r="H1496" s="125">
        <v>1612.0356126886027</v>
      </c>
      <c r="I1496" s="125">
        <v>985.32281476268793</v>
      </c>
      <c r="J1496" s="125">
        <v>677.08339384066289</v>
      </c>
      <c r="K1496" s="125">
        <v>755.37385318974907</v>
      </c>
      <c r="L1496" s="164">
        <v>2417.7800617930998</v>
      </c>
      <c r="M1496" s="125">
        <v>-5</v>
      </c>
      <c r="N1496" s="115">
        <v>15240</v>
      </c>
      <c r="O1496" s="139">
        <v>3281.3</v>
      </c>
      <c r="P1496" s="125">
        <v>-9869084.7974999994</v>
      </c>
      <c r="Q1496" s="125">
        <v>0</v>
      </c>
      <c r="R1496" s="114"/>
      <c r="S1496" s="125">
        <v>-10052296.200003378</v>
      </c>
      <c r="T1496" s="125">
        <v>0</v>
      </c>
      <c r="U1496" s="125">
        <v>5227625.17</v>
      </c>
      <c r="V1496" s="125">
        <v>-2.6299999999999998E-6</v>
      </c>
      <c r="W1496" s="142">
        <v>0</v>
      </c>
      <c r="X1496" s="142">
        <v>21.480543045511812</v>
      </c>
      <c r="Y1496" s="142">
        <v>75152191.524094835</v>
      </c>
      <c r="Z1496" s="142">
        <v>357.66469016489037</v>
      </c>
    </row>
    <row r="1497" spans="1:26" s="141" customFormat="1">
      <c r="A1497" s="121">
        <v>45169</v>
      </c>
      <c r="B1497" s="136">
        <v>171520595.91565001</v>
      </c>
      <c r="C1497" s="136">
        <v>58274550.906819999</v>
      </c>
      <c r="D1497" s="136">
        <v>70388404.247173995</v>
      </c>
      <c r="E1497" s="136">
        <v>68655647.670560002</v>
      </c>
      <c r="F1497" s="137">
        <v>197318602.824554</v>
      </c>
      <c r="G1497" s="142">
        <v>0</v>
      </c>
      <c r="H1497" s="136">
        <v>1629.9365762749178</v>
      </c>
      <c r="I1497" s="136">
        <v>1013.0684212695994</v>
      </c>
      <c r="J1497" s="136">
        <v>675.52630957445831</v>
      </c>
      <c r="K1497" s="136">
        <v>759.58790560958641</v>
      </c>
      <c r="L1497" s="165">
        <v>2448.1826364536441</v>
      </c>
      <c r="M1497" s="125">
        <v>-5</v>
      </c>
      <c r="N1497" s="115">
        <v>15230</v>
      </c>
      <c r="O1497" s="139">
        <v>3282.33</v>
      </c>
      <c r="P1497" s="125">
        <v>-7496155.6140000001</v>
      </c>
      <c r="Q1497" s="125">
        <v>0</v>
      </c>
      <c r="R1497" s="114"/>
      <c r="S1497" s="125">
        <v>-10052296.200003378</v>
      </c>
      <c r="T1497" s="125">
        <v>0</v>
      </c>
      <c r="U1497" s="125">
        <v>5227625.17</v>
      </c>
      <c r="V1497" s="125">
        <v>-2.5299999999999999E-6</v>
      </c>
      <c r="W1497" s="142">
        <v>0</v>
      </c>
      <c r="X1497" s="142">
        <v>26.48842404085358</v>
      </c>
      <c r="Y1497" s="142">
        <v>75588884.724529073</v>
      </c>
      <c r="Z1497" s="142">
        <v>357.86727665609527</v>
      </c>
    </row>
    <row r="1498" spans="1:26" s="141" customFormat="1">
      <c r="A1498" s="121">
        <v>45170</v>
      </c>
      <c r="B1498" s="125">
        <v>168380722.35126793</v>
      </c>
      <c r="C1498" s="125">
        <v>57410348.990062356</v>
      </c>
      <c r="D1498" s="125">
        <v>69768991.520617053</v>
      </c>
      <c r="E1498" s="125">
        <v>69951471.199976653</v>
      </c>
      <c r="F1498" s="123">
        <v>197130811.71065605</v>
      </c>
      <c r="G1498" s="125">
        <v>0</v>
      </c>
      <c r="H1498" s="125">
        <v>1622.361577827241</v>
      </c>
      <c r="I1498" s="125">
        <v>1037.2778663053982</v>
      </c>
      <c r="J1498" s="125">
        <v>674.40292810338883</v>
      </c>
      <c r="K1498" s="125">
        <v>747.57931716110477</v>
      </c>
      <c r="L1498" s="164">
        <v>2459.2601115698917</v>
      </c>
      <c r="M1498" s="125">
        <v>-5</v>
      </c>
      <c r="N1498" s="115">
        <v>15240</v>
      </c>
      <c r="O1498" s="139">
        <v>3282.7150000000001</v>
      </c>
      <c r="P1498" s="125">
        <v>-8959772.682</v>
      </c>
      <c r="Q1498" s="125">
        <v>0</v>
      </c>
      <c r="R1498" s="114"/>
      <c r="S1498" s="125">
        <v>-11694092.350003378</v>
      </c>
      <c r="T1498" s="125">
        <v>0</v>
      </c>
      <c r="U1498" s="125">
        <v>5227625.17</v>
      </c>
      <c r="V1498" s="125">
        <v>-2.6299999999999998E-6</v>
      </c>
      <c r="W1498" s="142">
        <v>0</v>
      </c>
      <c r="X1498" s="142">
        <v>31.490837008766405</v>
      </c>
      <c r="Y1498" s="142">
        <v>75578973.710442781</v>
      </c>
      <c r="Z1498" s="142">
        <v>357.77780256768375</v>
      </c>
    </row>
    <row r="1499" spans="1:26" s="141" customFormat="1">
      <c r="A1499" s="121">
        <v>45173</v>
      </c>
      <c r="B1499" s="125">
        <v>167694298.31945935</v>
      </c>
      <c r="C1499" s="125">
        <v>58717761.790366195</v>
      </c>
      <c r="D1499" s="125">
        <v>69423028.616958737</v>
      </c>
      <c r="E1499" s="125">
        <v>68362323.302777484</v>
      </c>
      <c r="F1499" s="123">
        <v>196503113.71010244</v>
      </c>
      <c r="G1499" s="125">
        <v>0</v>
      </c>
      <c r="H1499" s="125">
        <v>1622.9903710787437</v>
      </c>
      <c r="I1499" s="125">
        <v>992.42555930355877</v>
      </c>
      <c r="J1499" s="125">
        <v>673.80398952446853</v>
      </c>
      <c r="K1499" s="125">
        <v>753.38063915674331</v>
      </c>
      <c r="L1499" s="164">
        <v>2419.6101879847706</v>
      </c>
      <c r="M1499" s="125">
        <v>-5</v>
      </c>
      <c r="N1499" s="115">
        <v>15240</v>
      </c>
      <c r="O1499" s="139">
        <v>3273.9050000000002</v>
      </c>
      <c r="P1499" s="125">
        <v>-8168377.5149999997</v>
      </c>
      <c r="Q1499" s="125">
        <v>0</v>
      </c>
      <c r="R1499" s="114"/>
      <c r="S1499" s="125">
        <v>-11208272.900003379</v>
      </c>
      <c r="T1499" s="125">
        <v>0</v>
      </c>
      <c r="U1499" s="125">
        <v>5227625.17</v>
      </c>
      <c r="V1499" s="125">
        <v>-2.6299999999999998E-6</v>
      </c>
      <c r="W1499" s="142">
        <v>0</v>
      </c>
      <c r="X1499" s="142">
        <v>31.475298951023625</v>
      </c>
      <c r="Y1499" s="142">
        <v>77035088.716166764</v>
      </c>
      <c r="Z1499" s="142">
        <v>356.89694149858326</v>
      </c>
    </row>
    <row r="1500" spans="1:26" s="141" customFormat="1">
      <c r="A1500" s="121">
        <v>45174</v>
      </c>
      <c r="B1500" s="125">
        <v>167833030.37835318</v>
      </c>
      <c r="C1500" s="125">
        <v>59103119.327329196</v>
      </c>
      <c r="D1500" s="125">
        <v>69138638.912377819</v>
      </c>
      <c r="E1500" s="125">
        <v>68016596.381935209</v>
      </c>
      <c r="F1500" s="123">
        <v>196258354.62164223</v>
      </c>
      <c r="G1500" s="125">
        <v>0</v>
      </c>
      <c r="H1500" s="125">
        <v>1657.1216096204701</v>
      </c>
      <c r="I1500" s="125">
        <v>987.30216550929458</v>
      </c>
      <c r="J1500" s="125">
        <v>675.82445733713246</v>
      </c>
      <c r="K1500" s="125">
        <v>763.55309977367995</v>
      </c>
      <c r="L1500" s="164">
        <v>2426.679722620107</v>
      </c>
      <c r="M1500" s="125">
        <v>-5</v>
      </c>
      <c r="N1500" s="115">
        <v>15265</v>
      </c>
      <c r="O1500" s="139">
        <v>3275.05</v>
      </c>
      <c r="P1500" s="125">
        <v>-7870088.3339999998</v>
      </c>
      <c r="Q1500" s="125">
        <v>0</v>
      </c>
      <c r="R1500" s="114"/>
      <c r="S1500" s="125">
        <v>-11208272.900003379</v>
      </c>
      <c r="T1500" s="125">
        <v>0</v>
      </c>
      <c r="U1500" s="125">
        <v>5227625.17</v>
      </c>
      <c r="V1500" s="125">
        <v>-2.88E-6</v>
      </c>
      <c r="W1500" s="142">
        <v>0</v>
      </c>
      <c r="X1500" s="142">
        <v>6.4444664718047822</v>
      </c>
      <c r="Y1500" s="142">
        <v>76039149.354904026</v>
      </c>
      <c r="Z1500" s="142">
        <v>359.33338624459418</v>
      </c>
    </row>
    <row r="1501" spans="1:26" s="141" customFormat="1">
      <c r="A1501" s="121">
        <v>45175</v>
      </c>
      <c r="B1501" s="125">
        <v>167665391.56584325</v>
      </c>
      <c r="C1501" s="125">
        <v>59957075.919741884</v>
      </c>
      <c r="D1501" s="125">
        <v>69065775.312154591</v>
      </c>
      <c r="E1501" s="125">
        <v>68076508.307569638</v>
      </c>
      <c r="F1501" s="123">
        <v>197099359.53946611</v>
      </c>
      <c r="G1501" s="125">
        <v>0</v>
      </c>
      <c r="H1501" s="125">
        <v>1639.2412904677526</v>
      </c>
      <c r="I1501" s="125">
        <v>1027.1337011746703</v>
      </c>
      <c r="J1501" s="125">
        <v>677.13061812840238</v>
      </c>
      <c r="K1501" s="125">
        <v>769.47395693629426</v>
      </c>
      <c r="L1501" s="164">
        <v>2473.7382762393668</v>
      </c>
      <c r="M1501" s="125">
        <v>-5</v>
      </c>
      <c r="N1501" s="115">
        <v>15292.5</v>
      </c>
      <c r="O1501" s="139">
        <v>3272.875</v>
      </c>
      <c r="P1501" s="125">
        <v>-8069515.2280000001</v>
      </c>
      <c r="Q1501" s="125">
        <v>0</v>
      </c>
      <c r="R1501" s="114"/>
      <c r="S1501" s="125">
        <v>-10988464.05000338</v>
      </c>
      <c r="T1501" s="125">
        <v>0</v>
      </c>
      <c r="U1501" s="125">
        <v>5227625.17</v>
      </c>
      <c r="V1501" s="125">
        <v>-3.1600000000000002E-6</v>
      </c>
      <c r="W1501" s="142">
        <v>0</v>
      </c>
      <c r="X1501" s="142">
        <v>6.4358384723524598</v>
      </c>
      <c r="Y1501" s="142">
        <v>75762903.921493232</v>
      </c>
      <c r="Z1501" s="142">
        <v>362.31092842240065</v>
      </c>
    </row>
    <row r="1502" spans="1:26" s="141" customFormat="1">
      <c r="A1502" s="121">
        <v>45176</v>
      </c>
      <c r="B1502" s="125">
        <v>167610859.15413931</v>
      </c>
      <c r="C1502" s="125">
        <v>60510920.207404271</v>
      </c>
      <c r="D1502" s="125">
        <v>68916599.777115509</v>
      </c>
      <c r="E1502" s="125">
        <v>67859465.846052438</v>
      </c>
      <c r="F1502" s="123">
        <v>197286985.83057222</v>
      </c>
      <c r="G1502" s="125">
        <v>0</v>
      </c>
      <c r="H1502" s="125">
        <v>1674.674956860599</v>
      </c>
      <c r="I1502" s="125">
        <v>1065.9749888846331</v>
      </c>
      <c r="J1502" s="125">
        <v>674.99114097289055</v>
      </c>
      <c r="K1502" s="125">
        <v>766.84769437145906</v>
      </c>
      <c r="L1502" s="164">
        <v>2507.8138242289829</v>
      </c>
      <c r="M1502" s="125">
        <v>-15</v>
      </c>
      <c r="N1502" s="115">
        <v>15325</v>
      </c>
      <c r="O1502" s="139">
        <v>3277.0250000000001</v>
      </c>
      <c r="P1502" s="125">
        <v>-8069515.2280000001</v>
      </c>
      <c r="Q1502" s="125">
        <v>0</v>
      </c>
      <c r="R1502" s="114"/>
      <c r="S1502" s="125">
        <v>-10988464.05000338</v>
      </c>
      <c r="T1502" s="125">
        <v>0</v>
      </c>
      <c r="U1502" s="125">
        <v>5227625.17</v>
      </c>
      <c r="V1502" s="125">
        <v>-3.49E-6</v>
      </c>
      <c r="W1502" s="142">
        <v>0</v>
      </c>
      <c r="X1502" s="142">
        <v>6.4280983961174547</v>
      </c>
      <c r="Y1502" s="142">
        <v>76422390.724651888</v>
      </c>
      <c r="Z1502" s="142">
        <v>356.71306622259971</v>
      </c>
    </row>
    <row r="1503" spans="1:26" s="141" customFormat="1">
      <c r="A1503" s="121">
        <v>45177</v>
      </c>
      <c r="B1503" s="125">
        <v>167984038.09656003</v>
      </c>
      <c r="C1503" s="125">
        <v>59122960.674508929</v>
      </c>
      <c r="D1503" s="125">
        <v>68797835.993400499</v>
      </c>
      <c r="E1503" s="125">
        <v>68850549.651128098</v>
      </c>
      <c r="F1503" s="123">
        <v>196771346.31903753</v>
      </c>
      <c r="G1503" s="125">
        <v>0</v>
      </c>
      <c r="H1503" s="125">
        <v>1624.7740717676918</v>
      </c>
      <c r="I1503" s="125">
        <v>1038.4793068574995</v>
      </c>
      <c r="J1503" s="125">
        <v>671.36356424837061</v>
      </c>
      <c r="K1503" s="125">
        <v>784.97715392213786</v>
      </c>
      <c r="L1503" s="164">
        <v>2494.8200250280079</v>
      </c>
      <c r="M1503" s="125">
        <v>-15</v>
      </c>
      <c r="N1503" s="115">
        <v>15325</v>
      </c>
      <c r="O1503" s="139">
        <v>3276.67</v>
      </c>
      <c r="P1503" s="125">
        <v>-8667471.2949999999</v>
      </c>
      <c r="Q1503" s="125">
        <v>0</v>
      </c>
      <c r="R1503" s="114"/>
      <c r="S1503" s="125">
        <v>-9366329.9500033781</v>
      </c>
      <c r="T1503" s="125">
        <v>0</v>
      </c>
      <c r="U1503" s="125">
        <v>5042533.53</v>
      </c>
      <c r="V1503" s="125">
        <v>-3.49E-6</v>
      </c>
      <c r="W1503" s="142">
        <v>0</v>
      </c>
      <c r="X1503" s="142">
        <v>21.43153591650897</v>
      </c>
      <c r="Y1503" s="142">
        <v>76291778.991192341</v>
      </c>
      <c r="Z1503" s="142">
        <v>357.18893862544468</v>
      </c>
    </row>
    <row r="1504" spans="1:26" s="141" customFormat="1">
      <c r="A1504" s="121">
        <v>45180</v>
      </c>
      <c r="B1504" s="125">
        <v>168705410.66930541</v>
      </c>
      <c r="C1504" s="125">
        <v>59699571.491563901</v>
      </c>
      <c r="D1504" s="125">
        <v>68691516.585825533</v>
      </c>
      <c r="E1504" s="125">
        <v>68461868.935921609</v>
      </c>
      <c r="F1504" s="123">
        <v>196852957.01331103</v>
      </c>
      <c r="G1504" s="125">
        <v>0</v>
      </c>
      <c r="H1504" s="125">
        <v>1629.3703472609056</v>
      </c>
      <c r="I1504" s="125">
        <v>1062.4607137304392</v>
      </c>
      <c r="J1504" s="125">
        <v>677.20108801502226</v>
      </c>
      <c r="K1504" s="125">
        <v>765.95811968782061</v>
      </c>
      <c r="L1504" s="164">
        <v>2505.6199214332823</v>
      </c>
      <c r="M1504" s="125">
        <v>-15</v>
      </c>
      <c r="N1504" s="115">
        <v>15325</v>
      </c>
      <c r="O1504" s="139">
        <v>3279.125</v>
      </c>
      <c r="P1504" s="125">
        <v>-8987678.5851000007</v>
      </c>
      <c r="Q1504" s="125">
        <v>0</v>
      </c>
      <c r="R1504" s="114"/>
      <c r="S1504" s="125">
        <v>-9371035.2500033788</v>
      </c>
      <c r="T1504" s="125">
        <v>0</v>
      </c>
      <c r="U1504" s="125">
        <v>5042533.53</v>
      </c>
      <c r="V1504" s="125">
        <v>-3.49E-6</v>
      </c>
      <c r="W1504" s="142">
        <v>0</v>
      </c>
      <c r="X1504" s="142">
        <v>16.448358102479609</v>
      </c>
      <c r="Y1504" s="142">
        <v>76717169.13027215</v>
      </c>
      <c r="Z1504" s="142">
        <v>356.09511019792944</v>
      </c>
    </row>
    <row r="1505" spans="1:26" s="141" customFormat="1">
      <c r="A1505" s="121">
        <v>45181</v>
      </c>
      <c r="B1505" s="125">
        <v>168496434.07333964</v>
      </c>
      <c r="C1505" s="125">
        <v>60126389.892635159</v>
      </c>
      <c r="D1505" s="125">
        <v>68674000.289041311</v>
      </c>
      <c r="E1505" s="125">
        <v>68533511.943857312</v>
      </c>
      <c r="F1505" s="123">
        <v>197333902.12553379</v>
      </c>
      <c r="G1505" s="125">
        <v>0</v>
      </c>
      <c r="H1505" s="125">
        <v>1601.297091373827</v>
      </c>
      <c r="I1505" s="125">
        <v>1062.6081593974495</v>
      </c>
      <c r="J1505" s="125">
        <v>681.2108656844008</v>
      </c>
      <c r="K1505" s="125">
        <v>768.81137301585181</v>
      </c>
      <c r="L1505" s="164">
        <v>2512.6303980977018</v>
      </c>
      <c r="M1505" s="125">
        <v>-10</v>
      </c>
      <c r="N1505" s="115">
        <v>15340</v>
      </c>
      <c r="O1505" s="139">
        <v>3279.5299999999997</v>
      </c>
      <c r="P1505" s="125">
        <v>-10118690.848099999</v>
      </c>
      <c r="Q1505" s="125">
        <v>0</v>
      </c>
      <c r="R1505" s="114"/>
      <c r="S1505" s="125">
        <v>-9371035.2500033788</v>
      </c>
      <c r="T1505" s="125">
        <v>0</v>
      </c>
      <c r="U1505" s="125">
        <v>5042533.53</v>
      </c>
      <c r="V1505" s="125">
        <v>-3.6400000000000003E-6</v>
      </c>
      <c r="W1505" s="142">
        <v>0</v>
      </c>
      <c r="X1505" s="142">
        <v>36.438425992672748</v>
      </c>
      <c r="Y1505" s="142">
        <v>76563657.488725096</v>
      </c>
      <c r="Z1505" s="142">
        <v>359.19903251049146</v>
      </c>
    </row>
    <row r="1506" spans="1:26" s="141" customFormat="1">
      <c r="A1506" s="121">
        <v>45182</v>
      </c>
      <c r="B1506" s="125">
        <v>168295307.2578271</v>
      </c>
      <c r="C1506" s="125">
        <v>60144449.919845812</v>
      </c>
      <c r="D1506" s="125">
        <v>68442956.603364676</v>
      </c>
      <c r="E1506" s="125">
        <v>68469246.951273829</v>
      </c>
      <c r="F1506" s="123">
        <v>197056653.47448432</v>
      </c>
      <c r="G1506" s="125">
        <v>0</v>
      </c>
      <c r="H1506" s="125">
        <v>1602.4603642459244</v>
      </c>
      <c r="I1506" s="125">
        <v>1028.3468398353957</v>
      </c>
      <c r="J1506" s="125">
        <v>687.91192924080133</v>
      </c>
      <c r="K1506" s="125">
        <v>766.86324745400907</v>
      </c>
      <c r="L1506" s="164">
        <v>2483.1220165302061</v>
      </c>
      <c r="M1506" s="125">
        <v>-10</v>
      </c>
      <c r="N1506" s="115">
        <v>15370</v>
      </c>
      <c r="O1506" s="139">
        <v>3282.09</v>
      </c>
      <c r="P1506" s="125">
        <v>-10161996.403100001</v>
      </c>
      <c r="Q1506" s="125">
        <v>0</v>
      </c>
      <c r="R1506" s="114"/>
      <c r="S1506" s="125">
        <v>-9318175.0500033796</v>
      </c>
      <c r="T1506" s="125">
        <v>0</v>
      </c>
      <c r="U1506" s="125">
        <v>5042533.53</v>
      </c>
      <c r="V1506" s="125">
        <v>-3.9399999999999995E-6</v>
      </c>
      <c r="W1506" s="142">
        <v>0</v>
      </c>
      <c r="X1506" s="142">
        <v>25.565787139999998</v>
      </c>
      <c r="Y1506" s="142">
        <v>76192914.307151318</v>
      </c>
      <c r="Z1506" s="142">
        <v>358.76614907498481</v>
      </c>
    </row>
    <row r="1507" spans="1:26" s="141" customFormat="1">
      <c r="A1507" s="121">
        <v>45183</v>
      </c>
      <c r="B1507" s="125">
        <v>168468450.8120642</v>
      </c>
      <c r="C1507" s="125">
        <v>60389021.220621057</v>
      </c>
      <c r="D1507" s="125">
        <v>68377928.285878539</v>
      </c>
      <c r="E1507" s="125">
        <v>68329227.320685521</v>
      </c>
      <c r="F1507" s="123">
        <v>197096176.82718509</v>
      </c>
      <c r="G1507" s="125">
        <v>0</v>
      </c>
      <c r="H1507" s="125">
        <v>1564.2602842832594</v>
      </c>
      <c r="I1507" s="125">
        <v>1015.3541618876374</v>
      </c>
      <c r="J1507" s="125">
        <v>691.55806427193033</v>
      </c>
      <c r="K1507" s="125">
        <v>768.70460927124077</v>
      </c>
      <c r="L1507" s="164">
        <v>2475.6168354308084</v>
      </c>
      <c r="M1507" s="125">
        <v>-10</v>
      </c>
      <c r="N1507" s="115">
        <v>15355</v>
      </c>
      <c r="O1507" s="139">
        <v>3279.9300000000003</v>
      </c>
      <c r="P1507" s="125">
        <v>-10161996.403100001</v>
      </c>
      <c r="Q1507" s="125">
        <v>0</v>
      </c>
      <c r="R1507" s="114"/>
      <c r="S1507" s="125">
        <v>-9318175.0500033796</v>
      </c>
      <c r="T1507" s="125">
        <v>0</v>
      </c>
      <c r="U1507" s="125">
        <v>5042533.53</v>
      </c>
      <c r="V1507" s="125">
        <v>-3.7900000000000001E-6</v>
      </c>
      <c r="W1507" s="142">
        <v>0</v>
      </c>
      <c r="X1507" s="142">
        <v>28.565787140000001</v>
      </c>
      <c r="Y1507" s="142">
        <v>76032230.12005356</v>
      </c>
      <c r="Z1507" s="142">
        <v>360.88438901347251</v>
      </c>
    </row>
    <row r="1508" spans="1:26" s="141" customFormat="1">
      <c r="A1508" s="121">
        <v>45184</v>
      </c>
      <c r="B1508" s="125">
        <v>168269061.3365612</v>
      </c>
      <c r="C1508" s="125">
        <v>60850434.034340993</v>
      </c>
      <c r="D1508" s="125">
        <v>68460882.362605259</v>
      </c>
      <c r="E1508" s="125">
        <v>68933213.759189487</v>
      </c>
      <c r="F1508" s="123">
        <v>198244530.15613574</v>
      </c>
      <c r="G1508" s="125">
        <v>0</v>
      </c>
      <c r="H1508" s="125">
        <v>1550.908965456141</v>
      </c>
      <c r="I1508" s="125">
        <v>1013.1747492926692</v>
      </c>
      <c r="J1508" s="125">
        <v>688.48639686334752</v>
      </c>
      <c r="K1508" s="125">
        <v>872.29688230331794</v>
      </c>
      <c r="L1508" s="164">
        <v>2573.9580284593349</v>
      </c>
      <c r="M1508" s="125">
        <v>-20</v>
      </c>
      <c r="N1508" s="115">
        <v>15352.5</v>
      </c>
      <c r="O1508" s="139">
        <v>3277.645</v>
      </c>
      <c r="P1508" s="125">
        <v>-8348266.7921000002</v>
      </c>
      <c r="Q1508" s="125">
        <v>0</v>
      </c>
      <c r="R1508" s="114"/>
      <c r="S1508" s="125">
        <v>-8545133.5500033796</v>
      </c>
      <c r="T1508" s="125">
        <v>0</v>
      </c>
      <c r="U1508" s="125">
        <v>5042533.53</v>
      </c>
      <c r="V1508" s="125">
        <v>-3.7599999999999996E-6</v>
      </c>
      <c r="W1508" s="142">
        <v>0</v>
      </c>
      <c r="X1508" s="142">
        <v>25.565787140000001</v>
      </c>
      <c r="Y1508" s="142">
        <v>75314601.096948162</v>
      </c>
      <c r="Z1508" s="142">
        <v>360.39116309896241</v>
      </c>
    </row>
    <row r="1509" spans="1:26" s="141" customFormat="1">
      <c r="A1509" s="121">
        <v>45187</v>
      </c>
      <c r="B1509" s="125">
        <v>168309819.95151728</v>
      </c>
      <c r="C1509" s="125">
        <v>61238157.721612513</v>
      </c>
      <c r="D1509" s="125">
        <v>68270726.732666671</v>
      </c>
      <c r="E1509" s="125">
        <v>69205324.490825996</v>
      </c>
      <c r="F1509" s="123">
        <v>198714208.9451052</v>
      </c>
      <c r="G1509" s="125">
        <v>-490000</v>
      </c>
      <c r="H1509" s="125">
        <v>1550.722946342144</v>
      </c>
      <c r="I1509" s="125">
        <v>1011.3193318999528</v>
      </c>
      <c r="J1509" s="125">
        <v>694.33688016444182</v>
      </c>
      <c r="K1509" s="125">
        <v>768.38981186142541</v>
      </c>
      <c r="L1509" s="164">
        <v>2474.04602392582</v>
      </c>
      <c r="M1509" s="125">
        <v>-25</v>
      </c>
      <c r="N1509" s="115">
        <v>15370</v>
      </c>
      <c r="O1509" s="139">
        <v>3276.665</v>
      </c>
      <c r="P1509" s="125">
        <v>-8340500.6119999997</v>
      </c>
      <c r="Q1509" s="125">
        <v>0</v>
      </c>
      <c r="R1509" s="114"/>
      <c r="S1509" s="125">
        <v>-5249666.6000033803</v>
      </c>
      <c r="T1509" s="125">
        <v>0</v>
      </c>
      <c r="U1509" s="125">
        <v>5042533.53</v>
      </c>
      <c r="V1509" s="125">
        <v>-3.9399999999999995E-6</v>
      </c>
      <c r="W1509" s="142">
        <v>0</v>
      </c>
      <c r="X1509" s="142">
        <v>33.565787139999998</v>
      </c>
      <c r="Y1509" s="142">
        <v>74409128.089132249</v>
      </c>
      <c r="Z1509" s="142">
        <v>358.52485676883668</v>
      </c>
    </row>
    <row r="1510" spans="1:26" s="141" customFormat="1">
      <c r="A1510" s="121">
        <v>45188</v>
      </c>
      <c r="B1510" s="125">
        <v>168101802.38130766</v>
      </c>
      <c r="C1510" s="125">
        <v>61874708.096400835</v>
      </c>
      <c r="D1510" s="125">
        <v>68099165.289586663</v>
      </c>
      <c r="E1510" s="125">
        <v>68974675.930571616</v>
      </c>
      <c r="F1510" s="123">
        <v>198948549.31655911</v>
      </c>
      <c r="G1510" s="125">
        <v>-1495000</v>
      </c>
      <c r="H1510" s="125">
        <v>1554.0349904374298</v>
      </c>
      <c r="I1510" s="125">
        <v>1040.4456166729963</v>
      </c>
      <c r="J1510" s="125">
        <v>696.12641916208702</v>
      </c>
      <c r="K1510" s="125">
        <v>736.21389692396031</v>
      </c>
      <c r="L1510" s="164">
        <v>2472.7859327590436</v>
      </c>
      <c r="M1510" s="125">
        <v>-25</v>
      </c>
      <c r="N1510" s="115">
        <v>15380</v>
      </c>
      <c r="O1510" s="139">
        <v>3275.48</v>
      </c>
      <c r="P1510" s="125">
        <v>-7984919.5</v>
      </c>
      <c r="Q1510" s="125">
        <v>0</v>
      </c>
      <c r="R1510" s="114"/>
      <c r="S1510" s="125">
        <v>-5249666.6000033803</v>
      </c>
      <c r="T1510" s="125">
        <v>0</v>
      </c>
      <c r="U1510" s="125">
        <v>5042533.53</v>
      </c>
      <c r="V1510" s="125">
        <v>-4.0400000000000003E-6</v>
      </c>
      <c r="W1510" s="142">
        <v>0</v>
      </c>
      <c r="X1510" s="142">
        <v>15.565787140000001</v>
      </c>
      <c r="Y1510" s="142">
        <v>73347380.718395889</v>
      </c>
      <c r="Z1510" s="142">
        <v>359.97066384562993</v>
      </c>
    </row>
    <row r="1511" spans="1:26" s="141" customFormat="1">
      <c r="A1511" s="121">
        <v>45189</v>
      </c>
      <c r="B1511" s="125">
        <v>168314240.37304506</v>
      </c>
      <c r="C1511" s="125">
        <v>62390422.394398853</v>
      </c>
      <c r="D1511" s="125">
        <v>67971556.951585367</v>
      </c>
      <c r="E1511" s="125">
        <v>69144734.673003241</v>
      </c>
      <c r="F1511" s="123">
        <v>199506714.01898748</v>
      </c>
      <c r="G1511" s="125">
        <v>-1630000</v>
      </c>
      <c r="H1511" s="125">
        <v>1550.7234810369707</v>
      </c>
      <c r="I1511" s="125">
        <v>1035.7154641136824</v>
      </c>
      <c r="J1511" s="125">
        <v>698.4431539312435</v>
      </c>
      <c r="K1511" s="125">
        <v>735.04288493276613</v>
      </c>
      <c r="L1511" s="164">
        <v>2469.2015029776921</v>
      </c>
      <c r="M1511" s="125">
        <v>-25</v>
      </c>
      <c r="N1511" s="115">
        <v>15380</v>
      </c>
      <c r="O1511" s="139">
        <v>3280.3650000000002</v>
      </c>
      <c r="P1511" s="125">
        <v>-7828378.6145000001</v>
      </c>
      <c r="Q1511" s="125">
        <v>0</v>
      </c>
      <c r="R1511" s="114"/>
      <c r="S1511" s="125">
        <v>-4506178.3500033803</v>
      </c>
      <c r="T1511" s="125">
        <v>0</v>
      </c>
      <c r="U1511" s="125">
        <v>5042533.53</v>
      </c>
      <c r="V1511" s="125">
        <v>-4.0400000000000003E-6</v>
      </c>
      <c r="W1511" s="142">
        <v>0</v>
      </c>
      <c r="X1511" s="142">
        <v>15.565787140000001</v>
      </c>
      <c r="Y1511" s="142">
        <v>73053590.049420297</v>
      </c>
      <c r="Z1511" s="142">
        <v>359.83813238811439</v>
      </c>
    </row>
    <row r="1512" spans="1:26" s="141" customFormat="1">
      <c r="A1512" s="121">
        <v>45190</v>
      </c>
      <c r="B1512" s="125">
        <v>168124399.39002848</v>
      </c>
      <c r="C1512" s="125">
        <v>62990422.571879789</v>
      </c>
      <c r="D1512" s="125">
        <v>68089099.834260628</v>
      </c>
      <c r="E1512" s="125">
        <v>70053930.794095486</v>
      </c>
      <c r="F1512" s="123">
        <v>201133453.2002359</v>
      </c>
      <c r="G1512" s="125">
        <v>-2475000</v>
      </c>
      <c r="H1512" s="125">
        <v>1531.7735628954422</v>
      </c>
      <c r="I1512" s="125">
        <v>1049.7387211521218</v>
      </c>
      <c r="J1512" s="125">
        <v>704.76444374121479</v>
      </c>
      <c r="K1512" s="125">
        <v>734.0666055133936</v>
      </c>
      <c r="L1512" s="164">
        <v>2488.5697704067302</v>
      </c>
      <c r="M1512" s="125">
        <v>-25</v>
      </c>
      <c r="N1512" s="115">
        <v>15375</v>
      </c>
      <c r="O1512" s="139">
        <v>3278.2550000000001</v>
      </c>
      <c r="P1512" s="125">
        <v>-7356310.3645000001</v>
      </c>
      <c r="Q1512" s="125">
        <v>0</v>
      </c>
      <c r="R1512" s="114"/>
      <c r="S1512" s="125">
        <v>-4506178.3500033803</v>
      </c>
      <c r="T1512" s="125">
        <v>0</v>
      </c>
      <c r="U1512" s="125">
        <v>5042533.53</v>
      </c>
      <c r="V1512" s="125">
        <v>-3.9899999999999999E-6</v>
      </c>
      <c r="W1512" s="142">
        <v>0</v>
      </c>
      <c r="X1512" s="142">
        <v>43.565787139999998</v>
      </c>
      <c r="Y1512" s="142">
        <v>73455363.481200159</v>
      </c>
      <c r="Z1512" s="142">
        <v>354.8986883493651</v>
      </c>
    </row>
    <row r="1513" spans="1:26" s="141" customFormat="1">
      <c r="A1513" s="121">
        <v>45191</v>
      </c>
      <c r="B1513" s="125">
        <v>167790742.9239015</v>
      </c>
      <c r="C1513" s="125">
        <v>61927340.365053654</v>
      </c>
      <c r="D1513" s="125">
        <v>68029874.446590796</v>
      </c>
      <c r="E1513" s="125">
        <v>69407097.152648479</v>
      </c>
      <c r="F1513" s="123">
        <v>199364311.96429294</v>
      </c>
      <c r="G1513" s="125">
        <v>-1870000</v>
      </c>
      <c r="H1513" s="125">
        <v>1542.0824837270361</v>
      </c>
      <c r="I1513" s="125">
        <v>1015.7553961785163</v>
      </c>
      <c r="J1513" s="125">
        <v>705.0555101206653</v>
      </c>
      <c r="K1513" s="125">
        <v>761.61881127606637</v>
      </c>
      <c r="L1513" s="164">
        <v>2482.4297175752481</v>
      </c>
      <c r="M1513" s="125">
        <v>-15</v>
      </c>
      <c r="N1513" s="115">
        <v>15375</v>
      </c>
      <c r="O1513" s="139">
        <v>3278.9549999999999</v>
      </c>
      <c r="P1513" s="125">
        <v>-7596649.1984999999</v>
      </c>
      <c r="Q1513" s="125">
        <v>0</v>
      </c>
      <c r="R1513" s="114"/>
      <c r="S1513" s="125">
        <v>-2814362.4000033801</v>
      </c>
      <c r="T1513" s="125">
        <v>0</v>
      </c>
      <c r="U1513" s="125">
        <v>5042533.53</v>
      </c>
      <c r="V1513" s="125">
        <v>-3.9899999999999999E-6</v>
      </c>
      <c r="W1513" s="142">
        <v>0</v>
      </c>
      <c r="X1513" s="142">
        <v>25.565787139999998</v>
      </c>
      <c r="Y1513" s="142">
        <v>73231177.406128556</v>
      </c>
      <c r="Z1513" s="142">
        <v>357.18787475652374</v>
      </c>
    </row>
    <row r="1514" spans="1:26" s="141" customFormat="1">
      <c r="A1514" s="121">
        <v>45194</v>
      </c>
      <c r="B1514" s="125">
        <v>167952153.59693134</v>
      </c>
      <c r="C1514" s="125">
        <v>61857437.841479436</v>
      </c>
      <c r="D1514" s="125">
        <v>68540147.728502735</v>
      </c>
      <c r="E1514" s="125">
        <v>68844852.272522941</v>
      </c>
      <c r="F1514" s="123">
        <v>199242437.8425051</v>
      </c>
      <c r="G1514" s="125">
        <v>-1460000</v>
      </c>
      <c r="H1514" s="125">
        <v>1544.532577060125</v>
      </c>
      <c r="I1514" s="125">
        <v>1005.4010695633438</v>
      </c>
      <c r="J1514" s="125">
        <v>710.27082191518753</v>
      </c>
      <c r="K1514" s="125">
        <v>788.56283078839158</v>
      </c>
      <c r="L1514" s="164">
        <v>2504.2347222669227</v>
      </c>
      <c r="M1514" s="125">
        <v>-10</v>
      </c>
      <c r="N1514" s="115">
        <v>15400</v>
      </c>
      <c r="O1514" s="139">
        <v>3287.44</v>
      </c>
      <c r="P1514" s="125">
        <v>-4470362.3859999999</v>
      </c>
      <c r="Q1514" s="125">
        <v>0</v>
      </c>
      <c r="R1514" s="114"/>
      <c r="S1514" s="125">
        <v>-4840538.45000338</v>
      </c>
      <c r="T1514" s="125">
        <v>0</v>
      </c>
      <c r="U1514" s="125">
        <v>5042533.53</v>
      </c>
      <c r="V1514" s="125">
        <v>-4.2400000000000001E-6</v>
      </c>
      <c r="W1514" s="142">
        <v>0</v>
      </c>
      <c r="X1514" s="142">
        <v>25.565787139999998</v>
      </c>
      <c r="Y1514" s="142">
        <v>74097023.382100582</v>
      </c>
      <c r="Z1514" s="142">
        <v>356.75665076297531</v>
      </c>
    </row>
    <row r="1515" spans="1:26" s="141" customFormat="1">
      <c r="A1515" s="121">
        <v>45195</v>
      </c>
      <c r="B1515" s="125">
        <v>168215959.72258079</v>
      </c>
      <c r="C1515" s="125">
        <v>63232803.55387038</v>
      </c>
      <c r="D1515" s="125">
        <v>68402893.483129427</v>
      </c>
      <c r="E1515" s="125">
        <v>69031676.969183683</v>
      </c>
      <c r="F1515" s="123">
        <v>200667374.00618351</v>
      </c>
      <c r="G1515" s="125">
        <v>-2510000</v>
      </c>
      <c r="H1515" s="125">
        <v>1563.9881615895029</v>
      </c>
      <c r="I1515" s="125">
        <v>1014.659677163937</v>
      </c>
      <c r="J1515" s="125">
        <v>707.68944820620379</v>
      </c>
      <c r="K1515" s="125">
        <v>788.39030760706191</v>
      </c>
      <c r="L1515" s="164">
        <v>2510.7394329772028</v>
      </c>
      <c r="M1515" s="125">
        <v>-10</v>
      </c>
      <c r="N1515" s="115">
        <v>15490</v>
      </c>
      <c r="O1515" s="139">
        <v>3301.7150000000001</v>
      </c>
      <c r="P1515" s="125">
        <v>-4372990.7429999998</v>
      </c>
      <c r="Q1515" s="125">
        <v>0</v>
      </c>
      <c r="R1515" s="114"/>
      <c r="S1515" s="125">
        <v>-4840538.45000338</v>
      </c>
      <c r="T1515" s="125">
        <v>0</v>
      </c>
      <c r="U1515" s="125">
        <v>5042533.53</v>
      </c>
      <c r="V1515" s="125">
        <v>-5.1399999999999999E-6</v>
      </c>
      <c r="W1515" s="142">
        <v>0</v>
      </c>
      <c r="X1515" s="142">
        <v>31.565787139999998</v>
      </c>
      <c r="Y1515" s="142">
        <v>75291582.058626607</v>
      </c>
      <c r="Z1515" s="142">
        <v>357.63143063916903</v>
      </c>
    </row>
    <row r="1516" spans="1:26" s="141" customFormat="1">
      <c r="A1516" s="121">
        <v>45196</v>
      </c>
      <c r="B1516" s="125">
        <v>168640765.41190121</v>
      </c>
      <c r="C1516" s="125">
        <v>63289464.368180618</v>
      </c>
      <c r="D1516" s="125">
        <v>68489095.998551622</v>
      </c>
      <c r="E1516" s="125">
        <v>69160512.87346448</v>
      </c>
      <c r="F1516" s="123">
        <v>200939073.2401967</v>
      </c>
      <c r="G1516" s="125">
        <v>-2080000</v>
      </c>
      <c r="H1516" s="125">
        <v>1629.3293566438435</v>
      </c>
      <c r="I1516" s="125">
        <v>977.34557852619491</v>
      </c>
      <c r="J1516" s="125">
        <v>711.95906176729579</v>
      </c>
      <c r="K1516" s="125">
        <v>786.14530270291596</v>
      </c>
      <c r="L1516" s="164">
        <v>2475.4499429964067</v>
      </c>
      <c r="M1516" s="125">
        <v>-10</v>
      </c>
      <c r="N1516" s="115">
        <v>15520</v>
      </c>
      <c r="O1516" s="139">
        <v>3298.9700000000003</v>
      </c>
      <c r="P1516" s="125">
        <v>-6031875.1305</v>
      </c>
      <c r="Q1516" s="125">
        <v>0</v>
      </c>
      <c r="R1516" s="114"/>
      <c r="S1516" s="125">
        <v>-5184515.8000033796</v>
      </c>
      <c r="T1516" s="125">
        <v>0</v>
      </c>
      <c r="U1516" s="125">
        <v>5042533.53</v>
      </c>
      <c r="V1516" s="125">
        <v>-5.4400000000000004E-6</v>
      </c>
      <c r="W1516" s="142">
        <v>0</v>
      </c>
      <c r="X1516" s="142">
        <v>21.565787140000001</v>
      </c>
      <c r="Y1516" s="142">
        <v>75328963.308280602</v>
      </c>
      <c r="Z1516" s="142">
        <v>355.53135290773582</v>
      </c>
    </row>
    <row r="1517" spans="1:26" s="141" customFormat="1">
      <c r="A1517" s="121">
        <v>45198</v>
      </c>
      <c r="B1517" s="125">
        <v>171124576.68034855</v>
      </c>
      <c r="C1517" s="125">
        <v>62345043.674460597</v>
      </c>
      <c r="D1517" s="125">
        <v>68684224.761881337</v>
      </c>
      <c r="E1517" s="125">
        <v>67587896.398275167</v>
      </c>
      <c r="F1517" s="123">
        <v>198617164.83461711</v>
      </c>
      <c r="G1517" s="125">
        <v>0</v>
      </c>
      <c r="H1517" s="125">
        <v>1612.9778761991815</v>
      </c>
      <c r="I1517" s="125">
        <v>976.69542954499013</v>
      </c>
      <c r="J1517" s="125">
        <v>709.40004776735123</v>
      </c>
      <c r="K1517" s="125">
        <v>786.87862482455864</v>
      </c>
      <c r="L1517" s="164">
        <v>2472.9741021369</v>
      </c>
      <c r="M1517" s="125">
        <v>0</v>
      </c>
      <c r="N1517" s="115">
        <v>15455</v>
      </c>
      <c r="O1517" s="139">
        <v>3296.7150000000001</v>
      </c>
      <c r="P1517" s="125">
        <v>-6272838.4574999996</v>
      </c>
      <c r="Q1517" s="125">
        <v>0</v>
      </c>
      <c r="R1517" s="114"/>
      <c r="S1517" s="125">
        <v>-10395261.55000338</v>
      </c>
      <c r="T1517" s="125">
        <v>0</v>
      </c>
      <c r="U1517" s="125">
        <v>5042533.53</v>
      </c>
      <c r="V1517" s="125">
        <v>-4.7899999999999999E-6</v>
      </c>
      <c r="W1517" s="142">
        <v>0</v>
      </c>
      <c r="X1517" s="142">
        <v>12.565787139999999</v>
      </c>
      <c r="Y1517" s="142">
        <v>75319144.641586512</v>
      </c>
      <c r="Z1517" s="142">
        <v>360.71926193329136</v>
      </c>
    </row>
    <row r="1518" spans="1:26" s="141" customFormat="1">
      <c r="A1518" s="121">
        <v>45199</v>
      </c>
      <c r="B1518" s="136">
        <v>173569088.360201</v>
      </c>
      <c r="C1518" s="136">
        <v>62771818.443939</v>
      </c>
      <c r="D1518" s="136">
        <v>68762662.707827002</v>
      </c>
      <c r="E1518" s="136">
        <v>66168443.923707001</v>
      </c>
      <c r="F1518" s="137">
        <v>197702925.07547301</v>
      </c>
      <c r="G1518" s="125">
        <v>0</v>
      </c>
      <c r="H1518" s="136">
        <v>1620.8687172334519</v>
      </c>
      <c r="I1518" s="136">
        <v>974.54888236040119</v>
      </c>
      <c r="J1518" s="136">
        <v>709.28949593684888</v>
      </c>
      <c r="K1518" s="136">
        <v>784.86234520562925</v>
      </c>
      <c r="L1518" s="165">
        <v>2468.7007235028796</v>
      </c>
      <c r="M1518" s="125">
        <v>0</v>
      </c>
      <c r="N1518" s="115">
        <v>15455</v>
      </c>
      <c r="O1518" s="139">
        <v>3296.7150000000001</v>
      </c>
      <c r="P1518" s="125">
        <v>-6272838.4574999996</v>
      </c>
      <c r="Q1518" s="125">
        <v>0</v>
      </c>
      <c r="R1518" s="114"/>
      <c r="S1518" s="125">
        <v>-10395261.55000338</v>
      </c>
      <c r="T1518" s="125">
        <v>0</v>
      </c>
      <c r="U1518" s="125">
        <v>5042533.53</v>
      </c>
      <c r="V1518" s="125">
        <v>-4.7899999999999999E-6</v>
      </c>
      <c r="W1518" s="142">
        <v>0</v>
      </c>
      <c r="X1518" s="142">
        <v>12.565787139999999</v>
      </c>
      <c r="Y1518" s="142">
        <v>75319144.641586512</v>
      </c>
      <c r="Z1518" s="142">
        <v>360.71926193329136</v>
      </c>
    </row>
    <row r="1519" spans="1:26" s="141" customFormat="1">
      <c r="A1519" s="121">
        <v>45201</v>
      </c>
      <c r="B1519" s="125">
        <v>169811908.28738859</v>
      </c>
      <c r="C1519" s="125">
        <v>62912977.373867624</v>
      </c>
      <c r="D1519" s="125">
        <v>68422342.9681914</v>
      </c>
      <c r="E1519" s="125">
        <v>67210039.322960004</v>
      </c>
      <c r="F1519" s="123">
        <v>198545359.66501904</v>
      </c>
      <c r="G1519" s="125">
        <v>-825000</v>
      </c>
      <c r="H1519" s="125">
        <v>1635.0228879252077</v>
      </c>
      <c r="I1519" s="125">
        <v>966.33355790153462</v>
      </c>
      <c r="J1519" s="125">
        <v>710.2945016902803</v>
      </c>
      <c r="K1519" s="125">
        <v>781.45057616087615</v>
      </c>
      <c r="L1519" s="164">
        <v>2458.0786357526913</v>
      </c>
      <c r="M1519" s="125">
        <v>-20</v>
      </c>
      <c r="N1519" s="115">
        <v>15530</v>
      </c>
      <c r="O1519" s="139">
        <v>3296.1900000000005</v>
      </c>
      <c r="P1519" s="125">
        <v>-9234938.6475000009</v>
      </c>
      <c r="Q1519" s="125">
        <v>0</v>
      </c>
      <c r="R1519" s="114"/>
      <c r="S1519" s="125">
        <v>-8369085.5000033798</v>
      </c>
      <c r="T1519" s="125">
        <v>0</v>
      </c>
      <c r="U1519" s="125">
        <v>5042533.53</v>
      </c>
      <c r="V1519" s="125">
        <v>-5.5400000000000003E-6</v>
      </c>
      <c r="W1519" s="142">
        <v>0</v>
      </c>
      <c r="X1519" s="142">
        <v>21.565787140000001</v>
      </c>
      <c r="Y1519" s="142">
        <v>74838418.525467262</v>
      </c>
      <c r="Z1519" s="142">
        <v>352.99384007785841</v>
      </c>
    </row>
    <row r="1520" spans="1:26" s="141" customFormat="1">
      <c r="A1520" s="121">
        <v>45202</v>
      </c>
      <c r="B1520" s="125">
        <v>168924098.76210147</v>
      </c>
      <c r="C1520" s="125">
        <v>62261384.515532851</v>
      </c>
      <c r="D1520" s="125">
        <v>69121204.97123453</v>
      </c>
      <c r="E1520" s="125">
        <v>65759249.939137191</v>
      </c>
      <c r="F1520" s="123">
        <v>197141839.42590457</v>
      </c>
      <c r="G1520" s="125">
        <v>-2755000</v>
      </c>
      <c r="H1520" s="125">
        <v>1643.795279093827</v>
      </c>
      <c r="I1520" s="125">
        <v>955.03014849204874</v>
      </c>
      <c r="J1520" s="125">
        <v>708.36209926503557</v>
      </c>
      <c r="K1520" s="125">
        <v>785.52203376215618</v>
      </c>
      <c r="L1520" s="164">
        <v>2448.9142815192404</v>
      </c>
      <c r="M1520" s="125">
        <v>-20</v>
      </c>
      <c r="N1520" s="115">
        <v>15580</v>
      </c>
      <c r="O1520" s="139">
        <v>3298.0550000000003</v>
      </c>
      <c r="P1520" s="125">
        <v>-7222965.1475</v>
      </c>
      <c r="Q1520" s="125">
        <v>0</v>
      </c>
      <c r="R1520" s="114"/>
      <c r="S1520" s="125">
        <v>-8369085.5000033798</v>
      </c>
      <c r="T1520" s="125">
        <v>0</v>
      </c>
      <c r="U1520" s="125">
        <v>5042533.53</v>
      </c>
      <c r="V1520" s="125">
        <v>-6.0399999999999998E-6</v>
      </c>
      <c r="W1520" s="142">
        <v>0</v>
      </c>
      <c r="X1520" s="142">
        <v>0.56578713999999997</v>
      </c>
      <c r="Y1520" s="142">
        <v>74701220.43414171</v>
      </c>
      <c r="Z1520" s="142">
        <v>351.2045027105296</v>
      </c>
    </row>
    <row r="1521" spans="1:26" s="141" customFormat="1">
      <c r="A1521" s="121">
        <v>45203</v>
      </c>
      <c r="B1521" s="125">
        <v>168935036.35223573</v>
      </c>
      <c r="C1521" s="125">
        <v>62815381.368011691</v>
      </c>
      <c r="D1521" s="125">
        <v>70630567.085352957</v>
      </c>
      <c r="E1521" s="125">
        <v>65511920.225230321</v>
      </c>
      <c r="F1521" s="123">
        <v>198957868.67859495</v>
      </c>
      <c r="G1521" s="125">
        <v>-3105000</v>
      </c>
      <c r="H1521" s="125">
        <v>1634.2719561816061</v>
      </c>
      <c r="I1521" s="125">
        <v>925.14890412983766</v>
      </c>
      <c r="J1521" s="125">
        <v>711.92638212917825</v>
      </c>
      <c r="K1521" s="125">
        <v>797.07762045796699</v>
      </c>
      <c r="L1521" s="164">
        <v>2434.1529067169831</v>
      </c>
      <c r="M1521" s="125">
        <v>-20</v>
      </c>
      <c r="N1521" s="115">
        <v>15630</v>
      </c>
      <c r="O1521" s="139">
        <v>3302.3500000000004</v>
      </c>
      <c r="P1521" s="125">
        <v>-6020539.034</v>
      </c>
      <c r="Q1521" s="125">
        <v>0</v>
      </c>
      <c r="R1521" s="114"/>
      <c r="S1521" s="125">
        <v>-6451059.5000033798</v>
      </c>
      <c r="T1521" s="125">
        <v>0</v>
      </c>
      <c r="U1521" s="125">
        <v>5042533.53</v>
      </c>
      <c r="V1521" s="125">
        <v>-6.5400000000000001E-6</v>
      </c>
      <c r="W1521" s="142">
        <v>0</v>
      </c>
      <c r="X1521" s="142">
        <v>0.56578714000000008</v>
      </c>
      <c r="Y1521" s="142">
        <v>74746456.127592713</v>
      </c>
      <c r="Z1521" s="142">
        <v>349.75489721155219</v>
      </c>
    </row>
    <row r="1522" spans="1:26" s="141" customFormat="1">
      <c r="A1522" s="121">
        <v>45204</v>
      </c>
      <c r="B1522" s="125">
        <v>168766328.02462623</v>
      </c>
      <c r="C1522" s="125">
        <v>60377483.544382587</v>
      </c>
      <c r="D1522" s="125">
        <v>67746319.375861943</v>
      </c>
      <c r="E1522" s="125">
        <v>65600343.61857377</v>
      </c>
      <c r="F1522" s="123">
        <v>193724146.5388183</v>
      </c>
      <c r="G1522" s="125">
        <v>-3205000</v>
      </c>
      <c r="H1522" s="125">
        <v>1648.6847931880188</v>
      </c>
      <c r="I1522" s="125">
        <v>1019.0038151635267</v>
      </c>
      <c r="J1522" s="125">
        <v>712.38781095589025</v>
      </c>
      <c r="K1522" s="125">
        <v>788.30862205473011</v>
      </c>
      <c r="L1522" s="164">
        <v>2519.700248174147</v>
      </c>
      <c r="M1522" s="125">
        <v>-20</v>
      </c>
      <c r="N1522" s="115">
        <v>15615</v>
      </c>
      <c r="O1522" s="139">
        <v>3301.6150000000002</v>
      </c>
      <c r="P1522" s="125">
        <v>-7117111.6109999996</v>
      </c>
      <c r="Q1522" s="125">
        <v>0</v>
      </c>
      <c r="R1522" s="114"/>
      <c r="S1522" s="125">
        <v>-6451059.5000033798</v>
      </c>
      <c r="T1522" s="125">
        <v>0</v>
      </c>
      <c r="U1522" s="125">
        <v>5042533.53</v>
      </c>
      <c r="V1522" s="125">
        <v>-6.3899999999999998E-6</v>
      </c>
      <c r="W1522" s="142">
        <v>0</v>
      </c>
      <c r="X1522" s="142">
        <v>0.56578713999999997</v>
      </c>
      <c r="Y1522" s="142">
        <v>74389526.870724767</v>
      </c>
      <c r="Z1522" s="142">
        <v>351.79365225629954</v>
      </c>
    </row>
    <row r="1523" spans="1:26" s="141" customFormat="1">
      <c r="A1523" s="121">
        <v>45205</v>
      </c>
      <c r="B1523" s="125">
        <v>168719768.55263117</v>
      </c>
      <c r="C1523" s="125">
        <v>60163015.387976535</v>
      </c>
      <c r="D1523" s="125">
        <v>67823326.916019931</v>
      </c>
      <c r="E1523" s="125">
        <v>66774593.532308124</v>
      </c>
      <c r="F1523" s="123">
        <v>194760935.83630461</v>
      </c>
      <c r="G1523" s="125">
        <v>-3640000</v>
      </c>
      <c r="H1523" s="125">
        <v>1597.6821898138612</v>
      </c>
      <c r="I1523" s="125">
        <v>996.1053548587779</v>
      </c>
      <c r="J1523" s="125">
        <v>712.2189104288135</v>
      </c>
      <c r="K1523" s="125">
        <v>802.38446102649709</v>
      </c>
      <c r="L1523" s="164">
        <v>2510.7087263140884</v>
      </c>
      <c r="M1523" s="125">
        <v>-20</v>
      </c>
      <c r="N1523" s="115">
        <v>15610</v>
      </c>
      <c r="O1523" s="139">
        <v>3310.01</v>
      </c>
      <c r="P1523" s="125">
        <v>-7117111.6109999996</v>
      </c>
      <c r="Q1523" s="125">
        <v>0</v>
      </c>
      <c r="R1523" s="114"/>
      <c r="S1523" s="125">
        <v>-8261476.70000338</v>
      </c>
      <c r="T1523" s="125">
        <v>0</v>
      </c>
      <c r="U1523" s="125">
        <v>4661366.05</v>
      </c>
      <c r="V1523" s="125">
        <v>-6.3399999999999994E-6</v>
      </c>
      <c r="W1523" s="142">
        <v>0</v>
      </c>
      <c r="X1523" s="142">
        <v>10.565787139999999</v>
      </c>
      <c r="Y1523" s="142">
        <v>74340801.982213229</v>
      </c>
      <c r="Z1523" s="142">
        <v>353.74401715017427</v>
      </c>
    </row>
    <row r="1524" spans="1:26" s="141" customFormat="1">
      <c r="A1524" s="121">
        <v>45208</v>
      </c>
      <c r="B1524" s="125">
        <v>168723704.46004543</v>
      </c>
      <c r="C1524" s="125">
        <v>63064251.982269645</v>
      </c>
      <c r="D1524" s="125">
        <v>67824531.100126594</v>
      </c>
      <c r="E1524" s="125">
        <v>66471865.399017945</v>
      </c>
      <c r="F1524" s="123">
        <v>197360648.4814142</v>
      </c>
      <c r="G1524" s="125">
        <v>-3485000</v>
      </c>
      <c r="H1524" s="125">
        <v>1601.2616826397571</v>
      </c>
      <c r="I1524" s="125">
        <v>989.27408105362122</v>
      </c>
      <c r="J1524" s="125">
        <v>716.5504406840721</v>
      </c>
      <c r="K1524" s="125">
        <v>794.99082252927349</v>
      </c>
      <c r="L1524" s="164">
        <v>2500.8153442669668</v>
      </c>
      <c r="M1524" s="125">
        <v>-20</v>
      </c>
      <c r="N1524" s="115">
        <v>15690</v>
      </c>
      <c r="O1524" s="139">
        <v>3315.375</v>
      </c>
      <c r="P1524" s="125">
        <v>-6748217.534</v>
      </c>
      <c r="Q1524" s="125">
        <v>0</v>
      </c>
      <c r="R1524" s="114"/>
      <c r="S1524" s="125">
        <v>-8261476.70000338</v>
      </c>
      <c r="T1524" s="125">
        <v>0</v>
      </c>
      <c r="U1524" s="125">
        <v>4661366.05</v>
      </c>
      <c r="V1524" s="125">
        <v>-7.1399999999999994E-6</v>
      </c>
      <c r="W1524" s="142">
        <v>0</v>
      </c>
      <c r="X1524" s="142">
        <v>10.565787139999999</v>
      </c>
      <c r="Y1524" s="142">
        <v>74553473.385449365</v>
      </c>
      <c r="Z1524" s="142">
        <v>356.84582401394579</v>
      </c>
    </row>
    <row r="1525" spans="1:26" s="141" customFormat="1">
      <c r="A1525" s="121">
        <v>45209</v>
      </c>
      <c r="B1525" s="125">
        <v>168734479.81003311</v>
      </c>
      <c r="C1525" s="125">
        <v>60187435.10516005</v>
      </c>
      <c r="D1525" s="125">
        <v>67829676.02249302</v>
      </c>
      <c r="E1525" s="125">
        <v>66887261.488224156</v>
      </c>
      <c r="F1525" s="123">
        <v>194904372.61587721</v>
      </c>
      <c r="G1525" s="125">
        <v>-2385000</v>
      </c>
      <c r="H1525" s="125">
        <v>1605.8786867863312</v>
      </c>
      <c r="I1525" s="125">
        <v>986.58746990209738</v>
      </c>
      <c r="J1525" s="125">
        <v>717.86226713573376</v>
      </c>
      <c r="K1525" s="125">
        <v>793.85236088934334</v>
      </c>
      <c r="L1525" s="164">
        <v>2498.3020979271746</v>
      </c>
      <c r="M1525" s="125">
        <v>-10</v>
      </c>
      <c r="N1525" s="115">
        <v>15735</v>
      </c>
      <c r="O1525" s="139">
        <v>3323.13</v>
      </c>
      <c r="P1525" s="125">
        <v>-8977408.1400000006</v>
      </c>
      <c r="Q1525" s="125">
        <v>0</v>
      </c>
      <c r="R1525" s="114"/>
      <c r="S1525" s="125">
        <v>-9256058.7000033781</v>
      </c>
      <c r="T1525" s="125">
        <v>0</v>
      </c>
      <c r="U1525" s="125">
        <v>4661366.05</v>
      </c>
      <c r="V1525" s="125">
        <v>-7.5900000000000002E-6</v>
      </c>
      <c r="W1525" s="142">
        <v>0</v>
      </c>
      <c r="X1525" s="142">
        <v>5.5657871400000003</v>
      </c>
      <c r="Y1525" s="142">
        <v>75304624.184568182</v>
      </c>
      <c r="Z1525" s="142">
        <v>365.91165197562248</v>
      </c>
    </row>
    <row r="1526" spans="1:26" s="141" customFormat="1">
      <c r="A1526" s="121">
        <v>45210</v>
      </c>
      <c r="B1526" s="125">
        <v>168785278.40358585</v>
      </c>
      <c r="C1526" s="125">
        <v>59830438.411626928</v>
      </c>
      <c r="D1526" s="125">
        <v>67388724.000978604</v>
      </c>
      <c r="E1526" s="125">
        <v>66762327.783285677</v>
      </c>
      <c r="F1526" s="123">
        <v>193981490.1958912</v>
      </c>
      <c r="G1526" s="125">
        <v>-3430000</v>
      </c>
      <c r="H1526" s="125">
        <v>1604.075777905409</v>
      </c>
      <c r="I1526" s="125">
        <v>1045.4988318474668</v>
      </c>
      <c r="J1526" s="125">
        <v>715.75576110221414</v>
      </c>
      <c r="K1526" s="125">
        <v>794.735497139578</v>
      </c>
      <c r="L1526" s="164">
        <v>2555.990090089259</v>
      </c>
      <c r="M1526" s="125">
        <v>-10</v>
      </c>
      <c r="N1526" s="115">
        <v>15692.5</v>
      </c>
      <c r="O1526" s="139">
        <v>3319.4049999999997</v>
      </c>
      <c r="P1526" s="125">
        <v>-8989536.6245000008</v>
      </c>
      <c r="Q1526" s="125">
        <v>0</v>
      </c>
      <c r="R1526" s="114"/>
      <c r="S1526" s="125">
        <v>-8015744.95000338</v>
      </c>
      <c r="T1526" s="125">
        <v>0</v>
      </c>
      <c r="U1526" s="125">
        <v>4661366.05</v>
      </c>
      <c r="V1526" s="125">
        <v>-7.1600000000000001E-6</v>
      </c>
      <c r="W1526" s="142">
        <v>0</v>
      </c>
      <c r="X1526" s="142">
        <v>10.565787139999999</v>
      </c>
      <c r="Y1526" s="142">
        <v>75535327.283189476</v>
      </c>
      <c r="Z1526" s="142">
        <v>370.11601091902122</v>
      </c>
    </row>
    <row r="1527" spans="1:26" s="141" customFormat="1">
      <c r="A1527" s="121">
        <v>45211</v>
      </c>
      <c r="B1527" s="125">
        <v>168844007.45284215</v>
      </c>
      <c r="C1527" s="125">
        <v>60991488.275449947</v>
      </c>
      <c r="D1527" s="125">
        <v>67224857.709299415</v>
      </c>
      <c r="E1527" s="125">
        <v>66580941.340660051</v>
      </c>
      <c r="F1527" s="123">
        <v>194797287.32540941</v>
      </c>
      <c r="G1527" s="125">
        <v>-3430000</v>
      </c>
      <c r="H1527" s="125">
        <v>1597.0370034608438</v>
      </c>
      <c r="I1527" s="125">
        <v>1028.7151890059317</v>
      </c>
      <c r="J1527" s="125">
        <v>714.71463650272153</v>
      </c>
      <c r="K1527" s="125">
        <v>793.7614231561638</v>
      </c>
      <c r="L1527" s="164">
        <v>2537.1912486648171</v>
      </c>
      <c r="M1527" s="125">
        <v>-10</v>
      </c>
      <c r="N1527" s="115">
        <v>15690</v>
      </c>
      <c r="O1527" s="139">
        <v>3325.5600000000004</v>
      </c>
      <c r="P1527" s="125">
        <v>-8871847.5124999993</v>
      </c>
      <c r="Q1527" s="125">
        <v>0</v>
      </c>
      <c r="R1527" s="114"/>
      <c r="S1527" s="125">
        <v>-8015744.95000338</v>
      </c>
      <c r="T1527" s="125">
        <v>0</v>
      </c>
      <c r="U1527" s="125">
        <v>4803901.4484999999</v>
      </c>
      <c r="V1527" s="125">
        <v>-7.1299999999999995E-6</v>
      </c>
      <c r="W1527" s="142">
        <v>0</v>
      </c>
      <c r="X1527" s="142">
        <v>8.9909385102995536</v>
      </c>
      <c r="Y1527" s="142">
        <v>76006444.261591375</v>
      </c>
      <c r="Z1527" s="142">
        <v>371.61470958192353</v>
      </c>
    </row>
    <row r="1528" spans="1:26" s="141" customFormat="1">
      <c r="A1528" s="121">
        <v>45212</v>
      </c>
      <c r="B1528" s="125">
        <v>168635316.76582775</v>
      </c>
      <c r="C1528" s="125">
        <v>59452709.287740335</v>
      </c>
      <c r="D1528" s="125">
        <v>67075486.44614061</v>
      </c>
      <c r="E1528" s="125">
        <v>66591380.65880885</v>
      </c>
      <c r="F1528" s="123">
        <v>193119576.39268979</v>
      </c>
      <c r="G1528" s="125">
        <v>-3745000</v>
      </c>
      <c r="H1528" s="125">
        <v>1592.5246525590205</v>
      </c>
      <c r="I1528" s="125">
        <v>1024.6868646253049</v>
      </c>
      <c r="J1528" s="125">
        <v>712.35171306063921</v>
      </c>
      <c r="K1528" s="125">
        <v>796.50611995153554</v>
      </c>
      <c r="L1528" s="164">
        <v>2533.5446976374797</v>
      </c>
      <c r="M1528" s="125">
        <v>-10</v>
      </c>
      <c r="N1528" s="115">
        <v>15682.5</v>
      </c>
      <c r="O1528" s="139">
        <v>3314.84</v>
      </c>
      <c r="P1528" s="125">
        <v>-8369467.7455000002</v>
      </c>
      <c r="Q1528" s="125">
        <v>0</v>
      </c>
      <c r="R1528" s="114"/>
      <c r="S1528" s="125">
        <v>-6766850.7500033798</v>
      </c>
      <c r="T1528" s="125">
        <v>0</v>
      </c>
      <c r="U1528" s="125">
        <v>4803901.4484999999</v>
      </c>
      <c r="V1528" s="125">
        <v>-7.0499999999999994E-6</v>
      </c>
      <c r="W1528" s="142">
        <v>0</v>
      </c>
      <c r="X1528" s="142">
        <v>14.987164471420373</v>
      </c>
      <c r="Y1528" s="142">
        <v>76048808.059087157</v>
      </c>
      <c r="Z1528" s="142">
        <v>371.9724273927709</v>
      </c>
    </row>
    <row r="1529" spans="1:26" s="141" customFormat="1">
      <c r="A1529" s="121">
        <v>45215</v>
      </c>
      <c r="B1529" s="125">
        <v>168414978.27074367</v>
      </c>
      <c r="C1529" s="125">
        <v>60138574.226373799</v>
      </c>
      <c r="D1529" s="125">
        <v>67110570.669358984</v>
      </c>
      <c r="E1529" s="125">
        <v>67240972.363734156</v>
      </c>
      <c r="F1529" s="123">
        <v>194490117.25946695</v>
      </c>
      <c r="G1529" s="125">
        <v>-2335000</v>
      </c>
      <c r="H1529" s="125">
        <v>1613.4183640663052</v>
      </c>
      <c r="I1529" s="125">
        <v>1026.3586809477606</v>
      </c>
      <c r="J1529" s="125">
        <v>708.50272526935851</v>
      </c>
      <c r="K1529" s="125">
        <v>791.8203084000728</v>
      </c>
      <c r="L1529" s="164">
        <v>2526.681714617192</v>
      </c>
      <c r="M1529" s="125">
        <v>-10</v>
      </c>
      <c r="N1529" s="115">
        <v>15720</v>
      </c>
      <c r="O1529" s="139">
        <v>3318.2049999999999</v>
      </c>
      <c r="P1529" s="125">
        <v>-8868388.3524999991</v>
      </c>
      <c r="Q1529" s="125">
        <v>0</v>
      </c>
      <c r="R1529" s="114"/>
      <c r="S1529" s="125">
        <v>-6766850.7500033798</v>
      </c>
      <c r="T1529" s="125">
        <v>0</v>
      </c>
      <c r="U1529" s="125">
        <v>4803901.4484999999</v>
      </c>
      <c r="V1529" s="125">
        <v>-7.43E-6</v>
      </c>
      <c r="W1529" s="142">
        <v>0</v>
      </c>
      <c r="X1529" s="142">
        <v>3.9851017074300255</v>
      </c>
      <c r="Y1529" s="142">
        <v>75090629.583747789</v>
      </c>
      <c r="Z1529" s="142">
        <v>367.35377030423268</v>
      </c>
    </row>
    <row r="1530" spans="1:26" s="141" customFormat="1">
      <c r="A1530" s="121">
        <v>45216</v>
      </c>
      <c r="B1530" s="125">
        <v>168499091.66149312</v>
      </c>
      <c r="C1530" s="125">
        <v>60695337.385828272</v>
      </c>
      <c r="D1530" s="125">
        <v>67087914.31466873</v>
      </c>
      <c r="E1530" s="125">
        <v>67306037.884131342</v>
      </c>
      <c r="F1530" s="123">
        <v>195089289.58462834</v>
      </c>
      <c r="G1530" s="125">
        <v>-2830000</v>
      </c>
      <c r="H1530" s="125">
        <v>1603.5224165452935</v>
      </c>
      <c r="I1530" s="125">
        <v>989.01927285473835</v>
      </c>
      <c r="J1530" s="125">
        <v>711.55705607328855</v>
      </c>
      <c r="K1530" s="125">
        <v>787.79149833428914</v>
      </c>
      <c r="L1530" s="164">
        <v>2488.367827262316</v>
      </c>
      <c r="M1530" s="125">
        <v>-10</v>
      </c>
      <c r="N1530" s="115">
        <v>15715</v>
      </c>
      <c r="O1530" s="139">
        <v>3319.2550000000001</v>
      </c>
      <c r="P1530" s="125">
        <v>-9327362.5969999991</v>
      </c>
      <c r="Q1530" s="125">
        <v>0</v>
      </c>
      <c r="R1530" s="114"/>
      <c r="S1530" s="125">
        <v>-5772268.7500033798</v>
      </c>
      <c r="T1530" s="125">
        <v>0</v>
      </c>
      <c r="U1530" s="125">
        <v>4803901.4484999999</v>
      </c>
      <c r="V1530" s="125">
        <v>-7.3799999999999996E-6</v>
      </c>
      <c r="W1530" s="142">
        <v>0</v>
      </c>
      <c r="X1530" s="142">
        <v>13.983636328673242</v>
      </c>
      <c r="Y1530" s="142">
        <v>75605460.38577795</v>
      </c>
      <c r="Z1530" s="142">
        <v>354.43791420268025</v>
      </c>
    </row>
    <row r="1531" spans="1:26" s="141" customFormat="1">
      <c r="A1531" s="121">
        <v>45217</v>
      </c>
      <c r="B1531" s="125">
        <v>168663491.94849345</v>
      </c>
      <c r="C1531" s="125">
        <v>61036281.204050466</v>
      </c>
      <c r="D1531" s="125">
        <v>66751293.681408659</v>
      </c>
      <c r="E1531" s="125">
        <v>67662480.147646338</v>
      </c>
      <c r="F1531" s="123">
        <v>195450055.03310546</v>
      </c>
      <c r="G1531" s="125">
        <v>-3225000</v>
      </c>
      <c r="H1531" s="125">
        <v>1606.5457430883432</v>
      </c>
      <c r="I1531" s="125">
        <v>1028.4516397288869</v>
      </c>
      <c r="J1531" s="125">
        <v>714.58806875127232</v>
      </c>
      <c r="K1531" s="125">
        <v>789.16161270829821</v>
      </c>
      <c r="L1531" s="164">
        <v>2532.2013211884578</v>
      </c>
      <c r="M1531" s="125">
        <v>-30</v>
      </c>
      <c r="N1531" s="115">
        <v>15730</v>
      </c>
      <c r="O1531" s="139">
        <v>3316.8150000000001</v>
      </c>
      <c r="P1531" s="125">
        <v>-9413205.6005000006</v>
      </c>
      <c r="Q1531" s="125">
        <v>0</v>
      </c>
      <c r="R1531" s="114"/>
      <c r="S1531" s="125">
        <v>-6768291.7500033798</v>
      </c>
      <c r="T1531" s="125">
        <v>0</v>
      </c>
      <c r="U1531" s="125">
        <v>4803901.4484999999</v>
      </c>
      <c r="V1531" s="125">
        <v>-7.5299999999999999E-6</v>
      </c>
      <c r="W1531" s="142">
        <v>0</v>
      </c>
      <c r="X1531" s="142">
        <v>3.9853198799872853</v>
      </c>
      <c r="Y1531" s="142">
        <v>75263018.931774318</v>
      </c>
      <c r="Z1531" s="142">
        <v>353.69975236165408</v>
      </c>
    </row>
    <row r="1532" spans="1:26" s="141" customFormat="1">
      <c r="A1532" s="121">
        <v>45218</v>
      </c>
      <c r="B1532" s="125">
        <v>168700357.86012167</v>
      </c>
      <c r="C1532" s="125">
        <v>61295874.048030466</v>
      </c>
      <c r="D1532" s="125">
        <v>66605043.562662691</v>
      </c>
      <c r="E1532" s="125">
        <v>67670952.093368247</v>
      </c>
      <c r="F1532" s="123">
        <v>195571869.70406139</v>
      </c>
      <c r="G1532" s="125">
        <v>-3535000</v>
      </c>
      <c r="H1532" s="125">
        <v>1594.1226603305404</v>
      </c>
      <c r="I1532" s="125">
        <v>981.83904024002834</v>
      </c>
      <c r="J1532" s="125">
        <v>715.18590039831633</v>
      </c>
      <c r="K1532" s="125">
        <v>788.96750360254305</v>
      </c>
      <c r="L1532" s="164">
        <v>2485.9924442408874</v>
      </c>
      <c r="M1532" s="125">
        <v>-30</v>
      </c>
      <c r="N1532" s="115">
        <v>15815</v>
      </c>
      <c r="O1532" s="139">
        <v>3318.65</v>
      </c>
      <c r="P1532" s="125">
        <v>-9768988.1140000001</v>
      </c>
      <c r="Q1532" s="125">
        <v>0</v>
      </c>
      <c r="R1532" s="114"/>
      <c r="S1532" s="125">
        <v>-6768291.7500033798</v>
      </c>
      <c r="T1532" s="125">
        <v>0</v>
      </c>
      <c r="U1532" s="125">
        <v>4661366.05</v>
      </c>
      <c r="V1532" s="125">
        <v>-8.3800000000000011E-6</v>
      </c>
      <c r="W1532" s="142">
        <v>0</v>
      </c>
      <c r="X1532" s="142">
        <v>0.56578713999999997</v>
      </c>
      <c r="Y1532" s="142">
        <v>75444576.771720842</v>
      </c>
      <c r="Z1532" s="142">
        <v>362.33377148334682</v>
      </c>
    </row>
    <row r="1533" spans="1:26" s="141" customFormat="1">
      <c r="A1533" s="121">
        <v>45219</v>
      </c>
      <c r="B1533" s="125">
        <v>168618004.11953282</v>
      </c>
      <c r="C1533" s="125">
        <v>63439882.189361945</v>
      </c>
      <c r="D1533" s="125">
        <v>66551282.303898305</v>
      </c>
      <c r="E1533" s="125">
        <v>67312737.139214441</v>
      </c>
      <c r="F1533" s="123">
        <v>197303901.63247469</v>
      </c>
      <c r="G1533" s="125">
        <v>-3535000</v>
      </c>
      <c r="H1533" s="125">
        <v>1540.5279077899836</v>
      </c>
      <c r="I1533" s="125">
        <v>956.98465741387076</v>
      </c>
      <c r="J1533" s="125">
        <v>709.05485430137628</v>
      </c>
      <c r="K1533" s="125">
        <v>793.07839248229789</v>
      </c>
      <c r="L1533" s="164">
        <v>2459.1179041975447</v>
      </c>
      <c r="M1533" s="125">
        <v>-30</v>
      </c>
      <c r="N1533" s="115">
        <v>15875</v>
      </c>
      <c r="O1533" s="139">
        <v>3329.66</v>
      </c>
      <c r="P1533" s="125">
        <v>-11431605.043500001</v>
      </c>
      <c r="Q1533" s="125">
        <v>0</v>
      </c>
      <c r="R1533" s="114"/>
      <c r="S1533" s="125">
        <v>-2966436.3000033805</v>
      </c>
      <c r="T1533" s="125">
        <v>0</v>
      </c>
      <c r="U1533" s="125">
        <v>4661366.05</v>
      </c>
      <c r="V1533" s="125">
        <v>-8.9800000000000004E-6</v>
      </c>
      <c r="W1533" s="142">
        <v>0</v>
      </c>
      <c r="X1533" s="142">
        <v>5.5657871400000003</v>
      </c>
      <c r="Y1533" s="142">
        <v>74742292.763102725</v>
      </c>
      <c r="Z1533" s="142">
        <v>352.76471058948664</v>
      </c>
    </row>
    <row r="1534" spans="1:26" s="141" customFormat="1">
      <c r="A1534" s="121">
        <v>45222</v>
      </c>
      <c r="B1534" s="125">
        <v>168768388.54636502</v>
      </c>
      <c r="C1534" s="125">
        <v>60984896.001214154</v>
      </c>
      <c r="D1534" s="125">
        <v>66469616.103084512</v>
      </c>
      <c r="E1534" s="125">
        <v>67215863.458092198</v>
      </c>
      <c r="F1534" s="123">
        <v>194670375.56239086</v>
      </c>
      <c r="G1534" s="125">
        <v>-3240000</v>
      </c>
      <c r="H1534" s="125">
        <v>1530.0623745543999</v>
      </c>
      <c r="I1534" s="125">
        <v>915.36669307143802</v>
      </c>
      <c r="J1534" s="125">
        <v>713.24517665472217</v>
      </c>
      <c r="K1534" s="125">
        <v>790.24562614007277</v>
      </c>
      <c r="L1534" s="164">
        <v>2418.857495866233</v>
      </c>
      <c r="M1534" s="125">
        <v>-30</v>
      </c>
      <c r="N1534" s="115">
        <v>15935</v>
      </c>
      <c r="O1534" s="139">
        <v>3332.29</v>
      </c>
      <c r="P1534" s="125">
        <v>-11242376.9925</v>
      </c>
      <c r="Q1534" s="125">
        <v>0</v>
      </c>
      <c r="R1534" s="114"/>
      <c r="S1534" s="125">
        <v>-4196046.3000033796</v>
      </c>
      <c r="T1534" s="125">
        <v>0</v>
      </c>
      <c r="U1534" s="125">
        <v>4661366.05</v>
      </c>
      <c r="V1534" s="125">
        <v>-9.5799999999999998E-6</v>
      </c>
      <c r="W1534" s="142">
        <v>0</v>
      </c>
      <c r="X1534" s="142">
        <v>5.5657871399999994</v>
      </c>
      <c r="Y1534" s="142">
        <v>74413979.399466723</v>
      </c>
      <c r="Z1534" s="142">
        <v>351.54467067251704</v>
      </c>
    </row>
    <row r="1535" spans="1:26" s="141" customFormat="1">
      <c r="A1535" s="121">
        <v>45223</v>
      </c>
      <c r="B1535" s="125">
        <v>168961090.73493484</v>
      </c>
      <c r="C1535" s="125">
        <v>61288527.159491554</v>
      </c>
      <c r="D1535" s="125">
        <v>66628603.568148278</v>
      </c>
      <c r="E1535" s="125">
        <v>67171691.078547001</v>
      </c>
      <c r="F1535" s="123">
        <v>195088821.80618683</v>
      </c>
      <c r="G1535" s="125">
        <v>-3275000</v>
      </c>
      <c r="H1535" s="125">
        <v>1532.8953112670531</v>
      </c>
      <c r="I1535" s="125">
        <v>918.38666449743596</v>
      </c>
      <c r="J1535" s="125">
        <v>713.07948440027576</v>
      </c>
      <c r="K1535" s="125">
        <v>792.800310583699</v>
      </c>
      <c r="L1535" s="164">
        <v>2424.2664594814105</v>
      </c>
      <c r="M1535" s="125">
        <v>-43</v>
      </c>
      <c r="N1535" s="115">
        <v>15850</v>
      </c>
      <c r="O1535" s="139">
        <v>3313.4750000000004</v>
      </c>
      <c r="P1535" s="125">
        <v>-11215046.3445</v>
      </c>
      <c r="Q1535" s="125">
        <v>0</v>
      </c>
      <c r="R1535" s="114"/>
      <c r="S1535" s="125">
        <v>-4196046.3000033796</v>
      </c>
      <c r="T1535" s="125">
        <v>0</v>
      </c>
      <c r="U1535" s="125">
        <v>4661366.05</v>
      </c>
      <c r="V1535" s="125">
        <v>-8.7300000000000011E-6</v>
      </c>
      <c r="W1535" s="142">
        <v>0</v>
      </c>
      <c r="X1535" s="142">
        <v>5.5657871400000003</v>
      </c>
      <c r="Y1535" s="142">
        <v>74309969.409581766</v>
      </c>
      <c r="Z1535" s="142">
        <v>353.08930991814384</v>
      </c>
    </row>
    <row r="1536" spans="1:26" s="141" customFormat="1">
      <c r="A1536" s="121">
        <v>45224</v>
      </c>
      <c r="B1536" s="125">
        <v>168780344.80841503</v>
      </c>
      <c r="C1536" s="125">
        <v>59997729.472038202</v>
      </c>
      <c r="D1536" s="125">
        <v>67237382.396662802</v>
      </c>
      <c r="E1536" s="125">
        <v>67681457.841904134</v>
      </c>
      <c r="F1536" s="123">
        <v>194916569.71060514</v>
      </c>
      <c r="G1536" s="125">
        <v>-3275000</v>
      </c>
      <c r="H1536" s="125">
        <v>1527.4090084471165</v>
      </c>
      <c r="I1536" s="125">
        <v>918.96487314053945</v>
      </c>
      <c r="J1536" s="125">
        <v>713.63719507109374</v>
      </c>
      <c r="K1536" s="125">
        <v>789.65327899821182</v>
      </c>
      <c r="L1536" s="164">
        <v>2422.2553472098452</v>
      </c>
      <c r="M1536" s="125">
        <v>-43</v>
      </c>
      <c r="N1536" s="115">
        <v>15870</v>
      </c>
      <c r="O1536" s="139">
        <v>3319.3900000000003</v>
      </c>
      <c r="P1536" s="125">
        <v>-9356490.4344999995</v>
      </c>
      <c r="Q1536" s="125">
        <v>0</v>
      </c>
      <c r="R1536" s="114"/>
      <c r="S1536" s="125">
        <v>-4317674.3500033803</v>
      </c>
      <c r="T1536" s="125">
        <v>0</v>
      </c>
      <c r="U1536" s="125">
        <v>4661366.05</v>
      </c>
      <c r="V1536" s="125">
        <v>-8.9299999999999992E-6</v>
      </c>
      <c r="W1536" s="142">
        <v>0</v>
      </c>
      <c r="X1536" s="142">
        <v>11.565787139999999</v>
      </c>
      <c r="Y1536" s="142">
        <v>73989569.08723186</v>
      </c>
      <c r="Z1536" s="142">
        <v>352.16319255653707</v>
      </c>
    </row>
    <row r="1537" spans="1:26" s="141" customFormat="1">
      <c r="A1537" s="121">
        <v>45225</v>
      </c>
      <c r="B1537" s="125">
        <v>168967413.41253927</v>
      </c>
      <c r="C1537" s="125">
        <v>60287365.934233025</v>
      </c>
      <c r="D1537" s="125">
        <v>67179447.991146937</v>
      </c>
      <c r="E1537" s="125">
        <v>67734398.145443022</v>
      </c>
      <c r="F1537" s="123">
        <v>195201212.07082298</v>
      </c>
      <c r="G1537" s="125">
        <v>-3075000</v>
      </c>
      <c r="H1537" s="125">
        <v>1540.400140273915</v>
      </c>
      <c r="I1537" s="125">
        <v>900.70255567714776</v>
      </c>
      <c r="J1537" s="125">
        <v>712.07670024275046</v>
      </c>
      <c r="K1537" s="125">
        <v>788.61390047509519</v>
      </c>
      <c r="L1537" s="164">
        <v>2401.3931563949936</v>
      </c>
      <c r="M1537" s="125">
        <v>-53</v>
      </c>
      <c r="N1537" s="115">
        <v>15920</v>
      </c>
      <c r="O1537" s="139">
        <v>3325.33</v>
      </c>
      <c r="P1537" s="125">
        <v>-9742728.2844999991</v>
      </c>
      <c r="Q1537" s="125">
        <v>0</v>
      </c>
      <c r="R1537" s="114"/>
      <c r="S1537" s="125">
        <v>-5326960.3500033803</v>
      </c>
      <c r="T1537" s="125">
        <v>0</v>
      </c>
      <c r="U1537" s="125">
        <v>4661366.05</v>
      </c>
      <c r="V1537" s="125">
        <v>-9.4299999999999995E-6</v>
      </c>
      <c r="W1537" s="142">
        <v>0</v>
      </c>
      <c r="X1537" s="142">
        <v>5.5657871400000003</v>
      </c>
      <c r="Y1537" s="142">
        <v>74019261.562273562</v>
      </c>
      <c r="Z1537" s="142">
        <v>351.35451524867773</v>
      </c>
    </row>
    <row r="1538" spans="1:26" s="141" customFormat="1">
      <c r="A1538" s="121">
        <v>45226</v>
      </c>
      <c r="B1538" s="125">
        <v>168909025.98070303</v>
      </c>
      <c r="C1538" s="125">
        <v>59139471.86006099</v>
      </c>
      <c r="D1538" s="125">
        <v>67335130.87597762</v>
      </c>
      <c r="E1538" s="125">
        <v>67207055.55018273</v>
      </c>
      <c r="F1538" s="123">
        <v>193681658.28622133</v>
      </c>
      <c r="G1538" s="125">
        <v>-2760000</v>
      </c>
      <c r="H1538" s="125">
        <v>1566.2560920687829</v>
      </c>
      <c r="I1538" s="125">
        <v>913.64140774790326</v>
      </c>
      <c r="J1538" s="125">
        <v>712.34120494928118</v>
      </c>
      <c r="K1538" s="125">
        <v>795.71910949844266</v>
      </c>
      <c r="L1538" s="164">
        <v>2421.7017221956271</v>
      </c>
      <c r="M1538" s="125">
        <v>-65</v>
      </c>
      <c r="N1538" s="115">
        <v>15940</v>
      </c>
      <c r="O1538" s="139">
        <v>3336.125</v>
      </c>
      <c r="P1538" s="125">
        <v>-9386481.8155000005</v>
      </c>
      <c r="Q1538" s="125">
        <v>0</v>
      </c>
      <c r="R1538" s="114"/>
      <c r="S1538" s="125">
        <v>-5392148.3000033796</v>
      </c>
      <c r="T1538" s="125">
        <v>0</v>
      </c>
      <c r="U1538" s="125">
        <v>4661366.05</v>
      </c>
      <c r="V1538" s="125">
        <v>-9.630000000000001E-6</v>
      </c>
      <c r="W1538" s="142">
        <v>0</v>
      </c>
      <c r="X1538" s="142">
        <v>0.56578713999999997</v>
      </c>
      <c r="Y1538" s="142">
        <v>73414703.681789562</v>
      </c>
      <c r="Z1538" s="142">
        <v>351.464885582872</v>
      </c>
    </row>
    <row r="1539" spans="1:26" s="141" customFormat="1">
      <c r="A1539" s="121">
        <v>45229</v>
      </c>
      <c r="B1539" s="125">
        <v>168570436.9803476</v>
      </c>
      <c r="C1539" s="125">
        <v>59449565.056041703</v>
      </c>
      <c r="D1539" s="125">
        <v>66954334.852400273</v>
      </c>
      <c r="E1539" s="125">
        <v>67267869.98175177</v>
      </c>
      <c r="F1539" s="123">
        <v>193671769.89019376</v>
      </c>
      <c r="G1539" s="125">
        <v>-1945000</v>
      </c>
      <c r="H1539" s="125">
        <v>1584.0464491073951</v>
      </c>
      <c r="I1539" s="125">
        <v>934.24446253616372</v>
      </c>
      <c r="J1539" s="125">
        <v>719.86097547334975</v>
      </c>
      <c r="K1539" s="125">
        <v>772.58623057993282</v>
      </c>
      <c r="L1539" s="164">
        <v>2426.6916685894462</v>
      </c>
      <c r="M1539" s="125">
        <v>-53</v>
      </c>
      <c r="N1539" s="115">
        <v>15890</v>
      </c>
      <c r="O1539" s="139">
        <v>3335.08</v>
      </c>
      <c r="P1539" s="125">
        <v>-8309115.1195</v>
      </c>
      <c r="Q1539" s="125">
        <v>0</v>
      </c>
      <c r="R1539" s="114"/>
      <c r="S1539" s="125">
        <v>-7477747.6500033801</v>
      </c>
      <c r="T1539" s="125">
        <v>0</v>
      </c>
      <c r="U1539" s="125">
        <v>4661366.05</v>
      </c>
      <c r="V1539" s="125">
        <v>-9.1300000000000007E-6</v>
      </c>
      <c r="W1539" s="142">
        <v>0</v>
      </c>
      <c r="X1539" s="142">
        <v>0.56578714000000008</v>
      </c>
      <c r="Y1539" s="142">
        <v>72974091.066070706</v>
      </c>
      <c r="Z1539" s="142">
        <v>350.17181693418871</v>
      </c>
    </row>
    <row r="1540" spans="1:26" s="141" customFormat="1">
      <c r="A1540" s="121">
        <v>45230</v>
      </c>
      <c r="B1540" s="136">
        <v>172592570.856576</v>
      </c>
      <c r="C1540" s="136">
        <v>59861685.815462999</v>
      </c>
      <c r="D1540" s="136">
        <v>67592316.129436001</v>
      </c>
      <c r="E1540" s="136">
        <v>66572456.042368002</v>
      </c>
      <c r="F1540" s="137">
        <v>194026457.98726699</v>
      </c>
      <c r="G1540" s="125">
        <v>0</v>
      </c>
      <c r="H1540" s="136">
        <v>1603.339029035694</v>
      </c>
      <c r="I1540" s="136">
        <v>976.21180988089395</v>
      </c>
      <c r="J1540" s="136">
        <v>719.94214189606544</v>
      </c>
      <c r="K1540" s="136">
        <v>776.2416813974819</v>
      </c>
      <c r="L1540" s="165">
        <v>2472.3956331744412</v>
      </c>
      <c r="M1540" s="125">
        <v>0</v>
      </c>
      <c r="N1540" s="115">
        <v>15885</v>
      </c>
      <c r="O1540" s="139">
        <v>3334.38</v>
      </c>
      <c r="P1540" s="125">
        <v>-9246826.7139999997</v>
      </c>
      <c r="Q1540" s="125">
        <v>0</v>
      </c>
      <c r="R1540" s="114"/>
      <c r="S1540" s="125">
        <v>-7477747.6500033801</v>
      </c>
      <c r="T1540" s="125">
        <v>0</v>
      </c>
      <c r="U1540" s="125">
        <v>4661366.05</v>
      </c>
      <c r="V1540" s="125">
        <v>-9.0799999999999995E-6</v>
      </c>
      <c r="W1540" s="142">
        <v>100000</v>
      </c>
      <c r="X1540" s="142">
        <v>0.56578713999999997</v>
      </c>
      <c r="Y1540" s="142">
        <v>72999346.341407433</v>
      </c>
      <c r="Z1540" s="142">
        <v>350.41033100807238</v>
      </c>
    </row>
    <row r="1541" spans="1:26" s="141" customFormat="1">
      <c r="A1541" s="121">
        <v>45231</v>
      </c>
      <c r="B1541" s="125">
        <v>168999437.35998562</v>
      </c>
      <c r="C1541" s="125">
        <v>59307360.887407884</v>
      </c>
      <c r="D1541" s="125">
        <v>67136144.274048492</v>
      </c>
      <c r="E1541" s="125">
        <v>68591229.161056921</v>
      </c>
      <c r="F1541" s="123">
        <v>195034734.32251328</v>
      </c>
      <c r="G1541" s="125">
        <v>-390000</v>
      </c>
      <c r="H1541" s="125">
        <v>1583.2839026290499</v>
      </c>
      <c r="I1541" s="125">
        <v>930.78057095247254</v>
      </c>
      <c r="J1541" s="125">
        <v>721.27775178271065</v>
      </c>
      <c r="K1541" s="125">
        <v>776.72086389423475</v>
      </c>
      <c r="L1541" s="164">
        <v>2428.7791866294178</v>
      </c>
      <c r="M1541" s="125">
        <v>0</v>
      </c>
      <c r="N1541" s="115">
        <v>15935</v>
      </c>
      <c r="O1541" s="139">
        <v>3340.67</v>
      </c>
      <c r="P1541" s="125">
        <v>-10841672.528000001</v>
      </c>
      <c r="Q1541" s="125">
        <v>0</v>
      </c>
      <c r="R1541" s="114"/>
      <c r="S1541" s="125">
        <v>-7777389.7620033799</v>
      </c>
      <c r="T1541" s="125">
        <v>0</v>
      </c>
      <c r="U1541" s="125">
        <v>4661366.05</v>
      </c>
      <c r="V1541" s="125">
        <v>-9.5799999999999998E-6</v>
      </c>
      <c r="W1541" s="142">
        <v>0</v>
      </c>
      <c r="X1541" s="142">
        <v>0.56578713999999997</v>
      </c>
      <c r="Y1541" s="142">
        <v>73335464.628892541</v>
      </c>
      <c r="Z1541" s="142">
        <v>349.80932338409349</v>
      </c>
    </row>
    <row r="1542" spans="1:26" s="141" customFormat="1">
      <c r="A1542" s="121">
        <v>45232</v>
      </c>
      <c r="B1542" s="125">
        <v>168556298.08464336</v>
      </c>
      <c r="C1542" s="125">
        <v>59577763.507660404</v>
      </c>
      <c r="D1542" s="125">
        <v>66982192.687142879</v>
      </c>
      <c r="E1542" s="125">
        <v>66979079.12295834</v>
      </c>
      <c r="F1542" s="123">
        <v>193539035.31776163</v>
      </c>
      <c r="G1542" s="125">
        <v>-1160000</v>
      </c>
      <c r="H1542" s="125">
        <v>1646.9930397292153</v>
      </c>
      <c r="I1542" s="125">
        <v>942.5295277589845</v>
      </c>
      <c r="J1542" s="125">
        <v>723.12357591609873</v>
      </c>
      <c r="K1542" s="125">
        <v>794.3992666626549</v>
      </c>
      <c r="L1542" s="164">
        <v>2460.052370337738</v>
      </c>
      <c r="M1542" s="125">
        <v>-28</v>
      </c>
      <c r="N1542" s="115">
        <v>15855</v>
      </c>
      <c r="O1542" s="139">
        <v>3335.7849999999999</v>
      </c>
      <c r="P1542" s="125">
        <v>-10852638.266000001</v>
      </c>
      <c r="Q1542" s="125">
        <v>0</v>
      </c>
      <c r="R1542" s="114"/>
      <c r="S1542" s="125">
        <v>-6770130.1940033799</v>
      </c>
      <c r="T1542" s="125">
        <v>0</v>
      </c>
      <c r="U1542" s="125">
        <v>4661366.05</v>
      </c>
      <c r="V1542" s="125">
        <v>-8.7799999999999989E-6</v>
      </c>
      <c r="W1542" s="142">
        <v>0</v>
      </c>
      <c r="X1542" s="142">
        <v>0.56578714000000008</v>
      </c>
      <c r="Y1542" s="142">
        <v>74083008.866834655</v>
      </c>
      <c r="Z1542" s="142">
        <v>353.83284606198032</v>
      </c>
    </row>
    <row r="1543" spans="1:26" s="141" customFormat="1">
      <c r="A1543" s="121">
        <v>45233</v>
      </c>
      <c r="B1543" s="125">
        <v>168235670.35422018</v>
      </c>
      <c r="C1543" s="125">
        <v>58095455.057576306</v>
      </c>
      <c r="D1543" s="125">
        <v>67262169.791474208</v>
      </c>
      <c r="E1543" s="125">
        <v>65538266.555389725</v>
      </c>
      <c r="F1543" s="123">
        <v>190895891.40444025</v>
      </c>
      <c r="G1543" s="125">
        <v>-1560000</v>
      </c>
      <c r="H1543" s="125">
        <v>1632.9886870310859</v>
      </c>
      <c r="I1543" s="125">
        <v>944.89111281557632</v>
      </c>
      <c r="J1543" s="125">
        <v>724.07871952241783</v>
      </c>
      <c r="K1543" s="125">
        <v>797.3712074666538</v>
      </c>
      <c r="L1543" s="164">
        <v>2466.3410398046481</v>
      </c>
      <c r="M1543" s="125">
        <v>-46.5</v>
      </c>
      <c r="N1543" s="115">
        <v>15730</v>
      </c>
      <c r="O1543" s="139">
        <v>3323.125</v>
      </c>
      <c r="P1543" s="125">
        <v>-10991897.892999999</v>
      </c>
      <c r="Q1543" s="125">
        <v>0</v>
      </c>
      <c r="R1543" s="114"/>
      <c r="S1543" s="125">
        <v>-4734528.9440033799</v>
      </c>
      <c r="T1543" s="125">
        <v>0</v>
      </c>
      <c r="U1543" s="125">
        <v>4661366.05</v>
      </c>
      <c r="V1543" s="125">
        <v>-7.5299999999999999E-6</v>
      </c>
      <c r="W1543" s="142">
        <v>600000</v>
      </c>
      <c r="X1543" s="142">
        <v>0.56578714000000008</v>
      </c>
      <c r="Y1543" s="142">
        <v>74371570.567939088</v>
      </c>
      <c r="Z1543" s="142">
        <v>357.97259336022302</v>
      </c>
    </row>
    <row r="1544" spans="1:26" s="141" customFormat="1">
      <c r="A1544" s="121">
        <v>45236</v>
      </c>
      <c r="B1544" s="125">
        <v>168325146.19382349</v>
      </c>
      <c r="C1544" s="125">
        <v>60726553.591288693</v>
      </c>
      <c r="D1544" s="125">
        <v>66247412.832322493</v>
      </c>
      <c r="E1544" s="125">
        <v>67027462.002856195</v>
      </c>
      <c r="F1544" s="123">
        <v>194001428.42646739</v>
      </c>
      <c r="G1544" s="125">
        <v>-2680000</v>
      </c>
      <c r="H1544" s="125">
        <v>1629.5766181805589</v>
      </c>
      <c r="I1544" s="125">
        <v>956.10476588370432</v>
      </c>
      <c r="J1544" s="125">
        <v>731.08481253195134</v>
      </c>
      <c r="K1544" s="125">
        <v>822.31020568688859</v>
      </c>
      <c r="L1544" s="164">
        <v>2509.4997841025443</v>
      </c>
      <c r="M1544" s="125">
        <v>-46.5</v>
      </c>
      <c r="N1544" s="115">
        <v>15537.5</v>
      </c>
      <c r="O1544" s="139">
        <v>3339.2449999999999</v>
      </c>
      <c r="P1544" s="125">
        <v>-11393340.880999999</v>
      </c>
      <c r="Q1544" s="125">
        <v>0</v>
      </c>
      <c r="R1544" s="114"/>
      <c r="S1544" s="125">
        <v>-3587234.0940033803</v>
      </c>
      <c r="T1544" s="125">
        <v>0</v>
      </c>
      <c r="U1544" s="125">
        <v>4852125.5140000004</v>
      </c>
      <c r="V1544" s="125">
        <v>-5.6100000000000005E-6</v>
      </c>
      <c r="W1544" s="142">
        <v>0</v>
      </c>
      <c r="X1544" s="142">
        <v>10.565787140000001</v>
      </c>
      <c r="Y1544" s="142">
        <v>74360182.937075302</v>
      </c>
      <c r="Z1544" s="142">
        <v>358.46361602821349</v>
      </c>
    </row>
    <row r="1545" spans="1:26" s="141" customFormat="1">
      <c r="A1545" s="121">
        <v>45237</v>
      </c>
      <c r="B1545" s="125">
        <v>168262434.97932559</v>
      </c>
      <c r="C1545" s="125">
        <v>61077808.232556283</v>
      </c>
      <c r="D1545" s="125">
        <v>66399226.131587639</v>
      </c>
      <c r="E1545" s="125">
        <v>67283198.697091997</v>
      </c>
      <c r="F1545" s="123">
        <v>194760233.0612359</v>
      </c>
      <c r="G1545" s="125">
        <v>-3050000</v>
      </c>
      <c r="H1545" s="125">
        <v>1609.1786666416922</v>
      </c>
      <c r="I1545" s="125">
        <v>972.92139069692166</v>
      </c>
      <c r="J1545" s="125">
        <v>730.17182599602415</v>
      </c>
      <c r="K1545" s="125">
        <v>816.16512121416804</v>
      </c>
      <c r="L1545" s="164">
        <v>2519.2583379071139</v>
      </c>
      <c r="M1545" s="125">
        <v>-46.5</v>
      </c>
      <c r="N1545" s="115">
        <v>15630</v>
      </c>
      <c r="O1545" s="139">
        <v>3344.75</v>
      </c>
      <c r="P1545" s="125">
        <v>-10386683.163000001</v>
      </c>
      <c r="Q1545" s="125">
        <v>0</v>
      </c>
      <c r="R1545" s="114"/>
      <c r="S1545" s="125">
        <v>-3587234.0940033803</v>
      </c>
      <c r="T1545" s="125">
        <v>0</v>
      </c>
      <c r="U1545" s="125">
        <v>5005019.9440000001</v>
      </c>
      <c r="V1545" s="125">
        <v>-6.5300000000000002E-6</v>
      </c>
      <c r="W1545" s="142">
        <v>0</v>
      </c>
      <c r="X1545" s="142">
        <v>0.56578714000000008</v>
      </c>
      <c r="Y1545" s="142">
        <v>73162906.214286685</v>
      </c>
      <c r="Z1545" s="142">
        <v>352.52444771013035</v>
      </c>
    </row>
    <row r="1546" spans="1:26" s="141" customFormat="1">
      <c r="A1546" s="121">
        <v>45238</v>
      </c>
      <c r="B1546" s="125">
        <v>167825261.89250693</v>
      </c>
      <c r="C1546" s="125">
        <v>61453034.475650497</v>
      </c>
      <c r="D1546" s="125">
        <v>66157985.980150767</v>
      </c>
      <c r="E1546" s="125">
        <v>67385640.814994156</v>
      </c>
      <c r="F1546" s="123">
        <v>194996661.2707954</v>
      </c>
      <c r="G1546" s="125">
        <v>-2800000</v>
      </c>
      <c r="H1546" s="125">
        <v>1631.0520882525393</v>
      </c>
      <c r="I1546" s="125">
        <v>967.30286274704281</v>
      </c>
      <c r="J1546" s="125">
        <v>725.9272450036965</v>
      </c>
      <c r="K1546" s="125">
        <v>824.13093077273084</v>
      </c>
      <c r="L1546" s="164">
        <v>2517.3610385234701</v>
      </c>
      <c r="M1546" s="125">
        <v>-46.5</v>
      </c>
      <c r="N1546" s="115">
        <v>15650</v>
      </c>
      <c r="O1546" s="139">
        <v>3342.2350000000001</v>
      </c>
      <c r="P1546" s="125">
        <v>-9041239.9049999993</v>
      </c>
      <c r="Q1546" s="125">
        <v>0</v>
      </c>
      <c r="R1546" s="114"/>
      <c r="S1546" s="125">
        <v>-3289243.0940033803</v>
      </c>
      <c r="T1546" s="125">
        <v>0</v>
      </c>
      <c r="U1546" s="125">
        <v>5005019.9440000001</v>
      </c>
      <c r="V1546" s="125">
        <v>-6.7300000000000008E-6</v>
      </c>
      <c r="W1546" s="142">
        <v>0</v>
      </c>
      <c r="X1546" s="142">
        <v>0.56578713999999997</v>
      </c>
      <c r="Y1546" s="142">
        <v>73325503.114722043</v>
      </c>
      <c r="Z1546" s="142">
        <v>352.49270573631958</v>
      </c>
    </row>
    <row r="1547" spans="1:26" s="141" customFormat="1">
      <c r="A1547" s="121">
        <v>45239</v>
      </c>
      <c r="B1547" s="125">
        <v>167696573.94707373</v>
      </c>
      <c r="C1547" s="125">
        <v>61213745.865019597</v>
      </c>
      <c r="D1547" s="125">
        <v>66266182.61161726</v>
      </c>
      <c r="E1547" s="125">
        <v>67456930.56498161</v>
      </c>
      <c r="F1547" s="123">
        <v>194936859.04161847</v>
      </c>
      <c r="G1547" s="125">
        <v>-3200000</v>
      </c>
      <c r="H1547" s="125">
        <v>1624.8905332329509</v>
      </c>
      <c r="I1547" s="125">
        <v>976.38020103313045</v>
      </c>
      <c r="J1547" s="125">
        <v>725.81048136306686</v>
      </c>
      <c r="K1547" s="125">
        <v>822.5840886040379</v>
      </c>
      <c r="L1547" s="164">
        <v>2524.774771000235</v>
      </c>
      <c r="M1547" s="125">
        <v>-18.5</v>
      </c>
      <c r="N1547" s="115">
        <v>15655</v>
      </c>
      <c r="O1547" s="139">
        <v>3339.0250000000001</v>
      </c>
      <c r="P1547" s="125">
        <v>-9036878.4399999995</v>
      </c>
      <c r="Q1547" s="125">
        <v>0</v>
      </c>
      <c r="R1547" s="114"/>
      <c r="S1547" s="125">
        <v>-3289243.0940033803</v>
      </c>
      <c r="T1547" s="125">
        <v>0</v>
      </c>
      <c r="U1547" s="125">
        <v>5005019.9440000001</v>
      </c>
      <c r="V1547" s="125">
        <v>-6.7800000000000003E-6</v>
      </c>
      <c r="W1547" s="142">
        <v>0</v>
      </c>
      <c r="X1547" s="142">
        <v>0.56578714000000008</v>
      </c>
      <c r="Y1547" s="142">
        <v>73443177.413687453</v>
      </c>
      <c r="Z1547" s="142">
        <v>352.70473538342566</v>
      </c>
    </row>
    <row r="1548" spans="1:26" s="141" customFormat="1">
      <c r="A1548" s="121">
        <v>45240</v>
      </c>
      <c r="B1548" s="125">
        <v>168439961.00757268</v>
      </c>
      <c r="C1548" s="125">
        <v>59673970.896270879</v>
      </c>
      <c r="D1548" s="125">
        <v>66462452.535893135</v>
      </c>
      <c r="E1548" s="125">
        <v>66980433.038548127</v>
      </c>
      <c r="F1548" s="123">
        <v>193116856.47071213</v>
      </c>
      <c r="G1548" s="125">
        <v>-3320000</v>
      </c>
      <c r="H1548" s="125">
        <v>1640.961794869879</v>
      </c>
      <c r="I1548" s="125">
        <v>988.51439864297845</v>
      </c>
      <c r="J1548" s="125">
        <v>719.41694709933176</v>
      </c>
      <c r="K1548" s="125">
        <v>810.37601085331823</v>
      </c>
      <c r="L1548" s="164">
        <v>2518.3073565956283</v>
      </c>
      <c r="M1548" s="125">
        <v>0</v>
      </c>
      <c r="N1548" s="115">
        <v>15695</v>
      </c>
      <c r="O1548" s="139">
        <v>3335.46</v>
      </c>
      <c r="P1548" s="125">
        <v>-9371605.6150000002</v>
      </c>
      <c r="Q1548" s="125">
        <v>0</v>
      </c>
      <c r="R1548" s="114"/>
      <c r="S1548" s="125">
        <v>-3289243.0940033803</v>
      </c>
      <c r="T1548" s="125">
        <v>0</v>
      </c>
      <c r="U1548" s="125">
        <v>4661366.05</v>
      </c>
      <c r="V1548" s="125">
        <v>-7.1799999999999999E-6</v>
      </c>
      <c r="W1548" s="142">
        <v>0</v>
      </c>
      <c r="X1548" s="142">
        <v>0.56578713999999997</v>
      </c>
      <c r="Y1548" s="142">
        <v>73361943.098092288</v>
      </c>
      <c r="Z1548" s="142">
        <v>351.80095529886404</v>
      </c>
    </row>
    <row r="1549" spans="1:26" s="141" customFormat="1">
      <c r="A1549" s="121">
        <v>45243</v>
      </c>
      <c r="B1549" s="125">
        <v>167877869.69252738</v>
      </c>
      <c r="C1549" s="125">
        <v>60785129.556613021</v>
      </c>
      <c r="D1549" s="125">
        <v>66051641.067170456</v>
      </c>
      <c r="E1549" s="125">
        <v>67676967.949869961</v>
      </c>
      <c r="F1549" s="123">
        <v>194513738.57365343</v>
      </c>
      <c r="G1549" s="125">
        <v>-3675000</v>
      </c>
      <c r="H1549" s="125">
        <v>1624.2895671280605</v>
      </c>
      <c r="I1549" s="125">
        <v>934.22388628436033</v>
      </c>
      <c r="J1549" s="125">
        <v>724.75852587178838</v>
      </c>
      <c r="K1549" s="125">
        <v>802.0383883970668</v>
      </c>
      <c r="L1549" s="164">
        <v>2461.0208005532154</v>
      </c>
      <c r="M1549" s="125">
        <v>0</v>
      </c>
      <c r="N1549" s="115">
        <v>15700</v>
      </c>
      <c r="O1549" s="139">
        <v>3334.75</v>
      </c>
      <c r="P1549" s="125">
        <v>-9387104.1754999999</v>
      </c>
      <c r="Q1549" s="125">
        <v>0</v>
      </c>
      <c r="R1549" s="114"/>
      <c r="S1549" s="125">
        <v>-3288002.8440033803</v>
      </c>
      <c r="T1549" s="125">
        <v>0</v>
      </c>
      <c r="U1549" s="125">
        <v>4661366.05</v>
      </c>
      <c r="V1549" s="125">
        <v>-7.2300000000000002E-6</v>
      </c>
      <c r="W1549" s="142">
        <v>0</v>
      </c>
      <c r="X1549" s="142">
        <v>0.56578714000000008</v>
      </c>
      <c r="Y1549" s="142">
        <v>72882286.411102936</v>
      </c>
      <c r="Z1549" s="142">
        <v>352.67040190160503</v>
      </c>
    </row>
    <row r="1550" spans="1:26" s="141" customFormat="1">
      <c r="A1550" s="121">
        <v>45244</v>
      </c>
      <c r="B1550" s="125">
        <v>167531552.32557917</v>
      </c>
      <c r="C1550" s="125">
        <v>61663512.553770006</v>
      </c>
      <c r="D1550" s="125">
        <v>65980339.00216759</v>
      </c>
      <c r="E1550" s="125">
        <v>68007380.698467687</v>
      </c>
      <c r="F1550" s="123">
        <v>195651232.25440526</v>
      </c>
      <c r="G1550" s="125">
        <v>-3115000</v>
      </c>
      <c r="H1550" s="125">
        <v>1644.8785755759354</v>
      </c>
      <c r="I1550" s="125">
        <v>964.64128087757422</v>
      </c>
      <c r="J1550" s="125">
        <v>725.73240115721717</v>
      </c>
      <c r="K1550" s="125">
        <v>802.28312387575284</v>
      </c>
      <c r="L1550" s="164">
        <v>2492.6568059105439</v>
      </c>
      <c r="M1550" s="125">
        <v>0</v>
      </c>
      <c r="N1550" s="115">
        <v>15694.5</v>
      </c>
      <c r="O1550" s="139">
        <v>3325.4549999999999</v>
      </c>
      <c r="P1550" s="125">
        <v>-7985977.9244999997</v>
      </c>
      <c r="Q1550" s="125">
        <v>0</v>
      </c>
      <c r="R1550" s="114"/>
      <c r="S1550" s="125">
        <v>-3288002.8440033803</v>
      </c>
      <c r="T1550" s="125">
        <v>0</v>
      </c>
      <c r="U1550" s="125">
        <v>4661366.05</v>
      </c>
      <c r="V1550" s="125">
        <v>-7.17E-6</v>
      </c>
      <c r="W1550" s="142">
        <v>0</v>
      </c>
      <c r="X1550" s="142">
        <v>0.56578713999999997</v>
      </c>
      <c r="Y1550" s="142">
        <v>73030212.055303037</v>
      </c>
      <c r="Z1550" s="142">
        <v>355.63892680458491</v>
      </c>
    </row>
    <row r="1551" spans="1:26" s="141" customFormat="1">
      <c r="A1551" s="121">
        <v>45245</v>
      </c>
      <c r="B1551" s="125">
        <v>167842044.49982998</v>
      </c>
      <c r="C1551" s="125">
        <v>60913461.658863798</v>
      </c>
      <c r="D1551" s="125">
        <v>65928502.166988127</v>
      </c>
      <c r="E1551" s="125">
        <v>69551300.159241855</v>
      </c>
      <c r="F1551" s="123">
        <v>196393263.98509377</v>
      </c>
      <c r="G1551" s="125">
        <v>-2705000</v>
      </c>
      <c r="H1551" s="125">
        <v>1647.9356087561198</v>
      </c>
      <c r="I1551" s="125">
        <v>975.71061842877396</v>
      </c>
      <c r="J1551" s="125">
        <v>730.93407063033521</v>
      </c>
      <c r="K1551" s="125">
        <v>805.9158681317449</v>
      </c>
      <c r="L1551" s="164">
        <v>2512.5605571908541</v>
      </c>
      <c r="M1551" s="125">
        <v>0</v>
      </c>
      <c r="N1551" s="115">
        <v>15535</v>
      </c>
      <c r="O1551" s="139">
        <v>3329.4049999999997</v>
      </c>
      <c r="P1551" s="125">
        <v>-7964714.7845000001</v>
      </c>
      <c r="Q1551" s="125">
        <v>0</v>
      </c>
      <c r="R1551" s="114"/>
      <c r="S1551" s="125">
        <v>-2170632.6940033804</v>
      </c>
      <c r="T1551" s="125">
        <v>0</v>
      </c>
      <c r="U1551" s="125">
        <v>4661366.05</v>
      </c>
      <c r="V1551" s="125">
        <v>-5.5799999999999999E-6</v>
      </c>
      <c r="W1551" s="142">
        <v>0</v>
      </c>
      <c r="X1551" s="142">
        <v>0.56578713999999997</v>
      </c>
      <c r="Y1551" s="142">
        <v>73175702.005777925</v>
      </c>
      <c r="Z1551" s="142">
        <v>362.2764119363714</v>
      </c>
    </row>
    <row r="1552" spans="1:26" s="141" customFormat="1">
      <c r="A1552" s="121">
        <v>45246</v>
      </c>
      <c r="B1552" s="125">
        <v>167055885.77797326</v>
      </c>
      <c r="C1552" s="125">
        <v>61357427.683047578</v>
      </c>
      <c r="D1552" s="125">
        <v>65824565.924070783</v>
      </c>
      <c r="E1552" s="125">
        <v>69399085.586755127</v>
      </c>
      <c r="F1552" s="123">
        <v>196581079.19387349</v>
      </c>
      <c r="G1552" s="125">
        <v>-2885000</v>
      </c>
      <c r="H1552" s="125">
        <v>1569.5068444294877</v>
      </c>
      <c r="I1552" s="125">
        <v>956.21322713015024</v>
      </c>
      <c r="J1552" s="125">
        <v>738.18464776295139</v>
      </c>
      <c r="K1552" s="125">
        <v>801.46788601509104</v>
      </c>
      <c r="L1552" s="164">
        <v>2495.8657609081929</v>
      </c>
      <c r="M1552" s="125">
        <v>0</v>
      </c>
      <c r="N1552" s="115">
        <v>15545</v>
      </c>
      <c r="O1552" s="139">
        <v>3307.0950000000003</v>
      </c>
      <c r="P1552" s="125">
        <v>-9530656.4934999999</v>
      </c>
      <c r="Q1552" s="125">
        <v>0</v>
      </c>
      <c r="R1552" s="114"/>
      <c r="S1552" s="125">
        <v>-3288183.8940033806</v>
      </c>
      <c r="T1552" s="125">
        <v>0</v>
      </c>
      <c r="U1552" s="125">
        <v>4661366.05</v>
      </c>
      <c r="V1552" s="125">
        <v>-5.6799999999999998E-6</v>
      </c>
      <c r="W1552" s="142">
        <v>0</v>
      </c>
      <c r="X1552" s="142">
        <v>10.565787139999999</v>
      </c>
      <c r="Y1552" s="142">
        <v>75207976.832080781</v>
      </c>
      <c r="Z1552" s="142">
        <v>366.49789879338715</v>
      </c>
    </row>
    <row r="1553" spans="1:26" s="141" customFormat="1">
      <c r="A1553" s="121">
        <v>45247</v>
      </c>
      <c r="B1553" s="125">
        <v>167162699.61697879</v>
      </c>
      <c r="C1553" s="125">
        <v>61160572.280217893</v>
      </c>
      <c r="D1553" s="125">
        <v>65950275.028850034</v>
      </c>
      <c r="E1553" s="125">
        <v>69599747.886790782</v>
      </c>
      <c r="F1553" s="123">
        <v>196710595.19585872</v>
      </c>
      <c r="G1553" s="125">
        <v>-2235000</v>
      </c>
      <c r="H1553" s="125">
        <v>1559.446715078961</v>
      </c>
      <c r="I1553" s="125">
        <v>941.24850636983979</v>
      </c>
      <c r="J1553" s="125">
        <v>736.00812102148166</v>
      </c>
      <c r="K1553" s="125">
        <v>811.46345031058945</v>
      </c>
      <c r="L1553" s="164">
        <v>2488.7200777019107</v>
      </c>
      <c r="M1553" s="125">
        <v>0</v>
      </c>
      <c r="N1553" s="115">
        <v>15492.5</v>
      </c>
      <c r="O1553" s="139">
        <v>3307.1849999999999</v>
      </c>
      <c r="P1553" s="125">
        <v>-9031591.9784999993</v>
      </c>
      <c r="Q1553" s="125">
        <v>0</v>
      </c>
      <c r="R1553" s="114"/>
      <c r="S1553" s="125">
        <v>-3288183.8940033806</v>
      </c>
      <c r="T1553" s="125">
        <v>0</v>
      </c>
      <c r="U1553" s="125">
        <v>5118712.55</v>
      </c>
      <c r="V1553" s="125">
        <v>-5.1599999999999997E-6</v>
      </c>
      <c r="W1553" s="142">
        <v>150000</v>
      </c>
      <c r="X1553" s="142">
        <v>5.5657871400000003</v>
      </c>
      <c r="Y1553" s="142">
        <v>75005305.410528749</v>
      </c>
      <c r="Z1553" s="142">
        <v>362.93839650096896</v>
      </c>
    </row>
    <row r="1554" spans="1:26" s="141" customFormat="1">
      <c r="A1554" s="121">
        <v>45250</v>
      </c>
      <c r="B1554" s="125">
        <v>167700835.39458707</v>
      </c>
      <c r="C1554" s="125">
        <v>60303194.378311999</v>
      </c>
      <c r="D1554" s="125">
        <v>65533070.713219702</v>
      </c>
      <c r="E1554" s="125">
        <v>69729068.146228284</v>
      </c>
      <c r="F1554" s="123">
        <v>195565333.23775998</v>
      </c>
      <c r="G1554" s="125">
        <v>-2535000</v>
      </c>
      <c r="H1554" s="125">
        <v>1559.5003956108683</v>
      </c>
      <c r="I1554" s="125">
        <v>964.06369973638368</v>
      </c>
      <c r="J1554" s="125">
        <v>741.28780068315439</v>
      </c>
      <c r="K1554" s="125">
        <v>814.14003006591793</v>
      </c>
      <c r="L1554" s="164">
        <v>2519.4915304854558</v>
      </c>
      <c r="M1554" s="125">
        <v>0</v>
      </c>
      <c r="N1554" s="115">
        <v>15445</v>
      </c>
      <c r="O1554" s="139">
        <v>3308.3450000000003</v>
      </c>
      <c r="P1554" s="125">
        <v>-10590685.225</v>
      </c>
      <c r="Q1554" s="125">
        <v>0</v>
      </c>
      <c r="R1554" s="114"/>
      <c r="S1554" s="125">
        <v>-2056679.6440033799</v>
      </c>
      <c r="T1554" s="125">
        <v>0</v>
      </c>
      <c r="U1554" s="125">
        <v>4661366.05</v>
      </c>
      <c r="V1554" s="125">
        <v>-4.69E-6</v>
      </c>
      <c r="W1554" s="142">
        <v>0</v>
      </c>
      <c r="X1554" s="142">
        <v>10.565787139999999</v>
      </c>
      <c r="Y1554" s="142">
        <v>75361632.681188583</v>
      </c>
      <c r="Z1554" s="142">
        <v>366.88896153135909</v>
      </c>
    </row>
    <row r="1555" spans="1:26" s="141" customFormat="1">
      <c r="A1555" s="121">
        <v>45251</v>
      </c>
      <c r="B1555" s="125">
        <v>168106428.65499261</v>
      </c>
      <c r="C1555" s="125">
        <v>61367511.696711965</v>
      </c>
      <c r="D1555" s="125">
        <v>65473786.031794935</v>
      </c>
      <c r="E1555" s="125">
        <v>70221804.652058825</v>
      </c>
      <c r="F1555" s="123">
        <v>197063102.3805657</v>
      </c>
      <c r="G1555" s="125">
        <v>-2935000</v>
      </c>
      <c r="H1555" s="125">
        <v>1586.7519589992396</v>
      </c>
      <c r="I1555" s="125">
        <v>984.60811867144378</v>
      </c>
      <c r="J1555" s="125">
        <v>740.88729230492049</v>
      </c>
      <c r="K1555" s="125">
        <v>806.29728972967939</v>
      </c>
      <c r="L1555" s="164">
        <v>2531.7927007060439</v>
      </c>
      <c r="M1555" s="125">
        <v>0</v>
      </c>
      <c r="N1555" s="115">
        <v>15440</v>
      </c>
      <c r="O1555" s="139">
        <v>3319.0050000000001</v>
      </c>
      <c r="P1555" s="125">
        <v>-10651958.118000001</v>
      </c>
      <c r="Q1555" s="125">
        <v>0</v>
      </c>
      <c r="R1555" s="114"/>
      <c r="S1555" s="125">
        <v>-2056679.6440033799</v>
      </c>
      <c r="T1555" s="125">
        <v>0</v>
      </c>
      <c r="U1555" s="125">
        <v>4661366.05</v>
      </c>
      <c r="V1555" s="125">
        <v>-4.6399999999999996E-6</v>
      </c>
      <c r="W1555" s="142">
        <v>0</v>
      </c>
      <c r="X1555" s="142">
        <v>5.5657871400000003</v>
      </c>
      <c r="Y1555" s="142">
        <v>75415172.124344364</v>
      </c>
      <c r="Z1555" s="142">
        <v>362.99867453493846</v>
      </c>
    </row>
    <row r="1556" spans="1:26" s="141" customFormat="1">
      <c r="A1556" s="121">
        <v>45252</v>
      </c>
      <c r="B1556" s="125">
        <v>168037347.08198538</v>
      </c>
      <c r="C1556" s="125">
        <v>61244787.969291389</v>
      </c>
      <c r="D1556" s="125">
        <v>65560186.878897265</v>
      </c>
      <c r="E1556" s="125">
        <v>71075435.296162903</v>
      </c>
      <c r="F1556" s="123">
        <v>197880410.14435154</v>
      </c>
      <c r="G1556" s="125">
        <v>-2415000</v>
      </c>
      <c r="H1556" s="125">
        <v>1614.1855613409159</v>
      </c>
      <c r="I1556" s="125">
        <v>985.07567733936139</v>
      </c>
      <c r="J1556" s="125">
        <v>741.14828911472557</v>
      </c>
      <c r="K1556" s="125">
        <v>805.8739156734008</v>
      </c>
      <c r="L1556" s="164">
        <v>2532.097882127488</v>
      </c>
      <c r="M1556" s="125">
        <v>0</v>
      </c>
      <c r="N1556" s="115">
        <v>15575</v>
      </c>
      <c r="O1556" s="139">
        <v>3327.6350000000002</v>
      </c>
      <c r="P1556" s="125">
        <v>-10718429.563999999</v>
      </c>
      <c r="Q1556" s="125">
        <v>0</v>
      </c>
      <c r="R1556" s="114"/>
      <c r="S1556" s="125">
        <v>-3044667.6440033806</v>
      </c>
      <c r="T1556" s="125">
        <v>0</v>
      </c>
      <c r="U1556" s="125">
        <v>4661366.05</v>
      </c>
      <c r="V1556" s="125">
        <v>-5.9900000000000002E-6</v>
      </c>
      <c r="W1556" s="142">
        <v>0</v>
      </c>
      <c r="X1556" s="142">
        <v>5.5657871400000003</v>
      </c>
      <c r="Y1556" s="142">
        <v>75068645.818167269</v>
      </c>
      <c r="Z1556" s="142">
        <v>361.70228199169634</v>
      </c>
    </row>
    <row r="1557" spans="1:26" s="141" customFormat="1">
      <c r="A1557" s="121">
        <v>45253</v>
      </c>
      <c r="B1557" s="125">
        <v>167469191.45780724</v>
      </c>
      <c r="C1557" s="125">
        <v>61444815.39860227</v>
      </c>
      <c r="D1557" s="125">
        <v>65494707.442148626</v>
      </c>
      <c r="E1557" s="125">
        <v>70904304.077892065</v>
      </c>
      <c r="F1557" s="123">
        <v>197843826.91864297</v>
      </c>
      <c r="G1557" s="125">
        <v>-2265000</v>
      </c>
      <c r="H1557" s="125">
        <v>1629.8573037005106</v>
      </c>
      <c r="I1557" s="125">
        <v>967.02491829670339</v>
      </c>
      <c r="J1557" s="125">
        <v>743.18966364813139</v>
      </c>
      <c r="K1557" s="125">
        <v>798.60886390538849</v>
      </c>
      <c r="L1557" s="164">
        <v>2508.8234458502229</v>
      </c>
      <c r="M1557" s="125">
        <v>0</v>
      </c>
      <c r="N1557" s="115">
        <v>15555</v>
      </c>
      <c r="O1557" s="139">
        <v>3322.3</v>
      </c>
      <c r="P1557" s="125">
        <v>-10805533.033500001</v>
      </c>
      <c r="Q1557" s="125">
        <v>0</v>
      </c>
      <c r="R1557" s="114"/>
      <c r="S1557" s="125">
        <v>-1927116.4440033799</v>
      </c>
      <c r="T1557" s="125">
        <v>0</v>
      </c>
      <c r="U1557" s="125">
        <v>4661366.05</v>
      </c>
      <c r="V1557" s="125">
        <v>-5.7899999999999996E-6</v>
      </c>
      <c r="W1557" s="142">
        <v>0</v>
      </c>
      <c r="X1557" s="142">
        <v>5.5657871399999994</v>
      </c>
      <c r="Y1557" s="142">
        <v>75372878.12856178</v>
      </c>
      <c r="Z1557" s="142">
        <v>361.80223518443586</v>
      </c>
    </row>
    <row r="1558" spans="1:26" s="141" customFormat="1">
      <c r="A1558" s="121">
        <v>45254</v>
      </c>
      <c r="B1558" s="125">
        <v>168125141.19628119</v>
      </c>
      <c r="C1558" s="125">
        <v>59746806.11272271</v>
      </c>
      <c r="D1558" s="125">
        <v>66647381.567479424</v>
      </c>
      <c r="E1558" s="125">
        <v>70685045.057276547</v>
      </c>
      <c r="F1558" s="123">
        <v>197079232.73747867</v>
      </c>
      <c r="G1558" s="125">
        <v>-1640000</v>
      </c>
      <c r="H1558" s="125">
        <v>1612.6825157584587</v>
      </c>
      <c r="I1558" s="125">
        <v>975.50927467326085</v>
      </c>
      <c r="J1558" s="125">
        <v>731.98602310639251</v>
      </c>
      <c r="K1558" s="125">
        <v>825.22216305435472</v>
      </c>
      <c r="L1558" s="164">
        <v>2532.7174608340083</v>
      </c>
      <c r="M1558" s="125">
        <v>0</v>
      </c>
      <c r="N1558" s="115">
        <v>15565</v>
      </c>
      <c r="O1558" s="139">
        <v>3323.37</v>
      </c>
      <c r="P1558" s="125">
        <v>-11007249.0655</v>
      </c>
      <c r="Q1558" s="125">
        <v>0</v>
      </c>
      <c r="R1558" s="114"/>
      <c r="S1558" s="125">
        <v>-1927116.4440033799</v>
      </c>
      <c r="T1558" s="125">
        <v>0</v>
      </c>
      <c r="U1558" s="125">
        <v>4661366.05</v>
      </c>
      <c r="V1558" s="125">
        <v>-5.8899999999999995E-6</v>
      </c>
      <c r="W1558" s="142">
        <v>0</v>
      </c>
      <c r="X1558" s="142">
        <v>0.56578713999999997</v>
      </c>
      <c r="Y1558" s="142">
        <v>74886901.319980875</v>
      </c>
      <c r="Z1558" s="142">
        <v>364.43501965955539</v>
      </c>
    </row>
    <row r="1559" spans="1:26" s="141" customFormat="1">
      <c r="A1559" s="121">
        <v>45257</v>
      </c>
      <c r="B1559" s="125">
        <v>168637860.59939516</v>
      </c>
      <c r="C1559" s="125">
        <v>61376663.701230817</v>
      </c>
      <c r="D1559" s="125">
        <v>66469160.806014225</v>
      </c>
      <c r="E1559" s="125">
        <v>70121767.216829911</v>
      </c>
      <c r="F1559" s="123">
        <v>197967591.72407496</v>
      </c>
      <c r="G1559" s="125">
        <v>-750000</v>
      </c>
      <c r="H1559" s="125">
        <v>1637.6713322437956</v>
      </c>
      <c r="I1559" s="125">
        <v>985.42489990964543</v>
      </c>
      <c r="J1559" s="125">
        <v>736.04822579617246</v>
      </c>
      <c r="K1559" s="125">
        <v>815.95013361357542</v>
      </c>
      <c r="L1559" s="164">
        <v>2537.4232593193933</v>
      </c>
      <c r="M1559" s="125">
        <v>0</v>
      </c>
      <c r="N1559" s="115">
        <v>15494.5</v>
      </c>
      <c r="O1559" s="139">
        <v>3312.21</v>
      </c>
      <c r="P1559" s="125">
        <v>-11000534.784</v>
      </c>
      <c r="Q1559" s="125">
        <v>0</v>
      </c>
      <c r="R1559" s="114"/>
      <c r="S1559" s="125">
        <v>-4253815.3440033803</v>
      </c>
      <c r="T1559" s="125">
        <v>0</v>
      </c>
      <c r="U1559" s="125">
        <v>4661366.05</v>
      </c>
      <c r="V1559" s="125">
        <v>-5.1900000000000003E-6</v>
      </c>
      <c r="W1559" s="142">
        <v>0</v>
      </c>
      <c r="X1559" s="142">
        <v>0.56578713999999997</v>
      </c>
      <c r="Y1559" s="142">
        <v>74664482.999852374</v>
      </c>
      <c r="Z1559" s="142">
        <v>360.28917611699887</v>
      </c>
    </row>
    <row r="1560" spans="1:26" s="141" customFormat="1">
      <c r="A1560" s="121">
        <v>45258</v>
      </c>
      <c r="B1560" s="125">
        <v>168951089.3646726</v>
      </c>
      <c r="C1560" s="125">
        <v>60816940.582897142</v>
      </c>
      <c r="D1560" s="125">
        <v>66080059.296511076</v>
      </c>
      <c r="E1560" s="125">
        <v>70877434.726974249</v>
      </c>
      <c r="F1560" s="123">
        <v>197774434.60638246</v>
      </c>
      <c r="G1560" s="125">
        <v>-750000</v>
      </c>
      <c r="H1560" s="125">
        <v>1690.8653537447176</v>
      </c>
      <c r="I1560" s="125">
        <v>991.8107844440575</v>
      </c>
      <c r="J1560" s="125">
        <v>738.81191926320844</v>
      </c>
      <c r="K1560" s="125">
        <v>817.58879295891916</v>
      </c>
      <c r="L1560" s="164">
        <v>2548.2114966661848</v>
      </c>
      <c r="M1560" s="125">
        <v>0</v>
      </c>
      <c r="N1560" s="115">
        <v>15435</v>
      </c>
      <c r="O1560" s="139">
        <v>3304.08</v>
      </c>
      <c r="P1560" s="125">
        <v>-9893842.7654999997</v>
      </c>
      <c r="Q1560" s="125">
        <v>0</v>
      </c>
      <c r="R1560" s="114"/>
      <c r="S1560" s="125">
        <v>-4253815.3440033803</v>
      </c>
      <c r="T1560" s="125">
        <v>0</v>
      </c>
      <c r="U1560" s="125">
        <v>4661366.05</v>
      </c>
      <c r="V1560" s="125">
        <v>-4.6E-6</v>
      </c>
      <c r="W1560" s="142">
        <v>650000</v>
      </c>
      <c r="X1560" s="142">
        <v>10.565787140000001</v>
      </c>
      <c r="Y1560" s="142">
        <v>74946413.543206707</v>
      </c>
      <c r="Z1560" s="142">
        <v>358.47219250890691</v>
      </c>
    </row>
    <row r="1561" spans="1:26" s="141" customFormat="1">
      <c r="A1561" s="121">
        <v>45259</v>
      </c>
      <c r="B1561" s="125">
        <v>168930607.42336243</v>
      </c>
      <c r="C1561" s="125">
        <v>60716596.590740152</v>
      </c>
      <c r="D1561" s="125">
        <v>66427166.836178362</v>
      </c>
      <c r="E1561" s="125">
        <v>71339123.089511901</v>
      </c>
      <c r="F1561" s="123">
        <v>198482886.51643041</v>
      </c>
      <c r="G1561" s="125">
        <v>-500000</v>
      </c>
      <c r="H1561" s="125">
        <v>1733.4618380240454</v>
      </c>
      <c r="I1561" s="125">
        <v>992.59303202628223</v>
      </c>
      <c r="J1561" s="125">
        <v>743.21235069836962</v>
      </c>
      <c r="K1561" s="125">
        <v>807.59042760036664</v>
      </c>
      <c r="L1561" s="164">
        <v>2543.3958103250184</v>
      </c>
      <c r="M1561" s="125">
        <v>0</v>
      </c>
      <c r="N1561" s="115">
        <v>15395</v>
      </c>
      <c r="O1561" s="139">
        <v>3308.62</v>
      </c>
      <c r="P1561" s="125">
        <v>-10172558.733999999</v>
      </c>
      <c r="Q1561" s="125">
        <v>0</v>
      </c>
      <c r="R1561" s="114"/>
      <c r="S1561" s="125">
        <v>-5767407.5320033794</v>
      </c>
      <c r="T1561" s="125">
        <v>0</v>
      </c>
      <c r="U1561" s="125">
        <v>4661366.05</v>
      </c>
      <c r="V1561" s="125">
        <v>-4.2000000000000004E-6</v>
      </c>
      <c r="W1561" s="142">
        <v>0</v>
      </c>
      <c r="X1561" s="142">
        <v>1.5657871400000001</v>
      </c>
      <c r="Y1561" s="142">
        <v>74525328.938545406</v>
      </c>
      <c r="Z1561" s="142">
        <v>358.65392462941406</v>
      </c>
    </row>
    <row r="1562" spans="1:26" s="141" customFormat="1">
      <c r="A1562" s="121">
        <v>45260</v>
      </c>
      <c r="B1562" s="136">
        <v>172791225.27581999</v>
      </c>
      <c r="C1562" s="136">
        <v>59878761.395606004</v>
      </c>
      <c r="D1562" s="136">
        <v>67108304.301623002</v>
      </c>
      <c r="E1562" s="136">
        <v>69859414.862131998</v>
      </c>
      <c r="F1562" s="137">
        <v>196846480.55936098</v>
      </c>
      <c r="G1562" s="125">
        <v>0</v>
      </c>
      <c r="H1562" s="136">
        <v>1767.480222028111</v>
      </c>
      <c r="I1562" s="136">
        <v>1005.9049975921341</v>
      </c>
      <c r="J1562" s="136">
        <v>743.35809903372012</v>
      </c>
      <c r="K1562" s="136">
        <v>866.80674083391352</v>
      </c>
      <c r="L1562" s="165">
        <v>2616.0698374597678</v>
      </c>
      <c r="M1562" s="125">
        <v>0</v>
      </c>
      <c r="N1562" s="115">
        <v>15510</v>
      </c>
      <c r="O1562" s="139">
        <v>3328.15</v>
      </c>
      <c r="P1562" s="125">
        <v>-11076415.181</v>
      </c>
      <c r="Q1562" s="125">
        <v>0</v>
      </c>
      <c r="R1562" s="114"/>
      <c r="S1562" s="125">
        <v>-7418202.88200338</v>
      </c>
      <c r="T1562" s="125">
        <v>0</v>
      </c>
      <c r="U1562" s="125">
        <v>4661366.05</v>
      </c>
      <c r="V1562" s="125">
        <v>-5.3499999999999996E-6</v>
      </c>
      <c r="W1562" s="142">
        <v>0</v>
      </c>
      <c r="X1562" s="142">
        <v>31.565787140000001</v>
      </c>
      <c r="Y1562" s="142">
        <v>75578109.085794449</v>
      </c>
      <c r="Z1562" s="142">
        <v>360.03252884404066</v>
      </c>
    </row>
    <row r="1563" spans="1:26" s="141" customFormat="1">
      <c r="A1563" s="121">
        <v>45261</v>
      </c>
      <c r="B1563" s="125">
        <v>169982315.19405136</v>
      </c>
      <c r="C1563" s="125">
        <v>58004685.953241318</v>
      </c>
      <c r="D1563" s="125">
        <v>66679980.643526971</v>
      </c>
      <c r="E1563" s="125">
        <v>71451679.972559303</v>
      </c>
      <c r="F1563" s="123">
        <v>196136346.56932759</v>
      </c>
      <c r="G1563" s="125">
        <v>-400000</v>
      </c>
      <c r="H1563" s="125">
        <v>1702.5136010007143</v>
      </c>
      <c r="I1563" s="125">
        <v>992.6658907372863</v>
      </c>
      <c r="J1563" s="125">
        <v>739.88411869300626</v>
      </c>
      <c r="K1563" s="125">
        <v>815.54799928357761</v>
      </c>
      <c r="L1563" s="164">
        <v>2548.0980087138701</v>
      </c>
      <c r="M1563" s="125">
        <v>0</v>
      </c>
      <c r="N1563" s="115">
        <v>15485</v>
      </c>
      <c r="O1563" s="139">
        <v>3305.94</v>
      </c>
      <c r="P1563" s="125">
        <v>-11663998.922</v>
      </c>
      <c r="Q1563" s="125">
        <v>0</v>
      </c>
      <c r="R1563" s="114"/>
      <c r="S1563" s="125">
        <v>-7418202.88200338</v>
      </c>
      <c r="T1563" s="125">
        <v>0</v>
      </c>
      <c r="U1563" s="125">
        <v>4661366.05</v>
      </c>
      <c r="V1563" s="125">
        <v>-5.0999999999999995E-6</v>
      </c>
      <c r="W1563" s="142">
        <v>0</v>
      </c>
      <c r="X1563" s="142">
        <v>16.565787140000001</v>
      </c>
      <c r="Y1563" s="142">
        <v>75194274.458246425</v>
      </c>
      <c r="Z1563" s="142">
        <v>362.89743200307328</v>
      </c>
    </row>
    <row r="1564" spans="1:26" s="141" customFormat="1">
      <c r="A1564" s="121">
        <v>45264</v>
      </c>
      <c r="B1564" s="125">
        <v>169505466.72115627</v>
      </c>
      <c r="C1564" s="125">
        <v>59512050.933483176</v>
      </c>
      <c r="D1564" s="125">
        <v>66275720.038701527</v>
      </c>
      <c r="E1564" s="125">
        <v>69369910.999201357</v>
      </c>
      <c r="F1564" s="123">
        <v>195157681.97138608</v>
      </c>
      <c r="G1564" s="125">
        <v>-1395000</v>
      </c>
      <c r="H1564" s="125">
        <v>1698.7774152438199</v>
      </c>
      <c r="I1564" s="125">
        <v>1007.690794259717</v>
      </c>
      <c r="J1564" s="125">
        <v>740.79041538647004</v>
      </c>
      <c r="K1564" s="125">
        <v>808.82139534373539</v>
      </c>
      <c r="L1564" s="164">
        <v>2557.3026049899222</v>
      </c>
      <c r="M1564" s="125">
        <v>0</v>
      </c>
      <c r="N1564" s="115">
        <v>15455</v>
      </c>
      <c r="O1564" s="139">
        <v>3317.9500000000003</v>
      </c>
      <c r="P1564" s="125">
        <v>-11852068.236500001</v>
      </c>
      <c r="Q1564" s="125">
        <v>0</v>
      </c>
      <c r="R1564" s="114"/>
      <c r="S1564" s="125">
        <v>-7217573.13200338</v>
      </c>
      <c r="T1564" s="125">
        <v>0</v>
      </c>
      <c r="U1564" s="125">
        <v>4661366.05</v>
      </c>
      <c r="V1564" s="125">
        <v>-4.7999999999999998E-6</v>
      </c>
      <c r="W1564" s="142">
        <v>0</v>
      </c>
      <c r="X1564" s="142">
        <v>5.5657871399999994</v>
      </c>
      <c r="Y1564" s="142">
        <v>73661527.706060022</v>
      </c>
      <c r="Z1564" s="142">
        <v>360.45743687191265</v>
      </c>
    </row>
    <row r="1565" spans="1:26" s="141" customFormat="1">
      <c r="A1565" s="121">
        <v>45265</v>
      </c>
      <c r="B1565" s="125">
        <v>168859236.45407543</v>
      </c>
      <c r="C1565" s="125">
        <v>59922101.119783774</v>
      </c>
      <c r="D1565" s="125">
        <v>66300251.686877161</v>
      </c>
      <c r="E1565" s="125">
        <v>71229128.326838613</v>
      </c>
      <c r="F1565" s="123">
        <v>197451481.13349956</v>
      </c>
      <c r="G1565" s="125">
        <v>-1495000</v>
      </c>
      <c r="H1565" s="125">
        <v>1696.4060212001741</v>
      </c>
      <c r="I1565" s="125">
        <v>993.82371138240865</v>
      </c>
      <c r="J1565" s="125">
        <v>738.92438006077657</v>
      </c>
      <c r="K1565" s="125">
        <v>804.16178865514962</v>
      </c>
      <c r="L1565" s="164">
        <v>2536.9098800983347</v>
      </c>
      <c r="M1565" s="125">
        <v>0</v>
      </c>
      <c r="N1565" s="115">
        <v>15505</v>
      </c>
      <c r="O1565" s="139">
        <v>3320.4849999999997</v>
      </c>
      <c r="P1565" s="125">
        <v>-11302069.638499999</v>
      </c>
      <c r="Q1565" s="125">
        <v>0</v>
      </c>
      <c r="R1565" s="114"/>
      <c r="S1565" s="125">
        <v>-7217573.13200338</v>
      </c>
      <c r="T1565" s="125">
        <v>0</v>
      </c>
      <c r="U1565" s="125">
        <v>4661366.05</v>
      </c>
      <c r="V1565" s="125">
        <v>-5.3000000000000001E-6</v>
      </c>
      <c r="W1565" s="142">
        <v>0</v>
      </c>
      <c r="X1565" s="142">
        <v>18.565787140000001</v>
      </c>
      <c r="Y1565" s="142">
        <v>73054573.828412339</v>
      </c>
      <c r="Z1565" s="142">
        <v>363.68285793270064</v>
      </c>
    </row>
    <row r="1566" spans="1:26" s="141" customFormat="1">
      <c r="A1566" s="121">
        <v>45266</v>
      </c>
      <c r="B1566" s="125">
        <v>168803137.82405552</v>
      </c>
      <c r="C1566" s="125">
        <v>60876073.533685572</v>
      </c>
      <c r="D1566" s="125">
        <v>66476855.651661962</v>
      </c>
      <c r="E1566" s="125">
        <v>71124311.881357953</v>
      </c>
      <c r="F1566" s="123">
        <v>198477241.06670547</v>
      </c>
      <c r="G1566" s="125">
        <v>-1645000</v>
      </c>
      <c r="H1566" s="125">
        <v>1700.6314901358844</v>
      </c>
      <c r="I1566" s="125">
        <v>985.13735227718735</v>
      </c>
      <c r="J1566" s="125">
        <v>734.82535372145321</v>
      </c>
      <c r="K1566" s="125">
        <v>804.89462395287694</v>
      </c>
      <c r="L1566" s="164">
        <v>2524.8573299515174</v>
      </c>
      <c r="M1566" s="125">
        <v>0</v>
      </c>
      <c r="N1566" s="115">
        <v>15492.5</v>
      </c>
      <c r="O1566" s="139">
        <v>3317.4549999999999</v>
      </c>
      <c r="P1566" s="125">
        <v>-11742175.888499999</v>
      </c>
      <c r="Q1566" s="125">
        <v>0</v>
      </c>
      <c r="R1566" s="114"/>
      <c r="S1566" s="125">
        <v>-4714060.9320033798</v>
      </c>
      <c r="T1566" s="125">
        <v>0</v>
      </c>
      <c r="U1566" s="125">
        <v>4661366.05</v>
      </c>
      <c r="V1566" s="125">
        <v>-5.1699999999999996E-6</v>
      </c>
      <c r="W1566" s="142">
        <v>0</v>
      </c>
      <c r="X1566" s="142">
        <v>10.565787139999999</v>
      </c>
      <c r="Y1566" s="142">
        <v>74022335.302276671</v>
      </c>
      <c r="Z1566" s="142">
        <v>357.37557642419102</v>
      </c>
    </row>
    <row r="1567" spans="1:26" s="141" customFormat="1">
      <c r="A1567" s="121">
        <v>45267</v>
      </c>
      <c r="B1567" s="125">
        <v>169057123.2496939</v>
      </c>
      <c r="C1567" s="125">
        <v>61654969.272112325</v>
      </c>
      <c r="D1567" s="125">
        <v>66454469.205705017</v>
      </c>
      <c r="E1567" s="125">
        <v>71323527.584599376</v>
      </c>
      <c r="F1567" s="123">
        <v>199432966.06241673</v>
      </c>
      <c r="G1567" s="125">
        <v>-1645000</v>
      </c>
      <c r="H1567" s="125">
        <v>1702.8217642565498</v>
      </c>
      <c r="I1567" s="125">
        <v>986.51130121972142</v>
      </c>
      <c r="J1567" s="125">
        <v>735.974291944539</v>
      </c>
      <c r="K1567" s="125">
        <v>806.87612470120735</v>
      </c>
      <c r="L1567" s="164">
        <v>2529.3617178654677</v>
      </c>
      <c r="M1567" s="125">
        <v>0</v>
      </c>
      <c r="N1567" s="115">
        <v>15515</v>
      </c>
      <c r="O1567" s="139">
        <v>3319.7849999999999</v>
      </c>
      <c r="P1567" s="125">
        <v>-9810668.1579999998</v>
      </c>
      <c r="Q1567" s="125">
        <v>0</v>
      </c>
      <c r="R1567" s="114"/>
      <c r="S1567" s="125">
        <v>-3063265.5820033802</v>
      </c>
      <c r="T1567" s="125">
        <v>0</v>
      </c>
      <c r="U1567" s="125">
        <v>4661366.05</v>
      </c>
      <c r="V1567" s="125">
        <v>-5.4E-6</v>
      </c>
      <c r="W1567" s="142">
        <v>0</v>
      </c>
      <c r="X1567" s="142">
        <v>20.565787140000001</v>
      </c>
      <c r="Y1567" s="142">
        <v>75914709.553900346</v>
      </c>
      <c r="Z1567" s="142">
        <v>360.93049499695843</v>
      </c>
    </row>
    <row r="1568" spans="1:26" s="141" customFormat="1">
      <c r="A1568" s="121">
        <v>45268</v>
      </c>
      <c r="B1568" s="125">
        <v>169303043.24180153</v>
      </c>
      <c r="C1568" s="125">
        <v>65216781.635036029</v>
      </c>
      <c r="D1568" s="125">
        <v>66541273.135243222</v>
      </c>
      <c r="E1568" s="125">
        <v>71408486.157279924</v>
      </c>
      <c r="F1568" s="123">
        <v>203166540.9275592</v>
      </c>
      <c r="G1568" s="125">
        <v>-1595000</v>
      </c>
      <c r="H1568" s="125">
        <v>1686.5121011287877</v>
      </c>
      <c r="I1568" s="125">
        <v>1019.3878098251855</v>
      </c>
      <c r="J1568" s="125">
        <v>733.43809090592458</v>
      </c>
      <c r="K1568" s="125">
        <v>797.01896528349596</v>
      </c>
      <c r="L1568" s="164">
        <v>2549.8448660146059</v>
      </c>
      <c r="M1568" s="125">
        <v>0</v>
      </c>
      <c r="N1568" s="115">
        <v>15510</v>
      </c>
      <c r="O1568" s="139">
        <v>3324.0450000000001</v>
      </c>
      <c r="P1568" s="125">
        <v>-8743820.4299999997</v>
      </c>
      <c r="Q1568" s="125">
        <v>0</v>
      </c>
      <c r="R1568" s="114"/>
      <c r="S1568" s="125">
        <v>-4054270.5820033802</v>
      </c>
      <c r="T1568" s="125">
        <v>0</v>
      </c>
      <c r="U1568" s="125">
        <v>4661366.05</v>
      </c>
      <c r="V1568" s="125">
        <v>-5.3499999999999996E-6</v>
      </c>
      <c r="W1568" s="142">
        <v>0</v>
      </c>
      <c r="X1568" s="142">
        <v>15.565787139999999</v>
      </c>
      <c r="Y1568" s="142">
        <v>74960614.043845549</v>
      </c>
      <c r="Z1568" s="142">
        <v>363.36778212587376</v>
      </c>
    </row>
    <row r="1569" spans="1:26" s="141" customFormat="1">
      <c r="A1569" s="121">
        <v>45271</v>
      </c>
      <c r="B1569" s="125">
        <v>170729922.45414323</v>
      </c>
      <c r="C1569" s="125">
        <v>60652372.255882829</v>
      </c>
      <c r="D1569" s="125">
        <v>66372367.423216112</v>
      </c>
      <c r="E1569" s="125">
        <v>70819557.025727913</v>
      </c>
      <c r="F1569" s="123">
        <v>197844296.70482683</v>
      </c>
      <c r="G1569" s="125">
        <v>-950000</v>
      </c>
      <c r="H1569" s="125">
        <v>1700.3605385454186</v>
      </c>
      <c r="I1569" s="125">
        <v>993.1379632596653</v>
      </c>
      <c r="J1569" s="125">
        <v>728.85596106588741</v>
      </c>
      <c r="K1569" s="125">
        <v>792.12884959895803</v>
      </c>
      <c r="L1569" s="164">
        <v>2514.1227739245105</v>
      </c>
      <c r="M1569" s="125">
        <v>0</v>
      </c>
      <c r="N1569" s="115">
        <v>15615</v>
      </c>
      <c r="O1569" s="139">
        <v>3334.3999999999996</v>
      </c>
      <c r="P1569" s="125">
        <v>-9716661.8220000006</v>
      </c>
      <c r="Q1569" s="125">
        <v>0</v>
      </c>
      <c r="R1569" s="114"/>
      <c r="S1569" s="125">
        <v>-2512261.4820033805</v>
      </c>
      <c r="T1569" s="125">
        <v>0</v>
      </c>
      <c r="U1569" s="125">
        <v>4661366.05</v>
      </c>
      <c r="V1569" s="125">
        <v>-6.4000000000000006E-6</v>
      </c>
      <c r="W1569" s="142">
        <v>0</v>
      </c>
      <c r="X1569" s="142">
        <v>15.565787139999999</v>
      </c>
      <c r="Y1569" s="142">
        <v>74294360.564103633</v>
      </c>
      <c r="Z1569" s="142">
        <v>361.63800063052645</v>
      </c>
    </row>
    <row r="1570" spans="1:26" s="141" customFormat="1">
      <c r="A1570" s="121">
        <v>45272</v>
      </c>
      <c r="B1570" s="125">
        <v>170600979.94860831</v>
      </c>
      <c r="C1570" s="125">
        <v>62627632.72213544</v>
      </c>
      <c r="D1570" s="125">
        <v>66594565.807054505</v>
      </c>
      <c r="E1570" s="125">
        <v>70510021.000942022</v>
      </c>
      <c r="F1570" s="123">
        <v>199732219.53013197</v>
      </c>
      <c r="G1570" s="125">
        <v>-950000</v>
      </c>
      <c r="H1570" s="125">
        <v>1770.4833747335292</v>
      </c>
      <c r="I1570" s="125">
        <v>983.46444864136834</v>
      </c>
      <c r="J1570" s="125">
        <v>734.45052426432107</v>
      </c>
      <c r="K1570" s="125">
        <v>790.26009174093372</v>
      </c>
      <c r="L1570" s="164">
        <v>2508.175064646623</v>
      </c>
      <c r="M1570" s="125">
        <v>0</v>
      </c>
      <c r="N1570" s="115">
        <v>15620</v>
      </c>
      <c r="O1570" s="139">
        <v>3335.4700000000003</v>
      </c>
      <c r="P1570" s="125">
        <v>-9718237.2455000002</v>
      </c>
      <c r="Q1570" s="125">
        <v>0</v>
      </c>
      <c r="R1570" s="114"/>
      <c r="S1570" s="125">
        <v>-3305367.5820033802</v>
      </c>
      <c r="T1570" s="125">
        <v>0</v>
      </c>
      <c r="U1570" s="125">
        <v>4662312.6181439096</v>
      </c>
      <c r="V1570" s="125">
        <v>-6.4500000000000001E-6</v>
      </c>
      <c r="W1570" s="142">
        <v>0</v>
      </c>
      <c r="X1570" s="142">
        <v>5.5657871400000003</v>
      </c>
      <c r="Y1570" s="142">
        <v>74349357.65665631</v>
      </c>
      <c r="Z1570" s="142">
        <v>362.13703859662616</v>
      </c>
    </row>
    <row r="1571" spans="1:26" s="141" customFormat="1">
      <c r="A1571" s="121">
        <v>45273</v>
      </c>
      <c r="B1571" s="125">
        <v>170592527.49935994</v>
      </c>
      <c r="C1571" s="125">
        <v>61381062.177673586</v>
      </c>
      <c r="D1571" s="125">
        <v>65932277.218481302</v>
      </c>
      <c r="E1571" s="125">
        <v>71810705.512816742</v>
      </c>
      <c r="F1571" s="123">
        <v>199124044.90897161</v>
      </c>
      <c r="G1571" s="125">
        <v>-1905000</v>
      </c>
      <c r="H1571" s="125">
        <v>1774.3667318528603</v>
      </c>
      <c r="I1571" s="125">
        <v>979.11174944704271</v>
      </c>
      <c r="J1571" s="125">
        <v>734.24263982011712</v>
      </c>
      <c r="K1571" s="125">
        <v>790.85968254919646</v>
      </c>
      <c r="L1571" s="164">
        <v>2504.2140718163564</v>
      </c>
      <c r="M1571" s="125">
        <v>0</v>
      </c>
      <c r="N1571" s="115">
        <v>15660</v>
      </c>
      <c r="O1571" s="139">
        <v>3326.61</v>
      </c>
      <c r="P1571" s="125">
        <v>-8186404.858</v>
      </c>
      <c r="Q1571" s="125">
        <v>0</v>
      </c>
      <c r="R1571" s="114"/>
      <c r="S1571" s="125">
        <v>-3305367.5820033802</v>
      </c>
      <c r="T1571" s="125">
        <v>0</v>
      </c>
      <c r="U1571" s="125">
        <v>4662307.6244088402</v>
      </c>
      <c r="V1571" s="125">
        <v>-6.8499999999999996E-6</v>
      </c>
      <c r="W1571" s="142">
        <v>0</v>
      </c>
      <c r="X1571" s="142">
        <v>5.5657871400000003</v>
      </c>
      <c r="Y1571" s="142">
        <v>74280234.612977341</v>
      </c>
      <c r="Z1571" s="142">
        <v>362.5928321449349</v>
      </c>
    </row>
    <row r="1572" spans="1:26" s="141" customFormat="1">
      <c r="A1572" s="121">
        <v>45274</v>
      </c>
      <c r="B1572" s="125">
        <v>170366237.82444578</v>
      </c>
      <c r="C1572" s="125">
        <v>62516216.620863646</v>
      </c>
      <c r="D1572" s="125">
        <v>65846042.180001676</v>
      </c>
      <c r="E1572" s="125">
        <v>71797045.158177644</v>
      </c>
      <c r="F1572" s="123">
        <v>200159303.95904297</v>
      </c>
      <c r="G1572" s="125">
        <v>-1805000</v>
      </c>
      <c r="H1572" s="125">
        <v>1780.7538503443991</v>
      </c>
      <c r="I1572" s="125">
        <v>963.98277790722102</v>
      </c>
      <c r="J1572" s="125">
        <v>743.5438642912975</v>
      </c>
      <c r="K1572" s="125">
        <v>795.13932751370248</v>
      </c>
      <c r="L1572" s="164">
        <v>2502.6659697122209</v>
      </c>
      <c r="M1572" s="125">
        <v>-19</v>
      </c>
      <c r="N1572" s="115">
        <v>15497</v>
      </c>
      <c r="O1572" s="139">
        <v>3318.7750000000001</v>
      </c>
      <c r="P1572" s="125">
        <v>-8318623.852</v>
      </c>
      <c r="Q1572" s="125">
        <v>0</v>
      </c>
      <c r="R1572" s="114"/>
      <c r="S1572" s="125">
        <v>-4146241.5320033804</v>
      </c>
      <c r="T1572" s="125">
        <v>0</v>
      </c>
      <c r="U1572" s="125">
        <v>5153597.7388238898</v>
      </c>
      <c r="V1572" s="125">
        <v>-5.22E-6</v>
      </c>
      <c r="W1572" s="142">
        <v>280000</v>
      </c>
      <c r="X1572" s="142">
        <v>5.5657871399999994</v>
      </c>
      <c r="Y1572" s="142">
        <v>75411151.141860813</v>
      </c>
      <c r="Z1572" s="142">
        <v>366.43120751591539</v>
      </c>
    </row>
    <row r="1573" spans="1:26" s="141" customFormat="1">
      <c r="A1573" s="121">
        <v>45275</v>
      </c>
      <c r="B1573" s="125">
        <v>170284692.17158452</v>
      </c>
      <c r="C1573" s="125">
        <v>63180998.689963661</v>
      </c>
      <c r="D1573" s="125">
        <v>65834942.099663101</v>
      </c>
      <c r="E1573" s="125">
        <v>72678132.634582341</v>
      </c>
      <c r="F1573" s="123">
        <v>201694073.42420912</v>
      </c>
      <c r="G1573" s="125">
        <v>-1305000</v>
      </c>
      <c r="H1573" s="125">
        <v>1777.0677283533932</v>
      </c>
      <c r="I1573" s="125">
        <v>984.04095265635658</v>
      </c>
      <c r="J1573" s="125">
        <v>741.5308150970036</v>
      </c>
      <c r="K1573" s="125">
        <v>827.15136201420762</v>
      </c>
      <c r="L1573" s="164">
        <v>2552.723129767568</v>
      </c>
      <c r="M1573" s="125">
        <v>-20</v>
      </c>
      <c r="N1573" s="115">
        <v>15492.5</v>
      </c>
      <c r="O1573" s="139">
        <v>3319.585</v>
      </c>
      <c r="P1573" s="125">
        <v>-6843146.9859999996</v>
      </c>
      <c r="Q1573" s="125">
        <v>0</v>
      </c>
      <c r="R1573" s="114"/>
      <c r="S1573" s="125">
        <v>-3155236.5320033804</v>
      </c>
      <c r="T1573" s="125">
        <v>0</v>
      </c>
      <c r="U1573" s="125">
        <v>5153987.3330227993</v>
      </c>
      <c r="V1573" s="125">
        <v>-5.1699999999999996E-6</v>
      </c>
      <c r="W1573" s="142">
        <v>200000</v>
      </c>
      <c r="X1573" s="142">
        <v>0.56578714000000008</v>
      </c>
      <c r="Y1573" s="142">
        <v>75323043.019360214</v>
      </c>
      <c r="Z1573" s="142">
        <v>366.20728352387079</v>
      </c>
    </row>
    <row r="1574" spans="1:26" s="141" customFormat="1">
      <c r="A1574" s="121">
        <v>45278</v>
      </c>
      <c r="B1574" s="125">
        <v>170765605.44892117</v>
      </c>
      <c r="C1574" s="125">
        <v>63278563.623799503</v>
      </c>
      <c r="D1574" s="125">
        <v>65524476.1748446</v>
      </c>
      <c r="E1574" s="125">
        <v>72798364.36132443</v>
      </c>
      <c r="F1574" s="123">
        <v>201601404.15996853</v>
      </c>
      <c r="G1574" s="125">
        <v>-2330000</v>
      </c>
      <c r="H1574" s="125">
        <v>1808.5294394638408</v>
      </c>
      <c r="I1574" s="125">
        <v>981.06112963889268</v>
      </c>
      <c r="J1574" s="125">
        <v>744.66158382452704</v>
      </c>
      <c r="K1574" s="125">
        <v>770.87396411298789</v>
      </c>
      <c r="L1574" s="164">
        <v>2496.5966775764077</v>
      </c>
      <c r="M1574" s="125">
        <v>-54.5</v>
      </c>
      <c r="N1574" s="115">
        <v>15510</v>
      </c>
      <c r="O1574" s="139">
        <v>3303.165</v>
      </c>
      <c r="P1574" s="125">
        <v>-8035596.483</v>
      </c>
      <c r="Q1574" s="125">
        <v>0</v>
      </c>
      <c r="R1574" s="114"/>
      <c r="S1574" s="125">
        <v>-4146889.4820033805</v>
      </c>
      <c r="T1574" s="125">
        <v>0</v>
      </c>
      <c r="U1574" s="125">
        <v>5153789.3360953499</v>
      </c>
      <c r="V1574" s="125">
        <v>-5.3499999999999996E-6</v>
      </c>
      <c r="W1574" s="142">
        <v>0</v>
      </c>
      <c r="X1574" s="142">
        <v>0.56578713999999997</v>
      </c>
      <c r="Y1574" s="142">
        <v>75293695.563354731</v>
      </c>
      <c r="Z1574" s="142">
        <v>375.06362851608765</v>
      </c>
    </row>
    <row r="1575" spans="1:26" s="141" customFormat="1">
      <c r="A1575" s="121">
        <v>45279</v>
      </c>
      <c r="B1575" s="125">
        <v>171646245.33279249</v>
      </c>
      <c r="C1575" s="125">
        <v>64283386.030588254</v>
      </c>
      <c r="D1575" s="125">
        <v>65600348.778687581</v>
      </c>
      <c r="E1575" s="125">
        <v>75162457.013362169</v>
      </c>
      <c r="F1575" s="123">
        <v>205046191.82263801</v>
      </c>
      <c r="G1575" s="125">
        <v>-2585000</v>
      </c>
      <c r="H1575" s="125">
        <v>1806.5146440266512</v>
      </c>
      <c r="I1575" s="125">
        <v>1032.5186901343252</v>
      </c>
      <c r="J1575" s="125">
        <v>743.85924261759305</v>
      </c>
      <c r="K1575" s="125">
        <v>750.37009983537814</v>
      </c>
      <c r="L1575" s="164">
        <v>2526.7480325872966</v>
      </c>
      <c r="M1575" s="125">
        <v>-39.5</v>
      </c>
      <c r="N1575" s="115">
        <v>15505</v>
      </c>
      <c r="O1575" s="139">
        <v>3310.21</v>
      </c>
      <c r="P1575" s="125">
        <v>-8742034.4100000001</v>
      </c>
      <c r="Q1575" s="125">
        <v>0</v>
      </c>
      <c r="R1575" s="114"/>
      <c r="S1575" s="125">
        <v>-4149662.1820033803</v>
      </c>
      <c r="T1575" s="125">
        <v>0</v>
      </c>
      <c r="U1575" s="125">
        <v>5153764.3661688501</v>
      </c>
      <c r="V1575" s="125">
        <v>-5.3000000000000001E-6</v>
      </c>
      <c r="W1575" s="142">
        <v>0</v>
      </c>
      <c r="X1575" s="142">
        <v>0.56578714000000008</v>
      </c>
      <c r="Y1575" s="142">
        <v>75142841.421860769</v>
      </c>
      <c r="Z1575" s="142">
        <v>376.7246941454124</v>
      </c>
    </row>
    <row r="1576" spans="1:26" s="141" customFormat="1">
      <c r="A1576" s="121">
        <v>45280</v>
      </c>
      <c r="B1576" s="125">
        <v>171663589.21118841</v>
      </c>
      <c r="C1576" s="125">
        <v>67186277.049859256</v>
      </c>
      <c r="D1576" s="125">
        <v>65730029.297080994</v>
      </c>
      <c r="E1576" s="125">
        <v>75406383.549932525</v>
      </c>
      <c r="F1576" s="123">
        <v>208322689.89687276</v>
      </c>
      <c r="G1576" s="125">
        <v>-2905000</v>
      </c>
      <c r="H1576" s="125">
        <v>1834.5921397701168</v>
      </c>
      <c r="I1576" s="125">
        <v>1034.0540725515671</v>
      </c>
      <c r="J1576" s="125">
        <v>744.06587499783745</v>
      </c>
      <c r="K1576" s="125">
        <v>727.50430099160337</v>
      </c>
      <c r="L1576" s="164">
        <v>2505.624248541008</v>
      </c>
      <c r="M1576" s="125">
        <v>-29.5</v>
      </c>
      <c r="N1576" s="115">
        <v>15510</v>
      </c>
      <c r="O1576" s="139">
        <v>3329.7550000000001</v>
      </c>
      <c r="P1576" s="125">
        <v>-11688140.2575</v>
      </c>
      <c r="Q1576" s="125">
        <v>0</v>
      </c>
      <c r="R1576" s="114"/>
      <c r="S1576" s="125">
        <v>-4149662.1820033803</v>
      </c>
      <c r="T1576" s="125">
        <v>0</v>
      </c>
      <c r="U1576" s="125">
        <v>5153886.6975889094</v>
      </c>
      <c r="V1576" s="125">
        <v>-5.3499999999999996E-6</v>
      </c>
      <c r="W1576" s="142">
        <v>0</v>
      </c>
      <c r="X1576" s="142">
        <v>0.56578713999999997</v>
      </c>
      <c r="Y1576" s="142">
        <v>74347218.945861563</v>
      </c>
      <c r="Z1576" s="142">
        <v>374.92865148644563</v>
      </c>
    </row>
    <row r="1577" spans="1:26" s="141" customFormat="1">
      <c r="A1577" s="121">
        <v>45281</v>
      </c>
      <c r="B1577" s="125">
        <v>171991804.23378593</v>
      </c>
      <c r="C1577" s="125">
        <v>66485465.318526849</v>
      </c>
      <c r="D1577" s="125">
        <v>66206998.97256472</v>
      </c>
      <c r="E1577" s="125">
        <v>75388979.976689249</v>
      </c>
      <c r="F1577" s="123">
        <v>208081444.26778081</v>
      </c>
      <c r="G1577" s="125">
        <v>-2220000</v>
      </c>
      <c r="H1577" s="125">
        <v>1806.5806108306258</v>
      </c>
      <c r="I1577" s="125">
        <v>957.35395285423635</v>
      </c>
      <c r="J1577" s="125">
        <v>742.38759000818925</v>
      </c>
      <c r="K1577" s="125">
        <v>715.70346392582417</v>
      </c>
      <c r="L1577" s="164">
        <v>2415.4450067882499</v>
      </c>
      <c r="M1577" s="125">
        <v>-29.5</v>
      </c>
      <c r="N1577" s="115">
        <v>15525</v>
      </c>
      <c r="O1577" s="139">
        <v>3336.2</v>
      </c>
      <c r="P1577" s="125">
        <v>-12587837.723999999</v>
      </c>
      <c r="Q1577" s="125">
        <v>0</v>
      </c>
      <c r="R1577" s="114"/>
      <c r="S1577" s="125">
        <v>-3308788.2320033805</v>
      </c>
      <c r="T1577" s="125">
        <v>0</v>
      </c>
      <c r="U1577" s="125">
        <v>5153869.9440251095</v>
      </c>
      <c r="V1577" s="125">
        <v>-5.4999999999999999E-6</v>
      </c>
      <c r="W1577" s="142">
        <v>0</v>
      </c>
      <c r="X1577" s="142">
        <v>11.565787140000001</v>
      </c>
      <c r="Y1577" s="142">
        <v>74756947.440366998</v>
      </c>
      <c r="Z1577" s="142">
        <v>377.90125466982676</v>
      </c>
    </row>
    <row r="1578" spans="1:26" s="141" customFormat="1">
      <c r="A1578" s="121">
        <v>45282</v>
      </c>
      <c r="B1578" s="125">
        <v>173015697.11865985</v>
      </c>
      <c r="C1578" s="125">
        <v>62123471.995316446</v>
      </c>
      <c r="D1578" s="125">
        <v>66793585.238371179</v>
      </c>
      <c r="E1578" s="125">
        <v>75824309.923063233</v>
      </c>
      <c r="F1578" s="123">
        <v>204741367.15675086</v>
      </c>
      <c r="G1578" s="125">
        <v>-1805000</v>
      </c>
      <c r="H1578" s="125">
        <v>1875.3958442743854</v>
      </c>
      <c r="I1578" s="125">
        <v>967.05900157953954</v>
      </c>
      <c r="J1578" s="125">
        <v>737.40060043042683</v>
      </c>
      <c r="K1578" s="125">
        <v>756.47768394113757</v>
      </c>
      <c r="L1578" s="164">
        <v>2460.9372859511041</v>
      </c>
      <c r="M1578" s="125">
        <v>-29.5</v>
      </c>
      <c r="N1578" s="115">
        <v>15482.5</v>
      </c>
      <c r="O1578" s="139">
        <v>3342.15</v>
      </c>
      <c r="P1578" s="125">
        <v>-10332175.341499999</v>
      </c>
      <c r="Q1578" s="125">
        <v>0</v>
      </c>
      <c r="R1578" s="114"/>
      <c r="S1578" s="125">
        <v>-3308788.2320033805</v>
      </c>
      <c r="T1578" s="125">
        <v>0</v>
      </c>
      <c r="U1578" s="125">
        <v>5154173.2698169295</v>
      </c>
      <c r="V1578" s="125">
        <v>-5.0700000000000006E-6</v>
      </c>
      <c r="W1578" s="142">
        <v>0</v>
      </c>
      <c r="X1578" s="142">
        <v>4.5657871399999994</v>
      </c>
      <c r="Y1578" s="142">
        <v>74561703.202856049</v>
      </c>
      <c r="Z1578" s="142">
        <v>378.38349073711612</v>
      </c>
    </row>
    <row r="1579" spans="1:26" s="141" customFormat="1">
      <c r="A1579" s="121">
        <v>45287</v>
      </c>
      <c r="B1579" s="125">
        <v>172500854.02953854</v>
      </c>
      <c r="C1579" s="125">
        <v>62651426.430186123</v>
      </c>
      <c r="D1579" s="125">
        <v>66021947.542604059</v>
      </c>
      <c r="E1579" s="125">
        <v>74035355.294297457</v>
      </c>
      <c r="F1579" s="123">
        <v>202708729.26708764</v>
      </c>
      <c r="G1579" s="125">
        <v>-1235000</v>
      </c>
      <c r="H1579" s="125">
        <v>1929.4104673932325</v>
      </c>
      <c r="I1579" s="125">
        <v>1006.893703548478</v>
      </c>
      <c r="J1579" s="125">
        <v>730.31857373438265</v>
      </c>
      <c r="K1579" s="125">
        <v>753.82371538135953</v>
      </c>
      <c r="L1579" s="164">
        <v>2491.0359926642204</v>
      </c>
      <c r="M1579" s="125">
        <v>0</v>
      </c>
      <c r="N1579" s="115">
        <v>15430</v>
      </c>
      <c r="O1579" s="139">
        <v>3330.4549999999999</v>
      </c>
      <c r="P1579" s="125">
        <v>-9344248.9495000001</v>
      </c>
      <c r="Q1579" s="125">
        <v>0</v>
      </c>
      <c r="R1579" s="114"/>
      <c r="S1579" s="125">
        <v>-4843216.88200338</v>
      </c>
      <c r="T1579" s="125">
        <v>0</v>
      </c>
      <c r="U1579" s="125">
        <v>5153787.4146839902</v>
      </c>
      <c r="V1579" s="125">
        <v>-4.5499999999999996E-6</v>
      </c>
      <c r="W1579" s="142">
        <v>0</v>
      </c>
      <c r="X1579" s="142">
        <v>5.5657871400000003</v>
      </c>
      <c r="Y1579" s="142">
        <v>74565747.606628701</v>
      </c>
      <c r="Z1579" s="142">
        <v>381.64453542899992</v>
      </c>
    </row>
    <row r="1580" spans="1:26" s="141" customFormat="1">
      <c r="A1580" s="121">
        <v>45288</v>
      </c>
      <c r="B1580" s="125">
        <v>173009928.85400343</v>
      </c>
      <c r="C1580" s="125">
        <v>59960949.030849464</v>
      </c>
      <c r="D1580" s="125">
        <v>65953652.324745551</v>
      </c>
      <c r="E1580" s="125">
        <v>74974712.569993585</v>
      </c>
      <c r="F1580" s="123">
        <v>200889313.92558861</v>
      </c>
      <c r="G1580" s="125">
        <v>-1160000</v>
      </c>
      <c r="H1580" s="125">
        <v>1948.1528350807635</v>
      </c>
      <c r="I1580" s="125">
        <v>1013.3646554097376</v>
      </c>
      <c r="J1580" s="125">
        <v>732.28053104079299</v>
      </c>
      <c r="K1580" s="125">
        <v>741.34803527953181</v>
      </c>
      <c r="L1580" s="164">
        <v>2486.9932217300625</v>
      </c>
      <c r="M1580" s="125">
        <v>0</v>
      </c>
      <c r="N1580" s="115">
        <v>15420</v>
      </c>
      <c r="O1580" s="139">
        <v>3343.0950000000003</v>
      </c>
      <c r="P1580" s="125">
        <v>-5054250.8609999996</v>
      </c>
      <c r="Q1580" s="125">
        <v>0</v>
      </c>
      <c r="R1580" s="114"/>
      <c r="S1580" s="125">
        <v>-9692323.2320033796</v>
      </c>
      <c r="T1580" s="125">
        <v>0</v>
      </c>
      <c r="U1580" s="125">
        <v>5346327.6696425797</v>
      </c>
      <c r="V1580" s="125">
        <v>-4.4500000000000006E-6</v>
      </c>
      <c r="W1580" s="142">
        <v>0</v>
      </c>
      <c r="X1580" s="142">
        <v>5.5657871400000003</v>
      </c>
      <c r="Y1580" s="142">
        <v>74337210.84205617</v>
      </c>
      <c r="Z1580" s="142">
        <v>383.64262189023799</v>
      </c>
    </row>
    <row r="1581" spans="1:26" s="141" customFormat="1">
      <c r="A1581" s="121">
        <v>45289</v>
      </c>
      <c r="B1581" s="125">
        <v>174914565.03340232</v>
      </c>
      <c r="C1581" s="125">
        <v>57608855.292835802</v>
      </c>
      <c r="D1581" s="125">
        <v>66238296.212911673</v>
      </c>
      <c r="E1581" s="125">
        <v>74983676.62028265</v>
      </c>
      <c r="F1581" s="123">
        <v>198830828.12603012</v>
      </c>
      <c r="G1581" s="125">
        <v>0</v>
      </c>
      <c r="H1581" s="125">
        <v>1917.6790424216988</v>
      </c>
      <c r="I1581" s="125">
        <v>1042.213527762586</v>
      </c>
      <c r="J1581" s="125">
        <v>718.81472322345314</v>
      </c>
      <c r="K1581" s="125">
        <v>742.96000176517828</v>
      </c>
      <c r="L1581" s="164">
        <v>2503.9882527512173</v>
      </c>
      <c r="M1581" s="125">
        <v>0</v>
      </c>
      <c r="N1581" s="115">
        <v>15397</v>
      </c>
      <c r="O1581" s="139">
        <v>3355.2</v>
      </c>
      <c r="P1581" s="125">
        <v>-4220994.8080000002</v>
      </c>
      <c r="Q1581" s="125">
        <v>0</v>
      </c>
      <c r="R1581" s="114"/>
      <c r="S1581" s="125">
        <v>-16205831.032003378</v>
      </c>
      <c r="T1581" s="125">
        <v>0</v>
      </c>
      <c r="U1581" s="125">
        <v>5159386.7478960492</v>
      </c>
      <c r="V1581" s="125">
        <v>-4.2199999999999994E-6</v>
      </c>
      <c r="W1581" s="142">
        <v>0</v>
      </c>
      <c r="X1581" s="142">
        <v>0.56578713999999997</v>
      </c>
      <c r="Y1581" s="142">
        <v>74226864.202236935</v>
      </c>
      <c r="Z1581" s="142">
        <v>388.88881526285775</v>
      </c>
    </row>
    <row r="1582" spans="1:26" s="2227" customFormat="1">
      <c r="A1582" s="2222">
        <v>45291</v>
      </c>
      <c r="B1582" s="2246">
        <v>177512645.877601</v>
      </c>
      <c r="C1582" s="2246">
        <v>58280109.00502</v>
      </c>
      <c r="D1582" s="2246">
        <v>66368158.469348997</v>
      </c>
      <c r="E1582" s="2246">
        <v>73801495.804507002</v>
      </c>
      <c r="F1582" s="2247">
        <v>198449763.27887601</v>
      </c>
      <c r="G1582" s="2223">
        <v>0</v>
      </c>
      <c r="H1582" s="2246">
        <v>1910.6744222550496</v>
      </c>
      <c r="I1582" s="2246">
        <v>1025.8588091703577</v>
      </c>
      <c r="J1582" s="2246">
        <v>718.49485057732022</v>
      </c>
      <c r="K1582" s="2246">
        <v>742.19308928206794</v>
      </c>
      <c r="L1582" s="2248">
        <v>2486.546749029746</v>
      </c>
      <c r="M1582" s="2223">
        <v>0</v>
      </c>
      <c r="N1582" s="2224">
        <v>15397</v>
      </c>
      <c r="O1582" s="2225">
        <v>3355.2</v>
      </c>
      <c r="P1582" s="2223">
        <v>-4220994.8080000002</v>
      </c>
      <c r="Q1582" s="2223">
        <v>0</v>
      </c>
      <c r="R1582" s="163"/>
      <c r="S1582" s="2223">
        <v>-16205831.032003378</v>
      </c>
      <c r="T1582" s="2223">
        <v>0</v>
      </c>
      <c r="U1582" s="2223">
        <v>5159386.7478960492</v>
      </c>
      <c r="V1582" s="2223">
        <v>-4.2199999999999994E-6</v>
      </c>
      <c r="W1582" s="2226">
        <v>0</v>
      </c>
      <c r="X1582" s="2226">
        <v>0.56578713999999997</v>
      </c>
      <c r="Y1582" s="2226">
        <v>74226864.202236935</v>
      </c>
      <c r="Z1582" s="2226">
        <v>388.88881526285775</v>
      </c>
    </row>
    <row r="1583" spans="1:26" s="141" customFormat="1">
      <c r="A1583" s="121">
        <v>45293</v>
      </c>
      <c r="B1583" s="125">
        <v>173539771.98682719</v>
      </c>
      <c r="C1583" s="125">
        <v>58598886.92187582</v>
      </c>
      <c r="D1583" s="125">
        <v>65740563.297170952</v>
      </c>
      <c r="E1583" s="125">
        <v>75797933.399368405</v>
      </c>
      <c r="F1583" s="123">
        <v>200137383.61841518</v>
      </c>
      <c r="G1583" s="125">
        <v>-1700000</v>
      </c>
      <c r="H1583" s="125">
        <v>1906.7393040756042</v>
      </c>
      <c r="I1583" s="125">
        <v>1001.7128379399371</v>
      </c>
      <c r="J1583" s="125">
        <v>718.90744346357667</v>
      </c>
      <c r="K1583" s="125">
        <v>728.09315617954564</v>
      </c>
      <c r="L1583" s="164">
        <v>2448.7134375830592</v>
      </c>
      <c r="M1583" s="125">
        <v>0</v>
      </c>
      <c r="N1583" s="115">
        <v>15470</v>
      </c>
      <c r="O1583" s="139">
        <v>3363.23</v>
      </c>
      <c r="P1583" s="125">
        <v>-6631122.8729999997</v>
      </c>
      <c r="Q1583" s="125">
        <v>0</v>
      </c>
      <c r="R1583" s="114"/>
      <c r="S1583" s="125">
        <v>-16205831.032003378</v>
      </c>
      <c r="T1583" s="125">
        <v>0</v>
      </c>
      <c r="U1583" s="125">
        <v>4966707.6352321105</v>
      </c>
      <c r="V1583" s="125">
        <v>-4.95E-6</v>
      </c>
      <c r="W1583" s="142">
        <v>0</v>
      </c>
      <c r="X1583" s="142">
        <v>3.5657871400000003</v>
      </c>
      <c r="Y1583" s="142">
        <v>74125757.944767877</v>
      </c>
      <c r="Z1583" s="142">
        <v>385.71735644941901</v>
      </c>
    </row>
    <row r="1584" spans="1:26" s="141" customFormat="1">
      <c r="A1584" s="121">
        <v>45294</v>
      </c>
      <c r="B1584" s="125">
        <v>173420027.51295879</v>
      </c>
      <c r="C1584" s="125">
        <v>59007804.238329172</v>
      </c>
      <c r="D1584" s="125">
        <v>65773991.740359873</v>
      </c>
      <c r="E1584" s="125">
        <v>74421152.488696694</v>
      </c>
      <c r="F1584" s="123">
        <v>199202948.46738574</v>
      </c>
      <c r="G1584" s="125">
        <v>-2465000</v>
      </c>
      <c r="H1584" s="125">
        <v>1919.5211242865962</v>
      </c>
      <c r="I1584" s="125">
        <v>997.15598151702272</v>
      </c>
      <c r="J1584" s="125">
        <v>720.03429984575291</v>
      </c>
      <c r="K1584" s="125">
        <v>735.44297062199155</v>
      </c>
      <c r="L1584" s="164">
        <v>2452.6332519847674</v>
      </c>
      <c r="M1584" s="125">
        <v>0</v>
      </c>
      <c r="N1584" s="115">
        <v>15480</v>
      </c>
      <c r="O1584" s="139">
        <v>3340.17</v>
      </c>
      <c r="P1584" s="125">
        <v>-6773549.3470000001</v>
      </c>
      <c r="Q1584" s="125">
        <v>0</v>
      </c>
      <c r="R1584" s="114"/>
      <c r="S1584" s="125">
        <v>-13264993.98200338</v>
      </c>
      <c r="T1584" s="125">
        <v>0</v>
      </c>
      <c r="U1584" s="125">
        <v>4966692.9576681601</v>
      </c>
      <c r="V1584" s="125">
        <v>-5.0499999999999999E-6</v>
      </c>
      <c r="W1584" s="142">
        <v>0</v>
      </c>
      <c r="X1584" s="142">
        <v>0.56578714000000008</v>
      </c>
      <c r="Y1584" s="142">
        <v>73314887.652188331</v>
      </c>
      <c r="Z1584" s="142">
        <v>385.17277694106059</v>
      </c>
    </row>
    <row r="1585" spans="1:26" s="141" customFormat="1">
      <c r="A1585" s="121">
        <v>45295</v>
      </c>
      <c r="B1585" s="125">
        <v>173019324.67179239</v>
      </c>
      <c r="C1585" s="125">
        <v>64993930.788217068</v>
      </c>
      <c r="D1585" s="125">
        <v>65725345.325275525</v>
      </c>
      <c r="E1585" s="125">
        <v>74313506.919395924</v>
      </c>
      <c r="F1585" s="123">
        <v>205032783.03288853</v>
      </c>
      <c r="G1585" s="125">
        <v>-2465000</v>
      </c>
      <c r="H1585" s="125">
        <v>1912.366986601621</v>
      </c>
      <c r="I1585" s="125">
        <v>1011.0234589991308</v>
      </c>
      <c r="J1585" s="125">
        <v>718.54074201813046</v>
      </c>
      <c r="K1585" s="125">
        <v>732.66208930946493</v>
      </c>
      <c r="L1585" s="164">
        <v>2462.226290326726</v>
      </c>
      <c r="M1585" s="125">
        <v>0</v>
      </c>
      <c r="N1585" s="115">
        <v>15490</v>
      </c>
      <c r="O1585" s="139">
        <v>3340.88</v>
      </c>
      <c r="P1585" s="125">
        <v>-6773549.3470000001</v>
      </c>
      <c r="Q1585" s="125">
        <v>0</v>
      </c>
      <c r="R1585" s="114"/>
      <c r="S1585" s="125">
        <v>-8415887.63200338</v>
      </c>
      <c r="T1585" s="125">
        <v>0</v>
      </c>
      <c r="U1585" s="125">
        <v>4966680.9040956302</v>
      </c>
      <c r="V1585" s="125">
        <v>-5.1500000000000007E-6</v>
      </c>
      <c r="W1585" s="142">
        <v>0</v>
      </c>
      <c r="X1585" s="142">
        <v>0.56578713999999997</v>
      </c>
      <c r="Y1585" s="142">
        <v>73060126.128830135</v>
      </c>
      <c r="Z1585" s="142">
        <v>382.39267121818347</v>
      </c>
    </row>
    <row r="1586" spans="1:26" s="141" customFormat="1">
      <c r="A1586" s="121">
        <v>45296</v>
      </c>
      <c r="B1586" s="125">
        <v>172220974.68682542</v>
      </c>
      <c r="C1586" s="125">
        <v>59400125.616528317</v>
      </c>
      <c r="D1586" s="125">
        <v>65985294.694230713</v>
      </c>
      <c r="E1586" s="125">
        <v>74085984.351904631</v>
      </c>
      <c r="F1586" s="123">
        <v>199471404.66266367</v>
      </c>
      <c r="G1586" s="125">
        <v>-3055000</v>
      </c>
      <c r="H1586" s="125">
        <v>1878.2781398029422</v>
      </c>
      <c r="I1586" s="125">
        <v>1021.8467151994126</v>
      </c>
      <c r="J1586" s="125">
        <v>716.80290231134052</v>
      </c>
      <c r="K1586" s="125">
        <v>737.59668460734395</v>
      </c>
      <c r="L1586" s="164">
        <v>2476.246302118097</v>
      </c>
      <c r="M1586" s="125">
        <v>0</v>
      </c>
      <c r="N1586" s="115">
        <v>15515</v>
      </c>
      <c r="O1586" s="139">
        <v>3336.2</v>
      </c>
      <c r="P1586" s="125">
        <v>-10579486.834000001</v>
      </c>
      <c r="Q1586" s="125">
        <v>0</v>
      </c>
      <c r="R1586" s="114"/>
      <c r="S1586" s="125">
        <v>-4648983.2820033794</v>
      </c>
      <c r="T1586" s="125">
        <v>0</v>
      </c>
      <c r="U1586" s="125">
        <v>4004808.48314323</v>
      </c>
      <c r="V1586" s="125">
        <v>-5.4E-6</v>
      </c>
      <c r="W1586" s="142">
        <v>0</v>
      </c>
      <c r="X1586" s="142">
        <v>0.56578713999999997</v>
      </c>
      <c r="Y1586" s="142">
        <v>73220457.766587988</v>
      </c>
      <c r="Z1586" s="142">
        <v>370.06915414921423</v>
      </c>
    </row>
    <row r="1587" spans="1:26" s="141" customFormat="1">
      <c r="A1587" s="121">
        <v>45299</v>
      </c>
      <c r="B1587" s="125">
        <v>171809695.03385681</v>
      </c>
      <c r="C1587" s="125">
        <v>60349870.255988598</v>
      </c>
      <c r="D1587" s="125">
        <v>65022053.463707633</v>
      </c>
      <c r="E1587" s="125">
        <v>75507691.215641111</v>
      </c>
      <c r="F1587" s="123">
        <v>200879614.93533733</v>
      </c>
      <c r="G1587" s="125">
        <v>-3055000</v>
      </c>
      <c r="H1587" s="125">
        <v>1856.5065126317577</v>
      </c>
      <c r="I1587" s="125">
        <v>1006.8551857740206</v>
      </c>
      <c r="J1587" s="125">
        <v>722.19064910065003</v>
      </c>
      <c r="K1587" s="125">
        <v>736.49363858768959</v>
      </c>
      <c r="L1587" s="164">
        <v>2465.5394734623601</v>
      </c>
      <c r="M1587" s="125">
        <v>0</v>
      </c>
      <c r="N1587" s="115">
        <v>15525</v>
      </c>
      <c r="O1587" s="139">
        <v>3339.4300000000003</v>
      </c>
      <c r="P1587" s="125">
        <v>-8840875.4165000003</v>
      </c>
      <c r="Q1587" s="125">
        <v>0</v>
      </c>
      <c r="R1587" s="114"/>
      <c r="S1587" s="125">
        <v>-4648983.2820033794</v>
      </c>
      <c r="T1587" s="125">
        <v>0</v>
      </c>
      <c r="U1587" s="125">
        <v>3511795.65</v>
      </c>
      <c r="V1587" s="125">
        <v>-5.4999999999999999E-6</v>
      </c>
      <c r="W1587" s="142">
        <v>280000</v>
      </c>
      <c r="X1587" s="142">
        <v>0.56578713999999997</v>
      </c>
      <c r="Y1587" s="142">
        <v>73217791.048568651</v>
      </c>
      <c r="Z1587" s="142">
        <v>373.03168704848514</v>
      </c>
    </row>
    <row r="1588" spans="1:26" s="141" customFormat="1">
      <c r="A1588" s="121">
        <v>45300</v>
      </c>
      <c r="B1588" s="125">
        <v>171494489.84986857</v>
      </c>
      <c r="C1588" s="125">
        <v>60711450.735242546</v>
      </c>
      <c r="D1588" s="125">
        <v>65378175.060724676</v>
      </c>
      <c r="E1588" s="125">
        <v>76157365.90832743</v>
      </c>
      <c r="F1588" s="123">
        <v>202246991.70429465</v>
      </c>
      <c r="G1588" s="125">
        <v>-2770000</v>
      </c>
      <c r="H1588" s="125">
        <v>1854.0892290077425</v>
      </c>
      <c r="I1588" s="125">
        <v>968.90761379111484</v>
      </c>
      <c r="J1588" s="125">
        <v>725.74299981741751</v>
      </c>
      <c r="K1588" s="125">
        <v>737.12084750397298</v>
      </c>
      <c r="L1588" s="164">
        <v>2431.7714611125052</v>
      </c>
      <c r="M1588" s="125">
        <v>-20</v>
      </c>
      <c r="N1588" s="115">
        <v>15520</v>
      </c>
      <c r="O1588" s="139">
        <v>3342.3050000000003</v>
      </c>
      <c r="P1588" s="125">
        <v>-7830599.6135</v>
      </c>
      <c r="Q1588" s="125">
        <v>0</v>
      </c>
      <c r="R1588" s="114"/>
      <c r="S1588" s="125">
        <v>-4648983.2820033794</v>
      </c>
      <c r="T1588" s="125">
        <v>0</v>
      </c>
      <c r="U1588" s="125">
        <v>4003953.8175319899</v>
      </c>
      <c r="V1588" s="125">
        <v>-5.4500000000000003E-6</v>
      </c>
      <c r="W1588" s="142">
        <v>100000</v>
      </c>
      <c r="X1588" s="142">
        <v>5.5657871400000003</v>
      </c>
      <c r="Y1588" s="142">
        <v>74010653.484524384</v>
      </c>
      <c r="Z1588" s="142">
        <v>386.72156636944317</v>
      </c>
    </row>
    <row r="1589" spans="1:26" s="141" customFormat="1">
      <c r="A1589" s="121">
        <v>45301</v>
      </c>
      <c r="B1589" s="125">
        <v>171264612.0748488</v>
      </c>
      <c r="C1589" s="125">
        <v>60433554.943138614</v>
      </c>
      <c r="D1589" s="125">
        <v>65600344.491529219</v>
      </c>
      <c r="E1589" s="125">
        <v>75263160.6545766</v>
      </c>
      <c r="F1589" s="123">
        <v>201297060.08924443</v>
      </c>
      <c r="G1589" s="125">
        <v>-3375000</v>
      </c>
      <c r="H1589" s="125">
        <v>1856.2821203559977</v>
      </c>
      <c r="I1589" s="125">
        <v>965.27086885141478</v>
      </c>
      <c r="J1589" s="125">
        <v>727.26682995679448</v>
      </c>
      <c r="K1589" s="125">
        <v>739.84290101614431</v>
      </c>
      <c r="L1589" s="164">
        <v>2432.3805998243538</v>
      </c>
      <c r="M1589" s="125">
        <v>-20.02701225198572</v>
      </c>
      <c r="N1589" s="115">
        <v>15548.5</v>
      </c>
      <c r="O1589" s="139">
        <v>3349.5250000000001</v>
      </c>
      <c r="P1589" s="125">
        <v>-8512038.5645000003</v>
      </c>
      <c r="Q1589" s="125">
        <v>0</v>
      </c>
      <c r="R1589" s="114"/>
      <c r="S1589" s="125">
        <v>-2748629.8820033805</v>
      </c>
      <c r="T1589" s="125">
        <v>0</v>
      </c>
      <c r="U1589" s="125">
        <v>4003901.22791223</v>
      </c>
      <c r="V1589" s="125">
        <v>-5.9400000000000007E-6</v>
      </c>
      <c r="W1589" s="142">
        <v>0</v>
      </c>
      <c r="X1589" s="142">
        <v>0.56655129923979797</v>
      </c>
      <c r="Y1589" s="142">
        <v>73933756.846464604</v>
      </c>
      <c r="Z1589" s="142">
        <v>407.02457720878789</v>
      </c>
    </row>
    <row r="1590" spans="1:26" s="141" customFormat="1">
      <c r="A1590" s="121">
        <v>45302</v>
      </c>
      <c r="B1590" s="125">
        <v>170788847.02203271</v>
      </c>
      <c r="C1590" s="125">
        <v>63780308.220645286</v>
      </c>
      <c r="D1590" s="125">
        <v>65950991.472292714</v>
      </c>
      <c r="E1590" s="125">
        <v>76111318.287761509</v>
      </c>
      <c r="F1590" s="123">
        <v>205842617.98069951</v>
      </c>
      <c r="G1590" s="125">
        <v>-3025000</v>
      </c>
      <c r="H1590" s="125">
        <v>1851.0134941963004</v>
      </c>
      <c r="I1590" s="125">
        <v>972.89960439301183</v>
      </c>
      <c r="J1590" s="125">
        <v>729.0450571526377</v>
      </c>
      <c r="K1590" s="125">
        <v>732.73669519745511</v>
      </c>
      <c r="L1590" s="164">
        <v>2434.6813567431045</v>
      </c>
      <c r="M1590" s="125">
        <v>-20</v>
      </c>
      <c r="N1590" s="115">
        <v>15548.5</v>
      </c>
      <c r="O1590" s="139">
        <v>3349.5250000000001</v>
      </c>
      <c r="P1590" s="125">
        <v>-8967321.7919999994</v>
      </c>
      <c r="Q1590" s="125">
        <v>0</v>
      </c>
      <c r="R1590" s="114"/>
      <c r="S1590" s="125">
        <v>-2748629.8820033805</v>
      </c>
      <c r="T1590" s="125">
        <v>0</v>
      </c>
      <c r="U1590" s="125">
        <v>4003893.5395365497</v>
      </c>
      <c r="V1590" s="125">
        <v>-5.7300000000000002E-6</v>
      </c>
      <c r="W1590" s="142">
        <v>0</v>
      </c>
      <c r="X1590" s="142">
        <v>0.56578714000000008</v>
      </c>
      <c r="Y1590" s="142">
        <v>74388233.980841056</v>
      </c>
      <c r="Z1590" s="142">
        <v>410.46711054612518</v>
      </c>
    </row>
    <row r="1591" spans="1:26" s="141" customFormat="1">
      <c r="A1591" s="121">
        <v>45303</v>
      </c>
      <c r="B1591" s="125">
        <v>170222902.78343382</v>
      </c>
      <c r="C1591" s="125">
        <v>59675790.937918857</v>
      </c>
      <c r="D1591" s="125">
        <v>66091182.168050997</v>
      </c>
      <c r="E1591" s="125">
        <v>76688751.870770261</v>
      </c>
      <c r="F1591" s="123">
        <v>202455724.97674012</v>
      </c>
      <c r="G1591" s="125">
        <v>-3025000</v>
      </c>
      <c r="H1591" s="125">
        <v>1849.0982919030478</v>
      </c>
      <c r="I1591" s="125">
        <v>966.77643974482555</v>
      </c>
      <c r="J1591" s="125">
        <v>723.87485630324488</v>
      </c>
      <c r="K1591" s="125">
        <v>743.90003817635238</v>
      </c>
      <c r="L1591" s="164">
        <v>2434.551334224423</v>
      </c>
      <c r="M1591" s="125">
        <v>-20</v>
      </c>
      <c r="N1591" s="115">
        <v>15550</v>
      </c>
      <c r="O1591" s="139">
        <v>3346.2449999999999</v>
      </c>
      <c r="P1591" s="125">
        <v>-8483715.7469999995</v>
      </c>
      <c r="Q1591" s="125">
        <v>0</v>
      </c>
      <c r="R1591" s="114"/>
      <c r="S1591" s="125">
        <v>-2026.4320033800002</v>
      </c>
      <c r="T1591" s="125">
        <v>0</v>
      </c>
      <c r="U1591" s="125">
        <v>4786807.0923116598</v>
      </c>
      <c r="V1591" s="125">
        <v>-5.75E-6</v>
      </c>
      <c r="W1591" s="142">
        <v>630000</v>
      </c>
      <c r="X1591" s="142">
        <v>0.56578713999999997</v>
      </c>
      <c r="Y1591" s="142">
        <v>74117694.453482702</v>
      </c>
      <c r="Z1591" s="142">
        <v>409.02157359772463</v>
      </c>
    </row>
    <row r="1592" spans="1:26" s="141" customFormat="1">
      <c r="A1592" s="121">
        <v>45306</v>
      </c>
      <c r="B1592" s="125">
        <v>170499230.48019353</v>
      </c>
      <c r="C1592" s="125">
        <v>59695667.13044817</v>
      </c>
      <c r="D1592" s="125">
        <v>66010230.755752102</v>
      </c>
      <c r="E1592" s="125">
        <v>75238495.329417884</v>
      </c>
      <c r="F1592" s="123">
        <v>200944393.21561816</v>
      </c>
      <c r="G1592" s="125">
        <v>-2825000</v>
      </c>
      <c r="H1592" s="125">
        <v>1852.8882313109684</v>
      </c>
      <c r="I1592" s="125">
        <v>940.31045215791266</v>
      </c>
      <c r="J1592" s="125">
        <v>728.28075968871963</v>
      </c>
      <c r="K1592" s="125">
        <v>736.60091581456777</v>
      </c>
      <c r="L1592" s="164">
        <v>2405.1921276612002</v>
      </c>
      <c r="M1592" s="125">
        <v>-20</v>
      </c>
      <c r="N1592" s="115">
        <v>15555</v>
      </c>
      <c r="O1592" s="139">
        <v>3330.835</v>
      </c>
      <c r="P1592" s="125">
        <v>-7056668.6969999997</v>
      </c>
      <c r="Q1592" s="125">
        <v>0</v>
      </c>
      <c r="R1592" s="114"/>
      <c r="S1592" s="125">
        <v>-2026.4320033800002</v>
      </c>
      <c r="T1592" s="125">
        <v>0</v>
      </c>
      <c r="U1592" s="125">
        <v>5084389.5810910994</v>
      </c>
      <c r="V1592" s="125">
        <v>-5.7999999999999995E-6</v>
      </c>
      <c r="W1592" s="142">
        <v>540000</v>
      </c>
      <c r="X1592" s="142">
        <v>0.56578714000000008</v>
      </c>
      <c r="Y1592" s="142">
        <v>74040782.949707538</v>
      </c>
      <c r="Z1592" s="142">
        <v>409.36457205683695</v>
      </c>
    </row>
    <row r="1593" spans="1:26" s="141" customFormat="1">
      <c r="A1593" s="121">
        <v>45307</v>
      </c>
      <c r="B1593" s="125">
        <v>170428994.58548951</v>
      </c>
      <c r="C1593" s="125">
        <v>60723206.233073667</v>
      </c>
      <c r="D1593" s="125">
        <v>66246010.757662944</v>
      </c>
      <c r="E1593" s="125">
        <v>75555961.895609021</v>
      </c>
      <c r="F1593" s="123">
        <v>202525178.88634562</v>
      </c>
      <c r="G1593" s="125">
        <v>-2200000</v>
      </c>
      <c r="H1593" s="125">
        <v>1858.9818905984914</v>
      </c>
      <c r="I1593" s="125">
        <v>968.11021817829999</v>
      </c>
      <c r="J1593" s="125">
        <v>726.38253995199636</v>
      </c>
      <c r="K1593" s="125">
        <v>735.28724180307074</v>
      </c>
      <c r="L1593" s="164">
        <v>2429.779999933367</v>
      </c>
      <c r="M1593" s="125">
        <v>-20</v>
      </c>
      <c r="N1593" s="115">
        <v>15590</v>
      </c>
      <c r="O1593" s="139">
        <v>3327.6400000000003</v>
      </c>
      <c r="P1593" s="125">
        <v>-9897138.5501499996</v>
      </c>
      <c r="Q1593" s="125">
        <v>0</v>
      </c>
      <c r="R1593" s="114"/>
      <c r="S1593" s="125">
        <v>-2026.4320033800002</v>
      </c>
      <c r="T1593" s="125">
        <v>0</v>
      </c>
      <c r="U1593" s="125">
        <v>4004013.7337925499</v>
      </c>
      <c r="V1593" s="125">
        <v>-6.1500000000000004E-6</v>
      </c>
      <c r="W1593" s="142">
        <v>0</v>
      </c>
      <c r="X1593" s="142">
        <v>0.56578714000000008</v>
      </c>
      <c r="Y1593" s="142">
        <v>74349351.845530078</v>
      </c>
      <c r="Z1593" s="142">
        <v>401.46312800897243</v>
      </c>
    </row>
    <row r="1594" spans="1:26" s="141" customFormat="1">
      <c r="A1594" s="121">
        <v>45308</v>
      </c>
      <c r="B1594" s="125">
        <v>170374480.8795445</v>
      </c>
      <c r="C1594" s="125">
        <v>61090514.515516758</v>
      </c>
      <c r="D1594" s="125">
        <v>66133815.8788663</v>
      </c>
      <c r="E1594" s="125">
        <v>77961887.950174451</v>
      </c>
      <c r="F1594" s="123">
        <v>205186218.34455752</v>
      </c>
      <c r="G1594" s="125">
        <v>-1435000</v>
      </c>
      <c r="H1594" s="125">
        <v>1851.7678993772256</v>
      </c>
      <c r="I1594" s="125">
        <v>985.82045502392668</v>
      </c>
      <c r="J1594" s="125">
        <v>727.84043438226263</v>
      </c>
      <c r="K1594" s="125">
        <v>730.9945877956427</v>
      </c>
      <c r="L1594" s="164">
        <v>2444.6554772018317</v>
      </c>
      <c r="M1594" s="125">
        <v>-20</v>
      </c>
      <c r="N1594" s="115">
        <v>15640</v>
      </c>
      <c r="O1594" s="139">
        <v>3314.2650000000003</v>
      </c>
      <c r="P1594" s="125">
        <v>-9397906.6196500007</v>
      </c>
      <c r="Q1594" s="125">
        <v>0</v>
      </c>
      <c r="R1594" s="114"/>
      <c r="S1594" s="125">
        <v>-2026.4320033800002</v>
      </c>
      <c r="T1594" s="125">
        <v>0</v>
      </c>
      <c r="U1594" s="125">
        <v>4004001.3325697999</v>
      </c>
      <c r="V1594" s="125">
        <v>-6.6500000000000007E-6</v>
      </c>
      <c r="W1594" s="142">
        <v>0</v>
      </c>
      <c r="X1594" s="142">
        <v>0.56578713999999997</v>
      </c>
      <c r="Y1594" s="142">
        <v>73837677.444995627</v>
      </c>
      <c r="Z1594" s="142">
        <v>400.05539225311759</v>
      </c>
    </row>
    <row r="1595" spans="1:26" s="141" customFormat="1">
      <c r="A1595" s="121">
        <v>45309</v>
      </c>
      <c r="B1595" s="125">
        <v>170501399.09159723</v>
      </c>
      <c r="C1595" s="125">
        <v>60319472.741491891</v>
      </c>
      <c r="D1595" s="125">
        <v>66360078.89375487</v>
      </c>
      <c r="E1595" s="125">
        <v>78884504.767478868</v>
      </c>
      <c r="F1595" s="123">
        <v>205564056.40272564</v>
      </c>
      <c r="G1595" s="125">
        <v>-1435000</v>
      </c>
      <c r="H1595" s="125">
        <v>1857.2140257472083</v>
      </c>
      <c r="I1595" s="125">
        <v>977.00194670005396</v>
      </c>
      <c r="J1595" s="125">
        <v>728.46114338660857</v>
      </c>
      <c r="K1595" s="125">
        <v>734.79581705202747</v>
      </c>
      <c r="L1595" s="164">
        <v>2440.2589071386901</v>
      </c>
      <c r="M1595" s="125">
        <v>-20</v>
      </c>
      <c r="N1595" s="115">
        <v>15620</v>
      </c>
      <c r="O1595" s="139">
        <v>3311.7799999999997</v>
      </c>
      <c r="P1595" s="125">
        <v>-10590659.45115</v>
      </c>
      <c r="Q1595" s="125">
        <v>0</v>
      </c>
      <c r="R1595" s="114"/>
      <c r="S1595" s="125">
        <v>-2026.4320033800002</v>
      </c>
      <c r="T1595" s="125">
        <v>0</v>
      </c>
      <c r="U1595" s="125">
        <v>4004143.4477854697</v>
      </c>
      <c r="V1595" s="125">
        <v>-6.4500000000000001E-6</v>
      </c>
      <c r="W1595" s="142">
        <v>0</v>
      </c>
      <c r="X1595" s="142">
        <v>0.56578713999999997</v>
      </c>
      <c r="Y1595" s="142">
        <v>76117357.942532748</v>
      </c>
      <c r="Z1595" s="142">
        <v>389.8662540932209</v>
      </c>
    </row>
    <row r="1596" spans="1:26" s="141" customFormat="1">
      <c r="A1596" s="121">
        <v>45310</v>
      </c>
      <c r="B1596" s="125">
        <v>170587924.71138817</v>
      </c>
      <c r="C1596" s="125">
        <v>62788974.343540162</v>
      </c>
      <c r="D1596" s="125">
        <v>66502832.661337733</v>
      </c>
      <c r="E1596" s="125">
        <v>79451056.434776098</v>
      </c>
      <c r="F1596" s="123">
        <v>208742863.43965399</v>
      </c>
      <c r="G1596" s="125">
        <v>-1130000</v>
      </c>
      <c r="H1596" s="125">
        <v>1855.792762577167</v>
      </c>
      <c r="I1596" s="125">
        <v>988.18434572944409</v>
      </c>
      <c r="J1596" s="125">
        <v>730.49771760474937</v>
      </c>
      <c r="K1596" s="125">
        <v>711.49588811458409</v>
      </c>
      <c r="L1596" s="164">
        <v>2430.1779514487775</v>
      </c>
      <c r="M1596" s="125">
        <v>-20</v>
      </c>
      <c r="N1596" s="115">
        <v>15615</v>
      </c>
      <c r="O1596" s="139">
        <v>3308.6150000000002</v>
      </c>
      <c r="P1596" s="125">
        <v>-10831510.60015</v>
      </c>
      <c r="Q1596" s="125">
        <v>0</v>
      </c>
      <c r="R1596" s="114"/>
      <c r="S1596" s="125">
        <v>-2026.4320033800002</v>
      </c>
      <c r="T1596" s="125">
        <v>0</v>
      </c>
      <c r="U1596" s="125">
        <v>3447652.26856121</v>
      </c>
      <c r="V1596" s="125">
        <v>-6.4000000000000006E-6</v>
      </c>
      <c r="W1596" s="142">
        <v>0</v>
      </c>
      <c r="X1596" s="142">
        <v>0.56578713999999997</v>
      </c>
      <c r="Y1596" s="142">
        <v>76374293.789336354</v>
      </c>
      <c r="Z1596" s="142">
        <v>392.36760676663533</v>
      </c>
    </row>
    <row r="1597" spans="1:26" s="141" customFormat="1">
      <c r="A1597" s="121">
        <v>45313</v>
      </c>
      <c r="B1597" s="125">
        <v>170830878.02261195</v>
      </c>
      <c r="C1597" s="125">
        <v>62914713.003870472</v>
      </c>
      <c r="D1597" s="125">
        <v>66620663.803967588</v>
      </c>
      <c r="E1597" s="125">
        <v>78928844.910138905</v>
      </c>
      <c r="F1597" s="123">
        <v>208464221.71797696</v>
      </c>
      <c r="G1597" s="125">
        <v>-995000</v>
      </c>
      <c r="H1597" s="125">
        <v>1841.9633188337634</v>
      </c>
      <c r="I1597" s="125">
        <v>972.52906257774589</v>
      </c>
      <c r="J1597" s="125">
        <v>737.76989500124398</v>
      </c>
      <c r="K1597" s="125">
        <v>703.07959015463769</v>
      </c>
      <c r="L1597" s="164">
        <v>2413.3785477336273</v>
      </c>
      <c r="M1597" s="125">
        <v>-20</v>
      </c>
      <c r="N1597" s="115">
        <v>15635</v>
      </c>
      <c r="O1597" s="139">
        <v>3309</v>
      </c>
      <c r="P1597" s="125">
        <v>-10352334.56515</v>
      </c>
      <c r="Q1597" s="125">
        <v>0</v>
      </c>
      <c r="R1597" s="114"/>
      <c r="S1597" s="125">
        <v>-2026.4320033800002</v>
      </c>
      <c r="T1597" s="125">
        <v>0</v>
      </c>
      <c r="U1597" s="125">
        <v>3447453.09907971</v>
      </c>
      <c r="V1597" s="125">
        <v>-6.5999999999999995E-6</v>
      </c>
      <c r="W1597" s="142">
        <v>0</v>
      </c>
      <c r="X1597" s="142">
        <v>0.56578713999999997</v>
      </c>
      <c r="Y1597" s="142">
        <v>75749046.62347725</v>
      </c>
      <c r="Z1597" s="142">
        <v>392.07176199813364</v>
      </c>
    </row>
    <row r="1598" spans="1:26" s="141" customFormat="1">
      <c r="A1598" s="121">
        <v>45314</v>
      </c>
      <c r="B1598" s="125">
        <v>170739918.43251517</v>
      </c>
      <c r="C1598" s="125">
        <v>63221010.445297688</v>
      </c>
      <c r="D1598" s="125">
        <v>66592726.71805606</v>
      </c>
      <c r="E1598" s="125">
        <v>77499738.53912437</v>
      </c>
      <c r="F1598" s="123">
        <v>207313475.70247811</v>
      </c>
      <c r="G1598" s="125">
        <v>-995000</v>
      </c>
      <c r="H1598" s="125">
        <v>1839.4207328582936</v>
      </c>
      <c r="I1598" s="125">
        <v>976.49155905602561</v>
      </c>
      <c r="J1598" s="125">
        <v>740.95838733298854</v>
      </c>
      <c r="K1598" s="125">
        <v>690.71075331705379</v>
      </c>
      <c r="L1598" s="164">
        <v>2408.160699706068</v>
      </c>
      <c r="M1598" s="125">
        <v>0</v>
      </c>
      <c r="N1598" s="115">
        <v>15630</v>
      </c>
      <c r="O1598" s="139">
        <v>3306.8900000000003</v>
      </c>
      <c r="P1598" s="125">
        <v>-10074953.590150001</v>
      </c>
      <c r="Q1598" s="125">
        <v>0</v>
      </c>
      <c r="R1598" s="114"/>
      <c r="S1598" s="125">
        <v>-2026.4320033800002</v>
      </c>
      <c r="T1598" s="125">
        <v>0</v>
      </c>
      <c r="U1598" s="125">
        <v>3447419.6494201296</v>
      </c>
      <c r="V1598" s="125">
        <v>-6.55E-6</v>
      </c>
      <c r="W1598" s="142">
        <v>100000</v>
      </c>
      <c r="X1598" s="142">
        <v>0.56578714000000008</v>
      </c>
      <c r="Y1598" s="142">
        <v>75640782.930096895</v>
      </c>
      <c r="Z1598" s="142">
        <v>392.72776337617012</v>
      </c>
    </row>
    <row r="1599" spans="1:26" s="141" customFormat="1">
      <c r="A1599" s="121">
        <v>45315</v>
      </c>
      <c r="B1599" s="125">
        <v>170581841.95372191</v>
      </c>
      <c r="C1599" s="125">
        <v>62700447.473063447</v>
      </c>
      <c r="D1599" s="125">
        <v>66836506.037847564</v>
      </c>
      <c r="E1599" s="125">
        <v>77802928.413876027</v>
      </c>
      <c r="F1599" s="123">
        <v>207339881.92478704</v>
      </c>
      <c r="G1599" s="125">
        <v>-875000</v>
      </c>
      <c r="H1599" s="125">
        <v>1849.6456375637024</v>
      </c>
      <c r="I1599" s="125">
        <v>955.74718154684456</v>
      </c>
      <c r="J1599" s="125">
        <v>740.15077848769943</v>
      </c>
      <c r="K1599" s="125">
        <v>679.23198937756831</v>
      </c>
      <c r="L1599" s="164">
        <v>2375.1299494121122</v>
      </c>
      <c r="M1599" s="125">
        <v>0</v>
      </c>
      <c r="N1599" s="115">
        <v>15710</v>
      </c>
      <c r="O1599" s="139">
        <v>3318.55</v>
      </c>
      <c r="P1599" s="125">
        <v>-11041277.775149999</v>
      </c>
      <c r="Q1599" s="125">
        <v>0</v>
      </c>
      <c r="R1599" s="114"/>
      <c r="S1599" s="125">
        <v>-2026.4320033800002</v>
      </c>
      <c r="T1599" s="125">
        <v>0</v>
      </c>
      <c r="U1599" s="125">
        <v>3447407.1176173496</v>
      </c>
      <c r="V1599" s="125">
        <v>-7.3499999999999999E-6</v>
      </c>
      <c r="W1599" s="142">
        <v>0</v>
      </c>
      <c r="X1599" s="142">
        <v>0.56578713999999997</v>
      </c>
      <c r="Y1599" s="142">
        <v>75264674.21806936</v>
      </c>
      <c r="Z1599" s="142">
        <v>391.43449162066975</v>
      </c>
    </row>
    <row r="1600" spans="1:26" s="141" customFormat="1">
      <c r="A1600" s="121">
        <v>45316</v>
      </c>
      <c r="B1600" s="125">
        <v>170902504.25438985</v>
      </c>
      <c r="C1600" s="125">
        <v>61013436.484378204</v>
      </c>
      <c r="D1600" s="125">
        <v>67619509.97961247</v>
      </c>
      <c r="E1600" s="125">
        <v>75021238.752794474</v>
      </c>
      <c r="F1600" s="123">
        <v>203654185.21678513</v>
      </c>
      <c r="G1600" s="125">
        <v>-800000</v>
      </c>
      <c r="H1600" s="125">
        <v>1864.3804227351682</v>
      </c>
      <c r="I1600" s="125">
        <v>969.30410802267602</v>
      </c>
      <c r="J1600" s="125">
        <v>734.98839353561959</v>
      </c>
      <c r="K1600" s="125">
        <v>670.17793086482709</v>
      </c>
      <c r="L1600" s="164">
        <v>2374.4704324231225</v>
      </c>
      <c r="M1600" s="125">
        <v>0</v>
      </c>
      <c r="N1600" s="115">
        <v>15825</v>
      </c>
      <c r="O1600" s="139">
        <v>3344.6050000000005</v>
      </c>
      <c r="P1600" s="125">
        <v>-9137550.5776499994</v>
      </c>
      <c r="Q1600" s="125">
        <v>0</v>
      </c>
      <c r="R1600" s="114"/>
      <c r="S1600" s="125">
        <v>-2026.4320033800002</v>
      </c>
      <c r="T1600" s="125">
        <v>0</v>
      </c>
      <c r="U1600" s="125">
        <v>3447396.0625294698</v>
      </c>
      <c r="V1600" s="125">
        <v>-8.4999999999999999E-6</v>
      </c>
      <c r="W1600" s="142">
        <v>0</v>
      </c>
      <c r="X1600" s="142">
        <v>0.56578714000000008</v>
      </c>
      <c r="Y1600" s="142">
        <v>75986146.81867528</v>
      </c>
      <c r="Z1600" s="142">
        <v>390.28563750357529</v>
      </c>
    </row>
    <row r="1601" spans="1:26" s="141" customFormat="1">
      <c r="A1601" s="121">
        <v>45317</v>
      </c>
      <c r="B1601" s="125">
        <v>170831607.17520314</v>
      </c>
      <c r="C1601" s="125">
        <v>60800849.293678135</v>
      </c>
      <c r="D1601" s="125">
        <v>66861968.117099658</v>
      </c>
      <c r="E1601" s="125">
        <v>75287184.26100421</v>
      </c>
      <c r="F1601" s="123">
        <v>202950001.67178202</v>
      </c>
      <c r="G1601" s="125">
        <v>-700000</v>
      </c>
      <c r="H1601" s="125">
        <v>1852.6602119857091</v>
      </c>
      <c r="I1601" s="125">
        <v>982.67741397692748</v>
      </c>
      <c r="J1601" s="125">
        <v>735.44079648504544</v>
      </c>
      <c r="K1601" s="125">
        <v>721.23715229435447</v>
      </c>
      <c r="L1601" s="164">
        <v>2439.3553627563274</v>
      </c>
      <c r="M1601" s="125">
        <v>0</v>
      </c>
      <c r="N1601" s="115">
        <v>15820</v>
      </c>
      <c r="O1601" s="139">
        <v>3346.7350000000001</v>
      </c>
      <c r="P1601" s="125">
        <v>-9126278.1816499997</v>
      </c>
      <c r="Q1601" s="125">
        <v>0</v>
      </c>
      <c r="R1601" s="114"/>
      <c r="S1601" s="125">
        <v>-2026.4320033800002</v>
      </c>
      <c r="T1601" s="125">
        <v>0</v>
      </c>
      <c r="U1601" s="125">
        <v>3256736.7729925099</v>
      </c>
      <c r="V1601" s="125">
        <v>-8.4499999999999987E-6</v>
      </c>
      <c r="W1601" s="142">
        <v>0</v>
      </c>
      <c r="X1601" s="142">
        <v>5.5657871399999994</v>
      </c>
      <c r="Y1601" s="142">
        <v>75894431.31542398</v>
      </c>
      <c r="Z1601" s="142">
        <v>390.77616237697356</v>
      </c>
    </row>
    <row r="1602" spans="1:26" s="141" customFormat="1">
      <c r="A1602" s="121">
        <v>45320</v>
      </c>
      <c r="B1602" s="125">
        <v>171118933.0907408</v>
      </c>
      <c r="C1602" s="125">
        <v>62660008.230937198</v>
      </c>
      <c r="D1602" s="125">
        <v>68004783.341865718</v>
      </c>
      <c r="E1602" s="125">
        <v>74096490.15782699</v>
      </c>
      <c r="F1602" s="123">
        <v>204761281.73062992</v>
      </c>
      <c r="G1602" s="125">
        <v>-550000</v>
      </c>
      <c r="H1602" s="125">
        <v>1792.927993043249</v>
      </c>
      <c r="I1602" s="125">
        <v>985.94130547481871</v>
      </c>
      <c r="J1602" s="125">
        <v>741.7556064804096</v>
      </c>
      <c r="K1602" s="125">
        <v>706.209174781657</v>
      </c>
      <c r="L1602" s="164">
        <v>2433.9060867368853</v>
      </c>
      <c r="M1602" s="125">
        <v>0</v>
      </c>
      <c r="N1602" s="115">
        <v>15810</v>
      </c>
      <c r="O1602" s="139">
        <v>3338.9650000000001</v>
      </c>
      <c r="P1602" s="125">
        <v>-7942381.4176500002</v>
      </c>
      <c r="Q1602" s="125">
        <v>0</v>
      </c>
      <c r="R1602" s="114"/>
      <c r="S1602" s="125">
        <v>-2026.4320033800002</v>
      </c>
      <c r="T1602" s="125">
        <v>0</v>
      </c>
      <c r="U1602" s="125">
        <v>3256536.1692532999</v>
      </c>
      <c r="V1602" s="125">
        <v>-8.3499999999999997E-6</v>
      </c>
      <c r="W1602" s="142">
        <v>0</v>
      </c>
      <c r="X1602" s="142">
        <v>5.5657871400000003</v>
      </c>
      <c r="Y1602" s="142">
        <v>76412163.881583214</v>
      </c>
      <c r="Z1602" s="142">
        <v>393.35457500247367</v>
      </c>
    </row>
    <row r="1603" spans="1:26" s="141" customFormat="1">
      <c r="A1603" s="121">
        <v>45321</v>
      </c>
      <c r="B1603" s="125">
        <v>171972381.20725787</v>
      </c>
      <c r="C1603" s="125">
        <v>61053957.595002957</v>
      </c>
      <c r="D1603" s="125">
        <v>67747009.238204449</v>
      </c>
      <c r="E1603" s="125">
        <v>75309093.871824279</v>
      </c>
      <c r="F1603" s="123">
        <v>204110060.70503169</v>
      </c>
      <c r="G1603" s="125">
        <v>0</v>
      </c>
      <c r="H1603" s="125">
        <v>1782.5843464792085</v>
      </c>
      <c r="I1603" s="125">
        <v>1012.0386122795759</v>
      </c>
      <c r="J1603" s="125">
        <v>744.49183127379547</v>
      </c>
      <c r="K1603" s="125">
        <v>697.40044634417427</v>
      </c>
      <c r="L1603" s="164">
        <v>2453.9308898975455</v>
      </c>
      <c r="M1603" s="125">
        <v>0</v>
      </c>
      <c r="N1603" s="115">
        <v>15780</v>
      </c>
      <c r="O1603" s="139">
        <v>3337.92</v>
      </c>
      <c r="P1603" s="125">
        <v>-7757795.4744999995</v>
      </c>
      <c r="Q1603" s="125">
        <v>0</v>
      </c>
      <c r="R1603" s="114"/>
      <c r="S1603" s="125">
        <v>-2026.4320033800002</v>
      </c>
      <c r="T1603" s="125">
        <v>0</v>
      </c>
      <c r="U1603" s="125">
        <v>3256221.32229712</v>
      </c>
      <c r="V1603" s="125">
        <v>-8.0500000000000009E-6</v>
      </c>
      <c r="W1603" s="142">
        <v>0</v>
      </c>
      <c r="X1603" s="142">
        <v>5.5657871400000003</v>
      </c>
      <c r="Y1603" s="142">
        <v>76019922.595908806</v>
      </c>
      <c r="Z1603" s="142">
        <v>392.4799445970209</v>
      </c>
    </row>
    <row r="1604" spans="1:26" s="141" customFormat="1">
      <c r="A1604" s="121">
        <v>45322</v>
      </c>
      <c r="B1604" s="136">
        <v>173055283.71783099</v>
      </c>
      <c r="C1604" s="136">
        <v>59273211.285626002</v>
      </c>
      <c r="D1604" s="136">
        <v>68191228.749997005</v>
      </c>
      <c r="E1604" s="136">
        <v>74159661.469661996</v>
      </c>
      <c r="F1604" s="137">
        <v>201624101.50528502</v>
      </c>
      <c r="G1604" s="125">
        <v>0</v>
      </c>
      <c r="H1604" s="136">
        <v>1782.07055235545</v>
      </c>
      <c r="I1604" s="136">
        <v>1043.1656054741445</v>
      </c>
      <c r="J1604" s="136">
        <v>746.376121470469</v>
      </c>
      <c r="K1604" s="136">
        <v>697.81928638086185</v>
      </c>
      <c r="L1604" s="165">
        <v>2487.3610133254751</v>
      </c>
      <c r="M1604" s="136">
        <v>0</v>
      </c>
      <c r="N1604" s="115">
        <v>15780</v>
      </c>
      <c r="O1604" s="139">
        <v>3336.51</v>
      </c>
      <c r="P1604" s="125">
        <v>-8651160.7540000007</v>
      </c>
      <c r="Q1604" s="125">
        <v>0</v>
      </c>
      <c r="R1604" s="114"/>
      <c r="S1604" s="125">
        <v>-2026.4320033800002</v>
      </c>
      <c r="T1604" s="125">
        <v>0</v>
      </c>
      <c r="U1604" s="125">
        <v>3256210.11697528</v>
      </c>
      <c r="V1604" s="125">
        <v>-8.0500000000000009E-6</v>
      </c>
      <c r="W1604" s="142">
        <v>0</v>
      </c>
      <c r="X1604" s="142">
        <v>15.565787139999999</v>
      </c>
      <c r="Y1604" s="142">
        <v>75560110.721200675</v>
      </c>
      <c r="Z1604" s="142">
        <v>390.1261794095945</v>
      </c>
    </row>
    <row r="1605" spans="1:26" s="141" customFormat="1">
      <c r="A1605" s="121">
        <v>45323</v>
      </c>
      <c r="B1605" s="125">
        <v>171225911.49210155</v>
      </c>
      <c r="C1605" s="125">
        <v>58217912.018158764</v>
      </c>
      <c r="D1605" s="125">
        <v>67585035.184536502</v>
      </c>
      <c r="E1605" s="125">
        <v>75516094.738714397</v>
      </c>
      <c r="F1605" s="123">
        <v>201319041.94140965</v>
      </c>
      <c r="G1605" s="125">
        <v>-1770000</v>
      </c>
      <c r="H1605" s="125">
        <v>1771.1237777374959</v>
      </c>
      <c r="I1605" s="125">
        <v>1047.4660842939275</v>
      </c>
      <c r="J1605" s="125">
        <v>745.31466987737383</v>
      </c>
      <c r="K1605" s="125">
        <v>706.52354814495925</v>
      </c>
      <c r="L1605" s="164">
        <v>2499.3043023162609</v>
      </c>
      <c r="M1605" s="125">
        <v>0</v>
      </c>
      <c r="N1605" s="115">
        <v>15764.5</v>
      </c>
      <c r="O1605" s="139">
        <v>3332.875</v>
      </c>
      <c r="P1605" s="125">
        <v>-8411572.7365000006</v>
      </c>
      <c r="Q1605" s="125">
        <v>0</v>
      </c>
      <c r="R1605" s="114"/>
      <c r="S1605" s="125">
        <v>-3.3799999999999998E-6</v>
      </c>
      <c r="T1605" s="125">
        <v>0</v>
      </c>
      <c r="U1605" s="125">
        <v>3256374.7305054301</v>
      </c>
      <c r="V1605" s="125">
        <v>-7.889999999999999E-6</v>
      </c>
      <c r="W1605" s="142">
        <v>0</v>
      </c>
      <c r="X1605" s="142">
        <v>5.5657871400000003</v>
      </c>
      <c r="Y1605" s="142">
        <v>77542795.753161356</v>
      </c>
      <c r="Z1605" s="142">
        <v>393.36674477140218</v>
      </c>
    </row>
    <row r="1606" spans="1:26" s="141" customFormat="1">
      <c r="A1606" s="121">
        <v>45324</v>
      </c>
      <c r="B1606" s="125">
        <v>170513531.40485728</v>
      </c>
      <c r="C1606" s="125">
        <v>58285158.831654117</v>
      </c>
      <c r="D1606" s="125">
        <v>67533850.898084357</v>
      </c>
      <c r="E1606" s="125">
        <v>75662932.17807968</v>
      </c>
      <c r="F1606" s="123">
        <v>201481941.90781814</v>
      </c>
      <c r="G1606" s="125">
        <v>-1580000</v>
      </c>
      <c r="H1606" s="125">
        <v>1768.1888580628383</v>
      </c>
      <c r="I1606" s="125">
        <v>1039.5036212753914</v>
      </c>
      <c r="J1606" s="125">
        <v>745.65421350092424</v>
      </c>
      <c r="K1606" s="125">
        <v>715.78002850387327</v>
      </c>
      <c r="L1606" s="164">
        <v>2500.937863280189</v>
      </c>
      <c r="M1606" s="125">
        <v>0</v>
      </c>
      <c r="N1606" s="115">
        <v>15657.5</v>
      </c>
      <c r="O1606" s="139">
        <v>3314.46</v>
      </c>
      <c r="P1606" s="125">
        <v>-11308342.011</v>
      </c>
      <c r="Q1606" s="125">
        <v>0</v>
      </c>
      <c r="R1606" s="114"/>
      <c r="S1606" s="125">
        <v>-3.3799999999999998E-6</v>
      </c>
      <c r="T1606" s="125">
        <v>0</v>
      </c>
      <c r="U1606" s="125">
        <v>3256527.9588925499</v>
      </c>
      <c r="V1606" s="125">
        <v>-6.8199999999999999E-6</v>
      </c>
      <c r="W1606" s="142">
        <v>0</v>
      </c>
      <c r="X1606" s="142">
        <v>0.56578713999999997</v>
      </c>
      <c r="Y1606" s="142">
        <v>77144157.08207944</v>
      </c>
      <c r="Z1606" s="142">
        <v>399.87069769306203</v>
      </c>
    </row>
    <row r="1607" spans="1:26" s="141" customFormat="1">
      <c r="A1607" s="121">
        <v>45327</v>
      </c>
      <c r="B1607" s="125">
        <v>169829372.19712847</v>
      </c>
      <c r="C1607" s="125">
        <v>59158822.444995448</v>
      </c>
      <c r="D1607" s="125">
        <v>65620339.496804014</v>
      </c>
      <c r="E1607" s="125">
        <v>74005255.500684381</v>
      </c>
      <c r="F1607" s="123">
        <v>198784417.44248384</v>
      </c>
      <c r="G1607" s="125">
        <v>-1990000</v>
      </c>
      <c r="H1607" s="125">
        <v>1784.6338237332031</v>
      </c>
      <c r="I1607" s="125">
        <v>1048.7899495081595</v>
      </c>
      <c r="J1607" s="125">
        <v>750.11708319732486</v>
      </c>
      <c r="K1607" s="125">
        <v>703.99033281397965</v>
      </c>
      <c r="L1607" s="164">
        <v>2502.8973655194641</v>
      </c>
      <c r="M1607" s="125">
        <v>0</v>
      </c>
      <c r="N1607" s="115">
        <v>15705</v>
      </c>
      <c r="O1607" s="139">
        <v>3304.9250000000002</v>
      </c>
      <c r="P1607" s="125">
        <v>-11602308.011</v>
      </c>
      <c r="Q1607" s="125">
        <v>0</v>
      </c>
      <c r="R1607" s="114"/>
      <c r="S1607" s="125">
        <v>-3.3799999999999998E-6</v>
      </c>
      <c r="T1607" s="125">
        <v>0</v>
      </c>
      <c r="U1607" s="125">
        <v>3256327.8023027601</v>
      </c>
      <c r="V1607" s="125">
        <v>-7.2899999999999997E-6</v>
      </c>
      <c r="W1607" s="142">
        <v>0</v>
      </c>
      <c r="X1607" s="142">
        <v>5.5657871400000003</v>
      </c>
      <c r="Y1607" s="142">
        <v>78402749.101313502</v>
      </c>
      <c r="Z1607" s="142">
        <v>399.12448882700733</v>
      </c>
    </row>
    <row r="1608" spans="1:26" s="141" customFormat="1">
      <c r="A1608" s="121">
        <v>45328</v>
      </c>
      <c r="B1608" s="125">
        <v>169781623.87475246</v>
      </c>
      <c r="C1608" s="125">
        <v>58972667.44584395</v>
      </c>
      <c r="D1608" s="125">
        <v>66045743.783356696</v>
      </c>
      <c r="E1608" s="125">
        <v>74638371.163562283</v>
      </c>
      <c r="F1608" s="123">
        <v>199656782.39276293</v>
      </c>
      <c r="G1608" s="125">
        <v>-1410000</v>
      </c>
      <c r="H1608" s="125">
        <v>1828.0015434939035</v>
      </c>
      <c r="I1608" s="125">
        <v>1083.0915104377868</v>
      </c>
      <c r="J1608" s="125">
        <v>751.95807836212964</v>
      </c>
      <c r="K1608" s="125">
        <v>704.60893450052333</v>
      </c>
      <c r="L1608" s="164">
        <v>2539.6585233004398</v>
      </c>
      <c r="M1608" s="125">
        <v>0</v>
      </c>
      <c r="N1608" s="115">
        <v>15730</v>
      </c>
      <c r="O1608" s="139">
        <v>3304.625</v>
      </c>
      <c r="P1608" s="125">
        <v>-11602308.011</v>
      </c>
      <c r="Q1608" s="125">
        <v>0</v>
      </c>
      <c r="R1608" s="114"/>
      <c r="S1608" s="125">
        <v>-3.3799999999999998E-6</v>
      </c>
      <c r="T1608" s="125">
        <v>0</v>
      </c>
      <c r="U1608" s="125">
        <v>3256362.9434358799</v>
      </c>
      <c r="V1608" s="125">
        <v>-7.5399999999999998E-6</v>
      </c>
      <c r="W1608" s="142">
        <v>0</v>
      </c>
      <c r="X1608" s="142">
        <v>8.5657871400000012</v>
      </c>
      <c r="Y1608" s="142">
        <v>78902018.216416493</v>
      </c>
      <c r="Z1608" s="142">
        <v>394.50632338099354</v>
      </c>
    </row>
    <row r="1609" spans="1:26" s="141" customFormat="1">
      <c r="A1609" s="121">
        <v>45329</v>
      </c>
      <c r="B1609" s="125">
        <v>169603801.117571</v>
      </c>
      <c r="C1609" s="125">
        <v>61347640.444422998</v>
      </c>
      <c r="D1609" s="125">
        <v>66634883.178819999</v>
      </c>
      <c r="E1609" s="125">
        <v>77253242.484268993</v>
      </c>
      <c r="F1609" s="123">
        <v>205235766.107512</v>
      </c>
      <c r="G1609" s="125">
        <v>-2480000</v>
      </c>
      <c r="H1609" s="125">
        <v>1878.3522890541094</v>
      </c>
      <c r="I1609" s="125">
        <v>1136.7118864321073</v>
      </c>
      <c r="J1609" s="125">
        <v>749.93506288321078</v>
      </c>
      <c r="K1609" s="125">
        <v>712.38889633648864</v>
      </c>
      <c r="L1609" s="164">
        <v>2599.035845651807</v>
      </c>
      <c r="M1609" s="125">
        <v>0</v>
      </c>
      <c r="N1609" s="115">
        <v>15635</v>
      </c>
      <c r="O1609" s="139">
        <v>3282.25</v>
      </c>
      <c r="P1609" s="125">
        <v>-15418481.992002999</v>
      </c>
      <c r="Q1609" s="125">
        <v>0</v>
      </c>
      <c r="R1609" s="114"/>
      <c r="S1609" s="125">
        <v>0</v>
      </c>
      <c r="T1609" s="125">
        <v>0</v>
      </c>
      <c r="U1609" s="125">
        <v>3266306.1589629999</v>
      </c>
      <c r="V1609" s="125">
        <v>6.9999999999999999E-6</v>
      </c>
      <c r="W1609" s="142">
        <v>0</v>
      </c>
      <c r="X1609" s="142">
        <v>5.5657871400000003</v>
      </c>
      <c r="Y1609" s="142">
        <v>79253921.279464006</v>
      </c>
      <c r="Z1609" s="142">
        <v>386.25774473437798</v>
      </c>
    </row>
    <row r="1610" spans="1:26" s="141" customFormat="1">
      <c r="A1610" s="121">
        <v>45334</v>
      </c>
      <c r="B1610" s="125">
        <v>169762400.08599699</v>
      </c>
      <c r="C1610" s="125">
        <v>59627508.196889997</v>
      </c>
      <c r="D1610" s="125">
        <v>66213945.265485004</v>
      </c>
      <c r="E1610" s="125">
        <v>77978268.682653993</v>
      </c>
      <c r="F1610" s="123">
        <v>203819722.14502901</v>
      </c>
      <c r="G1610" s="125">
        <v>-1685000</v>
      </c>
      <c r="H1610" s="125">
        <v>1853.2088869178235</v>
      </c>
      <c r="I1610" s="125">
        <v>1092.9136235781846</v>
      </c>
      <c r="J1610" s="125">
        <v>756.75623671448272</v>
      </c>
      <c r="K1610" s="125">
        <v>704.13169957279808</v>
      </c>
      <c r="L1610" s="164">
        <v>2553.8015598654652</v>
      </c>
      <c r="M1610" s="125">
        <v>0</v>
      </c>
      <c r="N1610" s="115">
        <v>15594.5</v>
      </c>
      <c r="O1610" s="139">
        <v>3272.7200000000003</v>
      </c>
      <c r="P1610" s="125">
        <v>-15291324.584503001</v>
      </c>
      <c r="Q1610" s="125">
        <v>0</v>
      </c>
      <c r="R1610" s="114"/>
      <c r="S1610" s="125">
        <v>0</v>
      </c>
      <c r="T1610" s="125">
        <v>0</v>
      </c>
      <c r="U1610" s="125">
        <v>3256268.8301650002</v>
      </c>
      <c r="V1610" s="125">
        <v>6.0000000000000002E-6</v>
      </c>
      <c r="W1610" s="142">
        <v>0</v>
      </c>
      <c r="X1610" s="142">
        <v>5.5657871399999994</v>
      </c>
      <c r="Y1610" s="142">
        <v>79854824.814712003</v>
      </c>
      <c r="Z1610" s="142">
        <v>392.78098065157587</v>
      </c>
    </row>
    <row r="1611" spans="1:26" s="141" customFormat="1">
      <c r="A1611" s="121">
        <v>45335</v>
      </c>
      <c r="B1611" s="125">
        <v>169976465.139422</v>
      </c>
      <c r="C1611" s="125">
        <v>59081418.247543</v>
      </c>
      <c r="D1611" s="125">
        <v>66637286.992377996</v>
      </c>
      <c r="E1611" s="125">
        <v>77688708.930787995</v>
      </c>
      <c r="F1611" s="123">
        <v>203407414.17070901</v>
      </c>
      <c r="G1611" s="125">
        <v>-3560000</v>
      </c>
      <c r="H1611" s="125">
        <v>1851.0839442611177</v>
      </c>
      <c r="I1611" s="125">
        <v>1072.6000926783161</v>
      </c>
      <c r="J1611" s="125">
        <v>756.45327109936193</v>
      </c>
      <c r="K1611" s="125">
        <v>704.12012585052423</v>
      </c>
      <c r="L1611" s="164">
        <v>2533.1734896282023</v>
      </c>
      <c r="M1611" s="125">
        <v>0</v>
      </c>
      <c r="N1611" s="115">
        <v>15594.5</v>
      </c>
      <c r="O1611" s="139">
        <v>3271.3450000000003</v>
      </c>
      <c r="P1611" s="125">
        <v>-14944302.130503001</v>
      </c>
      <c r="Q1611" s="125">
        <v>0</v>
      </c>
      <c r="R1611" s="114"/>
      <c r="S1611" s="125">
        <v>0</v>
      </c>
      <c r="T1611" s="125">
        <v>0</v>
      </c>
      <c r="U1611" s="125">
        <v>3256346.4182830001</v>
      </c>
      <c r="V1611" s="125">
        <v>6.0000000000000002E-6</v>
      </c>
      <c r="W1611" s="142">
        <v>0</v>
      </c>
      <c r="X1611" s="142">
        <v>5.5657871399999994</v>
      </c>
      <c r="Y1611" s="142">
        <v>80071399.056390002</v>
      </c>
      <c r="Z1611" s="142">
        <v>389.69070381384461</v>
      </c>
    </row>
    <row r="1612" spans="1:26" s="2227" customFormat="1">
      <c r="A1612" s="2222">
        <v>45336</v>
      </c>
      <c r="B1612" s="2223">
        <v>169976465.139422</v>
      </c>
      <c r="C1612" s="2223">
        <v>59081418.247543</v>
      </c>
      <c r="D1612" s="2223">
        <v>66637286.992377996</v>
      </c>
      <c r="E1612" s="2223">
        <v>77688708.930787995</v>
      </c>
      <c r="F1612" s="162">
        <v>203407414.17070901</v>
      </c>
      <c r="G1612" s="2223">
        <v>-3560000</v>
      </c>
      <c r="H1612" s="2223">
        <v>1851.0839442611177</v>
      </c>
      <c r="I1612" s="2223">
        <v>1072.6000926783161</v>
      </c>
      <c r="J1612" s="2223">
        <v>756.45327109936193</v>
      </c>
      <c r="K1612" s="2223">
        <v>704.12012585052423</v>
      </c>
      <c r="L1612" s="2403">
        <v>2533.1734896282023</v>
      </c>
      <c r="M1612" s="2223">
        <v>0</v>
      </c>
      <c r="N1612" s="2224">
        <v>15594.5</v>
      </c>
      <c r="O1612" s="2225">
        <v>3271.3450000000003</v>
      </c>
      <c r="P1612" s="2223">
        <v>-14944302.130503001</v>
      </c>
      <c r="Q1612" s="2223">
        <v>0</v>
      </c>
      <c r="R1612" s="163"/>
      <c r="S1612" s="2223">
        <v>0</v>
      </c>
      <c r="T1612" s="2223">
        <v>0</v>
      </c>
      <c r="U1612" s="2223">
        <v>3256346.4182830001</v>
      </c>
      <c r="V1612" s="2223">
        <v>6.0000000000000002E-6</v>
      </c>
      <c r="W1612" s="2226">
        <v>0</v>
      </c>
      <c r="X1612" s="2226">
        <v>5.5657871399999994</v>
      </c>
      <c r="Y1612" s="2226">
        <v>80071399.056390002</v>
      </c>
      <c r="Z1612" s="2226">
        <v>389.69070381384461</v>
      </c>
    </row>
    <row r="1613" spans="1:26" s="141" customFormat="1">
      <c r="A1613" s="121">
        <v>45337</v>
      </c>
      <c r="B1613" s="125">
        <v>169946944.31677601</v>
      </c>
      <c r="C1613" s="125">
        <v>61756349.876483001</v>
      </c>
      <c r="D1613" s="125">
        <v>66898491.884869002</v>
      </c>
      <c r="E1613" s="125">
        <v>76848182.901087999</v>
      </c>
      <c r="F1613" s="123">
        <v>205503024.66244</v>
      </c>
      <c r="G1613" s="125">
        <v>-2685000</v>
      </c>
      <c r="H1613" s="125">
        <v>1863.5756753828425</v>
      </c>
      <c r="I1613" s="125">
        <v>1068.2602590238157</v>
      </c>
      <c r="J1613" s="125">
        <v>756.14513013994883</v>
      </c>
      <c r="K1613" s="125">
        <v>699.30526281152368</v>
      </c>
      <c r="L1613" s="164">
        <v>2523.7106519752883</v>
      </c>
      <c r="M1613" s="125">
        <v>0</v>
      </c>
      <c r="N1613" s="115">
        <v>15620</v>
      </c>
      <c r="O1613" s="139">
        <v>3267.4450000000002</v>
      </c>
      <c r="P1613" s="125">
        <v>-9790731.5585030001</v>
      </c>
      <c r="Q1613" s="125">
        <v>0</v>
      </c>
      <c r="S1613" s="125">
        <v>0</v>
      </c>
      <c r="T1613" s="125">
        <v>0</v>
      </c>
      <c r="U1613" s="125">
        <v>3256080.7537130001</v>
      </c>
      <c r="V1613" s="125">
        <v>6.0000000000000002E-6</v>
      </c>
      <c r="W1613" s="142">
        <v>0</v>
      </c>
      <c r="X1613" s="142">
        <v>0.56578713999999997</v>
      </c>
      <c r="Y1613" s="142">
        <v>79841900.564906001</v>
      </c>
      <c r="Z1613" s="142">
        <v>385.60841085588987</v>
      </c>
    </row>
    <row r="1614" spans="1:26" s="141" customFormat="1">
      <c r="A1614" s="121">
        <v>45338</v>
      </c>
      <c r="B1614" s="125">
        <v>169694630.15470701</v>
      </c>
      <c r="C1614" s="125">
        <v>58931170.779316999</v>
      </c>
      <c r="D1614" s="125">
        <v>66729973.539350003</v>
      </c>
      <c r="E1614" s="125">
        <v>77469728.990183994</v>
      </c>
      <c r="F1614" s="123">
        <v>203130873.308851</v>
      </c>
      <c r="G1614" s="125">
        <v>-2985000</v>
      </c>
      <c r="H1614" s="125">
        <v>1862.3790027885402</v>
      </c>
      <c r="I1614" s="125">
        <v>1063.5294665916133</v>
      </c>
      <c r="J1614" s="125">
        <v>756.6613853540332</v>
      </c>
      <c r="K1614" s="125">
        <v>702.05163149622274</v>
      </c>
      <c r="L1614" s="164">
        <v>2522.2424834418694</v>
      </c>
      <c r="M1614" s="125">
        <v>0</v>
      </c>
      <c r="N1614" s="115">
        <v>15620</v>
      </c>
      <c r="O1614" s="139">
        <v>3270.1800000000003</v>
      </c>
      <c r="P1614" s="125">
        <v>-12772575.594002999</v>
      </c>
      <c r="Q1614" s="125">
        <v>0</v>
      </c>
      <c r="S1614" s="125">
        <v>0</v>
      </c>
      <c r="T1614" s="125">
        <v>0</v>
      </c>
      <c r="U1614" s="125">
        <v>3256236.0914409999</v>
      </c>
      <c r="V1614" s="125">
        <v>6.0000000000000002E-6</v>
      </c>
      <c r="W1614" s="142">
        <v>0</v>
      </c>
      <c r="X1614" s="142">
        <v>15.565787139999999</v>
      </c>
      <c r="Y1614" s="142">
        <v>79529948.228694007</v>
      </c>
      <c r="Z1614" s="142">
        <v>385.95798049276567</v>
      </c>
    </row>
    <row r="1615" spans="1:26" s="141" customFormat="1">
      <c r="A1615" s="121">
        <v>45341</v>
      </c>
      <c r="B1615" s="125">
        <v>169273350.030159</v>
      </c>
      <c r="C1615" s="125">
        <v>60422441.211421996</v>
      </c>
      <c r="D1615" s="125">
        <v>66474841.490530998</v>
      </c>
      <c r="E1615" s="125">
        <v>76493913.493888006</v>
      </c>
      <c r="F1615" s="123">
        <v>203391196.19584101</v>
      </c>
      <c r="G1615" s="125">
        <v>-2935000</v>
      </c>
      <c r="H1615" s="125">
        <v>1862.4049933111964</v>
      </c>
      <c r="I1615" s="125">
        <v>1036.2935568445937</v>
      </c>
      <c r="J1615" s="125">
        <v>758.52594918758803</v>
      </c>
      <c r="K1615" s="125">
        <v>701.8824915603326</v>
      </c>
      <c r="L1615" s="164">
        <v>2496.7019975925145</v>
      </c>
      <c r="M1615" s="125">
        <v>0</v>
      </c>
      <c r="N1615" s="115">
        <v>15630</v>
      </c>
      <c r="O1615" s="139">
        <v>3267.8249999999998</v>
      </c>
      <c r="P1615" s="125">
        <v>-13044717.000003001</v>
      </c>
      <c r="Q1615" s="125">
        <v>0</v>
      </c>
      <c r="S1615" s="125">
        <v>0</v>
      </c>
      <c r="T1615" s="125">
        <v>0</v>
      </c>
      <c r="U1615" s="125">
        <v>3255884.972393</v>
      </c>
      <c r="V1615" s="125">
        <v>6.9999999999999999E-6</v>
      </c>
      <c r="W1615" s="142">
        <v>0</v>
      </c>
      <c r="X1615" s="142">
        <v>15.565787140000001</v>
      </c>
      <c r="Y1615" s="142">
        <v>78935259.162235007</v>
      </c>
      <c r="Z1615" s="142">
        <v>385.85550328362126</v>
      </c>
    </row>
    <row r="1616" spans="1:26" s="141" customFormat="1">
      <c r="A1616" s="121">
        <v>45342</v>
      </c>
      <c r="B1616" s="125">
        <v>169299191.96525601</v>
      </c>
      <c r="C1616" s="125">
        <v>60765801.294238001</v>
      </c>
      <c r="D1616" s="125">
        <v>66408683.657497004</v>
      </c>
      <c r="E1616" s="125">
        <v>76540878.157907993</v>
      </c>
      <c r="F1616" s="123">
        <v>203715363.10964298</v>
      </c>
      <c r="G1616" s="125">
        <v>-2265000</v>
      </c>
      <c r="H1616" s="125">
        <v>1863.2543061417623</v>
      </c>
      <c r="I1616" s="125">
        <v>1047.2597046714559</v>
      </c>
      <c r="J1616" s="125">
        <v>762.49318804418908</v>
      </c>
      <c r="K1616" s="125">
        <v>701.35303098901659</v>
      </c>
      <c r="L1616" s="164">
        <v>2511.1059237046616</v>
      </c>
      <c r="M1616" s="125">
        <v>0</v>
      </c>
      <c r="N1616" s="115">
        <v>15660</v>
      </c>
      <c r="O1616" s="139">
        <v>3265.5650000000001</v>
      </c>
      <c r="P1616" s="125">
        <v>-13659211.596003</v>
      </c>
      <c r="Q1616" s="125">
        <v>0</v>
      </c>
      <c r="S1616" s="125">
        <v>0</v>
      </c>
      <c r="T1616" s="125">
        <v>0</v>
      </c>
      <c r="U1616" s="125">
        <v>3256082.3434950002</v>
      </c>
      <c r="V1616" s="125">
        <v>6.9999999999999999E-6</v>
      </c>
      <c r="W1616" s="142">
        <v>0</v>
      </c>
      <c r="X1616" s="142">
        <v>0.56578713999999997</v>
      </c>
      <c r="Y1616" s="142">
        <v>78464839.989334002</v>
      </c>
      <c r="Z1616" s="142">
        <v>388.9453145193487</v>
      </c>
    </row>
    <row r="1617" spans="1:26" s="141" customFormat="1">
      <c r="A1617" s="121">
        <v>45343</v>
      </c>
      <c r="B1617" s="125">
        <v>169244840.56988001</v>
      </c>
      <c r="C1617" s="125">
        <v>60586553.824293002</v>
      </c>
      <c r="D1617" s="125">
        <v>66525732.324239999</v>
      </c>
      <c r="E1617" s="125">
        <v>76566021.821572006</v>
      </c>
      <c r="F1617" s="123">
        <v>203678307.97010499</v>
      </c>
      <c r="G1617" s="125">
        <v>-1565000</v>
      </c>
      <c r="H1617" s="125">
        <v>1881.4109949763993</v>
      </c>
      <c r="I1617" s="125">
        <v>1055.0129145529261</v>
      </c>
      <c r="J1617" s="125">
        <v>769.55671640582023</v>
      </c>
      <c r="K1617" s="125">
        <v>698.74540019354004</v>
      </c>
      <c r="L1617" s="164">
        <v>2523.3150311522863</v>
      </c>
      <c r="M1617" s="125">
        <v>0</v>
      </c>
      <c r="N1617" s="115">
        <v>15635</v>
      </c>
      <c r="O1617" s="139">
        <v>3261.37</v>
      </c>
      <c r="P1617" s="125">
        <v>-15389517.059002999</v>
      </c>
      <c r="Q1617" s="125">
        <v>0</v>
      </c>
      <c r="S1617" s="125">
        <v>0</v>
      </c>
      <c r="T1617" s="125">
        <v>0</v>
      </c>
      <c r="U1617" s="125">
        <v>3256073.8989499998</v>
      </c>
      <c r="V1617" s="125">
        <v>6.9999999999999999E-6</v>
      </c>
      <c r="W1617" s="142">
        <v>0</v>
      </c>
      <c r="X1617" s="142">
        <v>0.56578713999999997</v>
      </c>
      <c r="Y1617" s="142">
        <v>77981378.761124</v>
      </c>
      <c r="Z1617" s="142">
        <v>383.9733705164694</v>
      </c>
    </row>
    <row r="1618" spans="1:26" s="141" customFormat="1">
      <c r="A1618" s="121">
        <v>45344</v>
      </c>
      <c r="B1618" s="125">
        <v>169183576.43473399</v>
      </c>
      <c r="C1618" s="125">
        <v>60636912.532407001</v>
      </c>
      <c r="D1618" s="125">
        <v>66835295.094120003</v>
      </c>
      <c r="E1618" s="125">
        <v>76584348.216939002</v>
      </c>
      <c r="F1618" s="123">
        <v>204056555.84346601</v>
      </c>
      <c r="G1618" s="125">
        <v>-1545000</v>
      </c>
      <c r="H1618" s="125">
        <v>1810.4252235412446</v>
      </c>
      <c r="I1618" s="125">
        <v>1067.0618754487491</v>
      </c>
      <c r="J1618" s="125">
        <v>774.7251547619627</v>
      </c>
      <c r="K1618" s="125">
        <v>719.17285064182158</v>
      </c>
      <c r="L1618" s="164">
        <v>2560.9598808525334</v>
      </c>
      <c r="M1618" s="125">
        <v>0</v>
      </c>
      <c r="N1618" s="115">
        <v>15590</v>
      </c>
      <c r="O1618" s="139">
        <v>3265.2650000000003</v>
      </c>
      <c r="P1618" s="125">
        <v>-16636899.010003</v>
      </c>
      <c r="Q1618" s="125">
        <v>0</v>
      </c>
      <c r="S1618" s="125">
        <v>0</v>
      </c>
      <c r="T1618" s="125">
        <v>0</v>
      </c>
      <c r="U1618" s="125">
        <v>3256067.1385559998</v>
      </c>
      <c r="V1618" s="125">
        <v>6.0000000000000002E-6</v>
      </c>
      <c r="W1618" s="142">
        <v>0</v>
      </c>
      <c r="X1618" s="142">
        <v>5.5657871400000003</v>
      </c>
      <c r="Y1618" s="142">
        <v>77229557.093998998</v>
      </c>
      <c r="Z1618" s="142">
        <v>396.27072039846053</v>
      </c>
    </row>
    <row r="1619" spans="1:26" s="141" customFormat="1">
      <c r="A1619" s="121">
        <v>45345</v>
      </c>
      <c r="B1619" s="125">
        <v>169320587.137137</v>
      </c>
      <c r="C1619" s="125">
        <v>59647033.453943998</v>
      </c>
      <c r="D1619" s="125">
        <v>66948799.136058003</v>
      </c>
      <c r="E1619" s="125">
        <v>76490040.842258006</v>
      </c>
      <c r="F1619" s="123">
        <v>203085873.43226001</v>
      </c>
      <c r="G1619" s="125">
        <v>-1045000</v>
      </c>
      <c r="H1619" s="125">
        <v>1775.7792131885601</v>
      </c>
      <c r="I1619" s="125">
        <v>1040.3386479322839</v>
      </c>
      <c r="J1619" s="125">
        <v>773.339854093751</v>
      </c>
      <c r="K1619" s="125">
        <v>706.03890627926512</v>
      </c>
      <c r="L1619" s="164">
        <v>2519.7174083053001</v>
      </c>
      <c r="M1619" s="125">
        <v>0</v>
      </c>
      <c r="N1619" s="115">
        <v>15594.5</v>
      </c>
      <c r="O1619" s="139">
        <v>3262.45</v>
      </c>
      <c r="P1619" s="125">
        <v>-15035797.307003001</v>
      </c>
      <c r="Q1619" s="125">
        <v>0</v>
      </c>
      <c r="S1619" s="125">
        <v>0</v>
      </c>
      <c r="T1619" s="125">
        <v>0</v>
      </c>
      <c r="U1619" s="125">
        <v>3256220.0213779998</v>
      </c>
      <c r="V1619" s="125">
        <v>6.0000000000000002E-6</v>
      </c>
      <c r="W1619" s="142">
        <v>0</v>
      </c>
      <c r="X1619" s="142">
        <v>5.5657871399999994</v>
      </c>
      <c r="Y1619" s="142">
        <v>77196069.787147</v>
      </c>
      <c r="Z1619" s="142">
        <v>400.16957317304178</v>
      </c>
    </row>
    <row r="1620" spans="1:26" s="141" customFormat="1">
      <c r="A1620" s="121">
        <v>45348</v>
      </c>
      <c r="B1620" s="125">
        <v>169248502.04600599</v>
      </c>
      <c r="C1620" s="125">
        <v>60026133.016773999</v>
      </c>
      <c r="D1620" s="125">
        <v>67096923.289293997</v>
      </c>
      <c r="E1620" s="125">
        <v>75847750.516482994</v>
      </c>
      <c r="F1620" s="123">
        <v>202970806.82255101</v>
      </c>
      <c r="G1620" s="125">
        <v>-650000</v>
      </c>
      <c r="H1620" s="125">
        <v>1791.9176238400512</v>
      </c>
      <c r="I1620" s="125">
        <v>1053.1869368724888</v>
      </c>
      <c r="J1620" s="125">
        <v>775.73285007428024</v>
      </c>
      <c r="K1620" s="125">
        <v>693.37379968797188</v>
      </c>
      <c r="L1620" s="164">
        <v>2522.2935866347407</v>
      </c>
      <c r="M1620" s="125">
        <v>0</v>
      </c>
      <c r="N1620" s="115">
        <v>15630</v>
      </c>
      <c r="O1620" s="139">
        <v>3271.9300000000003</v>
      </c>
      <c r="P1620" s="125">
        <v>-14296163.548503</v>
      </c>
      <c r="Q1620" s="125">
        <v>0</v>
      </c>
      <c r="S1620" s="125">
        <v>0</v>
      </c>
      <c r="T1620" s="125">
        <v>0</v>
      </c>
      <c r="U1620" s="125">
        <v>3256024.6952280002</v>
      </c>
      <c r="V1620" s="125">
        <v>6.9999999999999999E-6</v>
      </c>
      <c r="W1620" s="142">
        <v>0</v>
      </c>
      <c r="X1620" s="142">
        <v>5.5657871400000003</v>
      </c>
      <c r="Y1620" s="142">
        <v>76515959.465055004</v>
      </c>
      <c r="Z1620" s="142">
        <v>401.40370146596291</v>
      </c>
    </row>
    <row r="1621" spans="1:26" s="141" customFormat="1">
      <c r="A1621" s="121">
        <v>45349</v>
      </c>
      <c r="B1621" s="125">
        <v>169316099.842509</v>
      </c>
      <c r="C1621" s="125">
        <v>60612580.806296997</v>
      </c>
      <c r="D1621" s="125">
        <v>66886123.638185002</v>
      </c>
      <c r="E1621" s="125">
        <v>77176790.781836003</v>
      </c>
      <c r="F1621" s="123">
        <v>204675495.226318</v>
      </c>
      <c r="G1621" s="125">
        <v>-300000</v>
      </c>
      <c r="H1621" s="125">
        <v>1794.9061273785805</v>
      </c>
      <c r="I1621" s="125">
        <v>1041.25646229789</v>
      </c>
      <c r="J1621" s="125">
        <v>783.1974089969309</v>
      </c>
      <c r="K1621" s="125">
        <v>692.44812435051153</v>
      </c>
      <c r="L1621" s="164">
        <v>2516.9019956453326</v>
      </c>
      <c r="M1621" s="125">
        <v>0</v>
      </c>
      <c r="N1621" s="115">
        <v>15640</v>
      </c>
      <c r="O1621" s="139">
        <v>3279.86</v>
      </c>
      <c r="P1621" s="125">
        <v>-13864403.107503001</v>
      </c>
      <c r="Q1621" s="125">
        <v>0</v>
      </c>
      <c r="S1621" s="125">
        <v>0</v>
      </c>
      <c r="T1621" s="125">
        <v>0</v>
      </c>
      <c r="U1621" s="125">
        <v>3256024.1676179999</v>
      </c>
      <c r="V1621" s="125">
        <v>6.9999999999999999E-6</v>
      </c>
      <c r="W1621" s="142">
        <v>0</v>
      </c>
      <c r="X1621" s="142">
        <v>10.565787140000001</v>
      </c>
      <c r="Y1621" s="142">
        <v>76802912.343786001</v>
      </c>
      <c r="Z1621" s="142">
        <v>400.7245481841432</v>
      </c>
    </row>
    <row r="1622" spans="1:26" s="141" customFormat="1">
      <c r="A1622" s="121">
        <v>45350</v>
      </c>
      <c r="B1622" s="125">
        <v>169746855.45240501</v>
      </c>
      <c r="C1622" s="125">
        <v>60265167.579351999</v>
      </c>
      <c r="D1622" s="125">
        <v>67036717.314946003</v>
      </c>
      <c r="E1622" s="125">
        <v>78105303.373885006</v>
      </c>
      <c r="F1622" s="123">
        <v>205407188.26818299</v>
      </c>
      <c r="G1622" s="125">
        <v>-200000</v>
      </c>
      <c r="H1622" s="125">
        <v>1786.4784963616194</v>
      </c>
      <c r="I1622" s="125">
        <v>1107.2760910200193</v>
      </c>
      <c r="J1622" s="125">
        <v>784.41719421211349</v>
      </c>
      <c r="K1622" s="125">
        <v>680.4548291943895</v>
      </c>
      <c r="L1622" s="164">
        <v>2572.1481144265226</v>
      </c>
      <c r="M1622" s="125">
        <v>0</v>
      </c>
      <c r="N1622" s="115">
        <v>15685</v>
      </c>
      <c r="O1622" s="139">
        <v>3293.0950000000003</v>
      </c>
      <c r="P1622" s="125">
        <v>-11127407.305003</v>
      </c>
      <c r="Q1622" s="125">
        <v>0</v>
      </c>
      <c r="S1622" s="125">
        <v>0</v>
      </c>
      <c r="T1622" s="125">
        <v>0</v>
      </c>
      <c r="U1622" s="125">
        <v>3733953.4280639999</v>
      </c>
      <c r="V1622" s="125">
        <v>6.9999999999999999E-6</v>
      </c>
      <c r="W1622" s="142">
        <v>-430000</v>
      </c>
      <c r="X1622" s="142">
        <v>10.565787139999999</v>
      </c>
      <c r="Y1622" s="142">
        <v>76728696.236292005</v>
      </c>
      <c r="Z1622" s="142">
        <v>401.32834468912972</v>
      </c>
    </row>
    <row r="1623" spans="1:26" s="141" customFormat="1">
      <c r="A1623" s="121">
        <v>45351</v>
      </c>
      <c r="B1623" s="136">
        <v>172119662.67445099</v>
      </c>
      <c r="C1623" s="136">
        <v>61571718.867655002</v>
      </c>
      <c r="D1623" s="136">
        <v>67844515.388294995</v>
      </c>
      <c r="E1623" s="136">
        <v>76513025.240215003</v>
      </c>
      <c r="F1623" s="137">
        <v>205929259.49616501</v>
      </c>
      <c r="G1623" s="125">
        <v>0</v>
      </c>
      <c r="H1623" s="136">
        <v>1749.3482519053769</v>
      </c>
      <c r="I1623" s="136">
        <v>1139.9880043889277</v>
      </c>
      <c r="J1623" s="136">
        <v>786.68933807375117</v>
      </c>
      <c r="K1623" s="136">
        <v>669.5933693448934</v>
      </c>
      <c r="L1623" s="165">
        <v>2596.2707118075723</v>
      </c>
      <c r="M1623" s="136">
        <v>0</v>
      </c>
      <c r="N1623" s="115">
        <v>15715</v>
      </c>
      <c r="O1623" s="139">
        <v>3300.085</v>
      </c>
      <c r="P1623" s="125">
        <v>-9586200.0370029993</v>
      </c>
      <c r="Q1623" s="125">
        <v>0</v>
      </c>
      <c r="S1623" s="125">
        <v>0</v>
      </c>
      <c r="T1623" s="125">
        <v>0</v>
      </c>
      <c r="U1623" s="125">
        <v>3256000.5555790002</v>
      </c>
      <c r="V1623" s="125">
        <v>6.9999999999999999E-6</v>
      </c>
      <c r="W1623" s="142">
        <v>0</v>
      </c>
      <c r="X1623" s="142">
        <v>15.565787140000001</v>
      </c>
      <c r="Y1623" s="142">
        <v>67786716.223040998</v>
      </c>
      <c r="Z1623" s="142">
        <v>395.977730355902</v>
      </c>
    </row>
    <row r="1624" spans="1:26" s="141" customFormat="1">
      <c r="A1624" s="121">
        <v>45352</v>
      </c>
      <c r="B1624" s="125">
        <v>170347708.36741799</v>
      </c>
      <c r="C1624" s="125">
        <v>59799145.593194</v>
      </c>
      <c r="D1624" s="125">
        <v>67239155.868496001</v>
      </c>
      <c r="E1624" s="125">
        <v>77603777.437197998</v>
      </c>
      <c r="F1624" s="123">
        <v>204642078.89888799</v>
      </c>
      <c r="G1624" s="125">
        <v>-875000</v>
      </c>
      <c r="H1624" s="125">
        <v>1763.6002776393632</v>
      </c>
      <c r="I1624" s="125">
        <v>1096.6430421403186</v>
      </c>
      <c r="J1624" s="125">
        <v>786.31047799458599</v>
      </c>
      <c r="K1624" s="125">
        <v>666.86390606178338</v>
      </c>
      <c r="L1624" s="164">
        <v>2549.8174261966878</v>
      </c>
      <c r="M1624" s="125">
        <v>0</v>
      </c>
      <c r="N1624" s="115">
        <v>15700</v>
      </c>
      <c r="O1624" s="139">
        <v>3312.2350000000001</v>
      </c>
      <c r="P1624" s="125">
        <v>-11839903.916003</v>
      </c>
      <c r="Q1624" s="125">
        <v>0</v>
      </c>
      <c r="R1624" s="143"/>
      <c r="S1624" s="125">
        <v>0</v>
      </c>
      <c r="T1624" s="125">
        <v>0</v>
      </c>
      <c r="U1624" s="125">
        <v>3256160.018009</v>
      </c>
      <c r="V1624" s="125">
        <v>6.9999999999999999E-6</v>
      </c>
      <c r="W1624" s="142">
        <v>0</v>
      </c>
      <c r="X1624" s="142">
        <v>5.5657871399999994</v>
      </c>
      <c r="Y1624" s="142">
        <v>77278847.991717994</v>
      </c>
      <c r="Z1624" s="142">
        <v>397.06840403751596</v>
      </c>
    </row>
    <row r="1625" spans="1:26" s="141" customFormat="1">
      <c r="A1625" s="121">
        <v>45355</v>
      </c>
      <c r="B1625" s="125">
        <v>170090131.60805401</v>
      </c>
      <c r="C1625" s="125">
        <v>62035115.436815001</v>
      </c>
      <c r="D1625" s="125">
        <v>66651544.886037998</v>
      </c>
      <c r="E1625" s="125">
        <v>78659457.845393002</v>
      </c>
      <c r="F1625" s="123">
        <v>207346118.168246</v>
      </c>
      <c r="G1625" s="125">
        <v>-1225000</v>
      </c>
      <c r="H1625" s="125">
        <v>1733.909937306925</v>
      </c>
      <c r="I1625" s="125">
        <v>1101.6837730315756</v>
      </c>
      <c r="J1625" s="125">
        <v>786.66259944459978</v>
      </c>
      <c r="K1625" s="125">
        <v>660.18242565228718</v>
      </c>
      <c r="L1625" s="164">
        <v>2548.5287981284628</v>
      </c>
      <c r="M1625" s="125">
        <v>0</v>
      </c>
      <c r="N1625" s="115">
        <v>15740</v>
      </c>
      <c r="O1625" s="139">
        <v>3328.4049999999997</v>
      </c>
      <c r="P1625" s="125">
        <v>-9814340.8900029995</v>
      </c>
      <c r="Q1625" s="125">
        <v>0</v>
      </c>
      <c r="R1625" s="143"/>
      <c r="S1625" s="125">
        <v>0</v>
      </c>
      <c r="T1625" s="125">
        <v>0</v>
      </c>
      <c r="U1625" s="125">
        <v>3255965.83561</v>
      </c>
      <c r="V1625" s="125">
        <v>7.9999999999999996E-6</v>
      </c>
      <c r="W1625" s="142">
        <v>0</v>
      </c>
      <c r="X1625" s="142">
        <v>15.565787139999999</v>
      </c>
      <c r="Y1625" s="142">
        <v>67299433.459674999</v>
      </c>
      <c r="Z1625" s="142">
        <v>392.96095119243961</v>
      </c>
    </row>
    <row r="1626" spans="1:26" s="141" customFormat="1">
      <c r="A1626" s="121">
        <v>45356</v>
      </c>
      <c r="B1626" s="125">
        <v>169675072.21312699</v>
      </c>
      <c r="C1626" s="125">
        <v>61298763.372759998</v>
      </c>
      <c r="D1626" s="125">
        <v>66767445.299832001</v>
      </c>
      <c r="E1626" s="125">
        <v>77189295.478343993</v>
      </c>
      <c r="F1626" s="123">
        <v>205255504.15093601</v>
      </c>
      <c r="G1626" s="125">
        <v>-1225000</v>
      </c>
      <c r="H1626" s="125">
        <v>1753.2670996200773</v>
      </c>
      <c r="I1626" s="125">
        <v>1069.2598517502061</v>
      </c>
      <c r="J1626" s="125">
        <v>786.59634015619247</v>
      </c>
      <c r="K1626" s="125">
        <v>667.35392018866128</v>
      </c>
      <c r="L1626" s="164">
        <v>2523.2101120950601</v>
      </c>
      <c r="M1626" s="125">
        <v>0</v>
      </c>
      <c r="N1626" s="115">
        <v>15769</v>
      </c>
      <c r="O1626" s="139">
        <v>3332.415</v>
      </c>
      <c r="P1626" s="125">
        <v>-8852499.2715029996</v>
      </c>
      <c r="Q1626" s="125">
        <v>0</v>
      </c>
      <c r="R1626" s="143"/>
      <c r="S1626" s="125">
        <v>0</v>
      </c>
      <c r="T1626" s="125">
        <v>0</v>
      </c>
      <c r="U1626" s="125">
        <v>3255953.702666</v>
      </c>
      <c r="V1626" s="125">
        <v>7.9999999999999996E-6</v>
      </c>
      <c r="W1626" s="142">
        <v>0</v>
      </c>
      <c r="X1626" s="142">
        <v>15.565787139999999</v>
      </c>
      <c r="Y1626" s="142">
        <v>67621994.807122007</v>
      </c>
      <c r="Z1626" s="142">
        <v>392.43516815841207</v>
      </c>
    </row>
    <row r="1627" spans="1:26" s="141" customFormat="1">
      <c r="A1627" s="121">
        <v>45357</v>
      </c>
      <c r="B1627" s="125">
        <v>169330002.70716399</v>
      </c>
      <c r="C1627" s="125">
        <v>62269735.905919999</v>
      </c>
      <c r="D1627" s="125">
        <v>66626437.609246001</v>
      </c>
      <c r="E1627" s="125">
        <v>77975764.334214002</v>
      </c>
      <c r="F1627" s="123">
        <v>206871937.84938002</v>
      </c>
      <c r="G1627" s="125">
        <v>-1445000</v>
      </c>
      <c r="H1627" s="125">
        <v>1782.3433367035668</v>
      </c>
      <c r="I1627" s="125">
        <v>1076.8337586117834</v>
      </c>
      <c r="J1627" s="125">
        <v>792.54484968866234</v>
      </c>
      <c r="K1627" s="125">
        <v>686.93325522305724</v>
      </c>
      <c r="L1627" s="164">
        <v>2556.3118635235028</v>
      </c>
      <c r="M1627" s="125">
        <v>0</v>
      </c>
      <c r="N1627" s="115">
        <v>15700</v>
      </c>
      <c r="O1627" s="139">
        <v>3320.2950000000001</v>
      </c>
      <c r="P1627" s="125">
        <v>-8668589.9355030004</v>
      </c>
      <c r="Q1627" s="125">
        <v>0</v>
      </c>
      <c r="R1627" s="143"/>
      <c r="S1627" s="125">
        <v>0</v>
      </c>
      <c r="T1627" s="125">
        <v>0</v>
      </c>
      <c r="U1627" s="125">
        <v>3255927.921476</v>
      </c>
      <c r="V1627" s="125">
        <v>6.9999999999999999E-6</v>
      </c>
      <c r="W1627" s="142">
        <v>0</v>
      </c>
      <c r="X1627" s="142">
        <v>32.565787139999998</v>
      </c>
      <c r="Y1627" s="142">
        <v>67766842.714950994</v>
      </c>
      <c r="Z1627" s="142">
        <v>392.28160890942678</v>
      </c>
    </row>
    <row r="1628" spans="1:26" s="141" customFormat="1">
      <c r="A1628" s="121">
        <v>45358</v>
      </c>
      <c r="B1628" s="125">
        <v>169488678.79131299</v>
      </c>
      <c r="C1628" s="125">
        <v>62333785.906296</v>
      </c>
      <c r="D1628" s="125">
        <v>66546053.667971</v>
      </c>
      <c r="E1628" s="125">
        <v>78564543.404710993</v>
      </c>
      <c r="F1628" s="123">
        <v>207444382.97897798</v>
      </c>
      <c r="G1628" s="125">
        <v>-1825000</v>
      </c>
      <c r="H1628" s="125">
        <v>1810.7320091851143</v>
      </c>
      <c r="I1628" s="125">
        <v>1106.2672225762019</v>
      </c>
      <c r="J1628" s="125">
        <v>794.71620813639993</v>
      </c>
      <c r="K1628" s="125">
        <v>688.39030937019641</v>
      </c>
      <c r="L1628" s="164">
        <v>2589.3737400827981</v>
      </c>
      <c r="M1628" s="125">
        <v>0</v>
      </c>
      <c r="N1628" s="115">
        <v>15652.5</v>
      </c>
      <c r="O1628" s="139">
        <v>3331.0299999999997</v>
      </c>
      <c r="P1628" s="125">
        <v>-9960792.1530029997</v>
      </c>
      <c r="Q1628" s="125">
        <v>0</v>
      </c>
      <c r="R1628" s="143"/>
      <c r="S1628" s="125">
        <v>0</v>
      </c>
      <c r="T1628" s="125">
        <v>0</v>
      </c>
      <c r="U1628" s="125">
        <v>3255917.138057</v>
      </c>
      <c r="V1628" s="125">
        <v>6.9999999999999999E-6</v>
      </c>
      <c r="W1628" s="142">
        <v>0</v>
      </c>
      <c r="X1628" s="142">
        <v>0.56578714000000008</v>
      </c>
      <c r="Y1628" s="142">
        <v>77872751.632707998</v>
      </c>
      <c r="Z1628" s="142">
        <v>427.53317994863443</v>
      </c>
    </row>
    <row r="1629" spans="1:26" s="141" customFormat="1">
      <c r="A1629" s="121">
        <v>45359</v>
      </c>
      <c r="B1629" s="125">
        <v>170276305.17417699</v>
      </c>
      <c r="C1629" s="125">
        <v>60664691.818660997</v>
      </c>
      <c r="D1629" s="125">
        <v>66565452.744176</v>
      </c>
      <c r="E1629" s="125">
        <v>79645299.567884997</v>
      </c>
      <c r="F1629" s="123">
        <v>206875444.13072199</v>
      </c>
      <c r="G1629" s="125">
        <v>-1825000</v>
      </c>
      <c r="H1629" s="125">
        <v>1788.5896949912765</v>
      </c>
      <c r="I1629" s="125">
        <v>1099.855868816421</v>
      </c>
      <c r="J1629" s="125">
        <v>797.69297874214237</v>
      </c>
      <c r="K1629" s="125">
        <v>686.48313377536886</v>
      </c>
      <c r="L1629" s="164">
        <v>2584.0319813339324</v>
      </c>
      <c r="M1629" s="125">
        <v>0</v>
      </c>
      <c r="N1629" s="115">
        <v>15590</v>
      </c>
      <c r="O1629" s="139">
        <v>3323.3850000000002</v>
      </c>
      <c r="P1629" s="125">
        <v>-10874641.188003</v>
      </c>
      <c r="Q1629" s="125">
        <v>0</v>
      </c>
      <c r="R1629" s="143"/>
      <c r="S1629" s="125">
        <v>0</v>
      </c>
      <c r="T1629" s="125">
        <v>0</v>
      </c>
      <c r="U1629" s="125">
        <v>3256248.0312729999</v>
      </c>
      <c r="V1629" s="125">
        <v>6.0000000000000002E-6</v>
      </c>
      <c r="W1629" s="142">
        <v>0</v>
      </c>
      <c r="X1629" s="142">
        <v>0.56578714000000008</v>
      </c>
      <c r="Y1629" s="142">
        <v>80144799.577076003</v>
      </c>
      <c r="Z1629" s="142">
        <v>429.41070156254011</v>
      </c>
    </row>
    <row r="1630" spans="1:26" s="141" customFormat="1">
      <c r="A1630" s="121">
        <v>45364</v>
      </c>
      <c r="B1630" s="125">
        <v>169951667.57205099</v>
      </c>
      <c r="C1630" s="125">
        <v>61527972.670152001</v>
      </c>
      <c r="D1630" s="125">
        <v>66572327.818411</v>
      </c>
      <c r="E1630" s="125">
        <v>78968003.990012005</v>
      </c>
      <c r="F1630" s="123">
        <v>207068304.47857499</v>
      </c>
      <c r="G1630" s="125">
        <v>-2200000</v>
      </c>
      <c r="H1630" s="125">
        <v>1824.1671206397432</v>
      </c>
      <c r="I1630" s="125">
        <v>1067.8697890516212</v>
      </c>
      <c r="J1630" s="125">
        <v>798.18095332205462</v>
      </c>
      <c r="K1630" s="125">
        <v>683.46992493617972</v>
      </c>
      <c r="L1630" s="164">
        <v>2549.5206673098555</v>
      </c>
      <c r="M1630" s="125">
        <v>0</v>
      </c>
      <c r="N1630" s="115">
        <v>15575</v>
      </c>
      <c r="O1630" s="139">
        <v>3323.0250000000001</v>
      </c>
      <c r="P1630" s="125">
        <v>-9531018.9400030002</v>
      </c>
      <c r="Q1630" s="125">
        <v>0</v>
      </c>
      <c r="R1630" s="143"/>
      <c r="S1630" s="125">
        <v>0</v>
      </c>
      <c r="T1630" s="125">
        <v>0</v>
      </c>
      <c r="U1630" s="125">
        <v>3255852.280818</v>
      </c>
      <c r="V1630" s="125">
        <v>6.0000000000000002E-6</v>
      </c>
      <c r="W1630" s="142">
        <v>0</v>
      </c>
      <c r="X1630" s="142">
        <v>6.5657871399999994</v>
      </c>
      <c r="Y1630" s="142">
        <v>79338308.767452002</v>
      </c>
      <c r="Z1630" s="142">
        <v>436.81907636693421</v>
      </c>
    </row>
    <row r="1631" spans="1:26" s="141" customFormat="1">
      <c r="A1631" s="121">
        <v>45365</v>
      </c>
      <c r="B1631" s="125">
        <v>170001679.05949199</v>
      </c>
      <c r="C1631" s="125">
        <v>62570581.810512997</v>
      </c>
      <c r="D1631" s="125">
        <v>66395954.916801997</v>
      </c>
      <c r="E1631" s="125">
        <v>78087282.454752997</v>
      </c>
      <c r="F1631" s="123">
        <v>207053819.18206799</v>
      </c>
      <c r="G1631" s="125">
        <v>-1625000</v>
      </c>
      <c r="H1631" s="125">
        <v>1821.5932594570602</v>
      </c>
      <c r="I1631" s="125">
        <v>1101.3055847232993</v>
      </c>
      <c r="J1631" s="125">
        <v>804.78271557118092</v>
      </c>
      <c r="K1631" s="125">
        <v>684.97564340462122</v>
      </c>
      <c r="L1631" s="164">
        <v>2591.0639436991014</v>
      </c>
      <c r="M1631" s="125">
        <v>0</v>
      </c>
      <c r="N1631" s="115">
        <v>15580</v>
      </c>
      <c r="O1631" s="139">
        <v>3322.67</v>
      </c>
      <c r="P1631" s="125">
        <v>-9287520.4125030003</v>
      </c>
      <c r="Q1631" s="125">
        <v>0</v>
      </c>
      <c r="R1631" s="143"/>
      <c r="S1631" s="125">
        <v>0</v>
      </c>
      <c r="T1631" s="125">
        <v>0</v>
      </c>
      <c r="U1631" s="125">
        <v>3255847.6227580002</v>
      </c>
      <c r="V1631" s="125">
        <v>6.0000000000000002E-6</v>
      </c>
      <c r="W1631" s="142">
        <v>0</v>
      </c>
      <c r="X1631" s="142">
        <v>0.56578713999999997</v>
      </c>
      <c r="Y1631" s="142">
        <v>79306556.047059</v>
      </c>
      <c r="Z1631" s="142">
        <v>435.15661067490373</v>
      </c>
    </row>
    <row r="1632" spans="1:26" s="141" customFormat="1">
      <c r="A1632" s="121">
        <v>45366</v>
      </c>
      <c r="B1632" s="125">
        <v>169161269.48777401</v>
      </c>
      <c r="C1632" s="125">
        <v>62630932.854471996</v>
      </c>
      <c r="D1632" s="125">
        <v>66561098.660590999</v>
      </c>
      <c r="E1632" s="125">
        <v>79818021.113729</v>
      </c>
      <c r="F1632" s="123">
        <v>209010052.62879199</v>
      </c>
      <c r="G1632" s="125">
        <v>-1375000</v>
      </c>
      <c r="H1632" s="125">
        <v>1823.9946684275867</v>
      </c>
      <c r="I1632" s="125">
        <v>1100.6223907281412</v>
      </c>
      <c r="J1632" s="125">
        <v>802.44820650889733</v>
      </c>
      <c r="K1632" s="125">
        <v>690.56561435794674</v>
      </c>
      <c r="L1632" s="164">
        <v>2593.6362115949851</v>
      </c>
      <c r="M1632" s="125">
        <v>0</v>
      </c>
      <c r="N1632" s="115">
        <v>15594.5</v>
      </c>
      <c r="O1632" s="139">
        <v>3316.5699999999997</v>
      </c>
      <c r="P1632" s="125">
        <v>-5714092.7005030001</v>
      </c>
      <c r="Q1632" s="125">
        <v>0</v>
      </c>
      <c r="R1632" s="143"/>
      <c r="S1632" s="125">
        <v>0</v>
      </c>
      <c r="T1632" s="125">
        <v>0</v>
      </c>
      <c r="U1632" s="125">
        <v>3739606.5579749998</v>
      </c>
      <c r="V1632" s="125">
        <v>6.9999999999999999E-6</v>
      </c>
      <c r="W1632" s="142">
        <v>-330000</v>
      </c>
      <c r="X1632" s="142">
        <v>6.5657871399999994</v>
      </c>
      <c r="Y1632" s="142">
        <v>75359231.275301993</v>
      </c>
      <c r="Z1632" s="142">
        <v>434.645812825804</v>
      </c>
    </row>
    <row r="1633" spans="1:26" s="141" customFormat="1">
      <c r="A1633" s="121">
        <v>45369</v>
      </c>
      <c r="B1633" s="125">
        <v>169256729.54545501</v>
      </c>
      <c r="C1633" s="125">
        <v>64373521.418168999</v>
      </c>
      <c r="D1633" s="125">
        <v>66304249.255034</v>
      </c>
      <c r="E1633" s="125">
        <v>79523406.607322007</v>
      </c>
      <c r="F1633" s="123">
        <v>210201177.280525</v>
      </c>
      <c r="G1633" s="125">
        <v>-1430000</v>
      </c>
      <c r="H1633" s="125">
        <v>1803.3703006640535</v>
      </c>
      <c r="I1633" s="125">
        <v>1073.3830976500956</v>
      </c>
      <c r="J1633" s="125">
        <v>804.62416121408535</v>
      </c>
      <c r="K1633" s="125">
        <v>691.26877156851492</v>
      </c>
      <c r="L1633" s="164">
        <v>2569.2760304326957</v>
      </c>
      <c r="M1633" s="125">
        <v>0</v>
      </c>
      <c r="N1633" s="115">
        <v>15690</v>
      </c>
      <c r="O1633" s="139">
        <v>3323.45</v>
      </c>
      <c r="P1633" s="125">
        <v>-5684206.4225030001</v>
      </c>
      <c r="Q1633" s="125">
        <v>0</v>
      </c>
      <c r="R1633" s="143"/>
      <c r="S1633" s="125">
        <v>0</v>
      </c>
      <c r="T1633" s="125">
        <v>0</v>
      </c>
      <c r="U1633" s="125">
        <v>3255812.61742</v>
      </c>
      <c r="V1633" s="125">
        <v>6.9999999999999999E-6</v>
      </c>
      <c r="W1633" s="142">
        <v>0</v>
      </c>
      <c r="X1633" s="142">
        <v>0.56578713999999997</v>
      </c>
      <c r="Y1633" s="142">
        <v>75148043.816653997</v>
      </c>
      <c r="Z1633" s="142">
        <v>432.79031527864885</v>
      </c>
    </row>
    <row r="1634" spans="1:26" s="141" customFormat="1">
      <c r="A1634" s="121">
        <v>45370</v>
      </c>
      <c r="B1634" s="125">
        <v>169274102.93457299</v>
      </c>
      <c r="C1634" s="125">
        <v>63837618.868598998</v>
      </c>
      <c r="D1634" s="125">
        <v>66209278.716216996</v>
      </c>
      <c r="E1634" s="125">
        <v>79079273.038585007</v>
      </c>
      <c r="F1634" s="123">
        <v>209126170.62340099</v>
      </c>
      <c r="G1634" s="125">
        <v>-1190000</v>
      </c>
      <c r="H1634" s="125">
        <v>1822.5019687275217</v>
      </c>
      <c r="I1634" s="125">
        <v>1089.0216733591474</v>
      </c>
      <c r="J1634" s="125">
        <v>797.72185261616289</v>
      </c>
      <c r="K1634" s="125">
        <v>692.59431179580019</v>
      </c>
      <c r="L1634" s="164">
        <v>2579.3378377711106</v>
      </c>
      <c r="M1634" s="125">
        <v>0</v>
      </c>
      <c r="N1634" s="115">
        <v>15715</v>
      </c>
      <c r="O1634" s="139">
        <v>3321.01</v>
      </c>
      <c r="P1634" s="125">
        <v>-5612866.7450029999</v>
      </c>
      <c r="Q1634" s="125">
        <v>0</v>
      </c>
      <c r="R1634" s="143"/>
      <c r="S1634" s="125">
        <v>0</v>
      </c>
      <c r="T1634" s="125">
        <v>0</v>
      </c>
      <c r="U1634" s="125">
        <v>3707020.2907699998</v>
      </c>
      <c r="V1634" s="125">
        <v>7.9999999999999996E-6</v>
      </c>
      <c r="W1634" s="142">
        <v>0</v>
      </c>
      <c r="X1634" s="142">
        <v>0.56578714000000008</v>
      </c>
      <c r="Y1634" s="142">
        <v>74633778.537974</v>
      </c>
      <c r="Z1634" s="142">
        <v>432.09952660108178</v>
      </c>
    </row>
    <row r="1635" spans="1:26" s="141" customFormat="1">
      <c r="A1635" s="121">
        <v>45371</v>
      </c>
      <c r="B1635" s="125">
        <v>169498540.13604799</v>
      </c>
      <c r="C1635" s="125">
        <v>63536753.270505004</v>
      </c>
      <c r="D1635" s="125">
        <v>66286445.577372</v>
      </c>
      <c r="E1635" s="125">
        <v>78852052.208840996</v>
      </c>
      <c r="F1635" s="123">
        <v>208675251.05671799</v>
      </c>
      <c r="G1635" s="125">
        <v>-1535000</v>
      </c>
      <c r="H1635" s="125">
        <v>1828.9605245251034</v>
      </c>
      <c r="I1635" s="125">
        <v>1094.0076000904867</v>
      </c>
      <c r="J1635" s="125">
        <v>792.49398736290163</v>
      </c>
      <c r="K1635" s="125">
        <v>693.33208204397079</v>
      </c>
      <c r="L1635" s="164">
        <v>2579.8336694973591</v>
      </c>
      <c r="M1635" s="125">
        <v>0</v>
      </c>
      <c r="N1635" s="115">
        <v>15715</v>
      </c>
      <c r="O1635" s="139">
        <v>3316.4549999999999</v>
      </c>
      <c r="P1635" s="125">
        <v>-5970921.8325030003</v>
      </c>
      <c r="Q1635" s="125">
        <v>0</v>
      </c>
      <c r="R1635" s="143"/>
      <c r="S1635" s="125">
        <v>0</v>
      </c>
      <c r="T1635" s="125">
        <v>0</v>
      </c>
      <c r="U1635" s="125">
        <v>3425725.172458</v>
      </c>
      <c r="V1635" s="125">
        <v>7.9999999999999996E-6</v>
      </c>
      <c r="W1635" s="142">
        <v>0</v>
      </c>
      <c r="X1635" s="142">
        <v>0.56578714000000008</v>
      </c>
      <c r="Y1635" s="142">
        <v>74020811.330367997</v>
      </c>
      <c r="Z1635" s="142">
        <v>432.2322185587019</v>
      </c>
    </row>
    <row r="1636" spans="1:26" s="141" customFormat="1">
      <c r="A1636" s="121">
        <v>45372</v>
      </c>
      <c r="B1636" s="125">
        <v>170183860.225115</v>
      </c>
      <c r="C1636" s="125">
        <v>66402355.445543997</v>
      </c>
      <c r="D1636" s="125">
        <v>66275434.918729</v>
      </c>
      <c r="E1636" s="125">
        <v>80591730.417100996</v>
      </c>
      <c r="F1636" s="123">
        <v>213269520.78137398</v>
      </c>
      <c r="G1636" s="125">
        <v>-1395000</v>
      </c>
      <c r="H1636" s="125">
        <v>1878.0594259402937</v>
      </c>
      <c r="I1636" s="125">
        <v>1092.5719676826309</v>
      </c>
      <c r="J1636" s="125">
        <v>797.85195254725409</v>
      </c>
      <c r="K1636" s="125">
        <v>695.03334760178802</v>
      </c>
      <c r="L1636" s="164">
        <v>2585.4572678316731</v>
      </c>
      <c r="M1636" s="125">
        <v>-71</v>
      </c>
      <c r="N1636" s="115">
        <v>15660</v>
      </c>
      <c r="O1636" s="139">
        <v>3325.55</v>
      </c>
      <c r="P1636" s="125">
        <v>-3656939.4035029998</v>
      </c>
      <c r="Q1636" s="125">
        <v>0</v>
      </c>
      <c r="R1636" s="143"/>
      <c r="S1636" s="125">
        <v>0</v>
      </c>
      <c r="T1636" s="125">
        <v>0</v>
      </c>
      <c r="U1636" s="125">
        <v>3732628.0647840002</v>
      </c>
      <c r="V1636" s="125">
        <v>6.9999999999999999E-6</v>
      </c>
      <c r="W1636" s="142">
        <v>0</v>
      </c>
      <c r="X1636" s="142">
        <v>0.56578713999999997</v>
      </c>
      <c r="Y1636" s="142">
        <v>75348126.701289997</v>
      </c>
      <c r="Z1636" s="142">
        <v>432.60034092337162</v>
      </c>
    </row>
    <row r="1637" spans="1:26" s="141" customFormat="1">
      <c r="A1637" s="121">
        <v>45373</v>
      </c>
      <c r="B1637" s="125">
        <v>170128301.30120999</v>
      </c>
      <c r="C1637" s="125">
        <v>68715789.525631994</v>
      </c>
      <c r="D1637" s="125">
        <v>66576034.381679997</v>
      </c>
      <c r="E1637" s="125">
        <v>80820111.076579005</v>
      </c>
      <c r="F1637" s="123">
        <v>216111934.98389098</v>
      </c>
      <c r="G1637" s="125">
        <v>-1395000</v>
      </c>
      <c r="H1637" s="125">
        <v>1872.265839167934</v>
      </c>
      <c r="I1637" s="125">
        <v>1096.8064084098226</v>
      </c>
      <c r="J1637" s="125">
        <v>801.67950044588088</v>
      </c>
      <c r="K1637" s="125">
        <v>682.27537075114071</v>
      </c>
      <c r="L1637" s="164">
        <v>2580.7612796068443</v>
      </c>
      <c r="M1637" s="125">
        <v>-34</v>
      </c>
      <c r="N1637" s="115">
        <v>15780</v>
      </c>
      <c r="O1637" s="139">
        <v>3329.4700000000003</v>
      </c>
      <c r="P1637" s="125">
        <v>-4426385.8085030001</v>
      </c>
      <c r="Q1637" s="125">
        <v>0</v>
      </c>
      <c r="R1637" s="143"/>
      <c r="S1637" s="125">
        <v>0</v>
      </c>
      <c r="T1637" s="125">
        <v>0</v>
      </c>
      <c r="U1637" s="125">
        <v>3440595.5362729998</v>
      </c>
      <c r="V1637" s="125">
        <v>7.9999999999999996E-6</v>
      </c>
      <c r="W1637" s="142">
        <v>0</v>
      </c>
      <c r="X1637" s="142">
        <v>0.56578714000000008</v>
      </c>
      <c r="Y1637" s="142">
        <v>75432392.161486998</v>
      </c>
      <c r="Z1637" s="142">
        <v>433.59358208580477</v>
      </c>
    </row>
    <row r="1638" spans="1:26" s="141" customFormat="1">
      <c r="A1638" s="121">
        <v>45376</v>
      </c>
      <c r="B1638" s="125">
        <v>169955596.662352</v>
      </c>
      <c r="C1638" s="125">
        <v>66048890.791303001</v>
      </c>
      <c r="D1638" s="125">
        <v>67809020.909647003</v>
      </c>
      <c r="E1638" s="125">
        <v>79662898.863021001</v>
      </c>
      <c r="F1638" s="123">
        <v>213520810.56397098</v>
      </c>
      <c r="G1638" s="125">
        <v>-1165000</v>
      </c>
      <c r="H1638" s="125">
        <v>1905.945387516379</v>
      </c>
      <c r="I1638" s="125">
        <v>1078.8841316596297</v>
      </c>
      <c r="J1638" s="125">
        <v>803.2427944258269</v>
      </c>
      <c r="K1638" s="125">
        <v>699.01354341408444</v>
      </c>
      <c r="L1638" s="164">
        <v>2581.1404694995408</v>
      </c>
      <c r="M1638" s="125">
        <v>0</v>
      </c>
      <c r="N1638" s="115">
        <v>15797.5</v>
      </c>
      <c r="O1638" s="139">
        <v>3341.9750000000004</v>
      </c>
      <c r="P1638" s="125">
        <v>-5399959.3185029998</v>
      </c>
      <c r="Q1638" s="125">
        <v>0</v>
      </c>
      <c r="R1638" s="143"/>
      <c r="S1638" s="125">
        <v>0</v>
      </c>
      <c r="T1638" s="125">
        <v>0</v>
      </c>
      <c r="U1638" s="125">
        <v>3440403.0685939998</v>
      </c>
      <c r="V1638" s="125">
        <v>9.0000000000000002E-6</v>
      </c>
      <c r="W1638" s="142">
        <v>0</v>
      </c>
      <c r="X1638" s="142">
        <v>0.56578713999999997</v>
      </c>
      <c r="Y1638" s="142">
        <v>78260554.589961007</v>
      </c>
      <c r="Z1638" s="142">
        <v>443.01049684152559</v>
      </c>
    </row>
    <row r="1639" spans="1:26" s="141" customFormat="1">
      <c r="A1639" s="121">
        <v>45377</v>
      </c>
      <c r="B1639" s="125">
        <v>170125416.41819</v>
      </c>
      <c r="C1639" s="125">
        <v>68236548.200252995</v>
      </c>
      <c r="D1639" s="125">
        <v>68010372.802793995</v>
      </c>
      <c r="E1639" s="125">
        <v>78651588.812510997</v>
      </c>
      <c r="F1639" s="123">
        <v>214898509.81555799</v>
      </c>
      <c r="G1639" s="125">
        <v>-625000</v>
      </c>
      <c r="H1639" s="125">
        <v>1908.9301275896771</v>
      </c>
      <c r="I1639" s="125">
        <v>1051.5371428819506</v>
      </c>
      <c r="J1639" s="125">
        <v>798.01696293027226</v>
      </c>
      <c r="K1639" s="125">
        <v>706.00701389354015</v>
      </c>
      <c r="L1639" s="164">
        <v>2555.5611197057628</v>
      </c>
      <c r="M1639" s="125">
        <v>0</v>
      </c>
      <c r="N1639" s="115">
        <v>15790</v>
      </c>
      <c r="O1639" s="139">
        <v>3345.3450000000003</v>
      </c>
      <c r="P1639" s="125">
        <v>-5091446.8905029995</v>
      </c>
      <c r="Q1639" s="125">
        <v>0</v>
      </c>
      <c r="R1639" s="143"/>
      <c r="S1639" s="125">
        <v>0</v>
      </c>
      <c r="T1639" s="125">
        <v>0</v>
      </c>
      <c r="U1639" s="125">
        <v>3440392.5911869998</v>
      </c>
      <c r="V1639" s="125">
        <v>7.9999999999999996E-6</v>
      </c>
      <c r="W1639" s="142">
        <v>-550000</v>
      </c>
      <c r="X1639" s="142">
        <v>0.56578714000000008</v>
      </c>
      <c r="Y1639" s="142">
        <v>77246162.485083997</v>
      </c>
      <c r="Z1639" s="142">
        <v>448.08734975478154</v>
      </c>
    </row>
    <row r="1640" spans="1:26" s="141" customFormat="1">
      <c r="A1640" s="121">
        <v>45378</v>
      </c>
      <c r="B1640" s="125">
        <v>170508858.16632599</v>
      </c>
      <c r="C1640" s="125">
        <v>69664779.585190997</v>
      </c>
      <c r="D1640" s="125">
        <v>67942395.003716007</v>
      </c>
      <c r="E1640" s="125">
        <v>78453435.251818001</v>
      </c>
      <c r="F1640" s="123">
        <v>216060609.840725</v>
      </c>
      <c r="G1640" s="125">
        <v>-200000</v>
      </c>
      <c r="H1640" s="125">
        <v>1912.4416163651213</v>
      </c>
      <c r="I1640" s="125">
        <v>1029.2138758507726</v>
      </c>
      <c r="J1640" s="125">
        <v>795.0173606883003</v>
      </c>
      <c r="K1640" s="125">
        <v>705.4135526736676</v>
      </c>
      <c r="L1640" s="164">
        <v>2529.6447892127408</v>
      </c>
      <c r="M1640" s="125">
        <v>-5</v>
      </c>
      <c r="N1640" s="115">
        <v>15855</v>
      </c>
      <c r="O1640" s="139">
        <v>3351.3</v>
      </c>
      <c r="P1640" s="125">
        <v>-3302290.7310029999</v>
      </c>
      <c r="Q1640" s="125">
        <v>0</v>
      </c>
      <c r="R1640" s="143"/>
      <c r="S1640" s="125">
        <v>0</v>
      </c>
      <c r="T1640" s="125">
        <v>0</v>
      </c>
      <c r="U1640" s="125">
        <v>3440372.0401479998</v>
      </c>
      <c r="V1640" s="125">
        <v>9.0000000000000002E-6</v>
      </c>
      <c r="W1640" s="142">
        <v>-250000</v>
      </c>
      <c r="X1640" s="142">
        <v>0.56578714000000008</v>
      </c>
      <c r="Y1640" s="142">
        <v>77140649.947054997</v>
      </c>
      <c r="Z1640" s="142">
        <v>445.87430800977609</v>
      </c>
    </row>
    <row r="1641" spans="1:26" s="141" customFormat="1">
      <c r="A1641" s="121">
        <v>45379</v>
      </c>
      <c r="B1641" s="125">
        <v>172387761.62790501</v>
      </c>
      <c r="C1641" s="125">
        <v>62273752.444160998</v>
      </c>
      <c r="D1641" s="125">
        <v>68694197.435773</v>
      </c>
      <c r="E1641" s="125">
        <v>78592629.041881993</v>
      </c>
      <c r="F1641" s="123">
        <v>209560578.92181599</v>
      </c>
      <c r="G1641" s="125">
        <v>0</v>
      </c>
      <c r="H1641" s="125">
        <v>1909.7029557090507</v>
      </c>
      <c r="I1641" s="125">
        <v>1048.5253297805739</v>
      </c>
      <c r="J1641" s="125">
        <v>799.7002532309051</v>
      </c>
      <c r="K1641" s="125">
        <v>677.56900327600124</v>
      </c>
      <c r="L1641" s="164">
        <v>2525.7945862874803</v>
      </c>
      <c r="M1641" s="125">
        <v>0</v>
      </c>
      <c r="N1641" s="115">
        <v>15855</v>
      </c>
      <c r="O1641" s="139">
        <v>3349.8900000000003</v>
      </c>
      <c r="P1641" s="125">
        <v>-2817313.9260029998</v>
      </c>
      <c r="Q1641" s="125">
        <v>0</v>
      </c>
      <c r="R1641" s="143"/>
      <c r="S1641" s="125">
        <v>0</v>
      </c>
      <c r="T1641" s="125">
        <v>0</v>
      </c>
      <c r="U1641" s="125">
        <v>3440615.2231109999</v>
      </c>
      <c r="V1641" s="125">
        <v>9.0000000000000002E-6</v>
      </c>
      <c r="W1641" s="142">
        <v>0</v>
      </c>
      <c r="X1641" s="142">
        <v>0.56578714000000008</v>
      </c>
      <c r="Y1641" s="142">
        <v>75690797.237779006</v>
      </c>
      <c r="Z1641" s="142">
        <v>436.09030462894987</v>
      </c>
    </row>
    <row r="1642" spans="1:26" s="2227" customFormat="1">
      <c r="A1642" s="2222">
        <v>45380</v>
      </c>
      <c r="B1642" s="2223">
        <v>172387761.62790501</v>
      </c>
      <c r="C1642" s="2223">
        <v>62273752.444160998</v>
      </c>
      <c r="D1642" s="2223">
        <v>68694197.435773</v>
      </c>
      <c r="E1642" s="2223">
        <v>78592629.041881993</v>
      </c>
      <c r="F1642" s="162">
        <v>209560578.92181599</v>
      </c>
      <c r="G1642" s="2223">
        <v>0</v>
      </c>
      <c r="H1642" s="2223">
        <v>1909.7029557090507</v>
      </c>
      <c r="I1642" s="2223">
        <v>1048.5253297805739</v>
      </c>
      <c r="J1642" s="2223">
        <v>799.7002532309051</v>
      </c>
      <c r="K1642" s="2223">
        <v>677.56900327600124</v>
      </c>
      <c r="L1642" s="2403">
        <v>2525.7945862874803</v>
      </c>
      <c r="M1642" s="2223">
        <v>0</v>
      </c>
      <c r="N1642" s="2224">
        <v>15855</v>
      </c>
      <c r="O1642" s="2225">
        <v>3349.8900000000003</v>
      </c>
      <c r="P1642" s="2223">
        <v>-2817313.9260029998</v>
      </c>
      <c r="Q1642" s="2223">
        <v>0</v>
      </c>
      <c r="R1642" s="143"/>
      <c r="S1642" s="2223">
        <v>0</v>
      </c>
      <c r="T1642" s="2223">
        <v>0</v>
      </c>
      <c r="U1642" s="2223">
        <v>3440615.2231109999</v>
      </c>
      <c r="V1642" s="2223">
        <v>9.0000000000000002E-6</v>
      </c>
      <c r="W1642" s="2226">
        <v>0</v>
      </c>
      <c r="X1642" s="2226">
        <v>0.56578714000000008</v>
      </c>
      <c r="Y1642" s="2226">
        <v>75690797.237779006</v>
      </c>
      <c r="Z1642" s="2226">
        <v>436.09030462894987</v>
      </c>
    </row>
    <row r="1643" spans="1:26" s="2227" customFormat="1">
      <c r="A1643" s="2222">
        <v>45382</v>
      </c>
      <c r="B1643" s="136">
        <v>173792617.847895</v>
      </c>
      <c r="C1643" s="136">
        <v>62821127.939609997</v>
      </c>
      <c r="D1643" s="136">
        <v>68356947.487540007</v>
      </c>
      <c r="E1643" s="136">
        <v>77254920.675564006</v>
      </c>
      <c r="F1643" s="137">
        <v>208432996.102714</v>
      </c>
      <c r="G1643" s="125">
        <v>0</v>
      </c>
      <c r="H1643" s="136">
        <v>1909.5078874495114</v>
      </c>
      <c r="I1643" s="136">
        <v>1044.606354848376</v>
      </c>
      <c r="J1643" s="136">
        <v>799.0952696806055</v>
      </c>
      <c r="K1643" s="136">
        <v>672.51124094216334</v>
      </c>
      <c r="L1643" s="165">
        <v>2516.2128654711451</v>
      </c>
      <c r="M1643" s="136">
        <v>0</v>
      </c>
      <c r="N1643" s="2224">
        <v>15855</v>
      </c>
      <c r="O1643" s="2225">
        <v>3349.8900000000003</v>
      </c>
      <c r="P1643" s="2223">
        <v>-2817313.9260029998</v>
      </c>
      <c r="Q1643" s="2223">
        <v>0</v>
      </c>
      <c r="R1643" s="143"/>
      <c r="S1643" s="2223">
        <v>0</v>
      </c>
      <c r="T1643" s="2223">
        <v>0</v>
      </c>
      <c r="U1643" s="2223">
        <v>3440615.2231109999</v>
      </c>
      <c r="V1643" s="2223">
        <v>9.0000000000000002E-6</v>
      </c>
      <c r="W1643" s="2226">
        <v>0</v>
      </c>
      <c r="X1643" s="2226">
        <v>0.56578714000000008</v>
      </c>
      <c r="Y1643" s="2226">
        <v>75690797.237779006</v>
      </c>
      <c r="Z1643" s="2226">
        <v>436.09030462894987</v>
      </c>
    </row>
    <row r="1644" spans="1:26" s="141" customFormat="1">
      <c r="A1644" s="121">
        <v>45383</v>
      </c>
      <c r="B1644" s="125">
        <v>171453496.120096</v>
      </c>
      <c r="C1644" s="125">
        <v>63094067.981409997</v>
      </c>
      <c r="D1644" s="125">
        <v>68306447.555055007</v>
      </c>
      <c r="E1644" s="125">
        <v>78754954.167854995</v>
      </c>
      <c r="F1644" s="123">
        <v>210155469.70432001</v>
      </c>
      <c r="G1644" s="125">
        <v>-1745000</v>
      </c>
      <c r="H1644" s="125">
        <v>1942.9995163767148</v>
      </c>
      <c r="I1644" s="125">
        <v>1041.3513629550032</v>
      </c>
      <c r="J1644" s="125">
        <v>804.42493205733172</v>
      </c>
      <c r="K1644" s="125">
        <v>662.81360172580241</v>
      </c>
      <c r="L1644" s="164">
        <v>2508.5898967381372</v>
      </c>
      <c r="M1644" s="125">
        <v>-8</v>
      </c>
      <c r="N1644" s="115">
        <v>15890</v>
      </c>
      <c r="O1644" s="139">
        <v>3362.25</v>
      </c>
      <c r="P1644" s="125">
        <v>-10171565.391503001</v>
      </c>
      <c r="Q1644" s="125">
        <v>0</v>
      </c>
      <c r="R1644" s="143"/>
      <c r="S1644" s="125">
        <v>0</v>
      </c>
      <c r="T1644" s="125">
        <v>0</v>
      </c>
      <c r="U1644" s="125">
        <v>3440325.891818</v>
      </c>
      <c r="V1644" s="125">
        <v>9.0000000000000002E-6</v>
      </c>
      <c r="W1644" s="142">
        <v>0</v>
      </c>
      <c r="X1644" s="142">
        <v>0.56578714000000008</v>
      </c>
      <c r="Y1644" s="142">
        <v>75511139.354438007</v>
      </c>
      <c r="Z1644" s="142">
        <v>435.4254106129012</v>
      </c>
    </row>
    <row r="1645" spans="1:26" s="141" customFormat="1">
      <c r="A1645" s="121">
        <v>45384</v>
      </c>
      <c r="B1645" s="125">
        <v>171062233.244138</v>
      </c>
      <c r="C1645" s="125">
        <v>63684807.322261997</v>
      </c>
      <c r="D1645" s="125">
        <v>68308282.082450002</v>
      </c>
      <c r="E1645" s="125">
        <v>79721088.762967005</v>
      </c>
      <c r="F1645" s="123">
        <v>211714178.16767901</v>
      </c>
      <c r="G1645" s="125">
        <v>-1120000</v>
      </c>
      <c r="H1645" s="125">
        <v>1958.8613444715984</v>
      </c>
      <c r="I1645" s="125">
        <v>1050.6261608455054</v>
      </c>
      <c r="J1645" s="125">
        <v>805.83388159187268</v>
      </c>
      <c r="K1645" s="125">
        <v>667.65584758382079</v>
      </c>
      <c r="L1645" s="164">
        <v>2524.1158900211985</v>
      </c>
      <c r="M1645" s="125">
        <v>-45</v>
      </c>
      <c r="N1645" s="115">
        <v>15897</v>
      </c>
      <c r="O1645" s="139">
        <v>3343.5699999999997</v>
      </c>
      <c r="P1645" s="125">
        <v>-10984772.271503</v>
      </c>
      <c r="Q1645" s="125">
        <v>0</v>
      </c>
      <c r="R1645" s="143"/>
      <c r="S1645" s="125">
        <v>0</v>
      </c>
      <c r="T1645" s="125">
        <v>0</v>
      </c>
      <c r="U1645" s="125">
        <v>3738669.0540430001</v>
      </c>
      <c r="V1645" s="125">
        <v>1.0000000000000001E-5</v>
      </c>
      <c r="W1645" s="142">
        <v>0</v>
      </c>
      <c r="X1645" s="142">
        <v>0.56578713999999997</v>
      </c>
      <c r="Y1645" s="142">
        <v>72856445.575880006</v>
      </c>
      <c r="Z1645" s="142">
        <v>436.56148546071586</v>
      </c>
    </row>
    <row r="1646" spans="1:26" s="141" customFormat="1">
      <c r="A1646" s="121">
        <v>45385</v>
      </c>
      <c r="B1646" s="125">
        <v>170672258.16304401</v>
      </c>
      <c r="C1646" s="125">
        <v>64266949.678806998</v>
      </c>
      <c r="D1646" s="125">
        <v>68583310.654035002</v>
      </c>
      <c r="E1646" s="125">
        <v>77962973.514629006</v>
      </c>
      <c r="F1646" s="123">
        <v>210813233.847471</v>
      </c>
      <c r="G1646" s="125">
        <v>-595000</v>
      </c>
      <c r="H1646" s="125">
        <v>1938.6504740349246</v>
      </c>
      <c r="I1646" s="125">
        <v>1064.8833578595477</v>
      </c>
      <c r="J1646" s="125">
        <v>806.93951073693472</v>
      </c>
      <c r="K1646" s="125">
        <v>666.49777871206038</v>
      </c>
      <c r="L1646" s="164">
        <v>2538.3206473085429</v>
      </c>
      <c r="M1646" s="125">
        <v>-45</v>
      </c>
      <c r="N1646" s="115">
        <v>15920</v>
      </c>
      <c r="O1646" s="139">
        <v>3349.1150000000002</v>
      </c>
      <c r="P1646" s="125">
        <v>-10696701.393502999</v>
      </c>
      <c r="Q1646" s="125">
        <v>0</v>
      </c>
      <c r="S1646" s="125">
        <v>0</v>
      </c>
      <c r="T1646" s="125">
        <v>0</v>
      </c>
      <c r="U1646" s="125">
        <v>4224510.1357869999</v>
      </c>
      <c r="V1646" s="125">
        <v>1.0000000000000001E-5</v>
      </c>
      <c r="W1646" s="142">
        <v>-600000</v>
      </c>
      <c r="X1646" s="142">
        <v>21.565787140000001</v>
      </c>
      <c r="Y1646" s="142">
        <v>72420118.758748993</v>
      </c>
      <c r="Z1646" s="142">
        <v>448.38975108228641</v>
      </c>
    </row>
    <row r="1647" spans="1:26" s="141" customFormat="1">
      <c r="A1647" s="121">
        <v>45386</v>
      </c>
      <c r="B1647" s="125">
        <v>170256756.45720899</v>
      </c>
      <c r="C1647" s="125">
        <v>66452244.508804999</v>
      </c>
      <c r="D1647" s="125">
        <v>67670347.926357999</v>
      </c>
      <c r="E1647" s="125">
        <v>78885328.167749003</v>
      </c>
      <c r="F1647" s="123">
        <v>213007920.60291201</v>
      </c>
      <c r="G1647" s="125">
        <v>-300000</v>
      </c>
      <c r="H1647" s="125">
        <v>1947.5817738903884</v>
      </c>
      <c r="I1647" s="125">
        <v>1012.7466263005821</v>
      </c>
      <c r="J1647" s="125">
        <v>805.05881362466562</v>
      </c>
      <c r="K1647" s="125">
        <v>672.60406547748937</v>
      </c>
      <c r="L1647" s="164">
        <v>2490.4095054027371</v>
      </c>
      <c r="M1647" s="125">
        <v>-45</v>
      </c>
      <c r="N1647" s="115">
        <v>15892.5</v>
      </c>
      <c r="O1647" s="139">
        <v>3353.2049999999999</v>
      </c>
      <c r="P1647" s="125">
        <v>-10677759.173503</v>
      </c>
      <c r="Q1647" s="125">
        <v>0</v>
      </c>
      <c r="S1647" s="125">
        <v>0</v>
      </c>
      <c r="T1647" s="125">
        <v>0</v>
      </c>
      <c r="U1647" s="125">
        <v>4820354.3989199996</v>
      </c>
      <c r="V1647" s="125">
        <v>9.0000000000000002E-6</v>
      </c>
      <c r="W1647" s="142">
        <v>-250000</v>
      </c>
      <c r="X1647" s="142">
        <v>0.56578713999999997</v>
      </c>
      <c r="Y1647" s="142">
        <v>72339468.174349993</v>
      </c>
      <c r="Z1647" s="142">
        <v>448.12321521126319</v>
      </c>
    </row>
    <row r="1648" spans="1:26" s="141" customFormat="1">
      <c r="A1648" s="121">
        <v>45387</v>
      </c>
      <c r="B1648" s="125">
        <v>169976737.21942699</v>
      </c>
      <c r="C1648" s="125">
        <v>63909019.809028998</v>
      </c>
      <c r="D1648" s="125">
        <v>68214158.018196002</v>
      </c>
      <c r="E1648" s="125">
        <v>78355535.181587994</v>
      </c>
      <c r="F1648" s="123">
        <v>210478713.00881299</v>
      </c>
      <c r="G1648" s="125">
        <v>-200000</v>
      </c>
      <c r="H1648" s="125">
        <v>1951.204746157526</v>
      </c>
      <c r="I1648" s="125">
        <v>1012.0484605574629</v>
      </c>
      <c r="J1648" s="125">
        <v>808.26972280687914</v>
      </c>
      <c r="K1648" s="125">
        <v>671.8998720214579</v>
      </c>
      <c r="L1648" s="164">
        <v>2492.2180553857997</v>
      </c>
      <c r="M1648" s="125">
        <v>-45</v>
      </c>
      <c r="N1648" s="115">
        <v>15845</v>
      </c>
      <c r="O1648" s="139">
        <v>3338.25</v>
      </c>
      <c r="P1648" s="125">
        <v>-8564805.7935029995</v>
      </c>
      <c r="Q1648" s="125">
        <v>0</v>
      </c>
      <c r="S1648" s="125">
        <v>0</v>
      </c>
      <c r="T1648" s="125">
        <v>0</v>
      </c>
      <c r="U1648" s="125">
        <v>5984161.8502970003</v>
      </c>
      <c r="V1648" s="125">
        <v>9.0000000000000002E-6</v>
      </c>
      <c r="W1648" s="142">
        <v>-675000</v>
      </c>
      <c r="X1648" s="142">
        <v>27.565787139999998</v>
      </c>
      <c r="Y1648" s="142">
        <v>73122576.927453995</v>
      </c>
      <c r="Z1648" s="142">
        <v>463.40422405484378</v>
      </c>
    </row>
    <row r="1649" spans="1:26" s="141" customFormat="1">
      <c r="A1649" s="121">
        <v>45398</v>
      </c>
      <c r="B1649" s="125">
        <v>169254420.71884501</v>
      </c>
      <c r="C1649" s="125">
        <v>66893050.418534003</v>
      </c>
      <c r="D1649" s="125">
        <v>67611064.429243997</v>
      </c>
      <c r="E1649" s="125">
        <v>80094744.157358006</v>
      </c>
      <c r="F1649" s="123">
        <v>214598859.00513601</v>
      </c>
      <c r="G1649" s="125">
        <v>-750000</v>
      </c>
      <c r="H1649" s="125">
        <v>1941.2020618027202</v>
      </c>
      <c r="I1649" s="125">
        <v>1042.8288377110973</v>
      </c>
      <c r="J1649" s="125">
        <v>797.75474668816082</v>
      </c>
      <c r="K1649" s="125">
        <v>659.22752202534775</v>
      </c>
      <c r="L1649" s="164">
        <v>2499.8111064246059</v>
      </c>
      <c r="M1649" s="125">
        <v>0</v>
      </c>
      <c r="N1649" s="115">
        <v>16175</v>
      </c>
      <c r="O1649" s="139">
        <v>3373.835</v>
      </c>
      <c r="P1649" s="125">
        <v>-6067884.2435029997</v>
      </c>
      <c r="Q1649" s="125">
        <v>0</v>
      </c>
      <c r="S1649" s="125">
        <v>0</v>
      </c>
      <c r="T1649" s="125">
        <v>0</v>
      </c>
      <c r="U1649" s="125">
        <v>3716092.9924710002</v>
      </c>
      <c r="V1649" s="125">
        <v>1.2E-5</v>
      </c>
      <c r="W1649" s="142">
        <v>0</v>
      </c>
      <c r="X1649" s="142">
        <v>0.56578713999999997</v>
      </c>
      <c r="Y1649" s="142">
        <v>74845801.076309994</v>
      </c>
      <c r="Z1649" s="142">
        <v>407.44077715109739</v>
      </c>
    </row>
    <row r="1650" spans="1:26" s="141" customFormat="1">
      <c r="A1650" s="121">
        <v>45399</v>
      </c>
      <c r="B1650" s="125">
        <v>169091873.01067701</v>
      </c>
      <c r="C1650" s="125">
        <v>67266340.620180994</v>
      </c>
      <c r="D1650" s="125">
        <v>67299673.765972003</v>
      </c>
      <c r="E1650" s="125">
        <v>79881577.604215994</v>
      </c>
      <c r="F1650" s="123">
        <v>214447591.99036896</v>
      </c>
      <c r="G1650" s="125">
        <v>-150000</v>
      </c>
      <c r="H1650" s="125">
        <v>1955.0634475138099</v>
      </c>
      <c r="I1650" s="125">
        <v>1040.3078265368063</v>
      </c>
      <c r="J1650" s="125">
        <v>794.43614076849565</v>
      </c>
      <c r="K1650" s="125">
        <v>678.84836132922317</v>
      </c>
      <c r="L1650" s="164">
        <v>2513.5923286345251</v>
      </c>
      <c r="M1650" s="125">
        <v>0</v>
      </c>
      <c r="N1650" s="115">
        <v>16220</v>
      </c>
      <c r="O1650" s="139">
        <v>3384.81</v>
      </c>
      <c r="P1650" s="125">
        <v>-6265177.4100029999</v>
      </c>
      <c r="Q1650" s="125">
        <v>0</v>
      </c>
      <c r="S1650" s="125">
        <v>0</v>
      </c>
      <c r="T1650" s="125">
        <v>0</v>
      </c>
      <c r="U1650" s="125">
        <v>3715829.6662590001</v>
      </c>
      <c r="V1650" s="125">
        <v>1.2999999999999999E-5</v>
      </c>
      <c r="W1650" s="142">
        <v>0</v>
      </c>
      <c r="X1650" s="142">
        <v>5.5657871400000003</v>
      </c>
      <c r="Y1650" s="142">
        <v>74605054.252865002</v>
      </c>
      <c r="Z1650" s="142">
        <v>406.10984878791618</v>
      </c>
    </row>
    <row r="1651" spans="1:26" s="141" customFormat="1">
      <c r="A1651" s="121">
        <v>45400</v>
      </c>
      <c r="B1651" s="125">
        <v>169070426.69400901</v>
      </c>
      <c r="C1651" s="125">
        <v>67205029.165185004</v>
      </c>
      <c r="D1651" s="125">
        <v>67112682.182278007</v>
      </c>
      <c r="E1651" s="125">
        <v>80400706.158545002</v>
      </c>
      <c r="F1651" s="123">
        <v>214718417.50600803</v>
      </c>
      <c r="G1651" s="125">
        <v>0</v>
      </c>
      <c r="H1651" s="125">
        <v>1935.286917651252</v>
      </c>
      <c r="I1651" s="125">
        <v>1000.5556992906955</v>
      </c>
      <c r="J1651" s="125">
        <v>793.06413392908814</v>
      </c>
      <c r="K1651" s="125">
        <v>686.69567454077276</v>
      </c>
      <c r="L1651" s="164">
        <v>2480.3155077605566</v>
      </c>
      <c r="M1651" s="125">
        <v>0</v>
      </c>
      <c r="N1651" s="115">
        <v>16175</v>
      </c>
      <c r="O1651" s="139">
        <v>3382.125</v>
      </c>
      <c r="P1651" s="125">
        <v>-6265177.4100029999</v>
      </c>
      <c r="Q1651" s="125">
        <v>0</v>
      </c>
      <c r="S1651" s="125">
        <v>0</v>
      </c>
      <c r="T1651" s="125">
        <v>0</v>
      </c>
      <c r="U1651" s="125">
        <v>3715840.5220070002</v>
      </c>
      <c r="V1651" s="125">
        <v>1.2E-5</v>
      </c>
      <c r="W1651" s="142">
        <v>0</v>
      </c>
      <c r="X1651" s="142">
        <v>0.56578713999999997</v>
      </c>
      <c r="Y1651" s="142">
        <v>74601153.27166</v>
      </c>
      <c r="Z1651" s="142">
        <v>406.81385182714064</v>
      </c>
    </row>
    <row r="1652" spans="1:26" s="141" customFormat="1">
      <c r="A1652" s="121">
        <v>45401</v>
      </c>
      <c r="B1652" s="125">
        <v>169222063.912112</v>
      </c>
      <c r="C1652" s="125">
        <v>65595434.482594997</v>
      </c>
      <c r="D1652" s="125">
        <v>67163468.432282999</v>
      </c>
      <c r="E1652" s="125">
        <v>81158727.420261994</v>
      </c>
      <c r="F1652" s="123">
        <v>213917630.33513999</v>
      </c>
      <c r="G1652" s="125">
        <v>-100000</v>
      </c>
      <c r="H1652" s="125">
        <v>1941.3327847602584</v>
      </c>
      <c r="I1652" s="125">
        <v>1005.9441523207628</v>
      </c>
      <c r="J1652" s="125">
        <v>795.59456551048913</v>
      </c>
      <c r="K1652" s="125">
        <v>686.64504823931088</v>
      </c>
      <c r="L1652" s="164">
        <v>2488.1837660705628</v>
      </c>
      <c r="M1652" s="125">
        <v>0</v>
      </c>
      <c r="N1652" s="115">
        <v>16255</v>
      </c>
      <c r="O1652" s="139">
        <v>3398.4949999999999</v>
      </c>
      <c r="P1652" s="125">
        <v>-6458334.2600029996</v>
      </c>
      <c r="Q1652" s="125">
        <v>0</v>
      </c>
      <c r="S1652" s="125">
        <v>0</v>
      </c>
      <c r="T1652" s="125">
        <v>0</v>
      </c>
      <c r="U1652" s="125">
        <v>3530523.9876959999</v>
      </c>
      <c r="V1652" s="125">
        <v>1.2999999999999999E-5</v>
      </c>
      <c r="W1652" s="142">
        <v>0</v>
      </c>
      <c r="X1652" s="142">
        <v>5.5657871400000003</v>
      </c>
      <c r="Y1652" s="142">
        <v>75392825.595933005</v>
      </c>
      <c r="Z1652" s="142">
        <v>401.87067380596739</v>
      </c>
    </row>
    <row r="1653" spans="1:26" s="141" customFormat="1">
      <c r="A1653" s="121">
        <v>45404</v>
      </c>
      <c r="B1653" s="125">
        <v>169295550.45278001</v>
      </c>
      <c r="C1653" s="125">
        <v>67622098.221420005</v>
      </c>
      <c r="D1653" s="125">
        <v>66992155.841026999</v>
      </c>
      <c r="E1653" s="125">
        <v>81152494.984457001</v>
      </c>
      <c r="F1653" s="123">
        <v>215766749.04690403</v>
      </c>
      <c r="G1653" s="125">
        <v>-820000</v>
      </c>
      <c r="H1653" s="125">
        <v>1924.8861334298736</v>
      </c>
      <c r="I1653" s="125">
        <v>998.18139580498917</v>
      </c>
      <c r="J1653" s="125">
        <v>791.15084458817375</v>
      </c>
      <c r="K1653" s="125">
        <v>699.00467575355708</v>
      </c>
      <c r="L1653" s="164">
        <v>2488.3369161467199</v>
      </c>
      <c r="M1653" s="125">
        <v>0</v>
      </c>
      <c r="N1653" s="115">
        <v>16235</v>
      </c>
      <c r="O1653" s="139">
        <v>3393.605</v>
      </c>
      <c r="P1653" s="125">
        <v>-7637418.6264030002</v>
      </c>
      <c r="Q1653" s="125">
        <v>0</v>
      </c>
      <c r="S1653" s="125">
        <v>0</v>
      </c>
      <c r="T1653" s="125">
        <v>0</v>
      </c>
      <c r="U1653" s="125">
        <v>3530201.7954079998</v>
      </c>
      <c r="V1653" s="125">
        <v>1.2999999999999999E-5</v>
      </c>
      <c r="W1653" s="142">
        <v>0</v>
      </c>
      <c r="X1653" s="142">
        <v>5.5657871399999994</v>
      </c>
      <c r="Y1653" s="142">
        <v>76560857.266147003</v>
      </c>
      <c r="Z1653" s="142">
        <v>405.6008873700647</v>
      </c>
    </row>
    <row r="1654" spans="1:26" s="141" customFormat="1">
      <c r="A1654" s="121">
        <v>45405</v>
      </c>
      <c r="B1654" s="125">
        <v>168366508.49628499</v>
      </c>
      <c r="C1654" s="125">
        <v>68749472.017453</v>
      </c>
      <c r="D1654" s="125">
        <v>66895001.622139998</v>
      </c>
      <c r="E1654" s="125">
        <v>82766151.095043004</v>
      </c>
      <c r="F1654" s="123">
        <v>218410624.73463601</v>
      </c>
      <c r="G1654" s="125">
        <v>-820000</v>
      </c>
      <c r="H1654" s="125">
        <v>1931.1585424974721</v>
      </c>
      <c r="I1654" s="125">
        <v>1061.425173453699</v>
      </c>
      <c r="J1654" s="125">
        <v>790.3857600361282</v>
      </c>
      <c r="K1654" s="125">
        <v>699.29847792817509</v>
      </c>
      <c r="L1654" s="164">
        <v>2551.1094114180023</v>
      </c>
      <c r="M1654" s="125">
        <v>0</v>
      </c>
      <c r="N1654" s="115">
        <v>16220</v>
      </c>
      <c r="O1654" s="139">
        <v>3396.8599999999997</v>
      </c>
      <c r="P1654" s="125">
        <v>-4230545.1664030002</v>
      </c>
      <c r="Q1654" s="125">
        <v>0</v>
      </c>
      <c r="S1654" s="125">
        <v>0</v>
      </c>
      <c r="T1654" s="125">
        <v>0</v>
      </c>
      <c r="U1654" s="125">
        <v>3530204.855773</v>
      </c>
      <c r="V1654" s="125">
        <v>1.2999999999999999E-5</v>
      </c>
      <c r="W1654" s="142">
        <v>0</v>
      </c>
      <c r="X1654" s="142">
        <v>5.5657871400000003</v>
      </c>
      <c r="Y1654" s="142">
        <v>77632040.109441996</v>
      </c>
      <c r="Z1654" s="142">
        <v>405.45960064562269</v>
      </c>
    </row>
    <row r="1655" spans="1:26" s="141" customFormat="1">
      <c r="A1655" s="121">
        <v>45406</v>
      </c>
      <c r="B1655" s="125">
        <v>167491199.308579</v>
      </c>
      <c r="C1655" s="125">
        <v>69236178.606004998</v>
      </c>
      <c r="D1655" s="125">
        <v>66749731.139161997</v>
      </c>
      <c r="E1655" s="125">
        <v>82585573.807610005</v>
      </c>
      <c r="F1655" s="123">
        <v>218571483.55277699</v>
      </c>
      <c r="G1655" s="125">
        <v>-820000</v>
      </c>
      <c r="H1655" s="125">
        <v>1907.8907360698236</v>
      </c>
      <c r="I1655" s="125">
        <v>1095.9284505731973</v>
      </c>
      <c r="J1655" s="125">
        <v>796.08556001590841</v>
      </c>
      <c r="K1655" s="125">
        <v>700.67453069328383</v>
      </c>
      <c r="L1655" s="164">
        <v>2592.6885412823895</v>
      </c>
      <c r="M1655" s="125">
        <v>0</v>
      </c>
      <c r="N1655" s="115">
        <v>16155</v>
      </c>
      <c r="O1655" s="139">
        <v>3381.12</v>
      </c>
      <c r="P1655" s="125">
        <v>-2510327.5664030001</v>
      </c>
      <c r="Q1655" s="125">
        <v>0</v>
      </c>
      <c r="S1655" s="125">
        <v>0</v>
      </c>
      <c r="T1655" s="125">
        <v>0</v>
      </c>
      <c r="U1655" s="125">
        <v>3530215.262015</v>
      </c>
      <c r="V1655" s="125">
        <v>1.2E-5</v>
      </c>
      <c r="W1655" s="142">
        <v>-80000</v>
      </c>
      <c r="X1655" s="142">
        <v>5.5657871400000003</v>
      </c>
      <c r="Y1655" s="142">
        <v>77447823.003354996</v>
      </c>
      <c r="Z1655" s="142">
        <v>405.37172052064381</v>
      </c>
    </row>
    <row r="1656" spans="1:26" s="141" customFormat="1">
      <c r="A1656" s="121">
        <v>45407</v>
      </c>
      <c r="B1656" s="125">
        <v>167842600.97081301</v>
      </c>
      <c r="C1656" s="125">
        <v>69348976.132431999</v>
      </c>
      <c r="D1656" s="125">
        <v>67542112.772791997</v>
      </c>
      <c r="E1656" s="125">
        <v>81625829.402377993</v>
      </c>
      <c r="F1656" s="123">
        <v>218516918.30760199</v>
      </c>
      <c r="G1656" s="125">
        <v>-820000</v>
      </c>
      <c r="H1656" s="125">
        <v>1881.2866153831042</v>
      </c>
      <c r="I1656" s="125">
        <v>1036.2722210457453</v>
      </c>
      <c r="J1656" s="125">
        <v>795.55463257995359</v>
      </c>
      <c r="K1656" s="125">
        <v>663.53005355496521</v>
      </c>
      <c r="L1656" s="164">
        <v>2495.3569071806642</v>
      </c>
      <c r="M1656" s="125">
        <v>-23</v>
      </c>
      <c r="N1656" s="115">
        <v>16187.5</v>
      </c>
      <c r="O1656" s="139">
        <v>3384.7400000000002</v>
      </c>
      <c r="P1656" s="125">
        <v>-2510327.5664030001</v>
      </c>
      <c r="Q1656" s="125">
        <v>0</v>
      </c>
      <c r="S1656" s="125">
        <v>0</v>
      </c>
      <c r="T1656" s="125">
        <v>0</v>
      </c>
      <c r="U1656" s="125">
        <v>7076179.7814659998</v>
      </c>
      <c r="V1656" s="125">
        <v>1.2E-5</v>
      </c>
      <c r="W1656" s="142">
        <v>-200000</v>
      </c>
      <c r="X1656" s="142">
        <v>0.56578714000000008</v>
      </c>
      <c r="Y1656" s="142">
        <v>77117392.876222998</v>
      </c>
      <c r="Z1656" s="142">
        <v>404.18926871079532</v>
      </c>
    </row>
    <row r="1657" spans="1:26" s="141" customFormat="1">
      <c r="A1657" s="121">
        <v>45408</v>
      </c>
      <c r="B1657" s="125">
        <v>168015378.54652601</v>
      </c>
      <c r="C1657" s="125">
        <v>67130268.679333001</v>
      </c>
      <c r="D1657" s="125">
        <v>67861603.333174005</v>
      </c>
      <c r="E1657" s="125">
        <v>81957023.674307004</v>
      </c>
      <c r="F1657" s="123">
        <v>216948895.68681401</v>
      </c>
      <c r="G1657" s="125">
        <v>-820000</v>
      </c>
      <c r="H1657" s="125">
        <v>1855.2880378285008</v>
      </c>
      <c r="I1657" s="125">
        <v>1058.5697651756325</v>
      </c>
      <c r="J1657" s="125">
        <v>795.27357694663795</v>
      </c>
      <c r="K1657" s="125">
        <v>660.37611442214677</v>
      </c>
      <c r="L1657" s="164">
        <v>2514.219456544417</v>
      </c>
      <c r="M1657" s="125">
        <v>-33</v>
      </c>
      <c r="N1657" s="115">
        <v>16210</v>
      </c>
      <c r="O1657" s="139">
        <v>3395.4800000000005</v>
      </c>
      <c r="P1657" s="125">
        <v>-1928401.366403</v>
      </c>
      <c r="Q1657" s="125">
        <v>0</v>
      </c>
      <c r="S1657" s="125">
        <v>0</v>
      </c>
      <c r="T1657" s="125">
        <v>0</v>
      </c>
      <c r="U1657" s="125">
        <v>4499296.6284980001</v>
      </c>
      <c r="V1657" s="125">
        <v>1.2999999999999999E-5</v>
      </c>
      <c r="W1657" s="142">
        <v>0</v>
      </c>
      <c r="X1657" s="142">
        <v>10.565787139999999</v>
      </c>
      <c r="Y1657" s="142">
        <v>77450707.358283997</v>
      </c>
      <c r="Z1657" s="142">
        <v>405.36399953615052</v>
      </c>
    </row>
    <row r="1658" spans="1:26" s="141" customFormat="1">
      <c r="A1658" s="121">
        <v>45411</v>
      </c>
      <c r="B1658" s="125">
        <v>168437410.384801</v>
      </c>
      <c r="C1658" s="125">
        <v>66655442.924443997</v>
      </c>
      <c r="D1658" s="125">
        <v>67442755.037331</v>
      </c>
      <c r="E1658" s="125">
        <v>82200422.571210995</v>
      </c>
      <c r="F1658" s="123">
        <v>216298620.53298599</v>
      </c>
      <c r="G1658" s="125">
        <v>0</v>
      </c>
      <c r="H1658" s="125">
        <v>1846.8131952947401</v>
      </c>
      <c r="I1658" s="125">
        <v>1026.7843744319287</v>
      </c>
      <c r="J1658" s="125">
        <v>797.86806940492158</v>
      </c>
      <c r="K1658" s="125">
        <v>650.41630007185483</v>
      </c>
      <c r="L1658" s="164">
        <v>2475.0687439087051</v>
      </c>
      <c r="M1658" s="125">
        <v>0</v>
      </c>
      <c r="N1658" s="115">
        <v>16255</v>
      </c>
      <c r="O1658" s="139">
        <v>3405.6149999999998</v>
      </c>
      <c r="P1658" s="125">
        <v>-749317.00000300002</v>
      </c>
      <c r="Q1658" s="125">
        <v>0</v>
      </c>
      <c r="S1658" s="125">
        <v>0</v>
      </c>
      <c r="T1658" s="125">
        <v>0</v>
      </c>
      <c r="U1658" s="125">
        <v>4931438.3839520002</v>
      </c>
      <c r="V1658" s="125">
        <v>1.2999999999999999E-5</v>
      </c>
      <c r="W1658" s="142">
        <v>-350000</v>
      </c>
      <c r="X1658" s="142">
        <v>0.56578713999999997</v>
      </c>
      <c r="Y1658" s="142">
        <v>76854908.899978995</v>
      </c>
      <c r="Z1658" s="142">
        <v>404.60205543488155</v>
      </c>
    </row>
    <row r="1659" spans="1:26" s="2227" customFormat="1">
      <c r="A1659" s="2697">
        <v>45412</v>
      </c>
      <c r="B1659" s="136">
        <v>171656131.08297101</v>
      </c>
      <c r="C1659" s="136">
        <v>63519864.6461</v>
      </c>
      <c r="D1659" s="136">
        <v>68361314.766095996</v>
      </c>
      <c r="E1659" s="136">
        <v>80241268.547554001</v>
      </c>
      <c r="F1659" s="137">
        <v>212122447.95975</v>
      </c>
      <c r="G1659" s="125">
        <v>0</v>
      </c>
      <c r="H1659" s="136">
        <v>1840.0486796784749</v>
      </c>
      <c r="I1659" s="136">
        <v>1053.6333448495695</v>
      </c>
      <c r="J1659" s="136">
        <v>792.65545980178354</v>
      </c>
      <c r="K1659" s="136">
        <v>640.64624540971704</v>
      </c>
      <c r="L1659" s="165">
        <v>2486.9350500610699</v>
      </c>
      <c r="M1659" s="136">
        <v>0</v>
      </c>
      <c r="N1659" s="2224">
        <v>16260</v>
      </c>
      <c r="O1659" s="2225">
        <v>3408.8050000000003</v>
      </c>
      <c r="P1659" s="2223">
        <v>-281014.50000300002</v>
      </c>
      <c r="Q1659" s="2223">
        <v>0</v>
      </c>
      <c r="R1659" s="143"/>
      <c r="S1659" s="2223">
        <v>0</v>
      </c>
      <c r="T1659" s="2223">
        <v>0</v>
      </c>
      <c r="U1659" s="2223">
        <v>4471475.2135659996</v>
      </c>
      <c r="V1659" s="2223">
        <v>1.2999999999999999E-5</v>
      </c>
      <c r="W1659" s="2226">
        <v>0</v>
      </c>
      <c r="X1659" s="2226">
        <v>11.565787139999999</v>
      </c>
      <c r="Y1659" s="2226">
        <v>76127409.330920994</v>
      </c>
      <c r="Z1659" s="2226">
        <v>410.86097376076259</v>
      </c>
    </row>
    <row r="1660" spans="1:26" s="2227" customFormat="1">
      <c r="A1660" s="2222">
        <v>45413</v>
      </c>
      <c r="B1660" s="2223">
        <v>171515736.440754</v>
      </c>
      <c r="C1660" s="2223">
        <v>63677932.372947998</v>
      </c>
      <c r="D1660" s="2223">
        <v>68372018.541326001</v>
      </c>
      <c r="E1660" s="2223">
        <v>81950490.569525003</v>
      </c>
      <c r="F1660" s="162">
        <v>214000441.48379901</v>
      </c>
      <c r="G1660" s="2223">
        <v>0</v>
      </c>
      <c r="H1660" s="2223">
        <v>1840.0486796782902</v>
      </c>
      <c r="I1660" s="2223">
        <v>1062.7995625635915</v>
      </c>
      <c r="J1660" s="2223">
        <v>792.65545971291522</v>
      </c>
      <c r="K1660" s="2223">
        <v>646.0084465662361</v>
      </c>
      <c r="L1660" s="2403">
        <v>2501.4634688427427</v>
      </c>
      <c r="M1660" s="2223">
        <v>0</v>
      </c>
      <c r="N1660" s="2224">
        <v>16260</v>
      </c>
      <c r="O1660" s="2225">
        <v>3408.8050000000003</v>
      </c>
      <c r="P1660" s="2223">
        <v>-281014.50000300002</v>
      </c>
      <c r="Q1660" s="2223">
        <v>0</v>
      </c>
      <c r="S1660" s="2223">
        <v>0</v>
      </c>
      <c r="T1660" s="2223">
        <v>0</v>
      </c>
      <c r="U1660" s="2223">
        <v>4471475.2135659996</v>
      </c>
      <c r="V1660" s="2223">
        <v>1.2999999999999999E-5</v>
      </c>
      <c r="W1660" s="2226">
        <v>0</v>
      </c>
      <c r="X1660" s="2226">
        <v>11.565787139999999</v>
      </c>
      <c r="Y1660" s="2226">
        <v>76127409.330920994</v>
      </c>
      <c r="Z1660" s="2226">
        <v>410.86097376076259</v>
      </c>
    </row>
    <row r="1661" spans="1:26" s="2703" customFormat="1">
      <c r="A1661" s="2697">
        <v>45414</v>
      </c>
      <c r="B1661" s="2698">
        <v>170452772.79416099</v>
      </c>
      <c r="C1661" s="2698">
        <v>62624519.512188002</v>
      </c>
      <c r="D1661" s="2698">
        <v>67551946.877970994</v>
      </c>
      <c r="E1661" s="2698">
        <v>79648031.730889007</v>
      </c>
      <c r="F1661" s="2699">
        <v>209824498.121048</v>
      </c>
      <c r="G1661" s="2698">
        <v>-1880000</v>
      </c>
      <c r="H1661" s="2698">
        <v>1850.0462331611986</v>
      </c>
      <c r="I1661" s="2698">
        <v>1059.9295574592525</v>
      </c>
      <c r="J1661" s="2698">
        <v>801.80231551807231</v>
      </c>
      <c r="K1661" s="2698">
        <v>645.8024262070436</v>
      </c>
      <c r="L1661" s="2700">
        <v>2507.5342991843681</v>
      </c>
      <c r="M1661" s="2698">
        <v>0</v>
      </c>
      <c r="N1661" s="2701">
        <v>16185</v>
      </c>
      <c r="O1661" s="2702">
        <v>3403.07</v>
      </c>
      <c r="P1661" s="2698">
        <v>-5864107.1200029999</v>
      </c>
      <c r="Q1661" s="2698">
        <v>0</v>
      </c>
      <c r="S1661" s="2698">
        <v>0</v>
      </c>
      <c r="T1661" s="2698">
        <v>0</v>
      </c>
      <c r="U1661" s="2698">
        <v>2779582.8991149999</v>
      </c>
      <c r="V1661" s="2698">
        <v>1.2E-5</v>
      </c>
      <c r="W1661" s="2704">
        <v>0</v>
      </c>
      <c r="X1661" s="2704">
        <v>5.5657871399999994</v>
      </c>
      <c r="Y1661" s="2704">
        <v>77937261.644530997</v>
      </c>
      <c r="Z1661" s="2704">
        <v>412.07786217442072</v>
      </c>
    </row>
    <row r="1662" spans="1:26" s="2703" customFormat="1">
      <c r="A1662" s="2697">
        <v>45415</v>
      </c>
      <c r="B1662" s="2698">
        <v>169731744.61687601</v>
      </c>
      <c r="C1662" s="2698">
        <v>66255141.010693997</v>
      </c>
      <c r="D1662" s="2698">
        <v>67092006.601782002</v>
      </c>
      <c r="E1662" s="2698">
        <v>79950909.460398003</v>
      </c>
      <c r="F1662" s="2699">
        <v>213298057.07287401</v>
      </c>
      <c r="G1662" s="2698">
        <v>-1780000</v>
      </c>
      <c r="H1662" s="2698">
        <v>1802.5120939145736</v>
      </c>
      <c r="I1662" s="2698">
        <v>1089.8564615349417</v>
      </c>
      <c r="J1662" s="2698">
        <v>809.48438200764735</v>
      </c>
      <c r="K1662" s="2698">
        <v>649.61859332634913</v>
      </c>
      <c r="L1662" s="2700">
        <v>2548.9594368689382</v>
      </c>
      <c r="M1662" s="2698">
        <v>0</v>
      </c>
      <c r="N1662" s="2701">
        <v>16084</v>
      </c>
      <c r="O1662" s="2702">
        <v>3393.9650000000001</v>
      </c>
      <c r="P1662" s="2698">
        <v>-8258772.3450030005</v>
      </c>
      <c r="Q1662" s="2698">
        <v>0</v>
      </c>
      <c r="S1662" s="2698">
        <v>0</v>
      </c>
      <c r="T1662" s="2698">
        <v>0</v>
      </c>
      <c r="U1662" s="2698">
        <v>2779819.1823849999</v>
      </c>
      <c r="V1662" s="2698">
        <v>1.1E-5</v>
      </c>
      <c r="W1662" s="2704">
        <v>0</v>
      </c>
      <c r="X1662" s="2704">
        <v>0.56578713999999997</v>
      </c>
      <c r="Y1662" s="2704">
        <v>80669995.654624</v>
      </c>
      <c r="Z1662" s="2704">
        <v>409.98093983586176</v>
      </c>
    </row>
    <row r="1663" spans="1:26" s="2703" customFormat="1">
      <c r="A1663" s="2697">
        <v>45418</v>
      </c>
      <c r="B1663" s="2698">
        <v>169085162.640255</v>
      </c>
      <c r="C1663" s="2698">
        <v>67779763.901052997</v>
      </c>
      <c r="D1663" s="2698">
        <v>66918237.744498</v>
      </c>
      <c r="E1663" s="2698">
        <v>81090658.761142999</v>
      </c>
      <c r="F1663" s="2699">
        <v>215788660.40669399</v>
      </c>
      <c r="G1663" s="2698">
        <v>-1280000</v>
      </c>
      <c r="H1663" s="2698">
        <v>1819.7151737422776</v>
      </c>
      <c r="I1663" s="2698">
        <v>1097.5227759306708</v>
      </c>
      <c r="J1663" s="2698">
        <v>806.73228545329175</v>
      </c>
      <c r="K1663" s="2698">
        <v>653.20237569822154</v>
      </c>
      <c r="L1663" s="2700">
        <v>2557.4574370821842</v>
      </c>
      <c r="M1663" s="2698">
        <v>0</v>
      </c>
      <c r="N1663" s="2701">
        <v>16025</v>
      </c>
      <c r="O1663" s="2702">
        <v>3379.0250000000001</v>
      </c>
      <c r="P1663" s="2698">
        <v>-7787920.5250030002</v>
      </c>
      <c r="Q1663" s="2698">
        <v>0</v>
      </c>
      <c r="S1663" s="2698">
        <v>0</v>
      </c>
      <c r="T1663" s="2698">
        <v>0</v>
      </c>
      <c r="U1663" s="2698">
        <v>2779709.5819600001</v>
      </c>
      <c r="V1663" s="2698">
        <v>1.1E-5</v>
      </c>
      <c r="W1663" s="2704">
        <v>0</v>
      </c>
      <c r="X1663" s="2704">
        <v>10.565787139999999</v>
      </c>
      <c r="Y1663" s="2704">
        <v>77973900.067012995</v>
      </c>
      <c r="Z1663" s="2704">
        <v>414.60049691744149</v>
      </c>
    </row>
    <row r="1664" spans="1:26" s="2703" customFormat="1">
      <c r="A1664" s="2697">
        <v>45419</v>
      </c>
      <c r="B1664" s="2698">
        <v>168105394.847664</v>
      </c>
      <c r="C1664" s="2698">
        <v>66782842.575538002</v>
      </c>
      <c r="D1664" s="2698">
        <v>66696123.794878997</v>
      </c>
      <c r="E1664" s="2698">
        <v>81069703.164727002</v>
      </c>
      <c r="F1664" s="2699">
        <v>214548669.535144</v>
      </c>
      <c r="G1664" s="2698">
        <v>-550000</v>
      </c>
      <c r="H1664" s="2698">
        <v>1861.3879151236522</v>
      </c>
      <c r="I1664" s="2698">
        <v>1091.7028132234341</v>
      </c>
      <c r="J1664" s="2698">
        <v>808.58266647391713</v>
      </c>
      <c r="K1664" s="2698">
        <v>680.61341126126513</v>
      </c>
      <c r="L1664" s="2700">
        <v>2580.898890958616</v>
      </c>
      <c r="M1664" s="2698">
        <v>0</v>
      </c>
      <c r="N1664" s="2701">
        <v>16045</v>
      </c>
      <c r="O1664" s="2702">
        <v>3387.165</v>
      </c>
      <c r="P1664" s="2698">
        <v>-8085342.9250029996</v>
      </c>
      <c r="Q1664" s="2698">
        <v>0</v>
      </c>
      <c r="S1664" s="2698">
        <v>0</v>
      </c>
      <c r="T1664" s="2698">
        <v>0</v>
      </c>
      <c r="U1664" s="2698">
        <v>3077136.467348</v>
      </c>
      <c r="V1664" s="2698">
        <v>1.1E-5</v>
      </c>
      <c r="W1664" s="2704">
        <v>0</v>
      </c>
      <c r="X1664" s="2704">
        <v>15.565787139999998</v>
      </c>
      <c r="Y1664" s="2704">
        <v>77872303.410208002</v>
      </c>
      <c r="Z1664" s="2704">
        <v>420.77465253225301</v>
      </c>
    </row>
    <row r="1665" spans="1:26" s="2703" customFormat="1">
      <c r="A1665" s="2697">
        <v>45420</v>
      </c>
      <c r="B1665" s="2698">
        <v>167753735.61310399</v>
      </c>
      <c r="C1665" s="2698">
        <v>65452200.162955999</v>
      </c>
      <c r="D1665" s="2698">
        <v>66427353.883284003</v>
      </c>
      <c r="E1665" s="2698">
        <v>80912295.201285005</v>
      </c>
      <c r="F1665" s="2699">
        <v>212791849.24752501</v>
      </c>
      <c r="G1665" s="2698">
        <v>-550000</v>
      </c>
      <c r="H1665" s="2698">
        <v>1856.8110573337487</v>
      </c>
      <c r="I1665" s="2698">
        <v>1074.1849385083826</v>
      </c>
      <c r="J1665" s="2698">
        <v>810.659157978498</v>
      </c>
      <c r="K1665" s="2698">
        <v>675.42282382679969</v>
      </c>
      <c r="L1665" s="2700">
        <v>2560.2669203136802</v>
      </c>
      <c r="M1665" s="2698">
        <v>0</v>
      </c>
      <c r="N1665" s="2701">
        <v>16045</v>
      </c>
      <c r="O1665" s="2702">
        <v>3380.03</v>
      </c>
      <c r="P1665" s="2698">
        <v>-6463558.4750030003</v>
      </c>
      <c r="Q1665" s="2698">
        <v>0</v>
      </c>
      <c r="S1665" s="2698">
        <v>0</v>
      </c>
      <c r="T1665" s="2698">
        <v>0</v>
      </c>
      <c r="U1665" s="2698">
        <v>3359286.2114019999</v>
      </c>
      <c r="V1665" s="2698">
        <v>1.1E-5</v>
      </c>
      <c r="W1665" s="2704">
        <v>0</v>
      </c>
      <c r="X1665" s="2704">
        <v>2.0657871399999999</v>
      </c>
      <c r="Y1665" s="2704">
        <v>77850191.692745</v>
      </c>
      <c r="Z1665" s="2704">
        <v>416.59530547510127</v>
      </c>
    </row>
    <row r="1666" spans="1:26" s="2227" customFormat="1">
      <c r="A1666" s="2222">
        <v>45422</v>
      </c>
      <c r="B1666" s="2223">
        <v>167753735.61310399</v>
      </c>
      <c r="C1666" s="2223">
        <v>65452200.162955999</v>
      </c>
      <c r="D1666" s="2223">
        <v>66427353.883284003</v>
      </c>
      <c r="E1666" s="2223">
        <v>80912295.201285005</v>
      </c>
      <c r="F1666" s="162">
        <v>212791849.24752501</v>
      </c>
      <c r="G1666" s="2223">
        <v>-550000</v>
      </c>
      <c r="H1666" s="2223">
        <v>1856.8110573337487</v>
      </c>
      <c r="I1666" s="2223">
        <v>1074.1849385083826</v>
      </c>
      <c r="J1666" s="2223">
        <v>810.659157978498</v>
      </c>
      <c r="K1666" s="2223">
        <v>675.42282382679969</v>
      </c>
      <c r="L1666" s="2403">
        <v>2560.2669203136802</v>
      </c>
      <c r="M1666" s="2223">
        <v>0</v>
      </c>
      <c r="N1666" s="2224">
        <v>16045</v>
      </c>
      <c r="O1666" s="2225">
        <v>3380.03</v>
      </c>
      <c r="P1666" s="2223">
        <v>-6463558.4750030003</v>
      </c>
      <c r="Q1666" s="2223">
        <v>0</v>
      </c>
      <c r="S1666" s="2223">
        <v>0</v>
      </c>
      <c r="T1666" s="2223">
        <v>0</v>
      </c>
      <c r="U1666" s="2223">
        <v>3359286.2114019999</v>
      </c>
      <c r="V1666" s="2223">
        <v>1.1E-5</v>
      </c>
      <c r="W1666" s="2226">
        <v>0</v>
      </c>
      <c r="X1666" s="2226">
        <v>2.0657871399999999</v>
      </c>
      <c r="Y1666" s="2226">
        <v>77850191.692745</v>
      </c>
      <c r="Z1666" s="2226">
        <v>416.59530547510127</v>
      </c>
    </row>
    <row r="1667" spans="1:26" s="141" customFormat="1">
      <c r="A1667" s="2697">
        <v>45425</v>
      </c>
      <c r="B1667" s="2698">
        <v>166657577.50911099</v>
      </c>
      <c r="C1667" s="2698">
        <v>66579733.23336</v>
      </c>
      <c r="D1667" s="2698">
        <v>65852351.851014003</v>
      </c>
      <c r="E1667" s="2698">
        <v>80415324.427638993</v>
      </c>
      <c r="F1667" s="2699">
        <v>212847409.51201302</v>
      </c>
      <c r="G1667" s="2698">
        <v>-550000</v>
      </c>
      <c r="H1667" s="2698">
        <v>1911.6749104643034</v>
      </c>
      <c r="I1667" s="2698">
        <v>1106.1370654898631</v>
      </c>
      <c r="J1667" s="2698">
        <v>813.081049775</v>
      </c>
      <c r="K1667" s="2698">
        <v>661.20012239657956</v>
      </c>
      <c r="L1667" s="2700">
        <v>2580.4182376614426</v>
      </c>
      <c r="M1667" s="2698">
        <v>-30</v>
      </c>
      <c r="N1667" s="2701">
        <v>16080</v>
      </c>
      <c r="O1667" s="2702">
        <v>3388.12</v>
      </c>
      <c r="P1667" s="2698">
        <v>-3967106.5250030002</v>
      </c>
      <c r="Q1667" s="2698">
        <v>0</v>
      </c>
      <c r="R1667" s="2703"/>
      <c r="S1667" s="2698">
        <v>0</v>
      </c>
      <c r="T1667" s="2698">
        <v>0</v>
      </c>
      <c r="U1667" s="2698">
        <v>3371433.7164779999</v>
      </c>
      <c r="V1667" s="2698">
        <v>1.1E-5</v>
      </c>
      <c r="W1667" s="2704">
        <v>-500000</v>
      </c>
      <c r="X1667" s="2704">
        <v>54.565787139999998</v>
      </c>
      <c r="Y1667" s="2704">
        <v>77271583.775771007</v>
      </c>
      <c r="Z1667" s="2704">
        <v>16612.264395315236</v>
      </c>
    </row>
    <row r="1668" spans="1:26" s="141" customFormat="1">
      <c r="A1668" s="2697">
        <v>45426</v>
      </c>
      <c r="B1668" s="2698">
        <v>166756779.08915299</v>
      </c>
      <c r="C1668" s="2698">
        <v>69605192.060824007</v>
      </c>
      <c r="D1668" s="2698">
        <v>65734831.270946003</v>
      </c>
      <c r="E1668" s="2698">
        <v>80239716.492244005</v>
      </c>
      <c r="F1668" s="2699">
        <v>215579739.82401401</v>
      </c>
      <c r="G1668" s="2698">
        <v>0</v>
      </c>
      <c r="H1668" s="2698">
        <v>1919.6369669359626</v>
      </c>
      <c r="I1668" s="2698">
        <v>1096.3811894114908</v>
      </c>
      <c r="J1668" s="2698">
        <v>814.26150971888205</v>
      </c>
      <c r="K1668" s="2698">
        <v>665.71470687838519</v>
      </c>
      <c r="L1668" s="2700">
        <v>2576.3574060087581</v>
      </c>
      <c r="M1668" s="2698">
        <v>0</v>
      </c>
      <c r="N1668" s="2701">
        <v>16100</v>
      </c>
      <c r="O1668" s="2702">
        <v>3416.085</v>
      </c>
      <c r="P1668" s="2698">
        <v>-3074590.2900029998</v>
      </c>
      <c r="Q1668" s="2698">
        <v>0</v>
      </c>
      <c r="R1668" s="2703"/>
      <c r="S1668" s="2698">
        <v>0</v>
      </c>
      <c r="T1668" s="2698">
        <v>0</v>
      </c>
      <c r="U1668" s="2698">
        <v>4921434.0387930004</v>
      </c>
      <c r="V1668" s="2698">
        <v>1.1E-5</v>
      </c>
      <c r="W1668" s="2704">
        <v>-150000</v>
      </c>
      <c r="X1668" s="2704">
        <v>2.0657871400000003</v>
      </c>
      <c r="Y1668" s="2704">
        <v>77059609.618912995</v>
      </c>
      <c r="Z1668" s="2704">
        <v>408.22656929484469</v>
      </c>
    </row>
    <row r="1669" spans="1:26" s="141" customFormat="1">
      <c r="A1669" s="2697">
        <v>45427</v>
      </c>
      <c r="B1669" s="2698">
        <v>166680011.13249999</v>
      </c>
      <c r="C1669" s="2698">
        <v>68705263.097305</v>
      </c>
      <c r="D1669" s="2698">
        <v>65752296.080550998</v>
      </c>
      <c r="E1669" s="2698">
        <v>82531132.914480999</v>
      </c>
      <c r="F1669" s="2699">
        <v>216988692.09233701</v>
      </c>
      <c r="G1669" s="2698">
        <v>-570000</v>
      </c>
      <c r="H1669" s="2698">
        <v>1900.835184454344</v>
      </c>
      <c r="I1669" s="2698">
        <v>1061.055359854812</v>
      </c>
      <c r="J1669" s="2698">
        <v>816.33129856752464</v>
      </c>
      <c r="K1669" s="2698">
        <v>670.85998591938858</v>
      </c>
      <c r="L1669" s="2700">
        <v>2548.2466443417252</v>
      </c>
      <c r="M1669" s="2698">
        <v>0</v>
      </c>
      <c r="N1669" s="2701">
        <v>16027.5</v>
      </c>
      <c r="O1669" s="2702">
        <v>3407.9300000000003</v>
      </c>
      <c r="P1669" s="2698">
        <v>-1228283.6810029999</v>
      </c>
      <c r="Q1669" s="2698">
        <v>0</v>
      </c>
      <c r="R1669" s="2703"/>
      <c r="S1669" s="2698">
        <v>0</v>
      </c>
      <c r="T1669" s="2698">
        <v>0</v>
      </c>
      <c r="U1669" s="2698">
        <v>4359681.5216220003</v>
      </c>
      <c r="V1669" s="2698">
        <v>1.1E-5</v>
      </c>
      <c r="W1669" s="2704">
        <v>0</v>
      </c>
      <c r="X1669" s="2704">
        <v>25.565787139999998</v>
      </c>
      <c r="Y1669" s="2704">
        <v>80072470.791546002</v>
      </c>
      <c r="Z1669" s="2704">
        <v>406.16505026061458</v>
      </c>
    </row>
    <row r="1670" spans="1:26" s="141" customFormat="1">
      <c r="A1670" s="2697">
        <v>45428</v>
      </c>
      <c r="B1670" s="2698">
        <v>167028144.95014501</v>
      </c>
      <c r="C1670" s="2698">
        <v>67618731.707372993</v>
      </c>
      <c r="D1670" s="2698">
        <v>65759516.365405999</v>
      </c>
      <c r="E1670" s="2698">
        <v>81764138.514072999</v>
      </c>
      <c r="F1670" s="2699">
        <v>215142386.58685201</v>
      </c>
      <c r="G1670" s="2698">
        <v>-1425000</v>
      </c>
      <c r="H1670" s="2698">
        <v>1878.4277680590894</v>
      </c>
      <c r="I1670" s="2698">
        <v>1069.075859190518</v>
      </c>
      <c r="J1670" s="2698">
        <v>823.81628589858713</v>
      </c>
      <c r="K1670" s="2698">
        <v>672.9026253176138</v>
      </c>
      <c r="L1670" s="2700">
        <v>2565.7947704067192</v>
      </c>
      <c r="M1670" s="2698">
        <v>0</v>
      </c>
      <c r="N1670" s="2701">
        <v>15925</v>
      </c>
      <c r="O1670" s="2702">
        <v>3399.87</v>
      </c>
      <c r="P1670" s="2698">
        <v>-3084653.9340030001</v>
      </c>
      <c r="Q1670" s="2698">
        <v>0</v>
      </c>
      <c r="R1670" s="2703"/>
      <c r="S1670" s="2698">
        <v>0</v>
      </c>
      <c r="T1670" s="2698">
        <v>0</v>
      </c>
      <c r="U1670" s="2698">
        <v>3147569.2525399998</v>
      </c>
      <c r="V1670" s="2698">
        <v>1.1E-5</v>
      </c>
      <c r="W1670" s="2704">
        <v>0</v>
      </c>
      <c r="X1670" s="2704">
        <v>7.0657871400000003</v>
      </c>
      <c r="Y1670" s="2704">
        <v>79239364.963023007</v>
      </c>
      <c r="Z1670" s="2704">
        <v>414.79471984351648</v>
      </c>
    </row>
    <row r="1671" spans="1:26" s="141" customFormat="1">
      <c r="A1671" s="2697">
        <v>45429</v>
      </c>
      <c r="B1671" s="2698">
        <v>166942562.18473399</v>
      </c>
      <c r="C1671" s="2698">
        <v>64348822.367781997</v>
      </c>
      <c r="D1671" s="2698">
        <v>65728110.767982997</v>
      </c>
      <c r="E1671" s="2698">
        <v>80957740.621419996</v>
      </c>
      <c r="F1671" s="2699">
        <v>211034673.75718498</v>
      </c>
      <c r="G1671" s="2698">
        <v>-2725000</v>
      </c>
      <c r="H1671" s="2698">
        <v>1875.9382578653715</v>
      </c>
      <c r="I1671" s="2698">
        <v>1059.5361017081166</v>
      </c>
      <c r="J1671" s="2698">
        <v>821.72638680050136</v>
      </c>
      <c r="K1671" s="2698">
        <v>682.8979714045754</v>
      </c>
      <c r="L1671" s="2700">
        <v>2564.1604599131933</v>
      </c>
      <c r="M1671" s="2698">
        <v>0</v>
      </c>
      <c r="N1671" s="2701">
        <v>15955</v>
      </c>
      <c r="O1671" s="2702">
        <v>3407.37</v>
      </c>
      <c r="P1671" s="2698">
        <v>-7880202.5725029996</v>
      </c>
      <c r="Q1671" s="2698">
        <v>0</v>
      </c>
      <c r="R1671" s="2703"/>
      <c r="S1671" s="2698">
        <v>0</v>
      </c>
      <c r="T1671" s="2698">
        <v>0</v>
      </c>
      <c r="U1671" s="2698">
        <v>3079452.7911589998</v>
      </c>
      <c r="V1671" s="2698">
        <v>1.1E-5</v>
      </c>
      <c r="W1671" s="2704">
        <v>0</v>
      </c>
      <c r="X1671" s="2704">
        <v>2.0657871399999999</v>
      </c>
      <c r="Y1671" s="2704">
        <v>79413519.053027004</v>
      </c>
      <c r="Z1671" s="2704">
        <v>408.71935790498276</v>
      </c>
    </row>
    <row r="1672" spans="1:26" s="141" customFormat="1">
      <c r="A1672" s="2697">
        <v>45432</v>
      </c>
      <c r="B1672" s="2698">
        <v>167382282.93861499</v>
      </c>
      <c r="C1672" s="2698">
        <v>65218976.892385997</v>
      </c>
      <c r="D1672" s="2698">
        <v>65666110.982634999</v>
      </c>
      <c r="E1672" s="2698">
        <v>80772053.70397</v>
      </c>
      <c r="F1672" s="2699">
        <v>211657141.578991</v>
      </c>
      <c r="G1672" s="2698">
        <v>-3845000</v>
      </c>
      <c r="H1672" s="2698">
        <v>1881.7465062300469</v>
      </c>
      <c r="I1672" s="2698">
        <v>1042.1635056858215</v>
      </c>
      <c r="J1672" s="2698">
        <v>819.77266701308292</v>
      </c>
      <c r="K1672" s="2698">
        <v>683.55179997302037</v>
      </c>
      <c r="L1672" s="2700">
        <v>2545.487972671925</v>
      </c>
      <c r="M1672" s="2698">
        <v>-5</v>
      </c>
      <c r="N1672" s="2701">
        <v>15975</v>
      </c>
      <c r="O1672" s="2702">
        <v>3409.82</v>
      </c>
      <c r="P1672" s="2698">
        <v>-8070923.933499</v>
      </c>
      <c r="Q1672" s="2698">
        <v>0</v>
      </c>
      <c r="R1672" s="2703"/>
      <c r="S1672" s="2698">
        <v>0</v>
      </c>
      <c r="T1672" s="2698">
        <v>0</v>
      </c>
      <c r="U1672" s="2698">
        <v>3079267.4641740001</v>
      </c>
      <c r="V1672" s="2698">
        <v>1.1E-5</v>
      </c>
      <c r="W1672" s="2704">
        <v>0</v>
      </c>
      <c r="X1672" s="2704">
        <v>2.0657871399999999</v>
      </c>
      <c r="Y1672" s="2704">
        <v>79321136.401911005</v>
      </c>
      <c r="Z1672" s="2704">
        <v>445.15894431718311</v>
      </c>
    </row>
    <row r="1673" spans="1:26" s="141" customFormat="1">
      <c r="A1673" s="2697">
        <v>45433</v>
      </c>
      <c r="B1673" s="2698">
        <v>168642518.60118899</v>
      </c>
      <c r="C1673" s="2698">
        <v>66055749.868313</v>
      </c>
      <c r="D1673" s="2698">
        <v>65677545.596707001</v>
      </c>
      <c r="E1673" s="2698">
        <v>81858416.789577007</v>
      </c>
      <c r="F1673" s="2699">
        <v>213591712.25459701</v>
      </c>
      <c r="G1673" s="2698">
        <v>-3015000</v>
      </c>
      <c r="H1673" s="2698">
        <v>1866.5285652185439</v>
      </c>
      <c r="I1673" s="2698">
        <v>1028.5538457771108</v>
      </c>
      <c r="J1673" s="2698">
        <v>821.66478765494389</v>
      </c>
      <c r="K1673" s="2698">
        <v>684.80802841020352</v>
      </c>
      <c r="L1673" s="2700">
        <v>2535.0266618422584</v>
      </c>
      <c r="M1673" s="2698">
        <v>0</v>
      </c>
      <c r="N1673" s="2701">
        <v>15994.5</v>
      </c>
      <c r="O1673" s="2702">
        <v>3407.8</v>
      </c>
      <c r="P1673" s="2698">
        <v>-8292998.4399990002</v>
      </c>
      <c r="Q1673" s="2698">
        <v>0</v>
      </c>
      <c r="R1673" s="2703"/>
      <c r="S1673" s="2698">
        <v>0</v>
      </c>
      <c r="T1673" s="2698">
        <v>0</v>
      </c>
      <c r="U1673" s="2698">
        <v>2780233.1810889998</v>
      </c>
      <c r="V1673" s="2698">
        <v>1.1E-5</v>
      </c>
      <c r="W1673" s="2704">
        <v>0</v>
      </c>
      <c r="X1673" s="2704">
        <v>7.0657871399999994</v>
      </c>
      <c r="Y1673" s="2704">
        <v>76542130.774354994</v>
      </c>
      <c r="Z1673" s="2704">
        <v>456.5057945989559</v>
      </c>
    </row>
    <row r="1674" spans="1:26" s="141" customFormat="1">
      <c r="A1674" s="2697">
        <v>45434</v>
      </c>
      <c r="B1674" s="2698">
        <v>168669321.284493</v>
      </c>
      <c r="C1674" s="2698">
        <v>64048611.098624997</v>
      </c>
      <c r="D1674" s="2698">
        <v>66465284.329554997</v>
      </c>
      <c r="E1674" s="2698">
        <v>80808655.791387007</v>
      </c>
      <c r="F1674" s="2699">
        <v>211322551.219567</v>
      </c>
      <c r="G1674" s="2698">
        <v>-2420000</v>
      </c>
      <c r="H1674" s="2698">
        <v>1909.051949948976</v>
      </c>
      <c r="I1674" s="2698">
        <v>1037.7416424123808</v>
      </c>
      <c r="J1674" s="2698">
        <v>826.9536431360325</v>
      </c>
      <c r="K1674" s="2698">
        <v>678.44187828575889</v>
      </c>
      <c r="L1674" s="2700">
        <v>2543.137163834172</v>
      </c>
      <c r="M1674" s="2698">
        <v>0</v>
      </c>
      <c r="N1674" s="2701">
        <v>15992.5</v>
      </c>
      <c r="O1674" s="2702">
        <v>3408.1000000000004</v>
      </c>
      <c r="P1674" s="2698">
        <v>-8508048.7419990003</v>
      </c>
      <c r="Q1674" s="2698">
        <v>0</v>
      </c>
      <c r="R1674" s="2703"/>
      <c r="S1674" s="2698">
        <v>0</v>
      </c>
      <c r="T1674" s="2698">
        <v>0</v>
      </c>
      <c r="U1674" s="2698">
        <v>2988436.20529</v>
      </c>
      <c r="V1674" s="2698">
        <v>1.1E-5</v>
      </c>
      <c r="W1674" s="2704">
        <v>0</v>
      </c>
      <c r="X1674" s="2704">
        <v>5.5657871400000003</v>
      </c>
      <c r="Y1674" s="2704">
        <v>75642398.223677993</v>
      </c>
      <c r="Z1674" s="2704">
        <v>457.43017692368295</v>
      </c>
    </row>
    <row r="1675" spans="1:26" s="2227" customFormat="1">
      <c r="A1675" s="2222">
        <v>45436</v>
      </c>
      <c r="B1675" s="2223">
        <v>168669321.284493</v>
      </c>
      <c r="C1675" s="2223">
        <v>64048611.098624997</v>
      </c>
      <c r="D1675" s="2223">
        <v>66465284.329554997</v>
      </c>
      <c r="E1675" s="2223">
        <v>80808655.791387007</v>
      </c>
      <c r="F1675" s="162">
        <v>211322551.219567</v>
      </c>
      <c r="G1675" s="2223">
        <v>-2420000</v>
      </c>
      <c r="H1675" s="2223">
        <v>1909.051949948976</v>
      </c>
      <c r="I1675" s="2223">
        <v>1037.7416424123808</v>
      </c>
      <c r="J1675" s="2223">
        <v>826.9536431360325</v>
      </c>
      <c r="K1675" s="2223">
        <v>678.44187828575889</v>
      </c>
      <c r="L1675" s="2403">
        <v>2543.137163834172</v>
      </c>
      <c r="M1675" s="2223">
        <v>0</v>
      </c>
      <c r="N1675" s="2224">
        <v>15992.5</v>
      </c>
      <c r="O1675" s="2225">
        <v>3408.1000000000004</v>
      </c>
      <c r="P1675" s="2223">
        <v>-8508048.7419990003</v>
      </c>
      <c r="Q1675" s="2223">
        <v>0</v>
      </c>
      <c r="S1675" s="2223">
        <v>0</v>
      </c>
      <c r="T1675" s="2223">
        <v>0</v>
      </c>
      <c r="U1675" s="2223">
        <v>2988436.20529</v>
      </c>
      <c r="V1675" s="2223">
        <v>1.1E-5</v>
      </c>
      <c r="W1675" s="2226">
        <v>0</v>
      </c>
      <c r="X1675" s="2226">
        <v>5.5657871400000003</v>
      </c>
      <c r="Y1675" s="2226">
        <v>75642398.223677993</v>
      </c>
      <c r="Z1675" s="2226">
        <v>457.43017692368295</v>
      </c>
    </row>
    <row r="1676" spans="1:26" s="141" customFormat="1">
      <c r="A1676" s="2697">
        <v>45439</v>
      </c>
      <c r="B1676" s="2698">
        <v>168652431.86456299</v>
      </c>
      <c r="C1676" s="2698">
        <v>66387917.757381</v>
      </c>
      <c r="D1676" s="2698">
        <v>66118832.865212999</v>
      </c>
      <c r="E1676" s="2698">
        <v>79530830.238918006</v>
      </c>
      <c r="F1676" s="2699">
        <v>212037580.86151201</v>
      </c>
      <c r="G1676" s="2698">
        <v>-2970000</v>
      </c>
      <c r="H1676" s="2698">
        <v>1912.620653658699</v>
      </c>
      <c r="I1676" s="2698">
        <v>1046.7854191660754</v>
      </c>
      <c r="J1676" s="2698">
        <v>830.94107455574226</v>
      </c>
      <c r="K1676" s="2698">
        <v>673.81768234982883</v>
      </c>
      <c r="L1676" s="2700">
        <v>2551.5441760716467</v>
      </c>
      <c r="M1676" s="2698">
        <v>0</v>
      </c>
      <c r="N1676" s="2701">
        <v>16065</v>
      </c>
      <c r="O1676" s="2702">
        <v>3416.27</v>
      </c>
      <c r="P1676" s="2698">
        <v>-7980762.3474989999</v>
      </c>
      <c r="Q1676" s="2698">
        <v>0</v>
      </c>
      <c r="R1676" s="2703"/>
      <c r="S1676" s="2698">
        <v>0</v>
      </c>
      <c r="T1676" s="2698">
        <v>0</v>
      </c>
      <c r="U1676" s="2698">
        <v>2987692.9812230002</v>
      </c>
      <c r="V1676" s="2698">
        <v>1.1E-5</v>
      </c>
      <c r="W1676" s="2704">
        <v>0</v>
      </c>
      <c r="X1676" s="2704">
        <v>5.5657871400000003</v>
      </c>
      <c r="Y1676" s="2704">
        <v>74827740.776216999</v>
      </c>
      <c r="Z1676" s="2704">
        <v>456.82304429835045</v>
      </c>
    </row>
    <row r="1677" spans="1:26" s="141" customFormat="1">
      <c r="A1677" s="2697">
        <v>45440</v>
      </c>
      <c r="B1677" s="2698">
        <v>166999010.57025099</v>
      </c>
      <c r="C1677" s="2698">
        <v>66484933.555647001</v>
      </c>
      <c r="D1677" s="2698">
        <v>66333379.552354999</v>
      </c>
      <c r="E1677" s="2698">
        <v>79602809.322600007</v>
      </c>
      <c r="F1677" s="2699">
        <v>212421122.43060201</v>
      </c>
      <c r="G1677" s="2698">
        <v>-2560000</v>
      </c>
      <c r="H1677" s="2698">
        <v>2035.1117819185829</v>
      </c>
      <c r="I1677" s="2698">
        <v>1041.5920283052828</v>
      </c>
      <c r="J1677" s="2698">
        <v>831.4611284605345</v>
      </c>
      <c r="K1677" s="2698">
        <v>676.60819108004966</v>
      </c>
      <c r="L1677" s="2700">
        <v>2549.6613478458667</v>
      </c>
      <c r="M1677" s="2698">
        <v>0</v>
      </c>
      <c r="N1677" s="2701">
        <v>16090</v>
      </c>
      <c r="O1677" s="2702">
        <v>3427.9650000000001</v>
      </c>
      <c r="P1677" s="2698">
        <v>-6321751.6759989997</v>
      </c>
      <c r="Q1677" s="2698">
        <v>0</v>
      </c>
      <c r="R1677" s="2703"/>
      <c r="S1677" s="2698">
        <v>0</v>
      </c>
      <c r="T1677" s="2698">
        <v>0</v>
      </c>
      <c r="U1677" s="2698">
        <v>3177972.723028</v>
      </c>
      <c r="V1677" s="2698">
        <v>1.1E-5</v>
      </c>
      <c r="W1677" s="2704">
        <v>0</v>
      </c>
      <c r="X1677" s="2704">
        <v>2.0657871399999999</v>
      </c>
      <c r="Y1677" s="2704">
        <v>74753643.726329997</v>
      </c>
      <c r="Z1677" s="2704">
        <v>454.48757762734618</v>
      </c>
    </row>
    <row r="1678" spans="1:26" s="141" customFormat="1">
      <c r="A1678" s="2697">
        <v>45441</v>
      </c>
      <c r="B1678" s="2698">
        <v>167430196.55992901</v>
      </c>
      <c r="C1678" s="2698">
        <v>69902658.151421994</v>
      </c>
      <c r="D1678" s="2698">
        <v>66267022.604465</v>
      </c>
      <c r="E1678" s="2698">
        <v>78327828.652989</v>
      </c>
      <c r="F1678" s="2699">
        <v>214497509.408876</v>
      </c>
      <c r="G1678" s="2698">
        <v>-1920000</v>
      </c>
      <c r="H1678" s="2698">
        <v>2025.9466277063118</v>
      </c>
      <c r="I1678" s="2698">
        <v>1117.8634252019804</v>
      </c>
      <c r="J1678" s="2698">
        <v>828.09837833422023</v>
      </c>
      <c r="K1678" s="2698">
        <v>661.70482701089111</v>
      </c>
      <c r="L1678" s="2700">
        <v>2607.6666305470917</v>
      </c>
      <c r="M1678" s="2698">
        <v>-20</v>
      </c>
      <c r="N1678" s="2701">
        <v>16160</v>
      </c>
      <c r="O1678" s="2702">
        <v>3434.645</v>
      </c>
      <c r="P1678" s="2698">
        <v>-7174004.5339989997</v>
      </c>
      <c r="Q1678" s="2698">
        <v>0</v>
      </c>
      <c r="R1678" s="2703"/>
      <c r="S1678" s="2698">
        <v>0</v>
      </c>
      <c r="T1678" s="2698">
        <v>0</v>
      </c>
      <c r="U1678" s="2698">
        <v>3177962.47377</v>
      </c>
      <c r="V1678" s="2698">
        <v>1.1E-5</v>
      </c>
      <c r="W1678" s="2704">
        <v>0</v>
      </c>
      <c r="X1678" s="2704">
        <v>12.065787139999999</v>
      </c>
      <c r="Y1678" s="2704">
        <v>76650035.102708995</v>
      </c>
      <c r="Z1678" s="2704">
        <v>453.71796625711636</v>
      </c>
    </row>
    <row r="1679" spans="1:26" s="141" customFormat="1">
      <c r="A1679" s="2697">
        <v>45442</v>
      </c>
      <c r="B1679" s="2698">
        <v>167702114.648967</v>
      </c>
      <c r="C1679" s="2698">
        <v>66844052.796925001</v>
      </c>
      <c r="D1679" s="2698">
        <v>66239555.252205998</v>
      </c>
      <c r="E1679" s="2698">
        <v>79014190.195362002</v>
      </c>
      <c r="F1679" s="2699">
        <v>212097798.24449301</v>
      </c>
      <c r="G1679" s="2698">
        <v>-1845000</v>
      </c>
      <c r="H1679" s="2698">
        <v>2021.3809797523986</v>
      </c>
      <c r="I1679" s="2698">
        <v>1127.6922721488315</v>
      </c>
      <c r="J1679" s="2698">
        <v>830.00500919052888</v>
      </c>
      <c r="K1679" s="2698">
        <v>676.90821748708493</v>
      </c>
      <c r="L1679" s="2700">
        <v>2634.6054988264455</v>
      </c>
      <c r="M1679" s="2698">
        <v>-20</v>
      </c>
      <c r="N1679" s="2701">
        <v>16260</v>
      </c>
      <c r="O1679" s="2702">
        <v>3454.4300000000003</v>
      </c>
      <c r="P1679" s="2698">
        <v>-9005366.9044989999</v>
      </c>
      <c r="Q1679" s="2698">
        <v>0</v>
      </c>
      <c r="R1679" s="2703"/>
      <c r="S1679" s="2698">
        <v>0</v>
      </c>
      <c r="T1679" s="2698">
        <v>0</v>
      </c>
      <c r="U1679" s="2698">
        <v>3512127.1038390002</v>
      </c>
      <c r="V1679" s="2698">
        <v>1.1E-5</v>
      </c>
      <c r="W1679" s="2704">
        <v>0</v>
      </c>
      <c r="X1679" s="2704">
        <v>22.065787140000005</v>
      </c>
      <c r="Y1679" s="2704">
        <v>77648326.444801003</v>
      </c>
      <c r="Z1679" s="2704">
        <v>459.90733446519062</v>
      </c>
    </row>
    <row r="1680" spans="1:26" s="2227" customFormat="1">
      <c r="A1680" s="2697">
        <v>45443</v>
      </c>
      <c r="B1680" s="136">
        <f>'[1]Neraca Antasena'!$D$22/1000000</f>
        <v>170466121.23749</v>
      </c>
      <c r="C1680" s="136">
        <f>'[1]Neraca Antasena'!$D$79/1000000</f>
        <v>61941171.852674998</v>
      </c>
      <c r="D1680" s="136">
        <f>'[1]Neraca Antasena'!$D$85/1000000</f>
        <v>67020519.291160002</v>
      </c>
      <c r="E1680" s="136">
        <f>'[1]Neraca Antasena'!$D$91/1000000</f>
        <v>78739969.078851998</v>
      </c>
      <c r="F1680" s="137">
        <f>SUM(C1680:E1680)</f>
        <v>207701660.22268701</v>
      </c>
      <c r="G1680" s="125">
        <v>-740000</v>
      </c>
      <c r="H1680" s="136">
        <f>'[1]Neraca Antasena'!$E$22/N1680/10^6</f>
        <v>2013.4264042563077</v>
      </c>
      <c r="I1680" s="136">
        <f>'[1]Neraca Antasena'!$E$79/N1680/10^6</f>
        <v>1103.1891295272001</v>
      </c>
      <c r="J1680" s="136">
        <f>'[1]Neraca Antasena'!$E$85/N1680/10^6</f>
        <v>823.53845330141542</v>
      </c>
      <c r="K1680" s="136">
        <f>'[1]Neraca Antasena'!$E$91/N1680/10^6</f>
        <v>695.89916388793847</v>
      </c>
      <c r="L1680" s="165">
        <f>SUM(I1680:K1680)</f>
        <v>2622.626746716554</v>
      </c>
      <c r="M1680" s="136">
        <v>-20</v>
      </c>
      <c r="N1680" s="2224">
        <v>16250</v>
      </c>
      <c r="O1680" s="2225">
        <v>3452.3100000000004</v>
      </c>
      <c r="P1680" s="2223">
        <v>-11353302.415999001</v>
      </c>
      <c r="Q1680" s="2223">
        <v>0</v>
      </c>
      <c r="R1680" s="143"/>
      <c r="S1680" s="2223">
        <v>0</v>
      </c>
      <c r="T1680" s="2223">
        <v>0</v>
      </c>
      <c r="U1680" s="2223">
        <v>3797091.0042610001</v>
      </c>
      <c r="V1680" s="2223">
        <v>1.1E-5</v>
      </c>
      <c r="W1680" s="2226">
        <v>0</v>
      </c>
      <c r="X1680" s="2226">
        <v>2.0657871399999999</v>
      </c>
      <c r="Y1680" s="2226">
        <v>78381364.572643995</v>
      </c>
      <c r="Z1680" s="2226">
        <v>474.72306014904615</v>
      </c>
    </row>
    <row r="1681" spans="1:29" s="141" customFormat="1">
      <c r="A1681" s="2697">
        <v>45446</v>
      </c>
      <c r="B1681" s="2698">
        <v>169583041.14195299</v>
      </c>
      <c r="C1681" s="2698">
        <v>62253728.247570999</v>
      </c>
      <c r="D1681" s="2698">
        <v>65934858.360555999</v>
      </c>
      <c r="E1681" s="2698">
        <v>79123685.889944002</v>
      </c>
      <c r="F1681" s="2699">
        <v>207312272.49807101</v>
      </c>
      <c r="G1681" s="2698">
        <v>-2260000</v>
      </c>
      <c r="H1681" s="2698">
        <v>2020.1858071927911</v>
      </c>
      <c r="I1681" s="2698">
        <v>1096.2397440116451</v>
      </c>
      <c r="J1681" s="2698">
        <v>821.93830337122608</v>
      </c>
      <c r="K1681" s="2698">
        <v>665.1766652481823</v>
      </c>
      <c r="L1681" s="2700">
        <v>2583.3547126310536</v>
      </c>
      <c r="M1681" s="2698">
        <v>-20</v>
      </c>
      <c r="N1681" s="2701">
        <v>16230</v>
      </c>
      <c r="O1681" s="2702">
        <v>3448.0600000000004</v>
      </c>
      <c r="P1681" s="2698">
        <v>-16706720.826998999</v>
      </c>
      <c r="Q1681" s="2698">
        <v>0</v>
      </c>
      <c r="R1681" s="2703"/>
      <c r="S1681" s="2698">
        <v>0</v>
      </c>
      <c r="T1681" s="2698">
        <v>0</v>
      </c>
      <c r="U1681" s="2698">
        <v>3796721.7508769999</v>
      </c>
      <c r="V1681" s="2698">
        <v>1.1E-5</v>
      </c>
      <c r="W1681" s="2704">
        <v>0</v>
      </c>
      <c r="X1681" s="2704">
        <v>2.0657871399999999</v>
      </c>
      <c r="Y1681" s="2704">
        <v>67988285.094987005</v>
      </c>
      <c r="Z1681" s="2704">
        <v>472.77996983154651</v>
      </c>
      <c r="AB1681" s="140">
        <f t="shared" ref="AB1681:AB1700" si="7">+L1681*N1681</f>
        <v>41927846.986001998</v>
      </c>
      <c r="AC1681" s="142">
        <f>+AB1681+F1681</f>
        <v>249240119.48407301</v>
      </c>
    </row>
    <row r="1682" spans="1:29" s="141" customFormat="1">
      <c r="A1682" s="2697">
        <v>45447</v>
      </c>
      <c r="B1682" s="2698">
        <v>169209762.35264799</v>
      </c>
      <c r="C1682" s="2698">
        <v>68854814.881307006</v>
      </c>
      <c r="D1682" s="2698">
        <v>65745070.305494003</v>
      </c>
      <c r="E1682" s="2698">
        <v>78541472.006969005</v>
      </c>
      <c r="F1682" s="2699">
        <v>213141357.19377002</v>
      </c>
      <c r="G1682" s="2698">
        <v>-1395000</v>
      </c>
      <c r="H1682" s="2698">
        <v>2010.2013562670161</v>
      </c>
      <c r="I1682" s="2698">
        <v>1098.9123967271887</v>
      </c>
      <c r="J1682" s="2698">
        <v>829.75000822774359</v>
      </c>
      <c r="K1682" s="2698">
        <v>653.64716493545006</v>
      </c>
      <c r="L1682" s="2700">
        <v>2582.3095698903826</v>
      </c>
      <c r="M1682" s="2698">
        <v>-20</v>
      </c>
      <c r="N1682" s="2701">
        <v>16220</v>
      </c>
      <c r="O1682" s="2702">
        <v>3451.8</v>
      </c>
      <c r="P1682" s="2698">
        <v>-18110390.476999</v>
      </c>
      <c r="Q1682" s="2698">
        <v>0</v>
      </c>
      <c r="R1682" s="2703"/>
      <c r="S1682" s="2698">
        <v>0</v>
      </c>
      <c r="T1682" s="2698">
        <v>0</v>
      </c>
      <c r="U1682" s="2698">
        <v>3795866.6781569999</v>
      </c>
      <c r="V1682" s="2698">
        <v>1.1E-5</v>
      </c>
      <c r="W1682" s="2704">
        <v>0</v>
      </c>
      <c r="X1682" s="2704">
        <v>5.5657871400000003</v>
      </c>
      <c r="Y1682" s="2704">
        <v>64639228.922838002</v>
      </c>
      <c r="Z1682" s="2704">
        <v>473.03448703249074</v>
      </c>
      <c r="AB1682" s="140">
        <f t="shared" si="7"/>
        <v>41885061.223622009</v>
      </c>
      <c r="AC1682" s="142">
        <f t="shared" ref="AC1682:AC1723" si="8">+AB1682+F1682</f>
        <v>255026418.41739202</v>
      </c>
    </row>
    <row r="1683" spans="1:29" s="141" customFormat="1">
      <c r="A1683" s="2697">
        <v>45448</v>
      </c>
      <c r="B1683" s="2698">
        <v>168600133.98532999</v>
      </c>
      <c r="C1683" s="2698">
        <v>67040830.058695003</v>
      </c>
      <c r="D1683" s="2698">
        <v>65771115.456240997</v>
      </c>
      <c r="E1683" s="2698">
        <v>78109477.262038007</v>
      </c>
      <c r="F1683" s="2699">
        <v>210921422.77697402</v>
      </c>
      <c r="G1683" s="2698">
        <v>-1395000</v>
      </c>
      <c r="H1683" s="2698">
        <v>2031.6536446836353</v>
      </c>
      <c r="I1683" s="2698">
        <v>981.5012611192509</v>
      </c>
      <c r="J1683" s="2698">
        <v>828.92555443334356</v>
      </c>
      <c r="K1683" s="2698">
        <v>666.41853776125265</v>
      </c>
      <c r="L1683" s="2700">
        <v>2476.8453533138472</v>
      </c>
      <c r="M1683" s="2698">
        <v>-58</v>
      </c>
      <c r="N1683" s="2701">
        <v>16285</v>
      </c>
      <c r="O1683" s="2702">
        <v>3466.37</v>
      </c>
      <c r="P1683" s="2698">
        <v>-16480456.894998999</v>
      </c>
      <c r="Q1683" s="2698">
        <v>0</v>
      </c>
      <c r="R1683" s="2703"/>
      <c r="S1683" s="2698">
        <v>0</v>
      </c>
      <c r="T1683" s="2698">
        <v>0</v>
      </c>
      <c r="U1683" s="2698">
        <v>5424703.6175480001</v>
      </c>
      <c r="V1683" s="2698">
        <v>1.1E-5</v>
      </c>
      <c r="W1683" s="2704">
        <v>-200000</v>
      </c>
      <c r="X1683" s="2704">
        <v>0.56578713999999997</v>
      </c>
      <c r="Y1683" s="2704">
        <v>66229361.664008997</v>
      </c>
      <c r="Z1683" s="2704">
        <v>475.07376413177775</v>
      </c>
      <c r="AB1683" s="140">
        <f t="shared" si="7"/>
        <v>40335426.578716002</v>
      </c>
      <c r="AC1683" s="142">
        <f t="shared" si="8"/>
        <v>251256849.35569003</v>
      </c>
    </row>
    <row r="1684" spans="1:29" s="141" customFormat="1">
      <c r="A1684" s="2697">
        <v>45449</v>
      </c>
      <c r="B1684" s="2698">
        <v>168933515.683891</v>
      </c>
      <c r="C1684" s="2698">
        <v>70047510.406440005</v>
      </c>
      <c r="D1684" s="2698">
        <v>65519143.056657001</v>
      </c>
      <c r="E1684" s="2698">
        <v>77400570.543896005</v>
      </c>
      <c r="F1684" s="2699">
        <v>212967224.006993</v>
      </c>
      <c r="G1684" s="2698">
        <v>-1295000</v>
      </c>
      <c r="H1684" s="2698">
        <v>2054.012214713161</v>
      </c>
      <c r="I1684" s="2698">
        <v>1003.2646407105781</v>
      </c>
      <c r="J1684" s="2698">
        <v>828.90312475817962</v>
      </c>
      <c r="K1684" s="2698">
        <v>666.4414192563346</v>
      </c>
      <c r="L1684" s="2700">
        <v>2498.6091847250923</v>
      </c>
      <c r="M1684" s="2698">
        <v>-49</v>
      </c>
      <c r="N1684" s="2701">
        <v>16260</v>
      </c>
      <c r="O1684" s="2702">
        <v>3460.6800000000003</v>
      </c>
      <c r="P1684" s="2698">
        <v>-14430329.728999</v>
      </c>
      <c r="Q1684" s="2698">
        <v>0</v>
      </c>
      <c r="R1684" s="2703"/>
      <c r="S1684" s="2698">
        <v>0</v>
      </c>
      <c r="T1684" s="2698">
        <v>0</v>
      </c>
      <c r="U1684" s="2698">
        <v>6600803.2019029995</v>
      </c>
      <c r="V1684" s="2698">
        <v>1.1E-5</v>
      </c>
      <c r="W1684" s="2704">
        <v>-330000</v>
      </c>
      <c r="X1684" s="2704">
        <v>2.0657871400000003</v>
      </c>
      <c r="Y1684" s="2704">
        <v>76759299.419343993</v>
      </c>
      <c r="Z1684" s="2704">
        <v>478.88913106512916</v>
      </c>
      <c r="AB1684" s="140">
        <f t="shared" si="7"/>
        <v>40627385.343630001</v>
      </c>
      <c r="AC1684" s="142">
        <f t="shared" si="8"/>
        <v>253594609.35062301</v>
      </c>
    </row>
    <row r="1685" spans="1:29" s="141" customFormat="1">
      <c r="A1685" s="2697">
        <v>45450</v>
      </c>
      <c r="B1685" s="2698">
        <v>168696254.39968601</v>
      </c>
      <c r="C1685" s="2698">
        <v>64745570.107283004</v>
      </c>
      <c r="D1685" s="2698">
        <v>65748337.543206997</v>
      </c>
      <c r="E1685" s="2698">
        <v>79170555.509449005</v>
      </c>
      <c r="F1685" s="2699">
        <v>209664463.15993899</v>
      </c>
      <c r="G1685" s="2698">
        <v>-995000</v>
      </c>
      <c r="H1685" s="2698">
        <v>2069.4591226646698</v>
      </c>
      <c r="I1685" s="2698">
        <v>1016.0327410621506</v>
      </c>
      <c r="J1685" s="2698">
        <v>832.86032271413126</v>
      </c>
      <c r="K1685" s="2698">
        <v>642.5998635240976</v>
      </c>
      <c r="L1685" s="2700">
        <v>2491.4929273003795</v>
      </c>
      <c r="M1685" s="2698">
        <v>-49</v>
      </c>
      <c r="N1685" s="2701">
        <v>16194.5</v>
      </c>
      <c r="O1685" s="2702">
        <v>3450.04</v>
      </c>
      <c r="P1685" s="2698">
        <v>-11594988.737999</v>
      </c>
      <c r="Q1685" s="2698">
        <v>0</v>
      </c>
      <c r="R1685" s="2703"/>
      <c r="S1685" s="2698">
        <v>0</v>
      </c>
      <c r="T1685" s="2698">
        <v>0</v>
      </c>
      <c r="U1685" s="2698">
        <v>5185884.7040250003</v>
      </c>
      <c r="V1685" s="2698">
        <v>1.1E-5</v>
      </c>
      <c r="W1685" s="2704">
        <v>-150000</v>
      </c>
      <c r="X1685" s="2704">
        <v>7.0657871400000003</v>
      </c>
      <c r="Y1685" s="2704">
        <v>79434982.771151006</v>
      </c>
      <c r="Z1685" s="2704">
        <v>480.8971556467319</v>
      </c>
      <c r="AB1685" s="140">
        <f t="shared" si="7"/>
        <v>40348482.211165994</v>
      </c>
      <c r="AC1685" s="142">
        <f t="shared" si="8"/>
        <v>250012945.37110499</v>
      </c>
    </row>
    <row r="1686" spans="1:29" s="141" customFormat="1">
      <c r="A1686" s="2697">
        <v>45453</v>
      </c>
      <c r="B1686" s="2698">
        <v>168030718.516601</v>
      </c>
      <c r="C1686" s="2698">
        <v>64716422.726060003</v>
      </c>
      <c r="D1686" s="2698">
        <v>65651063.164061002</v>
      </c>
      <c r="E1686" s="2698">
        <v>79484002.453675002</v>
      </c>
      <c r="F1686" s="2699">
        <v>209851488.34379601</v>
      </c>
      <c r="G1686" s="2698">
        <v>-925000</v>
      </c>
      <c r="H1686" s="2698">
        <v>2085.3961687525184</v>
      </c>
      <c r="I1686" s="2698">
        <v>1001.3642218025798</v>
      </c>
      <c r="J1686" s="2698">
        <v>829.31387008734634</v>
      </c>
      <c r="K1686" s="2698">
        <v>642.00937743863631</v>
      </c>
      <c r="L1686" s="2700">
        <v>2472.6874693285627</v>
      </c>
      <c r="M1686" s="2698">
        <v>-49</v>
      </c>
      <c r="N1686" s="2701">
        <v>16280</v>
      </c>
      <c r="O1686" s="2702">
        <v>3450.6149999999998</v>
      </c>
      <c r="P1686" s="2698">
        <v>-9474758.0259990003</v>
      </c>
      <c r="Q1686" s="2698">
        <v>0</v>
      </c>
      <c r="R1686" s="2703"/>
      <c r="S1686" s="2698">
        <v>0</v>
      </c>
      <c r="T1686" s="2698">
        <v>0</v>
      </c>
      <c r="U1686" s="2698">
        <v>5185506.1180659998</v>
      </c>
      <c r="V1686" s="2698">
        <v>1.1E-5</v>
      </c>
      <c r="W1686" s="2704">
        <v>0</v>
      </c>
      <c r="X1686" s="2704">
        <v>2.0657871400000003</v>
      </c>
      <c r="Y1686" s="2704">
        <v>78995877.170641005</v>
      </c>
      <c r="Z1686" s="2704">
        <v>486.26115972592135</v>
      </c>
      <c r="AB1686" s="140">
        <f t="shared" si="7"/>
        <v>40255352.000669003</v>
      </c>
      <c r="AC1686" s="142">
        <f t="shared" si="8"/>
        <v>250106840.34446502</v>
      </c>
    </row>
    <row r="1687" spans="1:29" s="141" customFormat="1">
      <c r="A1687" s="2697">
        <v>45454</v>
      </c>
      <c r="B1687" s="2698">
        <v>168616437.72485</v>
      </c>
      <c r="C1687" s="2698">
        <v>64045436.850808002</v>
      </c>
      <c r="D1687" s="2698">
        <v>65340183.335744001</v>
      </c>
      <c r="E1687" s="2698">
        <v>79654186.064642996</v>
      </c>
      <c r="F1687" s="2699">
        <v>209039806.25119501</v>
      </c>
      <c r="G1687" s="2698">
        <v>-1175000</v>
      </c>
      <c r="H1687" s="2698">
        <v>2065.5056513010436</v>
      </c>
      <c r="I1687" s="2698">
        <v>961.30999149600973</v>
      </c>
      <c r="J1687" s="2698">
        <v>832.58489784407618</v>
      </c>
      <c r="K1687" s="2698">
        <v>645.54258988581955</v>
      </c>
      <c r="L1687" s="2700">
        <v>2439.4374792259055</v>
      </c>
      <c r="M1687" s="2698">
        <v>-69</v>
      </c>
      <c r="N1687" s="2701">
        <v>16290</v>
      </c>
      <c r="O1687" s="2702">
        <v>3449.63</v>
      </c>
      <c r="P1687" s="2698">
        <v>-10290706.268998999</v>
      </c>
      <c r="Q1687" s="2698">
        <v>0</v>
      </c>
      <c r="R1687" s="2703"/>
      <c r="S1687" s="2698">
        <v>0</v>
      </c>
      <c r="T1687" s="2698">
        <v>0</v>
      </c>
      <c r="U1687" s="2698">
        <v>4893654.2821110003</v>
      </c>
      <c r="V1687" s="2698">
        <v>1.1E-5</v>
      </c>
      <c r="W1687" s="2704">
        <v>0</v>
      </c>
      <c r="X1687" s="2704">
        <v>12.065787140000001</v>
      </c>
      <c r="Y1687" s="2704">
        <v>78053035.744151995</v>
      </c>
      <c r="Z1687" s="2704">
        <v>482.69615871639041</v>
      </c>
      <c r="AB1687" s="140">
        <f t="shared" si="7"/>
        <v>39738436.536590002</v>
      </c>
      <c r="AC1687" s="142">
        <f t="shared" si="8"/>
        <v>248778242.78778502</v>
      </c>
    </row>
    <row r="1688" spans="1:29" s="141" customFormat="1">
      <c r="A1688" s="2697">
        <v>45455</v>
      </c>
      <c r="B1688" s="2698">
        <v>168604330.04302001</v>
      </c>
      <c r="C1688" s="2698">
        <v>64396868.918448001</v>
      </c>
      <c r="D1688" s="2698">
        <v>65195225.130318001</v>
      </c>
      <c r="E1688" s="2698">
        <v>79601252.459344</v>
      </c>
      <c r="F1688" s="2699">
        <v>209193346.50810999</v>
      </c>
      <c r="G1688" s="2698">
        <v>-1805000</v>
      </c>
      <c r="H1688" s="2698">
        <v>2060.6830980173677</v>
      </c>
      <c r="I1688" s="2698">
        <v>980.794325820062</v>
      </c>
      <c r="J1688" s="2698">
        <v>831.82782004074988</v>
      </c>
      <c r="K1688" s="2698">
        <v>648.22800726030255</v>
      </c>
      <c r="L1688" s="2700">
        <v>2460.8501531211145</v>
      </c>
      <c r="M1688" s="2698">
        <v>-45</v>
      </c>
      <c r="N1688" s="2701">
        <v>16294.5</v>
      </c>
      <c r="O1688" s="2702">
        <v>3452.59</v>
      </c>
      <c r="P1688" s="2698">
        <v>-10857895.927998999</v>
      </c>
      <c r="Q1688" s="2698">
        <v>0</v>
      </c>
      <c r="R1688" s="2703"/>
      <c r="S1688" s="2698">
        <v>0</v>
      </c>
      <c r="T1688" s="2698">
        <v>0</v>
      </c>
      <c r="U1688" s="2698">
        <v>4247620.9855199996</v>
      </c>
      <c r="V1688" s="2698">
        <v>1.1E-5</v>
      </c>
      <c r="W1688" s="2704">
        <v>0</v>
      </c>
      <c r="X1688" s="2704">
        <v>2.0657871400000003</v>
      </c>
      <c r="Y1688" s="2704">
        <v>82780234.324356005</v>
      </c>
      <c r="Z1688" s="2704">
        <v>487.71984778158276</v>
      </c>
      <c r="AB1688" s="140">
        <f t="shared" si="7"/>
        <v>40098322.820032001</v>
      </c>
      <c r="AC1688" s="142">
        <f t="shared" si="8"/>
        <v>249291669.32814199</v>
      </c>
    </row>
    <row r="1689" spans="1:29" s="141" customFormat="1">
      <c r="A1689" s="2697">
        <v>45456</v>
      </c>
      <c r="B1689" s="2698">
        <v>168775738.28727901</v>
      </c>
      <c r="C1689" s="2698">
        <v>66134323.639935002</v>
      </c>
      <c r="D1689" s="2698">
        <v>65138564.322792001</v>
      </c>
      <c r="E1689" s="2698">
        <v>79940716.042897999</v>
      </c>
      <c r="F1689" s="2699">
        <v>211213604.00562501</v>
      </c>
      <c r="G1689" s="2698">
        <v>-2355000</v>
      </c>
      <c r="H1689" s="2698">
        <v>2058.4017856406886</v>
      </c>
      <c r="I1689" s="2698">
        <v>978.41082376859254</v>
      </c>
      <c r="J1689" s="2698">
        <v>833.49169700504001</v>
      </c>
      <c r="K1689" s="2698">
        <v>649.3580842136447</v>
      </c>
      <c r="L1689" s="2700">
        <v>2461.2606049872775</v>
      </c>
      <c r="M1689" s="2698">
        <v>-20</v>
      </c>
      <c r="N1689" s="2701">
        <v>16270</v>
      </c>
      <c r="O1689" s="2702">
        <v>3456.19</v>
      </c>
      <c r="P1689" s="2698">
        <v>-9628585.1139989998</v>
      </c>
      <c r="Q1689" s="2698">
        <v>0</v>
      </c>
      <c r="R1689" s="2703"/>
      <c r="S1689" s="2698">
        <v>0</v>
      </c>
      <c r="T1689" s="2698">
        <v>0</v>
      </c>
      <c r="U1689" s="2698">
        <v>3002672.7000870002</v>
      </c>
      <c r="V1689" s="2698">
        <v>1.1E-5</v>
      </c>
      <c r="W1689" s="2704">
        <v>0</v>
      </c>
      <c r="X1689" s="2704">
        <v>5.5657871399999994</v>
      </c>
      <c r="Y1689" s="2704">
        <v>83323554.491396993</v>
      </c>
      <c r="Z1689" s="2704">
        <v>489.34399292569145</v>
      </c>
      <c r="AB1689" s="140">
        <f t="shared" si="7"/>
        <v>40044710.043143004</v>
      </c>
      <c r="AC1689" s="142">
        <f t="shared" si="8"/>
        <v>251258314.04876801</v>
      </c>
    </row>
    <row r="1690" spans="1:29" s="141" customFormat="1">
      <c r="A1690" s="2697">
        <v>45457</v>
      </c>
      <c r="B1690" s="2698">
        <v>169015409.24790499</v>
      </c>
      <c r="C1690" s="2698">
        <v>61593955.863968998</v>
      </c>
      <c r="D1690" s="2698">
        <v>65388099.942109004</v>
      </c>
      <c r="E1690" s="2698">
        <v>78821262.933856994</v>
      </c>
      <c r="F1690" s="2699">
        <v>205803318.73993498</v>
      </c>
      <c r="G1690" s="2698">
        <v>-1985000</v>
      </c>
      <c r="H1690" s="2698">
        <v>2072.0310392899387</v>
      </c>
      <c r="I1690" s="2698">
        <v>994.19976866835361</v>
      </c>
      <c r="J1690" s="2698">
        <v>833.60677389249997</v>
      </c>
      <c r="K1690" s="2698">
        <v>790.11115973420738</v>
      </c>
      <c r="L1690" s="2700">
        <v>2617.9177022950607</v>
      </c>
      <c r="M1690" s="2698">
        <v>-20</v>
      </c>
      <c r="N1690" s="2701">
        <v>16400</v>
      </c>
      <c r="O1690" s="2702">
        <v>3478.2650000000003</v>
      </c>
      <c r="P1690" s="2698">
        <v>-10488154.660999</v>
      </c>
      <c r="Q1690" s="2698">
        <v>0</v>
      </c>
      <c r="R1690" s="2703"/>
      <c r="S1690" s="2698">
        <v>0</v>
      </c>
      <c r="T1690" s="2698">
        <v>0</v>
      </c>
      <c r="U1690" s="2698">
        <v>2258839.593539</v>
      </c>
      <c r="V1690" s="2698">
        <v>1.1E-5</v>
      </c>
      <c r="W1690" s="2704">
        <v>0</v>
      </c>
      <c r="X1690" s="2704">
        <v>2.0657871400000003</v>
      </c>
      <c r="Y1690" s="2704">
        <v>83919164.308179006</v>
      </c>
      <c r="Z1690" s="2704">
        <v>482.0067150712195</v>
      </c>
      <c r="AB1690" s="140">
        <f t="shared" si="7"/>
        <v>42933850.317638993</v>
      </c>
      <c r="AC1690" s="142">
        <f t="shared" si="8"/>
        <v>248737169.05757397</v>
      </c>
    </row>
    <row r="1691" spans="1:29" s="2227" customFormat="1">
      <c r="A1691" s="2222">
        <v>45461</v>
      </c>
      <c r="B1691" s="2223">
        <v>169015409.24790499</v>
      </c>
      <c r="C1691" s="2223">
        <v>61593955.863968998</v>
      </c>
      <c r="D1691" s="2223">
        <v>65388099.942109004</v>
      </c>
      <c r="E1691" s="2223">
        <v>78821262.933856994</v>
      </c>
      <c r="F1691" s="162">
        <v>205803318.73993498</v>
      </c>
      <c r="G1691" s="2223">
        <v>-1985000</v>
      </c>
      <c r="H1691" s="2223">
        <v>2072.0310392899387</v>
      </c>
      <c r="I1691" s="2223">
        <v>994.19976866835361</v>
      </c>
      <c r="J1691" s="2223">
        <v>833.60677389249997</v>
      </c>
      <c r="K1691" s="2223">
        <v>790.11115973420738</v>
      </c>
      <c r="L1691" s="2403">
        <v>2617.9177022950607</v>
      </c>
      <c r="M1691" s="2223">
        <v>-20</v>
      </c>
      <c r="N1691" s="2224">
        <v>16400</v>
      </c>
      <c r="O1691" s="2225">
        <v>3478.2650000000003</v>
      </c>
      <c r="P1691" s="2223">
        <v>-10488154.660999</v>
      </c>
      <c r="Q1691" s="2223">
        <v>0</v>
      </c>
      <c r="S1691" s="2223">
        <v>0</v>
      </c>
      <c r="T1691" s="2223">
        <v>0</v>
      </c>
      <c r="U1691" s="2223">
        <v>2258839.593539</v>
      </c>
      <c r="V1691" s="2223">
        <v>1.1E-5</v>
      </c>
      <c r="W1691" s="2226">
        <v>0</v>
      </c>
      <c r="X1691" s="2226">
        <v>2.0657871400000003</v>
      </c>
      <c r="Y1691" s="2226">
        <v>83919164.308179006</v>
      </c>
      <c r="Z1691" s="2226">
        <v>482.0067150712195</v>
      </c>
      <c r="AB1691" s="140">
        <f t="shared" si="7"/>
        <v>42933850.317638993</v>
      </c>
      <c r="AC1691" s="142">
        <f t="shared" si="8"/>
        <v>248737169.05757397</v>
      </c>
    </row>
    <row r="1692" spans="1:29" s="141" customFormat="1">
      <c r="A1692" s="2697">
        <v>45462</v>
      </c>
      <c r="B1692" s="2698">
        <v>170272110.734896</v>
      </c>
      <c r="C1692" s="2698">
        <v>66780522.334780999</v>
      </c>
      <c r="D1692" s="2698">
        <v>65303483.646900997</v>
      </c>
      <c r="E1692" s="2698">
        <v>78006537.972455993</v>
      </c>
      <c r="F1692" s="2699">
        <v>210090543.95413798</v>
      </c>
      <c r="G1692" s="2698">
        <v>-2835000</v>
      </c>
      <c r="H1692" s="2698">
        <v>2068.4630369187289</v>
      </c>
      <c r="I1692" s="2698">
        <v>997.95201547228839</v>
      </c>
      <c r="J1692" s="2698">
        <v>832.99404040146658</v>
      </c>
      <c r="K1692" s="2698">
        <v>644.09572453828287</v>
      </c>
      <c r="L1692" s="2700">
        <v>2475.041780412038</v>
      </c>
      <c r="M1692" s="2698">
        <v>-20</v>
      </c>
      <c r="N1692" s="2701">
        <v>16365</v>
      </c>
      <c r="O1692" s="2702">
        <v>3473.7849999999999</v>
      </c>
      <c r="P1692" s="2698">
        <v>-11463444.858999001</v>
      </c>
      <c r="Q1692" s="2698">
        <v>0</v>
      </c>
      <c r="R1692" s="2703"/>
      <c r="S1692" s="2698">
        <v>0</v>
      </c>
      <c r="T1692" s="2698">
        <v>0</v>
      </c>
      <c r="U1692" s="2698">
        <v>2258127.6927510002</v>
      </c>
      <c r="V1692" s="2698">
        <v>1.1E-5</v>
      </c>
      <c r="W1692" s="2704">
        <v>0</v>
      </c>
      <c r="X1692" s="2704">
        <v>2.0657871399999999</v>
      </c>
      <c r="Y1692" s="2704">
        <v>83328558.470648006</v>
      </c>
      <c r="Z1692" s="2704">
        <v>482.27012645768406</v>
      </c>
      <c r="AB1692" s="140">
        <f t="shared" si="7"/>
        <v>40504058.736442998</v>
      </c>
      <c r="AC1692" s="142">
        <f t="shared" si="8"/>
        <v>250594602.69058096</v>
      </c>
    </row>
    <row r="1693" spans="1:29" s="141" customFormat="1">
      <c r="A1693" s="2697">
        <v>45463</v>
      </c>
      <c r="B1693" s="2698">
        <v>170650222.37250599</v>
      </c>
      <c r="C1693" s="2698">
        <v>67920533.584408998</v>
      </c>
      <c r="D1693" s="2698">
        <v>65294417.267862998</v>
      </c>
      <c r="E1693" s="2698">
        <v>78687394.156547993</v>
      </c>
      <c r="F1693" s="2699">
        <v>211902345.00882</v>
      </c>
      <c r="G1693" s="2698">
        <v>-3610000</v>
      </c>
      <c r="H1693" s="2698">
        <v>2063.5173219542298</v>
      </c>
      <c r="I1693" s="2698">
        <v>1007.4630839809495</v>
      </c>
      <c r="J1693" s="2698">
        <v>837.80804946798537</v>
      </c>
      <c r="K1693" s="2698">
        <v>637.63815484923919</v>
      </c>
      <c r="L1693" s="2700">
        <v>2482.909288298174</v>
      </c>
      <c r="M1693" s="2698">
        <v>0</v>
      </c>
      <c r="N1693" s="2701">
        <v>16430</v>
      </c>
      <c r="O1693" s="2702">
        <v>3487.9549999999999</v>
      </c>
      <c r="P1693" s="2698">
        <v>-12226485.444799</v>
      </c>
      <c r="Q1693" s="2698">
        <v>0</v>
      </c>
      <c r="R1693" s="2703"/>
      <c r="S1693" s="2698">
        <v>0</v>
      </c>
      <c r="T1693" s="2698">
        <v>0</v>
      </c>
      <c r="U1693" s="2698">
        <v>2258150.0830609999</v>
      </c>
      <c r="V1693" s="2698">
        <v>1.1E-5</v>
      </c>
      <c r="W1693" s="2704">
        <v>0</v>
      </c>
      <c r="X1693" s="2704">
        <v>12.065787140000001</v>
      </c>
      <c r="Y1693" s="2704">
        <v>82575943.546260998</v>
      </c>
      <c r="Z1693" s="2704">
        <v>484.94415683097986</v>
      </c>
      <c r="AB1693" s="140">
        <f t="shared" si="7"/>
        <v>40794199.606738999</v>
      </c>
      <c r="AC1693" s="142">
        <f t="shared" si="8"/>
        <v>252696544.61555898</v>
      </c>
    </row>
    <row r="1694" spans="1:29" s="141" customFormat="1">
      <c r="A1694" s="2697">
        <v>45464</v>
      </c>
      <c r="B1694" s="2698">
        <v>170996495.59702799</v>
      </c>
      <c r="C1694" s="2698">
        <v>65730960.794774003</v>
      </c>
      <c r="D1694" s="2698">
        <v>65291966.391244002</v>
      </c>
      <c r="E1694" s="2698">
        <v>79761347.346568003</v>
      </c>
      <c r="F1694" s="2699">
        <v>210784274.53258601</v>
      </c>
      <c r="G1694" s="2698">
        <v>-4525000</v>
      </c>
      <c r="H1694" s="2698">
        <v>2063.532047831854</v>
      </c>
      <c r="I1694" s="2698">
        <v>1009.2104838394529</v>
      </c>
      <c r="J1694" s="2698">
        <v>842.81455844194522</v>
      </c>
      <c r="K1694" s="2698">
        <v>637.07907478826746</v>
      </c>
      <c r="L1694" s="2700">
        <v>2489.1041170696653</v>
      </c>
      <c r="M1694" s="2698">
        <v>0</v>
      </c>
      <c r="N1694" s="2701">
        <v>16450</v>
      </c>
      <c r="O1694" s="2702">
        <v>3488.87</v>
      </c>
      <c r="P1694" s="2698">
        <v>-12965613.755999001</v>
      </c>
      <c r="Q1694" s="2698">
        <v>0</v>
      </c>
      <c r="R1694" s="2703"/>
      <c r="S1694" s="2698">
        <v>0</v>
      </c>
      <c r="T1694" s="2698">
        <v>0</v>
      </c>
      <c r="U1694" s="2698">
        <v>2258507.2031800002</v>
      </c>
      <c r="V1694" s="2698">
        <v>1.1E-5</v>
      </c>
      <c r="W1694" s="2704">
        <v>0</v>
      </c>
      <c r="X1694" s="2704">
        <v>0.56578714000000008</v>
      </c>
      <c r="Y1694" s="2704">
        <v>85460054.963710994</v>
      </c>
      <c r="Z1694" s="2704">
        <v>481.02394860942252</v>
      </c>
      <c r="AB1694" s="140">
        <f t="shared" si="7"/>
        <v>40945762.725795992</v>
      </c>
      <c r="AC1694" s="142">
        <f t="shared" si="8"/>
        <v>251730037.25838199</v>
      </c>
    </row>
    <row r="1695" spans="1:29" s="141" customFormat="1">
      <c r="A1695" s="2697">
        <v>45467</v>
      </c>
      <c r="B1695" s="2698">
        <v>170917728.02965301</v>
      </c>
      <c r="C1695" s="2698">
        <v>69564215.378870994</v>
      </c>
      <c r="D1695" s="2698">
        <v>64929097.542245001</v>
      </c>
      <c r="E1695" s="2698">
        <v>79022030.852523997</v>
      </c>
      <c r="F1695" s="2699">
        <v>213515343.77363998</v>
      </c>
      <c r="G1695" s="2698">
        <v>-3355000</v>
      </c>
      <c r="H1695" s="2698">
        <v>2063.3565178525678</v>
      </c>
      <c r="I1695" s="2698">
        <v>1016.4411295330609</v>
      </c>
      <c r="J1695" s="2698">
        <v>844.48071255782611</v>
      </c>
      <c r="K1695" s="2698">
        <v>636.87301363907523</v>
      </c>
      <c r="L1695" s="2700">
        <v>2497.7948557299624</v>
      </c>
      <c r="M1695" s="2698">
        <v>0</v>
      </c>
      <c r="N1695" s="2701">
        <v>16394</v>
      </c>
      <c r="O1695" s="2702">
        <v>3479.2049999999999</v>
      </c>
      <c r="P1695" s="2698">
        <v>-16448297.357999001</v>
      </c>
      <c r="Q1695" s="2698">
        <v>0</v>
      </c>
      <c r="R1695" s="2703"/>
      <c r="S1695" s="2698">
        <v>0</v>
      </c>
      <c r="T1695" s="2698">
        <v>0</v>
      </c>
      <c r="U1695" s="2698">
        <v>2258145.608393</v>
      </c>
      <c r="V1695" s="2698">
        <v>1.1E-5</v>
      </c>
      <c r="W1695" s="2704">
        <v>-50000</v>
      </c>
      <c r="X1695" s="2704">
        <v>14.065787139999999</v>
      </c>
      <c r="Y1695" s="2704">
        <v>85003811.505798995</v>
      </c>
      <c r="Z1695" s="2704">
        <v>489.99697932420395</v>
      </c>
      <c r="AB1695" s="140">
        <f t="shared" si="7"/>
        <v>40948848.864837006</v>
      </c>
      <c r="AC1695" s="142">
        <f t="shared" si="8"/>
        <v>254464192.63847697</v>
      </c>
    </row>
    <row r="1696" spans="1:29" s="141" customFormat="1">
      <c r="A1696" s="2697">
        <v>45468</v>
      </c>
      <c r="B1696" s="2698">
        <v>170830680.14718601</v>
      </c>
      <c r="C1696" s="2698">
        <v>68359557.543797001</v>
      </c>
      <c r="D1696" s="2698">
        <v>65540272.534727</v>
      </c>
      <c r="E1696" s="2698">
        <v>78315288.973493993</v>
      </c>
      <c r="F1696" s="2699">
        <v>212215119.05201799</v>
      </c>
      <c r="G1696" s="2698">
        <v>-2730000</v>
      </c>
      <c r="H1696" s="2698">
        <v>2054.3674916153282</v>
      </c>
      <c r="I1696" s="2698">
        <v>1024.4995713808244</v>
      </c>
      <c r="J1696" s="2698">
        <v>846.83653828476338</v>
      </c>
      <c r="K1696" s="2698">
        <v>621.9081611362443</v>
      </c>
      <c r="L1696" s="2700">
        <v>2493.244270801832</v>
      </c>
      <c r="M1696" s="2698">
        <v>0</v>
      </c>
      <c r="N1696" s="2701">
        <v>16375</v>
      </c>
      <c r="O1696" s="2702">
        <v>3478.86</v>
      </c>
      <c r="P1696" s="2698">
        <v>-16341906.230999</v>
      </c>
      <c r="Q1696" s="2698">
        <v>0</v>
      </c>
      <c r="R1696" s="2703"/>
      <c r="S1696" s="2698">
        <v>0</v>
      </c>
      <c r="T1696" s="2698">
        <v>0</v>
      </c>
      <c r="U1696" s="2698">
        <v>2159853.810817</v>
      </c>
      <c r="V1696" s="2698">
        <v>1.1E-5</v>
      </c>
      <c r="W1696" s="2704">
        <v>-80000</v>
      </c>
      <c r="X1696" s="2704">
        <v>28.065787140000001</v>
      </c>
      <c r="Y1696" s="2704">
        <v>84059227.024403006</v>
      </c>
      <c r="Z1696" s="2704">
        <v>484.42709093160306</v>
      </c>
      <c r="AB1696" s="140">
        <f t="shared" si="7"/>
        <v>40826874.934380002</v>
      </c>
      <c r="AC1696" s="142">
        <f t="shared" si="8"/>
        <v>253041993.98639798</v>
      </c>
    </row>
    <row r="1697" spans="1:30" s="141" customFormat="1">
      <c r="A1697" s="2697">
        <v>45469</v>
      </c>
      <c r="B1697" s="2698">
        <v>170873430.02821499</v>
      </c>
      <c r="C1697" s="2698">
        <v>68629998.223040998</v>
      </c>
      <c r="D1697" s="2698">
        <v>65391246.338427</v>
      </c>
      <c r="E1697" s="2698">
        <v>78278127.500872001</v>
      </c>
      <c r="F1697" s="2699">
        <v>212299372.06234002</v>
      </c>
      <c r="G1697" s="2698">
        <v>-2625000</v>
      </c>
      <c r="H1697" s="2698">
        <v>2048.2910757236209</v>
      </c>
      <c r="I1697" s="2698">
        <v>1118.2633594334043</v>
      </c>
      <c r="J1697" s="2698">
        <v>849.73424020140192</v>
      </c>
      <c r="K1697" s="2698">
        <v>659.99679969612919</v>
      </c>
      <c r="L1697" s="2700">
        <v>2627.9943993309353</v>
      </c>
      <c r="M1697" s="2698">
        <v>0</v>
      </c>
      <c r="N1697" s="2701">
        <v>16405</v>
      </c>
      <c r="O1697" s="2702">
        <v>3478.9549999999999</v>
      </c>
      <c r="P1697" s="2698">
        <v>-17893276.857499</v>
      </c>
      <c r="Q1697" s="2698">
        <v>0</v>
      </c>
      <c r="R1697" s="2703"/>
      <c r="S1697" s="2698">
        <v>0</v>
      </c>
      <c r="T1697" s="2698">
        <v>0</v>
      </c>
      <c r="U1697" s="2698">
        <v>2067838.6361509999</v>
      </c>
      <c r="V1697" s="2698">
        <v>1.1E-5</v>
      </c>
      <c r="W1697" s="2704">
        <v>-80000</v>
      </c>
      <c r="X1697" s="2704">
        <v>14.065787140000001</v>
      </c>
      <c r="Y1697" s="2704">
        <v>84599465.577696994</v>
      </c>
      <c r="Z1697" s="2704">
        <v>483.45561755659855</v>
      </c>
      <c r="AB1697" s="140">
        <f t="shared" si="7"/>
        <v>43112248.12102399</v>
      </c>
      <c r="AC1697" s="142">
        <f t="shared" si="8"/>
        <v>255411620.183364</v>
      </c>
    </row>
    <row r="1698" spans="1:30" s="141" customFormat="1">
      <c r="A1698" s="2697">
        <v>45470</v>
      </c>
      <c r="B1698" s="2698">
        <v>171576080.518626</v>
      </c>
      <c r="C1698" s="2698">
        <v>68175672.460042</v>
      </c>
      <c r="D1698" s="2698">
        <v>65334478.979112998</v>
      </c>
      <c r="E1698" s="2698">
        <v>77146327.659935996</v>
      </c>
      <c r="F1698" s="2699">
        <v>210656479.09909099</v>
      </c>
      <c r="G1698" s="2698">
        <v>-1950000</v>
      </c>
      <c r="H1698" s="2698">
        <v>2035.3987012973928</v>
      </c>
      <c r="I1698" s="2698">
        <v>1137.461784743711</v>
      </c>
      <c r="J1698" s="2698">
        <v>848.22554350876658</v>
      </c>
      <c r="K1698" s="2698">
        <v>678.07611270089956</v>
      </c>
      <c r="L1698" s="2700">
        <v>2663.7634409533771</v>
      </c>
      <c r="M1698" s="2698">
        <v>0</v>
      </c>
      <c r="N1698" s="2701">
        <v>16397.5</v>
      </c>
      <c r="O1698" s="2702">
        <v>3474.42</v>
      </c>
      <c r="P1698" s="2698">
        <v>-15300327.951699</v>
      </c>
      <c r="Q1698" s="2698">
        <v>0</v>
      </c>
      <c r="R1698" s="2703"/>
      <c r="S1698" s="2698">
        <v>0</v>
      </c>
      <c r="T1698" s="2698">
        <v>0</v>
      </c>
      <c r="U1698" s="2698">
        <v>2430091.5611390001</v>
      </c>
      <c r="V1698" s="2698">
        <v>1.1E-5</v>
      </c>
      <c r="W1698" s="2704">
        <v>-510000</v>
      </c>
      <c r="X1698" s="2704">
        <v>33.065787139999998</v>
      </c>
      <c r="Y1698" s="2704">
        <v>84748183.351903006</v>
      </c>
      <c r="Z1698" s="2704">
        <v>481.20174121817354</v>
      </c>
      <c r="AB1698" s="140">
        <f t="shared" si="7"/>
        <v>43679061.023033001</v>
      </c>
      <c r="AC1698" s="142">
        <f t="shared" si="8"/>
        <v>254335540.12212399</v>
      </c>
    </row>
    <row r="1699" spans="1:30" s="141" customFormat="1">
      <c r="A1699" s="2697">
        <v>45471</v>
      </c>
      <c r="B1699" s="2698">
        <v>173094284.197047</v>
      </c>
      <c r="C1699" s="2698">
        <v>63867586.733942002</v>
      </c>
      <c r="D1699" s="2698">
        <v>65737801.190912001</v>
      </c>
      <c r="E1699" s="2698">
        <v>77664563.066569999</v>
      </c>
      <c r="F1699" s="2699">
        <v>207269950.99142402</v>
      </c>
      <c r="G1699" s="2698">
        <v>-850000</v>
      </c>
      <c r="H1699" s="2698">
        <v>2045.849522986565</v>
      </c>
      <c r="I1699" s="2698">
        <v>1154.9459452653434</v>
      </c>
      <c r="J1699" s="2698">
        <v>855.90834954021375</v>
      </c>
      <c r="K1699" s="2698">
        <v>678.01251259462595</v>
      </c>
      <c r="L1699" s="2700">
        <v>2688.866807400183</v>
      </c>
      <c r="M1699" s="2698">
        <v>0</v>
      </c>
      <c r="N1699" s="2701">
        <v>16375</v>
      </c>
      <c r="O1699" s="2702">
        <v>3471.12</v>
      </c>
      <c r="P1699" s="2698">
        <v>-13224859.656499</v>
      </c>
      <c r="Q1699" s="2698">
        <v>0</v>
      </c>
      <c r="R1699" s="2703"/>
      <c r="S1699" s="2698">
        <v>0</v>
      </c>
      <c r="T1699" s="2698">
        <v>0</v>
      </c>
      <c r="U1699" s="2698">
        <v>1912528.7321210001</v>
      </c>
      <c r="V1699" s="2698">
        <v>1.1E-5</v>
      </c>
      <c r="W1699" s="2704">
        <v>0</v>
      </c>
      <c r="X1699" s="2704">
        <v>8.0657871399999994</v>
      </c>
      <c r="Y1699" s="2704">
        <v>85029635.695552006</v>
      </c>
      <c r="Z1699" s="2704">
        <v>479.76504087193888</v>
      </c>
      <c r="AB1699" s="140">
        <f t="shared" si="7"/>
        <v>44030193.971177995</v>
      </c>
      <c r="AC1699" s="142">
        <f t="shared" si="8"/>
        <v>251300144.96260202</v>
      </c>
    </row>
    <row r="1700" spans="1:30" s="2227" customFormat="1">
      <c r="A1700" s="2222">
        <v>45473</v>
      </c>
      <c r="B1700" s="136">
        <f>'[2]Neraca Antasena'!$D$22/1000000</f>
        <v>174668783.193082</v>
      </c>
      <c r="C1700" s="136">
        <f>'[2]Neraca Antasena'!$D$79/1000000</f>
        <v>64581097.280134</v>
      </c>
      <c r="D1700" s="136">
        <f>'[2]Neraca Antasena'!$D$85/1000000</f>
        <v>65869468.798300996</v>
      </c>
      <c r="E1700" s="136">
        <f>'[2]Neraca Antasena'!$D$91/1000000</f>
        <v>75920180.281339005</v>
      </c>
      <c r="F1700" s="137">
        <f>SUM(C1700:E1700)</f>
        <v>206370746.35977399</v>
      </c>
      <c r="G1700" s="2223">
        <v>-850000</v>
      </c>
      <c r="H1700" s="136">
        <f>'[2]Neraca Antasena'!$E$22/N1700/10^6</f>
        <v>2045.3800169887022</v>
      </c>
      <c r="I1700" s="136">
        <f>'[2]Neraca Antasena'!$E$79/N1700/10^6</f>
        <v>1150.9954758206413</v>
      </c>
      <c r="J1700" s="136">
        <f>'[2]Neraca Antasena'!$E$85/N1700/10^6</f>
        <v>855.26393945349616</v>
      </c>
      <c r="K1700" s="136">
        <f>'[2]Neraca Antasena'!$E$91/N1700/10^6</f>
        <v>674.13243970045801</v>
      </c>
      <c r="L1700" s="165">
        <f>SUM(I1700:K1700)</f>
        <v>2680.3918549745958</v>
      </c>
      <c r="M1700" s="2223">
        <v>0</v>
      </c>
      <c r="N1700" s="2224">
        <v>16375</v>
      </c>
      <c r="O1700" s="2225">
        <v>3471.12</v>
      </c>
      <c r="P1700" s="2223">
        <v>-13224859.656499</v>
      </c>
      <c r="Q1700" s="2223">
        <v>0</v>
      </c>
      <c r="S1700" s="2223">
        <v>0</v>
      </c>
      <c r="T1700" s="2223">
        <v>0</v>
      </c>
      <c r="U1700" s="2223">
        <v>1912528.7321210001</v>
      </c>
      <c r="V1700" s="2223">
        <v>1.1E-5</v>
      </c>
      <c r="W1700" s="2226">
        <v>0</v>
      </c>
      <c r="X1700" s="2226">
        <v>8.0657871399999994</v>
      </c>
      <c r="Y1700" s="2226">
        <v>85029635.695552006</v>
      </c>
      <c r="Z1700" s="2226">
        <v>479.76504087193888</v>
      </c>
      <c r="AB1700" s="140">
        <f t="shared" si="7"/>
        <v>43891416.625209004</v>
      </c>
      <c r="AC1700" s="142">
        <f t="shared" si="8"/>
        <v>250262162.984983</v>
      </c>
      <c r="AD1700" s="2226">
        <f>+AVERAGE(AC1681:AC1700)</f>
        <v>251493859.30228299</v>
      </c>
    </row>
    <row r="1701" spans="1:30" s="141" customFormat="1">
      <c r="A1701" s="2697">
        <v>45474</v>
      </c>
      <c r="B1701" s="2698">
        <v>172154426.54387301</v>
      </c>
      <c r="C1701" s="2698">
        <v>65344832.26523</v>
      </c>
      <c r="D1701" s="2698">
        <v>65285114.729498997</v>
      </c>
      <c r="E1701" s="2698">
        <v>76828921.338507995</v>
      </c>
      <c r="F1701" s="2699">
        <v>207458868.33323699</v>
      </c>
      <c r="G1701" s="2698">
        <v>-1470000</v>
      </c>
      <c r="H1701" s="2698">
        <v>2045.6690436708736</v>
      </c>
      <c r="I1701" s="2698">
        <v>1142.4437646557408</v>
      </c>
      <c r="J1701" s="2698">
        <v>858.25994078887391</v>
      </c>
      <c r="K1701" s="2698">
        <v>674.84741096869254</v>
      </c>
      <c r="L1701" s="2700">
        <v>2675.5511164133072</v>
      </c>
      <c r="M1701" s="2698">
        <v>0</v>
      </c>
      <c r="N1701" s="2701">
        <v>16322</v>
      </c>
      <c r="O1701" s="2702">
        <v>3460.9850000000001</v>
      </c>
      <c r="P1701" s="2698">
        <v>-17417583.160498999</v>
      </c>
      <c r="Q1701" s="2698">
        <v>0</v>
      </c>
      <c r="R1701" s="2703"/>
      <c r="S1701" s="2698">
        <v>0</v>
      </c>
      <c r="T1701" s="2698">
        <v>0</v>
      </c>
      <c r="U1701" s="2698">
        <v>1912538.989264</v>
      </c>
      <c r="V1701" s="2698">
        <v>1.1E-5</v>
      </c>
      <c r="W1701" s="2704">
        <v>0</v>
      </c>
      <c r="X1701" s="2704">
        <v>18.065787140000001</v>
      </c>
      <c r="Y1701" s="2704">
        <v>84903174.705050007</v>
      </c>
      <c r="Z1701" s="2704">
        <v>481.46661148039459</v>
      </c>
      <c r="AB1701" s="140">
        <f>+L1701*N1701</f>
        <v>43670345.322098002</v>
      </c>
      <c r="AC1701" s="142">
        <f t="shared" si="8"/>
        <v>251129213.65533501</v>
      </c>
    </row>
    <row r="1702" spans="1:30" s="141" customFormat="1">
      <c r="A1702" s="2697">
        <v>45475</v>
      </c>
      <c r="B1702" s="2698">
        <v>172358266.13487899</v>
      </c>
      <c r="C1702" s="2698">
        <v>68155261.630790994</v>
      </c>
      <c r="D1702" s="2698">
        <v>65174453.222690001</v>
      </c>
      <c r="E1702" s="2698">
        <v>77464998.640442997</v>
      </c>
      <c r="F1702" s="2699">
        <v>210794713.49392399</v>
      </c>
      <c r="G1702" s="2698">
        <v>-2355000</v>
      </c>
      <c r="H1702" s="2698">
        <v>2064.7850782554515</v>
      </c>
      <c r="I1702" s="2698">
        <v>1103.6206007776389</v>
      </c>
      <c r="J1702" s="2698">
        <v>861.99876710549279</v>
      </c>
      <c r="K1702" s="2698">
        <v>691.5029448951783</v>
      </c>
      <c r="L1702" s="2700">
        <v>2657.1223127783101</v>
      </c>
      <c r="M1702" s="2698">
        <v>0</v>
      </c>
      <c r="N1702" s="2701">
        <v>16394.5</v>
      </c>
      <c r="O1702" s="2702">
        <v>3472.12</v>
      </c>
      <c r="P1702" s="2698">
        <v>-17433460.838498998</v>
      </c>
      <c r="Q1702" s="2698">
        <v>0</v>
      </c>
      <c r="R1702" s="2703"/>
      <c r="S1702" s="2698">
        <v>0</v>
      </c>
      <c r="T1702" s="2698">
        <v>0</v>
      </c>
      <c r="U1702" s="2698">
        <v>1912546.8443130001</v>
      </c>
      <c r="V1702" s="2698">
        <v>1.1E-5</v>
      </c>
      <c r="W1702" s="2704">
        <v>0</v>
      </c>
      <c r="X1702" s="2704">
        <v>23.065787140000001</v>
      </c>
      <c r="Y1702" s="2704">
        <v>84035055.657686993</v>
      </c>
      <c r="Z1702" s="2704">
        <v>501.40687603421878</v>
      </c>
      <c r="AB1702" s="140">
        <f t="shared" ref="AB1702:AB1723" si="9">+L1702*N1702</f>
        <v>43562191.756844006</v>
      </c>
      <c r="AC1702" s="142">
        <f t="shared" si="8"/>
        <v>254356905.25076801</v>
      </c>
    </row>
    <row r="1703" spans="1:30" s="141" customFormat="1">
      <c r="A1703" s="2697">
        <v>45476</v>
      </c>
      <c r="B1703" s="2698">
        <v>172103764.34997299</v>
      </c>
      <c r="C1703" s="2698">
        <v>69177508.825454995</v>
      </c>
      <c r="D1703" s="2698">
        <v>64504396.648323998</v>
      </c>
      <c r="E1703" s="2698">
        <v>75377816.939188004</v>
      </c>
      <c r="F1703" s="2699">
        <v>209059722.412967</v>
      </c>
      <c r="G1703" s="2698">
        <v>-2745000</v>
      </c>
      <c r="H1703" s="2698">
        <v>2060.1520827359805</v>
      </c>
      <c r="I1703" s="2698">
        <v>1131.1461283032377</v>
      </c>
      <c r="J1703" s="2698">
        <v>863.26370210427615</v>
      </c>
      <c r="K1703" s="2698">
        <v>687.12777541569938</v>
      </c>
      <c r="L1703" s="2700">
        <v>2681.5376058232132</v>
      </c>
      <c r="M1703" s="2698">
        <v>0</v>
      </c>
      <c r="N1703" s="2701">
        <v>16370</v>
      </c>
      <c r="O1703" s="2702">
        <v>3468.59</v>
      </c>
      <c r="P1703" s="2698">
        <v>-15928301.582999</v>
      </c>
      <c r="Q1703" s="2698">
        <v>0</v>
      </c>
      <c r="R1703" s="2703"/>
      <c r="S1703" s="2698">
        <v>0</v>
      </c>
      <c r="T1703" s="2698">
        <v>0</v>
      </c>
      <c r="U1703" s="2698">
        <v>1988369.212149</v>
      </c>
      <c r="V1703" s="2698">
        <v>1.1E-5</v>
      </c>
      <c r="W1703" s="2704">
        <v>0</v>
      </c>
      <c r="X1703" s="2704">
        <v>18.065787140000001</v>
      </c>
      <c r="Y1703" s="2704">
        <v>70982978.218243003</v>
      </c>
      <c r="Z1703" s="2704">
        <v>502.37416091588273</v>
      </c>
      <c r="AB1703" s="140">
        <f t="shared" si="9"/>
        <v>43896770.607326001</v>
      </c>
      <c r="AC1703" s="142">
        <f t="shared" si="8"/>
        <v>252956493.020293</v>
      </c>
    </row>
    <row r="1704" spans="1:30" s="141" customFormat="1">
      <c r="A1704" s="2697">
        <v>45477</v>
      </c>
      <c r="B1704" s="2698">
        <v>171220561.973252</v>
      </c>
      <c r="C1704" s="2698">
        <v>67245935.160261005</v>
      </c>
      <c r="D1704" s="2698">
        <v>64579515.306796998</v>
      </c>
      <c r="E1704" s="2698">
        <v>74919024.433074996</v>
      </c>
      <c r="F1704" s="2699">
        <v>206744474.90013301</v>
      </c>
      <c r="G1704" s="2698">
        <v>-2745000</v>
      </c>
      <c r="H1704" s="2698">
        <v>2064.0550648413346</v>
      </c>
      <c r="I1704" s="2698">
        <v>1124.7915541722598</v>
      </c>
      <c r="J1704" s="2698">
        <v>866.225125974158</v>
      </c>
      <c r="K1704" s="2698">
        <v>688.08719054004905</v>
      </c>
      <c r="L1704" s="2700">
        <v>2679.103870686467</v>
      </c>
      <c r="M1704" s="2698">
        <v>0</v>
      </c>
      <c r="N1704" s="2701">
        <v>16330</v>
      </c>
      <c r="O1704" s="2702">
        <v>3467.46</v>
      </c>
      <c r="P1704" s="2698">
        <v>-14601978.764999</v>
      </c>
      <c r="Q1704" s="2698">
        <v>0</v>
      </c>
      <c r="R1704" s="2703"/>
      <c r="S1704" s="2698">
        <v>0</v>
      </c>
      <c r="T1704" s="2698">
        <v>0</v>
      </c>
      <c r="U1704" s="2698">
        <v>1524964.4425019999</v>
      </c>
      <c r="V1704" s="2698">
        <v>1.1E-5</v>
      </c>
      <c r="W1704" s="2704">
        <v>-50000</v>
      </c>
      <c r="X1704" s="2704">
        <v>18.065787140000001</v>
      </c>
      <c r="Y1704" s="2704">
        <v>70343579.931655005</v>
      </c>
      <c r="Z1704" s="2704">
        <v>505.77902579681569</v>
      </c>
      <c r="AB1704" s="140">
        <f t="shared" si="9"/>
        <v>43749766.208310008</v>
      </c>
      <c r="AC1704" s="142">
        <f t="shared" si="8"/>
        <v>250494241.10844302</v>
      </c>
    </row>
    <row r="1705" spans="1:30" s="141" customFormat="1">
      <c r="A1705" s="2697">
        <v>45478</v>
      </c>
      <c r="B1705" s="2698">
        <v>170746794.27546701</v>
      </c>
      <c r="C1705" s="2698">
        <v>66429168.348674998</v>
      </c>
      <c r="D1705" s="2698">
        <v>65089614.295459002</v>
      </c>
      <c r="E1705" s="2698">
        <v>75929851.057791993</v>
      </c>
      <c r="F1705" s="2699">
        <v>207448633.70192599</v>
      </c>
      <c r="G1705" s="2698">
        <v>-2245000</v>
      </c>
      <c r="H1705" s="2698">
        <v>2052.4356825051759</v>
      </c>
      <c r="I1705" s="2698">
        <v>1142.5273957693134</v>
      </c>
      <c r="J1705" s="2698">
        <v>871.77969056998927</v>
      </c>
      <c r="K1705" s="2698">
        <v>682.19559247998768</v>
      </c>
      <c r="L1705" s="2700">
        <v>2696.5026788192904</v>
      </c>
      <c r="M1705" s="2698">
        <v>0</v>
      </c>
      <c r="N1705" s="2701">
        <v>16277.5</v>
      </c>
      <c r="O1705" s="2702">
        <v>3456.3150000000005</v>
      </c>
      <c r="P1705" s="2698">
        <v>-13462908.465999</v>
      </c>
      <c r="Q1705" s="2698">
        <v>0</v>
      </c>
      <c r="R1705" s="2703"/>
      <c r="S1705" s="2698">
        <v>0</v>
      </c>
      <c r="T1705" s="2698">
        <v>0</v>
      </c>
      <c r="U1705" s="2698">
        <v>1667749.2649379999</v>
      </c>
      <c r="V1705" s="2698">
        <v>1.1E-5</v>
      </c>
      <c r="W1705" s="2704">
        <v>0</v>
      </c>
      <c r="X1705" s="2704">
        <v>0.56578714000000008</v>
      </c>
      <c r="Y1705" s="2704">
        <v>69356013.348988995</v>
      </c>
      <c r="Z1705" s="2704">
        <v>516.95069269494707</v>
      </c>
      <c r="AB1705" s="140">
        <f t="shared" si="9"/>
        <v>43892322.354480997</v>
      </c>
      <c r="AC1705" s="142">
        <f t="shared" si="8"/>
        <v>251340956.05640697</v>
      </c>
    </row>
    <row r="1706" spans="1:30" s="141" customFormat="1">
      <c r="A1706" s="2697">
        <v>45481</v>
      </c>
      <c r="B1706" s="2698">
        <v>170198087.51737201</v>
      </c>
      <c r="C1706" s="2698">
        <v>68002181.727804005</v>
      </c>
      <c r="D1706" s="2698">
        <v>64390518.442469999</v>
      </c>
      <c r="E1706" s="2698">
        <v>74950727.935315996</v>
      </c>
      <c r="F1706" s="2699">
        <v>207343428.10558999</v>
      </c>
      <c r="G1706" s="2698">
        <v>-2445000</v>
      </c>
      <c r="H1706" s="2698">
        <v>2028.5675393857889</v>
      </c>
      <c r="I1706" s="2698">
        <v>1135.0968634674255</v>
      </c>
      <c r="J1706" s="2698">
        <v>868.25525966490306</v>
      </c>
      <c r="K1706" s="2698">
        <v>677.25624615773609</v>
      </c>
      <c r="L1706" s="2700">
        <v>2680.6083692900647</v>
      </c>
      <c r="M1706" s="2698">
        <v>0</v>
      </c>
      <c r="N1706" s="2701">
        <v>16255</v>
      </c>
      <c r="O1706" s="2702">
        <v>3451.9</v>
      </c>
      <c r="P1706" s="2698">
        <v>-12014675.385999</v>
      </c>
      <c r="Q1706" s="2698">
        <v>0</v>
      </c>
      <c r="R1706" s="2703"/>
      <c r="S1706" s="2698">
        <v>0</v>
      </c>
      <c r="T1706" s="2698">
        <v>0</v>
      </c>
      <c r="U1706" s="2698">
        <v>1667388.0000090001</v>
      </c>
      <c r="V1706" s="2698">
        <v>1.1E-5</v>
      </c>
      <c r="W1706" s="2704">
        <v>0</v>
      </c>
      <c r="X1706" s="2704">
        <v>5.5657871400000003</v>
      </c>
      <c r="Y1706" s="2704">
        <v>69299807.511919007</v>
      </c>
      <c r="Z1706" s="2704">
        <v>513.25311354752387</v>
      </c>
      <c r="AB1706" s="140">
        <f t="shared" si="9"/>
        <v>43573289.04281</v>
      </c>
      <c r="AC1706" s="142">
        <f t="shared" si="8"/>
        <v>250916717.14839998</v>
      </c>
    </row>
    <row r="1707" spans="1:30" s="141" customFormat="1">
      <c r="A1707" s="2697">
        <v>45482</v>
      </c>
      <c r="B1707" s="2698">
        <v>169725664.32348499</v>
      </c>
      <c r="C1707" s="2698">
        <v>68040831.670193002</v>
      </c>
      <c r="D1707" s="2698">
        <v>64399599.010177001</v>
      </c>
      <c r="E1707" s="2698">
        <v>74920785.216043994</v>
      </c>
      <c r="F1707" s="2699">
        <v>207361215.89641398</v>
      </c>
      <c r="G1707" s="2698">
        <v>-2685000</v>
      </c>
      <c r="H1707" s="2698">
        <v>2038.0071982051691</v>
      </c>
      <c r="I1707" s="2698">
        <v>1123.5368204184615</v>
      </c>
      <c r="J1707" s="2698">
        <v>874.81532820412315</v>
      </c>
      <c r="K1707" s="2698">
        <v>677.62476512449234</v>
      </c>
      <c r="L1707" s="2700">
        <v>2675.9769137470767</v>
      </c>
      <c r="M1707" s="2698">
        <v>0</v>
      </c>
      <c r="N1707" s="2701">
        <v>16250</v>
      </c>
      <c r="O1707" s="2702">
        <v>3450.4749999999999</v>
      </c>
      <c r="P1707" s="2698">
        <v>-12759904.389999</v>
      </c>
      <c r="Q1707" s="2698">
        <v>0</v>
      </c>
      <c r="R1707" s="2703"/>
      <c r="S1707" s="2698">
        <v>0</v>
      </c>
      <c r="T1707" s="2698">
        <v>0</v>
      </c>
      <c r="U1707" s="2698">
        <v>1667397.972757</v>
      </c>
      <c r="V1707" s="2698">
        <v>1.1E-5</v>
      </c>
      <c r="W1707" s="2704">
        <v>0</v>
      </c>
      <c r="X1707" s="2704">
        <v>31.065787139999998</v>
      </c>
      <c r="Y1707" s="2704">
        <v>83435438.020223007</v>
      </c>
      <c r="Z1707" s="2704">
        <v>505.62082294110769</v>
      </c>
      <c r="AB1707" s="140">
        <f t="shared" si="9"/>
        <v>43484624.848389998</v>
      </c>
      <c r="AC1707" s="142">
        <f t="shared" si="8"/>
        <v>250845840.74480397</v>
      </c>
    </row>
    <row r="1708" spans="1:30" s="141" customFormat="1">
      <c r="A1708" s="2697">
        <v>45483</v>
      </c>
      <c r="B1708" s="2698">
        <v>169877553.561272</v>
      </c>
      <c r="C1708" s="2698">
        <v>67087828.716131002</v>
      </c>
      <c r="D1708" s="2698">
        <v>64278861.035681002</v>
      </c>
      <c r="E1708" s="2698">
        <v>74620654.262666002</v>
      </c>
      <c r="F1708" s="2699">
        <v>205987344.01447803</v>
      </c>
      <c r="G1708" s="2698">
        <v>-2915000</v>
      </c>
      <c r="H1708" s="2698">
        <v>2036.6695073215517</v>
      </c>
      <c r="I1708" s="2698">
        <v>1127.6259842161944</v>
      </c>
      <c r="J1708" s="2698">
        <v>874.80955947001235</v>
      </c>
      <c r="K1708" s="2698">
        <v>680.45428840972909</v>
      </c>
      <c r="L1708" s="2700">
        <v>2682.8898320959361</v>
      </c>
      <c r="M1708" s="2698">
        <v>0</v>
      </c>
      <c r="N1708" s="2701">
        <v>16240</v>
      </c>
      <c r="O1708" s="2702">
        <v>3450.915</v>
      </c>
      <c r="P1708" s="2698">
        <v>-11252959.719199</v>
      </c>
      <c r="Q1708" s="2698">
        <v>0</v>
      </c>
      <c r="R1708" s="2703"/>
      <c r="S1708" s="2698">
        <v>0</v>
      </c>
      <c r="T1708" s="2698">
        <v>0</v>
      </c>
      <c r="U1708" s="2698">
        <v>1667420.6116750001</v>
      </c>
      <c r="V1708" s="2698">
        <v>1.1E-5</v>
      </c>
      <c r="W1708" s="2704">
        <v>0</v>
      </c>
      <c r="X1708" s="2704">
        <v>24.565787139999998</v>
      </c>
      <c r="Y1708" s="2704">
        <v>82811167.264016002</v>
      </c>
      <c r="Z1708" s="2704">
        <v>505.73932535215516</v>
      </c>
      <c r="AB1708" s="140">
        <f t="shared" si="9"/>
        <v>43570130.873238005</v>
      </c>
      <c r="AC1708" s="142">
        <f t="shared" si="8"/>
        <v>249557474.88771603</v>
      </c>
    </row>
    <row r="1709" spans="1:30" s="141" customFormat="1">
      <c r="A1709" s="2697">
        <v>45484</v>
      </c>
      <c r="B1709" s="2698">
        <v>170122467.59050399</v>
      </c>
      <c r="C1709" s="2698">
        <v>67682663.254998997</v>
      </c>
      <c r="D1709" s="2698">
        <v>64147394.144215003</v>
      </c>
      <c r="E1709" s="2698">
        <v>74882759.086833</v>
      </c>
      <c r="F1709" s="2699">
        <v>206712816.486047</v>
      </c>
      <c r="G1709" s="2698">
        <v>-2915000</v>
      </c>
      <c r="H1709" s="2698">
        <v>2014.4511413768871</v>
      </c>
      <c r="I1709" s="2698">
        <v>1090.8932927977401</v>
      </c>
      <c r="J1709" s="2698">
        <v>881.27016264694805</v>
      </c>
      <c r="K1709" s="2698">
        <v>681.94282608657261</v>
      </c>
      <c r="L1709" s="2700">
        <v>2654.1062815312607</v>
      </c>
      <c r="M1709" s="2698">
        <v>0</v>
      </c>
      <c r="N1709" s="2701">
        <v>16194.5</v>
      </c>
      <c r="O1709" s="2702">
        <v>3452.62</v>
      </c>
      <c r="P1709" s="2698">
        <v>-12757515.091198999</v>
      </c>
      <c r="Q1709" s="2698">
        <v>0</v>
      </c>
      <c r="R1709" s="2703"/>
      <c r="S1709" s="2698">
        <v>0</v>
      </c>
      <c r="T1709" s="2698">
        <v>0</v>
      </c>
      <c r="U1709" s="2698">
        <v>1667451.847211</v>
      </c>
      <c r="V1709" s="2698">
        <v>1.1E-5</v>
      </c>
      <c r="W1709" s="2704">
        <v>0</v>
      </c>
      <c r="X1709" s="2704">
        <v>26.565787139999998</v>
      </c>
      <c r="Y1709" s="2704">
        <v>84319705.684412003</v>
      </c>
      <c r="Z1709" s="2704">
        <v>518.19775760690368</v>
      </c>
      <c r="AB1709" s="140">
        <f t="shared" si="9"/>
        <v>42981924.176258005</v>
      </c>
      <c r="AC1709" s="142">
        <f t="shared" si="8"/>
        <v>249694740.662305</v>
      </c>
    </row>
    <row r="1710" spans="1:30" s="141" customFormat="1">
      <c r="A1710" s="2697">
        <v>45485</v>
      </c>
      <c r="B1710" s="2698">
        <v>170241229.710455</v>
      </c>
      <c r="C1710" s="2698">
        <v>66169033.095241003</v>
      </c>
      <c r="D1710" s="2698">
        <v>64216484.270144001</v>
      </c>
      <c r="E1710" s="2698">
        <v>75647737.239518002</v>
      </c>
      <c r="F1710" s="2699">
        <v>206033254.60490298</v>
      </c>
      <c r="G1710" s="2698">
        <v>-2915000</v>
      </c>
      <c r="H1710" s="2698">
        <v>2026.2238383071729</v>
      </c>
      <c r="I1710" s="2698">
        <v>1101.9037213520062</v>
      </c>
      <c r="J1710" s="2698">
        <v>894.19655211525946</v>
      </c>
      <c r="K1710" s="2698">
        <v>684.66018406339276</v>
      </c>
      <c r="L1710" s="2700">
        <v>2680.7604575306586</v>
      </c>
      <c r="M1710" s="2698">
        <v>0</v>
      </c>
      <c r="N1710" s="2701">
        <v>16137.5</v>
      </c>
      <c r="O1710" s="2702">
        <v>3455.5650000000001</v>
      </c>
      <c r="P1710" s="2698">
        <v>-14906213.268199001</v>
      </c>
      <c r="Q1710" s="2698">
        <v>0</v>
      </c>
      <c r="R1710" s="2703"/>
      <c r="S1710" s="2698">
        <v>0</v>
      </c>
      <c r="T1710" s="2698">
        <v>0</v>
      </c>
      <c r="U1710" s="2698">
        <v>1482543.1311929999</v>
      </c>
      <c r="V1710" s="2698">
        <v>1.1E-5</v>
      </c>
      <c r="W1710" s="2704">
        <v>0</v>
      </c>
      <c r="X1710" s="2704">
        <v>10.565787139999999</v>
      </c>
      <c r="Y1710" s="2704">
        <v>85411001.251736</v>
      </c>
      <c r="Z1710" s="2704">
        <v>522.67210258441514</v>
      </c>
      <c r="AB1710" s="140">
        <f t="shared" si="9"/>
        <v>43260771.883401006</v>
      </c>
      <c r="AC1710" s="142">
        <f t="shared" si="8"/>
        <v>249294026.48830399</v>
      </c>
    </row>
    <row r="1711" spans="1:30" s="141" customFormat="1">
      <c r="A1711" s="2697">
        <v>45488</v>
      </c>
      <c r="B1711" s="2698">
        <v>170374459.963148</v>
      </c>
      <c r="C1711" s="2698">
        <v>68136351.607216001</v>
      </c>
      <c r="D1711" s="2698">
        <v>64149826.392135002</v>
      </c>
      <c r="E1711" s="2698">
        <v>77204675.235505998</v>
      </c>
      <c r="F1711" s="2699">
        <v>209490853.23485699</v>
      </c>
      <c r="G1711" s="2698">
        <v>-2515000</v>
      </c>
      <c r="H1711" s="2698">
        <v>2053.1018056281387</v>
      </c>
      <c r="I1711" s="2698">
        <v>1111.4576891860233</v>
      </c>
      <c r="J1711" s="2698">
        <v>895.48642434310455</v>
      </c>
      <c r="K1711" s="2698">
        <v>690.10490833024119</v>
      </c>
      <c r="L1711" s="2700">
        <v>2697.0490218593691</v>
      </c>
      <c r="M1711" s="2698">
        <v>0</v>
      </c>
      <c r="N1711" s="2701">
        <v>16170</v>
      </c>
      <c r="O1711" s="2702">
        <v>3461.0450000000001</v>
      </c>
      <c r="P1711" s="2698">
        <v>-15235806.676199</v>
      </c>
      <c r="Q1711" s="2698">
        <v>0</v>
      </c>
      <c r="R1711" s="2703"/>
      <c r="S1711" s="2698">
        <v>0</v>
      </c>
      <c r="T1711" s="2698">
        <v>0</v>
      </c>
      <c r="U1711" s="2698">
        <v>1482184.152366</v>
      </c>
      <c r="V1711" s="2698">
        <v>1.1E-5</v>
      </c>
      <c r="W1711" s="2704">
        <v>0</v>
      </c>
      <c r="X1711" s="2704">
        <v>21.065787140000001</v>
      </c>
      <c r="Y1711" s="2704">
        <v>84682051.951456994</v>
      </c>
      <c r="Z1711" s="2704">
        <v>525.61760198101422</v>
      </c>
      <c r="AB1711" s="140">
        <f t="shared" si="9"/>
        <v>43611282.683465995</v>
      </c>
      <c r="AC1711" s="142">
        <f t="shared" si="8"/>
        <v>253102135.91832298</v>
      </c>
    </row>
    <row r="1712" spans="1:30" s="141" customFormat="1">
      <c r="A1712" s="2697">
        <v>45489</v>
      </c>
      <c r="B1712" s="2698">
        <v>170406665.22851801</v>
      </c>
      <c r="C1712" s="2698">
        <v>67513586.745811999</v>
      </c>
      <c r="D1712" s="2698">
        <v>64179206.955614001</v>
      </c>
      <c r="E1712" s="2698">
        <v>77344578.713652998</v>
      </c>
      <c r="F1712" s="2699">
        <v>209037372.415079</v>
      </c>
      <c r="G1712" s="2698">
        <v>-1915000</v>
      </c>
      <c r="H1712" s="2698">
        <v>2068.2109649935724</v>
      </c>
      <c r="I1712" s="2698">
        <v>1131.2976132322001</v>
      </c>
      <c r="J1712" s="2698">
        <v>896.61783872805938</v>
      </c>
      <c r="K1712" s="2698">
        <v>694.29277397861551</v>
      </c>
      <c r="L1712" s="2700">
        <v>2722.2082259388749</v>
      </c>
      <c r="M1712" s="2698">
        <v>0</v>
      </c>
      <c r="N1712" s="2701">
        <v>16180</v>
      </c>
      <c r="O1712" s="2702">
        <v>3458.7449999999999</v>
      </c>
      <c r="P1712" s="2698">
        <v>-12638946.404199</v>
      </c>
      <c r="Q1712" s="2698">
        <v>0</v>
      </c>
      <c r="R1712" s="2703"/>
      <c r="S1712" s="2698">
        <v>0</v>
      </c>
      <c r="T1712" s="2698">
        <v>0</v>
      </c>
      <c r="U1712" s="2698">
        <v>1528405.326019</v>
      </c>
      <c r="V1712" s="2698">
        <v>1.1E-5</v>
      </c>
      <c r="W1712" s="2704">
        <v>0</v>
      </c>
      <c r="X1712" s="2704">
        <v>6.5787140000000008E-2</v>
      </c>
      <c r="Y1712" s="2704">
        <v>84707503.923117995</v>
      </c>
      <c r="Z1712" s="2704">
        <v>532.6628174036465</v>
      </c>
      <c r="AB1712" s="140">
        <f t="shared" si="9"/>
        <v>44045329.095690995</v>
      </c>
      <c r="AC1712" s="142">
        <f t="shared" si="8"/>
        <v>253082701.51076999</v>
      </c>
    </row>
    <row r="1713" spans="1:31" s="141" customFormat="1">
      <c r="A1713" s="2697">
        <v>45490</v>
      </c>
      <c r="B1713" s="2698">
        <v>170903439.712304</v>
      </c>
      <c r="C1713" s="2698">
        <v>67960402.789623007</v>
      </c>
      <c r="D1713" s="2698">
        <v>64059433.728001997</v>
      </c>
      <c r="E1713" s="2698">
        <v>76976409.173938006</v>
      </c>
      <c r="F1713" s="2699">
        <v>208996245.69156301</v>
      </c>
      <c r="G1713" s="2698">
        <v>-1600000</v>
      </c>
      <c r="H1713" s="2698">
        <v>2062.0434898876397</v>
      </c>
      <c r="I1713" s="2698">
        <v>1146.7466623894409</v>
      </c>
      <c r="J1713" s="2698">
        <v>901.30310132490683</v>
      </c>
      <c r="K1713" s="2698">
        <v>697.08942373670811</v>
      </c>
      <c r="L1713" s="2700">
        <v>2745.1391874510555</v>
      </c>
      <c r="M1713" s="2698">
        <v>0</v>
      </c>
      <c r="N1713" s="2701">
        <v>16100</v>
      </c>
      <c r="O1713" s="2702">
        <v>3447.17</v>
      </c>
      <c r="P1713" s="2698">
        <v>-14744031.157198999</v>
      </c>
      <c r="Q1713" s="2698">
        <v>0</v>
      </c>
      <c r="R1713" s="2703"/>
      <c r="S1713" s="2698">
        <v>0</v>
      </c>
      <c r="T1713" s="2698">
        <v>0</v>
      </c>
      <c r="U1713" s="2698">
        <v>1482217.3558100001</v>
      </c>
      <c r="V1713" s="2698">
        <v>1.1E-5</v>
      </c>
      <c r="W1713" s="2704">
        <v>0</v>
      </c>
      <c r="X1713" s="2704">
        <v>18.065787140000001</v>
      </c>
      <c r="Y1713" s="2704">
        <v>84250333.868550003</v>
      </c>
      <c r="Z1713" s="2704">
        <v>533.33812549111792</v>
      </c>
      <c r="AB1713" s="140">
        <f t="shared" si="9"/>
        <v>44196740.917961992</v>
      </c>
      <c r="AC1713" s="142">
        <f t="shared" si="8"/>
        <v>253192986.609525</v>
      </c>
    </row>
    <row r="1714" spans="1:31" s="141" customFormat="1">
      <c r="A1714" s="2697">
        <v>45491</v>
      </c>
      <c r="B1714" s="2698">
        <v>171123302.64771599</v>
      </c>
      <c r="C1714" s="2698">
        <v>66102526.989106998</v>
      </c>
      <c r="D1714" s="2698">
        <v>64013219.181362003</v>
      </c>
      <c r="E1714" s="2698">
        <v>76936869.689144999</v>
      </c>
      <c r="F1714" s="2699">
        <v>207052615.85961401</v>
      </c>
      <c r="G1714" s="2698">
        <v>-2500000</v>
      </c>
      <c r="H1714" s="2698">
        <v>2058.9131557799442</v>
      </c>
      <c r="I1714" s="2698">
        <v>1178.1376357357476</v>
      </c>
      <c r="J1714" s="2698">
        <v>899.50463979975234</v>
      </c>
      <c r="K1714" s="2698">
        <v>686.29227768517489</v>
      </c>
      <c r="L1714" s="2700">
        <v>2763.9345532206744</v>
      </c>
      <c r="M1714" s="2698">
        <v>0</v>
      </c>
      <c r="N1714" s="2701">
        <v>16155</v>
      </c>
      <c r="O1714" s="2702">
        <v>3462.6549999999997</v>
      </c>
      <c r="P1714" s="2698">
        <v>-13891764.837199001</v>
      </c>
      <c r="Q1714" s="2698">
        <v>0</v>
      </c>
      <c r="R1714" s="2703"/>
      <c r="S1714" s="2698">
        <v>0</v>
      </c>
      <c r="T1714" s="2698">
        <v>0</v>
      </c>
      <c r="U1714" s="2698">
        <v>1482246.1645829999</v>
      </c>
      <c r="V1714" s="2698">
        <v>1.1E-5</v>
      </c>
      <c r="W1714" s="2704">
        <v>0</v>
      </c>
      <c r="X1714" s="2704">
        <v>3.0657871399999999</v>
      </c>
      <c r="Y1714" s="2704">
        <v>85850307.357609004</v>
      </c>
      <c r="Z1714" s="2704">
        <v>534.13224392999075</v>
      </c>
      <c r="AB1714" s="140">
        <f t="shared" si="9"/>
        <v>44651362.707279995</v>
      </c>
      <c r="AC1714" s="142">
        <f t="shared" si="8"/>
        <v>251703978.56689399</v>
      </c>
    </row>
    <row r="1715" spans="1:31" s="141" customFormat="1">
      <c r="A1715" s="2697">
        <v>45492</v>
      </c>
      <c r="B1715" s="2698">
        <v>170852282.18799999</v>
      </c>
      <c r="C1715" s="2698">
        <v>64880528.022606999</v>
      </c>
      <c r="D1715" s="2698">
        <v>63935683.823394001</v>
      </c>
      <c r="E1715" s="2698">
        <v>78098797.009794995</v>
      </c>
      <c r="F1715" s="2699">
        <v>206915008.85579598</v>
      </c>
      <c r="G1715" s="2698">
        <v>-3360000</v>
      </c>
      <c r="H1715" s="2698">
        <v>2056.3591069783197</v>
      </c>
      <c r="I1715" s="2698">
        <v>1178.1817935725755</v>
      </c>
      <c r="J1715" s="2698">
        <v>903.25950548004937</v>
      </c>
      <c r="K1715" s="2698">
        <v>683.00513682100052</v>
      </c>
      <c r="L1715" s="2700">
        <v>2764.4464358736254</v>
      </c>
      <c r="M1715" s="2698">
        <v>0</v>
      </c>
      <c r="N1715" s="2701">
        <v>16190</v>
      </c>
      <c r="O1715" s="2702">
        <v>3458.2950000000001</v>
      </c>
      <c r="P1715" s="2698">
        <v>-11529902.326699</v>
      </c>
      <c r="Q1715" s="2698">
        <v>0</v>
      </c>
      <c r="R1715" s="2703"/>
      <c r="S1715" s="2698">
        <v>0</v>
      </c>
      <c r="T1715" s="2698">
        <v>0</v>
      </c>
      <c r="U1715" s="2698">
        <v>1387054.2029609999</v>
      </c>
      <c r="V1715" s="2698">
        <v>1.1E-5</v>
      </c>
      <c r="W1715" s="2704">
        <v>0</v>
      </c>
      <c r="X1715" s="2704">
        <v>5.5657871400000003</v>
      </c>
      <c r="Y1715" s="2704">
        <v>84691136.434867993</v>
      </c>
      <c r="Z1715" s="2704">
        <v>526.21663767998768</v>
      </c>
      <c r="AB1715" s="140">
        <f t="shared" si="9"/>
        <v>44756387.796793997</v>
      </c>
      <c r="AC1715" s="142">
        <f t="shared" si="8"/>
        <v>251671396.65258998</v>
      </c>
    </row>
    <row r="1716" spans="1:31" s="141" customFormat="1">
      <c r="A1716" s="2697">
        <v>45495</v>
      </c>
      <c r="B1716" s="2698">
        <v>170894743.31004</v>
      </c>
      <c r="C1716" s="2698">
        <v>67641015.073957995</v>
      </c>
      <c r="D1716" s="2698">
        <v>63816273.447632</v>
      </c>
      <c r="E1716" s="2698">
        <v>77818344.483346</v>
      </c>
      <c r="F1716" s="2699">
        <v>209275633.00493598</v>
      </c>
      <c r="G1716" s="2698">
        <v>-3080000</v>
      </c>
      <c r="H1716" s="2698">
        <v>2033.4244373861281</v>
      </c>
      <c r="I1716" s="2698">
        <v>1191.2228184679409</v>
      </c>
      <c r="J1716" s="2698">
        <v>901.89036666417996</v>
      </c>
      <c r="K1716" s="2698">
        <v>670.80618159284825</v>
      </c>
      <c r="L1716" s="2700">
        <v>2763.9193667249688</v>
      </c>
      <c r="M1716" s="2698">
        <v>0</v>
      </c>
      <c r="N1716" s="2701">
        <v>16220</v>
      </c>
      <c r="O1716" s="2702">
        <v>3465.0699999999997</v>
      </c>
      <c r="P1716" s="2698">
        <v>-12861121.940149</v>
      </c>
      <c r="Q1716" s="2698">
        <v>0</v>
      </c>
      <c r="R1716" s="2703"/>
      <c r="S1716" s="2698">
        <v>0</v>
      </c>
      <c r="T1716" s="2698">
        <v>0</v>
      </c>
      <c r="U1716" s="2698">
        <v>1386692.8024480001</v>
      </c>
      <c r="V1716" s="2698">
        <v>1.1E-5</v>
      </c>
      <c r="W1716" s="2704">
        <v>0</v>
      </c>
      <c r="X1716" s="2704">
        <v>26.065787139999998</v>
      </c>
      <c r="Y1716" s="2704">
        <v>83911401.978569001</v>
      </c>
      <c r="Z1716" s="2704">
        <v>525.83970190000002</v>
      </c>
      <c r="AB1716" s="140">
        <f t="shared" si="9"/>
        <v>44830772.128278993</v>
      </c>
      <c r="AC1716" s="142">
        <f t="shared" si="8"/>
        <v>254106405.13321498</v>
      </c>
    </row>
    <row r="1717" spans="1:31" s="141" customFormat="1">
      <c r="A1717" s="2697">
        <v>45496</v>
      </c>
      <c r="B1717" s="2698">
        <v>170556978.06252801</v>
      </c>
      <c r="C1717" s="2698">
        <v>66444259.224035002</v>
      </c>
      <c r="D1717" s="2698">
        <v>63789582.726497002</v>
      </c>
      <c r="E1717" s="2698">
        <v>77962117.968110994</v>
      </c>
      <c r="F1717" s="2699">
        <v>208195959.918643</v>
      </c>
      <c r="G1717" s="2698">
        <v>-2330000</v>
      </c>
      <c r="H1717" s="2698">
        <v>2026.043905652992</v>
      </c>
      <c r="I1717" s="2698">
        <v>1189.0686258571254</v>
      </c>
      <c r="J1717" s="2698">
        <v>910.24380357032692</v>
      </c>
      <c r="K1717" s="2698">
        <v>671.15667660209749</v>
      </c>
      <c r="L1717" s="2700">
        <v>2770.4691060295495</v>
      </c>
      <c r="M1717" s="2698">
        <v>0</v>
      </c>
      <c r="N1717" s="2701">
        <v>16210</v>
      </c>
      <c r="O1717" s="2702">
        <v>3468.8649999999998</v>
      </c>
      <c r="P1717" s="2698">
        <v>-13409672.201149</v>
      </c>
      <c r="Q1717" s="2698">
        <v>0</v>
      </c>
      <c r="R1717" s="2703"/>
      <c r="S1717" s="2698">
        <v>0</v>
      </c>
      <c r="T1717" s="2698">
        <v>0</v>
      </c>
      <c r="U1717" s="2698">
        <v>1386704.7371970001</v>
      </c>
      <c r="V1717" s="2698">
        <v>1.1E-5</v>
      </c>
      <c r="W1717" s="2704">
        <v>0</v>
      </c>
      <c r="X1717" s="2704">
        <v>31.065787140000001</v>
      </c>
      <c r="Y1717" s="2704">
        <v>83983940.776415005</v>
      </c>
      <c r="Z1717" s="2704">
        <v>524.61071571998764</v>
      </c>
      <c r="AB1717" s="140">
        <f t="shared" si="9"/>
        <v>44909304.208738998</v>
      </c>
      <c r="AC1717" s="142">
        <f t="shared" si="8"/>
        <v>253105264.12738198</v>
      </c>
    </row>
    <row r="1718" spans="1:31" s="141" customFormat="1">
      <c r="A1718" s="2697">
        <v>45497</v>
      </c>
      <c r="B1718" s="2698">
        <v>170686842.50171</v>
      </c>
      <c r="C1718" s="2698">
        <v>66600241.862363003</v>
      </c>
      <c r="D1718" s="2698">
        <v>63774173.201393999</v>
      </c>
      <c r="E1718" s="2698">
        <v>77394989.417131007</v>
      </c>
      <c r="F1718" s="2699">
        <v>207769404.48088801</v>
      </c>
      <c r="G1718" s="2698">
        <v>-2710000</v>
      </c>
      <c r="H1718" s="2698">
        <v>2029.3596904991675</v>
      </c>
      <c r="I1718" s="2698">
        <v>1194.0681251550416</v>
      </c>
      <c r="J1718" s="2698">
        <v>919.20672995806353</v>
      </c>
      <c r="K1718" s="2698">
        <v>671.17270432143073</v>
      </c>
      <c r="L1718" s="2700">
        <v>2784.4475594345358</v>
      </c>
      <c r="M1718" s="2698">
        <v>0</v>
      </c>
      <c r="N1718" s="2701">
        <v>16215</v>
      </c>
      <c r="O1718" s="2702">
        <v>3470.3050000000003</v>
      </c>
      <c r="P1718" s="2698">
        <v>-13078397.854599001</v>
      </c>
      <c r="Q1718" s="2698">
        <v>0</v>
      </c>
      <c r="R1718" s="2703"/>
      <c r="S1718" s="2698">
        <v>0</v>
      </c>
      <c r="T1718" s="2698">
        <v>0</v>
      </c>
      <c r="U1718" s="2698">
        <v>1583103.7597020001</v>
      </c>
      <c r="V1718" s="2698">
        <v>1.1E-5</v>
      </c>
      <c r="W1718" s="2704">
        <v>0</v>
      </c>
      <c r="X1718" s="2704">
        <v>32.5318945</v>
      </c>
      <c r="Y1718" s="2704">
        <v>84091672.195462003</v>
      </c>
      <c r="Z1718" s="2704">
        <v>524.27477144002467</v>
      </c>
      <c r="AB1718" s="140">
        <f t="shared" si="9"/>
        <v>45149817.176230997</v>
      </c>
      <c r="AC1718" s="142">
        <f t="shared" si="8"/>
        <v>252919221.65711901</v>
      </c>
    </row>
    <row r="1719" spans="1:31" s="141" customFormat="1">
      <c r="A1719" s="2697">
        <v>45498</v>
      </c>
      <c r="B1719" s="2698">
        <v>170614667.99144101</v>
      </c>
      <c r="C1719" s="2698">
        <v>66291083.415831</v>
      </c>
      <c r="D1719" s="2698">
        <v>64507098.596387997</v>
      </c>
      <c r="E1719" s="2698">
        <v>77172749.534627005</v>
      </c>
      <c r="F1719" s="2699">
        <v>207970931.546846</v>
      </c>
      <c r="G1719" s="2698">
        <v>-2695000</v>
      </c>
      <c r="H1719" s="2698">
        <v>2048.1935356059075</v>
      </c>
      <c r="I1719" s="2698">
        <v>1155.4561621651076</v>
      </c>
      <c r="J1719" s="2698">
        <v>924.03261228683073</v>
      </c>
      <c r="K1719" s="2698">
        <v>707.26288221070763</v>
      </c>
      <c r="L1719" s="2700">
        <v>2786.7516566626459</v>
      </c>
      <c r="M1719" s="2698">
        <v>0</v>
      </c>
      <c r="N1719" s="2701">
        <v>16250</v>
      </c>
      <c r="O1719" s="2702">
        <v>3483.3850000000002</v>
      </c>
      <c r="P1719" s="2698">
        <v>-14124053.903599</v>
      </c>
      <c r="Q1719" s="2698">
        <v>0</v>
      </c>
      <c r="R1719" s="2703"/>
      <c r="S1719" s="2698">
        <v>0</v>
      </c>
      <c r="T1719" s="2698">
        <v>0</v>
      </c>
      <c r="U1719" s="2698">
        <v>2055146.000518</v>
      </c>
      <c r="V1719" s="2698">
        <v>1.1E-5</v>
      </c>
      <c r="W1719" s="2704">
        <v>0</v>
      </c>
      <c r="X1719" s="2704">
        <v>37.5318945</v>
      </c>
      <c r="Y1719" s="2704">
        <v>84426212.911500007</v>
      </c>
      <c r="Z1719" s="2704">
        <v>522.6521873800616</v>
      </c>
      <c r="AB1719" s="140">
        <f t="shared" si="9"/>
        <v>45284714.420767993</v>
      </c>
      <c r="AC1719" s="142">
        <f t="shared" si="8"/>
        <v>253255645.967614</v>
      </c>
    </row>
    <row r="1720" spans="1:31" s="141" customFormat="1">
      <c r="A1720" s="2697">
        <v>45499</v>
      </c>
      <c r="B1720" s="2698">
        <v>171272529.18574899</v>
      </c>
      <c r="C1720" s="2698">
        <v>65365002.067712002</v>
      </c>
      <c r="D1720" s="2698">
        <v>64941942.333120003</v>
      </c>
      <c r="E1720" s="2698">
        <v>77968448.733316004</v>
      </c>
      <c r="F1720" s="2699">
        <v>208275393.134148</v>
      </c>
      <c r="G1720" s="2698">
        <v>-3215000</v>
      </c>
      <c r="H1720" s="2698">
        <v>2006.2685037626763</v>
      </c>
      <c r="I1720" s="2698">
        <v>1131.7414681998771</v>
      </c>
      <c r="J1720" s="2698">
        <v>923.46802546844685</v>
      </c>
      <c r="K1720" s="2698">
        <v>703.50940311068143</v>
      </c>
      <c r="L1720" s="2700">
        <v>2758.7188967790053</v>
      </c>
      <c r="M1720" s="2698">
        <v>0</v>
      </c>
      <c r="N1720" s="2701">
        <v>16290</v>
      </c>
      <c r="O1720" s="2702">
        <v>3500.2150000000001</v>
      </c>
      <c r="P1720" s="2698">
        <v>-13993436.978099</v>
      </c>
      <c r="Q1720" s="2698">
        <v>0</v>
      </c>
      <c r="R1720" s="2703"/>
      <c r="S1720" s="2698">
        <v>0</v>
      </c>
      <c r="T1720" s="2698">
        <v>0</v>
      </c>
      <c r="U1720" s="2698">
        <v>2055507.737988</v>
      </c>
      <c r="V1720" s="2698">
        <v>1.1E-5</v>
      </c>
      <c r="W1720" s="2704">
        <v>0</v>
      </c>
      <c r="X1720" s="2704">
        <v>27.5318945</v>
      </c>
      <c r="Y1720" s="2704">
        <v>85375400.659015998</v>
      </c>
      <c r="Z1720" s="2704">
        <v>487.40756595997544</v>
      </c>
      <c r="AB1720" s="140">
        <f t="shared" si="9"/>
        <v>44939530.828529999</v>
      </c>
      <c r="AC1720" s="142">
        <f t="shared" si="8"/>
        <v>253214923.96267802</v>
      </c>
    </row>
    <row r="1721" spans="1:31" s="141" customFormat="1">
      <c r="A1721" s="2697">
        <v>45502</v>
      </c>
      <c r="B1721" s="2698">
        <v>171511173.20245701</v>
      </c>
      <c r="C1721" s="2698">
        <v>64934949.643968001</v>
      </c>
      <c r="D1721" s="2698">
        <v>64731842.846707001</v>
      </c>
      <c r="E1721" s="2698">
        <v>76647073.746161997</v>
      </c>
      <c r="F1721" s="2699">
        <v>206313866.236837</v>
      </c>
      <c r="G1721" s="2698">
        <v>-2845000</v>
      </c>
      <c r="H1721" s="2698">
        <v>1978.1517402712529</v>
      </c>
      <c r="I1721" s="2698">
        <v>1158.286687204054</v>
      </c>
      <c r="J1721" s="2698">
        <v>929.50735269914003</v>
      </c>
      <c r="K1721" s="2698">
        <v>702.77032642653569</v>
      </c>
      <c r="L1721" s="2700">
        <v>2790.5643663297296</v>
      </c>
      <c r="M1721" s="2698">
        <v>0</v>
      </c>
      <c r="N1721" s="2701">
        <v>16280</v>
      </c>
      <c r="O1721" s="2702">
        <v>3510.8900000000003</v>
      </c>
      <c r="P1721" s="2698">
        <v>-14738616.500099</v>
      </c>
      <c r="Q1721" s="2698">
        <v>0</v>
      </c>
      <c r="R1721" s="2703"/>
      <c r="S1721" s="2698">
        <v>0</v>
      </c>
      <c r="T1721" s="2698">
        <v>0</v>
      </c>
      <c r="U1721" s="2698">
        <v>2055147.5502879999</v>
      </c>
      <c r="V1721" s="2698">
        <v>1.1E-5</v>
      </c>
      <c r="W1721" s="2704">
        <v>0</v>
      </c>
      <c r="X1721" s="2704">
        <v>50.5318945</v>
      </c>
      <c r="Y1721" s="2704">
        <v>85181959.211658001</v>
      </c>
      <c r="Z1721" s="2704">
        <v>503.26373418372236</v>
      </c>
      <c r="AB1721" s="140">
        <f t="shared" si="9"/>
        <v>45430387.883847997</v>
      </c>
      <c r="AC1721" s="142">
        <f t="shared" si="8"/>
        <v>251744254.12068498</v>
      </c>
    </row>
    <row r="1722" spans="1:31" s="141" customFormat="1">
      <c r="A1722" s="2697">
        <v>45503</v>
      </c>
      <c r="B1722" s="2698">
        <v>171302580.693984</v>
      </c>
      <c r="C1722" s="2698">
        <v>63639292.958939999</v>
      </c>
      <c r="D1722" s="2698">
        <v>64853175.251533002</v>
      </c>
      <c r="E1722" s="2698">
        <v>77037346.283217996</v>
      </c>
      <c r="F1722" s="2699">
        <v>205529814.493691</v>
      </c>
      <c r="G1722" s="2698">
        <v>-2575000</v>
      </c>
      <c r="H1722" s="2698">
        <v>1978.1549153119631</v>
      </c>
      <c r="I1722" s="2698">
        <v>1163.8349088193252</v>
      </c>
      <c r="J1722" s="2698">
        <v>930.44842706993859</v>
      </c>
      <c r="K1722" s="2698">
        <v>699.80849563687116</v>
      </c>
      <c r="L1722" s="2700">
        <v>2794.0918315261351</v>
      </c>
      <c r="M1722" s="2698">
        <v>0</v>
      </c>
      <c r="N1722" s="2701">
        <v>16300</v>
      </c>
      <c r="O1722" s="2702">
        <v>3529.67</v>
      </c>
      <c r="P1722" s="2698">
        <v>-15450243.630099</v>
      </c>
      <c r="Q1722" s="2698">
        <v>0</v>
      </c>
      <c r="R1722" s="2703"/>
      <c r="S1722" s="2698">
        <v>0</v>
      </c>
      <c r="T1722" s="2698">
        <v>0</v>
      </c>
      <c r="U1722" s="2698">
        <v>2541662.9782670001</v>
      </c>
      <c r="V1722" s="2698">
        <v>1.1E-5</v>
      </c>
      <c r="W1722" s="2704">
        <v>0</v>
      </c>
      <c r="X1722" s="2704">
        <v>28.0318945</v>
      </c>
      <c r="Y1722" s="2704">
        <v>84112339.803073004</v>
      </c>
      <c r="Z1722" s="2704">
        <v>515.67432663503064</v>
      </c>
      <c r="AB1722" s="140">
        <f t="shared" si="9"/>
        <v>45543696.853876002</v>
      </c>
      <c r="AC1722" s="142">
        <f t="shared" si="8"/>
        <v>251073511.34756699</v>
      </c>
    </row>
    <row r="1723" spans="1:31" s="141" customFormat="1">
      <c r="A1723" s="2697">
        <v>45504</v>
      </c>
      <c r="B1723" s="136">
        <f>'[3]Neraca Antasena'!$D$22/1000000</f>
        <v>173573265.62897399</v>
      </c>
      <c r="C1723" s="136">
        <f>'[3]Neraca Antasena'!$D$79/1000000</f>
        <v>61637642.401120998</v>
      </c>
      <c r="D1723" s="136">
        <f>'[3]Neraca Antasena'!$D$85/1000000</f>
        <v>65454907.798556998</v>
      </c>
      <c r="E1723" s="136">
        <f>'[3]Neraca Antasena'!$D$91/1000000</f>
        <v>75629004.631451994</v>
      </c>
      <c r="F1723" s="137">
        <f>SUM(C1723:E1723)</f>
        <v>202721554.83113</v>
      </c>
      <c r="G1723" s="2698">
        <v>-1770000</v>
      </c>
      <c r="H1723" s="136">
        <f>'[3]Neraca Antasena'!$E$22/N1723/10^6</f>
        <v>1992.4381304784133</v>
      </c>
      <c r="I1723" s="136">
        <f>'[3]Neraca Antasena'!$E$79/N1723/10^6</f>
        <v>1152.7356706577491</v>
      </c>
      <c r="J1723" s="136">
        <f>'[3]Neraca Antasena'!$E$85/N1723/10^6</f>
        <v>938.65601978124232</v>
      </c>
      <c r="K1723" s="136">
        <f>'[3]Neraca Antasena'!$E$91/N1723/10^6</f>
        <v>709.27682131094707</v>
      </c>
      <c r="L1723" s="165">
        <f>SUM(I1723:K1723)</f>
        <v>2800.6685117499387</v>
      </c>
      <c r="M1723" s="2698">
        <v>0</v>
      </c>
      <c r="N1723" s="2701">
        <v>16260</v>
      </c>
      <c r="O1723" s="2702">
        <v>3534.0149999999999</v>
      </c>
      <c r="P1723" s="2698">
        <v>-13702669.171599001</v>
      </c>
      <c r="Q1723" s="2698">
        <v>0</v>
      </c>
      <c r="R1723" s="2703"/>
      <c r="S1723" s="2698">
        <v>0</v>
      </c>
      <c r="T1723" s="2698">
        <v>0</v>
      </c>
      <c r="U1723" s="2698">
        <v>2465882.8156699999</v>
      </c>
      <c r="V1723" s="2698">
        <v>1.1E-5</v>
      </c>
      <c r="W1723" s="2704">
        <v>0</v>
      </c>
      <c r="X1723" s="2704">
        <v>21.0318945</v>
      </c>
      <c r="Y1723" s="2704">
        <v>83776850.875075996</v>
      </c>
      <c r="Z1723" s="2704">
        <v>514.53858765000007</v>
      </c>
      <c r="AB1723" s="140">
        <f t="shared" si="9"/>
        <v>45538870.001054004</v>
      </c>
      <c r="AC1723" s="142">
        <f t="shared" si="8"/>
        <v>248260424.83218402</v>
      </c>
      <c r="AD1723" s="142">
        <f>+AVERAGE(AC1701:AC1723)</f>
        <v>251783454.75779653</v>
      </c>
      <c r="AE1723" s="142">
        <f>+AD1723-AD1700</f>
        <v>289595.45551353693</v>
      </c>
    </row>
    <row r="1724" spans="1:31" s="141" customFormat="1">
      <c r="A1724" s="2697">
        <v>45505</v>
      </c>
      <c r="B1724" s="2698">
        <v>171590883.380411</v>
      </c>
      <c r="C1724" s="2698">
        <v>61927837.699501</v>
      </c>
      <c r="D1724" s="2698">
        <v>64949287.092551999</v>
      </c>
      <c r="E1724" s="2698">
        <v>76855354.394758001</v>
      </c>
      <c r="F1724" s="2699">
        <v>203732479.186811</v>
      </c>
      <c r="G1724" s="2698">
        <v>-2170000</v>
      </c>
      <c r="H1724" s="2698">
        <v>1945.0006831543578</v>
      </c>
      <c r="I1724" s="2698">
        <v>1138.1198656460733</v>
      </c>
      <c r="J1724" s="2698">
        <v>958.09500840850012</v>
      </c>
      <c r="K1724" s="2698">
        <v>704.95610429072985</v>
      </c>
      <c r="L1724" s="2700">
        <v>2801.1709783453034</v>
      </c>
      <c r="M1724" s="2698">
        <v>0</v>
      </c>
      <c r="N1724" s="2701">
        <v>16235</v>
      </c>
      <c r="O1724" s="2702">
        <v>3551.355</v>
      </c>
      <c r="P1724" s="2698">
        <v>-15267291.154399</v>
      </c>
      <c r="Q1724" s="2698">
        <v>0</v>
      </c>
      <c r="R1724" s="2703"/>
      <c r="S1724" s="2698">
        <v>0</v>
      </c>
      <c r="T1724" s="2698">
        <v>0</v>
      </c>
      <c r="U1724" s="2698">
        <v>2269536.7415100001</v>
      </c>
      <c r="V1724" s="2698">
        <v>1.1E-5</v>
      </c>
      <c r="W1724" s="2704">
        <v>0</v>
      </c>
      <c r="X1724" s="2704">
        <v>13.5318945</v>
      </c>
      <c r="Y1724" s="2704">
        <v>85487535.358956993</v>
      </c>
      <c r="Z1724" s="2704">
        <v>510.92816992996615</v>
      </c>
    </row>
    <row r="1725" spans="1:31" s="141" customFormat="1">
      <c r="A1725" s="2697">
        <v>45506</v>
      </c>
      <c r="B1725" s="2698">
        <v>171194930.753813</v>
      </c>
      <c r="C1725" s="2698">
        <v>60362709.637313001</v>
      </c>
      <c r="D1725" s="2698">
        <v>64840301.446066</v>
      </c>
      <c r="E1725" s="2698">
        <v>77711477.492932007</v>
      </c>
      <c r="F1725" s="2699">
        <v>202914488.57631099</v>
      </c>
      <c r="G1725" s="2698">
        <v>-2770000</v>
      </c>
      <c r="H1725" s="2698">
        <v>1940.614010202037</v>
      </c>
      <c r="I1725" s="2698">
        <v>1055.3894784854938</v>
      </c>
      <c r="J1725" s="2698">
        <v>962.30118115993821</v>
      </c>
      <c r="K1725" s="2698">
        <v>786.91787598981477</v>
      </c>
      <c r="L1725" s="2700">
        <v>2804.6085356352469</v>
      </c>
      <c r="M1725" s="2698">
        <v>0</v>
      </c>
      <c r="N1725" s="2701">
        <v>16200</v>
      </c>
      <c r="O1725" s="2702">
        <v>3593.6149999999998</v>
      </c>
      <c r="P1725" s="2698">
        <v>-15735037.626699001</v>
      </c>
      <c r="Q1725" s="2698">
        <v>0</v>
      </c>
      <c r="R1725" s="2703"/>
      <c r="S1725" s="2698">
        <v>0</v>
      </c>
      <c r="T1725" s="2698">
        <v>0</v>
      </c>
      <c r="U1725" s="2698">
        <v>1936459.524799</v>
      </c>
      <c r="V1725" s="2698">
        <v>1.1E-5</v>
      </c>
      <c r="W1725" s="2704">
        <v>0</v>
      </c>
      <c r="X1725" s="2704">
        <v>15.5318945</v>
      </c>
      <c r="Y1725" s="2704">
        <v>87104451.951486006</v>
      </c>
      <c r="Z1725" s="2704">
        <v>508.56890326000001</v>
      </c>
    </row>
    <row r="1726" spans="1:31" s="141" customFormat="1">
      <c r="A1726" s="2697">
        <v>45509</v>
      </c>
      <c r="B1726" s="2698">
        <v>171088718.84335601</v>
      </c>
      <c r="C1726" s="2698">
        <v>65325706.498556003</v>
      </c>
      <c r="D1726" s="2698">
        <v>63888354.35983</v>
      </c>
      <c r="E1726" s="2698">
        <v>74089687.783885002</v>
      </c>
      <c r="F1726" s="2699">
        <v>203303748.64227101</v>
      </c>
      <c r="G1726" s="2698">
        <v>-2920000</v>
      </c>
      <c r="H1726" s="2698">
        <v>1940.0330453206054</v>
      </c>
      <c r="I1726" s="2698">
        <v>1069.2930769788074</v>
      </c>
      <c r="J1726" s="2698">
        <v>938.58718806382456</v>
      </c>
      <c r="K1726" s="2698">
        <v>782.39130427321595</v>
      </c>
      <c r="L1726" s="2700">
        <v>2790.271569315848</v>
      </c>
      <c r="M1726" s="2698">
        <v>0</v>
      </c>
      <c r="N1726" s="2701">
        <v>16185</v>
      </c>
      <c r="O1726" s="2702">
        <v>3651.45</v>
      </c>
      <c r="P1726" s="2698">
        <v>-16299551.608248999</v>
      </c>
      <c r="Q1726" s="2698">
        <v>0</v>
      </c>
      <c r="R1726" s="2703"/>
      <c r="S1726" s="2698">
        <v>0</v>
      </c>
      <c r="T1726" s="2698">
        <v>0</v>
      </c>
      <c r="U1726" s="2698">
        <v>1936097.986338</v>
      </c>
      <c r="V1726" s="2698">
        <v>1.1E-5</v>
      </c>
      <c r="W1726" s="2704">
        <v>0</v>
      </c>
      <c r="X1726" s="2704">
        <v>10.5318945</v>
      </c>
      <c r="Y1726" s="2704">
        <v>73254097.053804994</v>
      </c>
      <c r="Z1726" s="2704">
        <v>515.59228471998767</v>
      </c>
    </row>
    <row r="1727" spans="1:31" s="141" customFormat="1">
      <c r="A1727" s="2697">
        <v>45510</v>
      </c>
      <c r="B1727" s="2698">
        <v>170895517.97778499</v>
      </c>
      <c r="C1727" s="2698">
        <v>65078361.755476996</v>
      </c>
      <c r="D1727" s="2698">
        <v>63733662.970794</v>
      </c>
      <c r="E1727" s="2698">
        <v>74581608.311892003</v>
      </c>
      <c r="F1727" s="2699">
        <v>203393633.03816301</v>
      </c>
      <c r="G1727" s="2698">
        <v>-3450000</v>
      </c>
      <c r="H1727" s="2698">
        <v>1968.2894920502938</v>
      </c>
      <c r="I1727" s="2698">
        <v>1048.646691340798</v>
      </c>
      <c r="J1727" s="2698">
        <v>938.4816563147541</v>
      </c>
      <c r="K1727" s="2698">
        <v>770.49782775706774</v>
      </c>
      <c r="L1727" s="2700">
        <v>2757.6261754126199</v>
      </c>
      <c r="M1727" s="2698">
        <v>0</v>
      </c>
      <c r="N1727" s="2701">
        <v>16165</v>
      </c>
      <c r="O1727" s="2702">
        <v>3609.0650000000001</v>
      </c>
      <c r="P1727" s="2698">
        <v>-16798989.471749</v>
      </c>
      <c r="Q1727" s="2698">
        <v>0</v>
      </c>
      <c r="R1727" s="2703"/>
      <c r="S1727" s="2698">
        <v>0</v>
      </c>
      <c r="T1727" s="2698">
        <v>0</v>
      </c>
      <c r="U1727" s="2698">
        <v>1936112.4326889999</v>
      </c>
      <c r="V1727" s="2698">
        <v>1.1E-5</v>
      </c>
      <c r="W1727" s="2704">
        <v>0</v>
      </c>
      <c r="X1727" s="2704">
        <v>18.5318945</v>
      </c>
      <c r="Y1727" s="2704">
        <v>72252718.880995005</v>
      </c>
      <c r="Z1727" s="2704">
        <v>511.24676135007729</v>
      </c>
    </row>
    <row r="1728" spans="1:31" s="141" customFormat="1">
      <c r="A1728" s="2697">
        <v>45511</v>
      </c>
      <c r="B1728" s="2698">
        <v>170228701.19512701</v>
      </c>
      <c r="C1728" s="2698">
        <v>66903960.600258999</v>
      </c>
      <c r="D1728" s="2698">
        <v>64043360.491979003</v>
      </c>
      <c r="E1728" s="2698">
        <v>76050788.076184005</v>
      </c>
      <c r="F1728" s="2699">
        <v>206998109.16842201</v>
      </c>
      <c r="G1728" s="2698">
        <v>-3520000</v>
      </c>
      <c r="H1728" s="2698">
        <v>1965.0965933483008</v>
      </c>
      <c r="I1728" s="2698">
        <v>1038.4413650400998</v>
      </c>
      <c r="J1728" s="2698">
        <v>926.29183728001249</v>
      </c>
      <c r="K1728" s="2698">
        <v>763.42602016102273</v>
      </c>
      <c r="L1728" s="2700">
        <v>2728.1592224811347</v>
      </c>
      <c r="M1728" s="2698">
        <v>0</v>
      </c>
      <c r="N1728" s="2701">
        <v>16035</v>
      </c>
      <c r="O1728" s="2702">
        <v>3568.895</v>
      </c>
      <c r="P1728" s="2698">
        <v>-16278707.581599001</v>
      </c>
      <c r="Q1728" s="2698">
        <v>0</v>
      </c>
      <c r="R1728" s="2703"/>
      <c r="S1728" s="2698">
        <v>0</v>
      </c>
      <c r="T1728" s="2698">
        <v>0</v>
      </c>
      <c r="U1728" s="2698">
        <v>1936131.7522489999</v>
      </c>
      <c r="V1728" s="2698">
        <v>1.1E-5</v>
      </c>
      <c r="W1728" s="2704">
        <v>0</v>
      </c>
      <c r="X1728" s="2704">
        <v>0.53189450000000005</v>
      </c>
      <c r="Y1728" s="2704">
        <v>84803826.922342002</v>
      </c>
      <c r="Z1728" s="2704">
        <v>517.98576417000311</v>
      </c>
    </row>
    <row r="1729" spans="1:26" s="141" customFormat="1">
      <c r="A1729" s="2697">
        <v>45512</v>
      </c>
      <c r="B1729" s="2698">
        <v>170178627.02262101</v>
      </c>
      <c r="C1729" s="2698">
        <v>65981846.888053998</v>
      </c>
      <c r="D1729" s="2698">
        <v>63837126.391124003</v>
      </c>
      <c r="E1729" s="2698">
        <v>76728876.031189993</v>
      </c>
      <c r="F1729" s="2699">
        <v>206547849.310368</v>
      </c>
      <c r="G1729" s="2698">
        <v>-3110000</v>
      </c>
      <c r="H1729" s="2698">
        <v>1983.7134549408916</v>
      </c>
      <c r="I1729" s="2698">
        <v>1061.1757948735099</v>
      </c>
      <c r="J1729" s="2698">
        <v>945.45804153971494</v>
      </c>
      <c r="K1729" s="2698">
        <v>764.69028379458302</v>
      </c>
      <c r="L1729" s="2700">
        <v>2771.3241202078079</v>
      </c>
      <c r="M1729" s="2698">
        <v>0</v>
      </c>
      <c r="N1729" s="2701">
        <v>15894.5</v>
      </c>
      <c r="O1729" s="2702">
        <v>3554.23</v>
      </c>
      <c r="P1729" s="2698">
        <v>-15029519.092599001</v>
      </c>
      <c r="Q1729" s="2698">
        <v>0</v>
      </c>
      <c r="R1729" s="2703"/>
      <c r="S1729" s="2698">
        <v>0</v>
      </c>
      <c r="T1729" s="2698">
        <v>0</v>
      </c>
      <c r="U1729" s="2698">
        <v>1464152.4928959999</v>
      </c>
      <c r="V1729" s="2698">
        <v>1.1E-5</v>
      </c>
      <c r="W1729" s="2704">
        <v>0</v>
      </c>
      <c r="X1729" s="2704">
        <v>0.53189450000000005</v>
      </c>
      <c r="Y1729" s="2704">
        <v>85222402.845002994</v>
      </c>
      <c r="Z1729" s="2704">
        <v>514.36508378999031</v>
      </c>
    </row>
    <row r="1730" spans="1:26" s="141" customFormat="1">
      <c r="A1730" s="2697">
        <v>45513</v>
      </c>
      <c r="B1730" s="2698">
        <v>170008541.86026901</v>
      </c>
      <c r="C1730" s="2698">
        <v>62917266.675778002</v>
      </c>
      <c r="D1730" s="2698">
        <v>63903023.103674002</v>
      </c>
      <c r="E1730" s="2698">
        <v>77150096.798045993</v>
      </c>
      <c r="F1730" s="2699">
        <v>203970386.57749799</v>
      </c>
      <c r="G1730" s="2698">
        <v>-3410000</v>
      </c>
      <c r="H1730" s="2698">
        <v>1983.6378604966405</v>
      </c>
      <c r="I1730" s="2698">
        <v>1068.2589054688854</v>
      </c>
      <c r="J1730" s="2698">
        <v>939.03324140100472</v>
      </c>
      <c r="K1730" s="2698">
        <v>780.18503068427003</v>
      </c>
      <c r="L1730" s="2700">
        <v>2787.4771775541603</v>
      </c>
      <c r="M1730" s="2698">
        <v>0</v>
      </c>
      <c r="N1730" s="2701">
        <v>15925</v>
      </c>
      <c r="O1730" s="2702">
        <v>3596.8500000000004</v>
      </c>
      <c r="P1730" s="2698">
        <v>-14435465.366598999</v>
      </c>
      <c r="Q1730" s="2698">
        <v>0</v>
      </c>
      <c r="R1730" s="2703"/>
      <c r="S1730" s="2698">
        <v>0</v>
      </c>
      <c r="T1730" s="2698">
        <v>0</v>
      </c>
      <c r="U1730" s="2698">
        <v>1464516.0130080001</v>
      </c>
      <c r="V1730" s="2698">
        <v>1.1E-5</v>
      </c>
      <c r="W1730" s="2704">
        <v>0</v>
      </c>
      <c r="X1730" s="2704">
        <v>15.5318945</v>
      </c>
      <c r="Y1730" s="2704">
        <v>86636551.379905999</v>
      </c>
      <c r="Z1730" s="2704">
        <v>514.33393207001575</v>
      </c>
    </row>
    <row r="1731" spans="1:26" s="141" customFormat="1">
      <c r="A1731" s="2697">
        <v>45516</v>
      </c>
      <c r="B1731" s="2698">
        <v>170181560.723131</v>
      </c>
      <c r="C1731" s="2698">
        <v>64979208.183320001</v>
      </c>
      <c r="D1731" s="2698">
        <v>63793325.312962003</v>
      </c>
      <c r="E1731" s="2698">
        <v>75821656.355765</v>
      </c>
      <c r="F1731" s="2699">
        <v>204594189.85204703</v>
      </c>
      <c r="G1731" s="2698">
        <v>-3285000</v>
      </c>
      <c r="H1731" s="2698">
        <v>1982.3104196918207</v>
      </c>
      <c r="I1731" s="2698">
        <v>1084.6386639805703</v>
      </c>
      <c r="J1731" s="2698">
        <v>929.45443773199622</v>
      </c>
      <c r="K1731" s="2698">
        <v>783.01978415487315</v>
      </c>
      <c r="L1731" s="2700">
        <v>2797.1128858674397</v>
      </c>
      <c r="M1731" s="2698">
        <v>0</v>
      </c>
      <c r="N1731" s="2701">
        <v>15955</v>
      </c>
      <c r="O1731" s="2702">
        <v>3585.4</v>
      </c>
      <c r="P1731" s="125">
        <v>-15462204.410599001</v>
      </c>
      <c r="Q1731" s="2698">
        <v>0</v>
      </c>
      <c r="R1731" s="2703"/>
      <c r="S1731" s="2698">
        <v>0</v>
      </c>
      <c r="T1731" s="2698">
        <v>0</v>
      </c>
      <c r="U1731" s="2698">
        <v>1464156.095309</v>
      </c>
      <c r="V1731" s="2698">
        <v>1.1E-5</v>
      </c>
      <c r="W1731" s="2704">
        <v>0</v>
      </c>
      <c r="X1731" s="2704">
        <v>0.53189450000000005</v>
      </c>
      <c r="Y1731" s="2704">
        <v>85190208.502286002</v>
      </c>
      <c r="Z1731" s="2704">
        <v>497.2207455200251</v>
      </c>
    </row>
    <row r="1732" spans="1:26" s="141" customFormat="1">
      <c r="A1732" s="2697">
        <v>45517</v>
      </c>
      <c r="B1732" s="2698">
        <v>171281883.901961</v>
      </c>
      <c r="C1732" s="2698">
        <v>65018817.328791998</v>
      </c>
      <c r="D1732" s="2698">
        <v>63728571.342395999</v>
      </c>
      <c r="E1732" s="2698">
        <v>76252745.876215994</v>
      </c>
      <c r="F1732" s="2699">
        <v>205000134.54740399</v>
      </c>
      <c r="G1732" s="2698">
        <v>-2405000</v>
      </c>
      <c r="H1732" s="2698">
        <v>1956.4119766320541</v>
      </c>
      <c r="I1732" s="2698">
        <v>1084.3124612872255</v>
      </c>
      <c r="J1732" s="2698">
        <v>931.36140442216958</v>
      </c>
      <c r="K1732" s="2698">
        <v>792.81462008204653</v>
      </c>
      <c r="L1732" s="2700">
        <v>2808.4884857914417</v>
      </c>
      <c r="M1732" s="2698">
        <v>0</v>
      </c>
      <c r="N1732" s="1327">
        <v>15832.5</v>
      </c>
      <c r="O1732" s="2702">
        <v>3559.4700000000003</v>
      </c>
      <c r="P1732" s="125">
        <v>-15249482.814599</v>
      </c>
      <c r="Q1732" s="2698">
        <v>0</v>
      </c>
      <c r="S1732" s="2698">
        <v>0</v>
      </c>
      <c r="T1732" s="2698">
        <v>0</v>
      </c>
      <c r="U1732" s="2698">
        <v>977666.86250499997</v>
      </c>
      <c r="V1732" s="2698">
        <v>1.1E-5</v>
      </c>
      <c r="W1732" s="2704">
        <v>0</v>
      </c>
      <c r="X1732" s="2704">
        <v>11.5318945</v>
      </c>
      <c r="Y1732" s="2704">
        <v>85161589.133174002</v>
      </c>
      <c r="Z1732" s="2704">
        <v>499.04813314991316</v>
      </c>
    </row>
    <row r="1733" spans="1:26" s="141" customFormat="1">
      <c r="A1733" s="2697">
        <v>45518</v>
      </c>
      <c r="B1733" s="2698">
        <v>171270093.675275</v>
      </c>
      <c r="C1733" s="2698">
        <v>65953918.921313003</v>
      </c>
      <c r="D1733" s="2698">
        <v>63645674.898887999</v>
      </c>
      <c r="E1733" s="2698">
        <v>75730933.997630998</v>
      </c>
      <c r="F1733" s="2699">
        <v>205330527.81783199</v>
      </c>
      <c r="G1733" s="2698">
        <v>-2055000</v>
      </c>
      <c r="H1733" s="2698">
        <v>1960.0621789813426</v>
      </c>
      <c r="I1733" s="2698">
        <v>1074.6663070709617</v>
      </c>
      <c r="J1733" s="2698">
        <v>948.00970888119912</v>
      </c>
      <c r="K1733" s="2698">
        <v>780.04174203450805</v>
      </c>
      <c r="L1733" s="2700">
        <v>2802.7177579866689</v>
      </c>
      <c r="M1733" s="2698">
        <v>0</v>
      </c>
      <c r="N1733" s="1327">
        <v>15677.5</v>
      </c>
      <c r="O1733" s="2702">
        <v>3546.95</v>
      </c>
      <c r="P1733" s="125">
        <v>-14163430.308599001</v>
      </c>
      <c r="Q1733" s="2698">
        <v>0</v>
      </c>
      <c r="S1733" s="2698">
        <v>0</v>
      </c>
      <c r="T1733" s="2698">
        <v>0</v>
      </c>
      <c r="U1733" s="2698">
        <v>977684.90578100004</v>
      </c>
      <c r="V1733" s="2698">
        <v>1.1E-5</v>
      </c>
      <c r="W1733" s="2704">
        <v>0</v>
      </c>
      <c r="X1733" s="2704">
        <v>0.53189450000000005</v>
      </c>
      <c r="Y1733" s="2704">
        <v>85040912.075441003</v>
      </c>
      <c r="Z1733" s="2704">
        <v>495.49068232007653</v>
      </c>
    </row>
    <row r="1734" spans="1:26" s="141" customFormat="1" ht="19.5">
      <c r="A1734" s="3188">
        <v>45519</v>
      </c>
      <c r="B1734" s="2698">
        <v>171275543.96450001</v>
      </c>
      <c r="C1734" s="2698">
        <v>64133596.117472</v>
      </c>
      <c r="D1734" s="2698">
        <v>63817250.301472999</v>
      </c>
      <c r="E1734" s="2698">
        <v>76187755.880730003</v>
      </c>
      <c r="F1734" s="2699">
        <v>204138602.29967499</v>
      </c>
      <c r="G1734" s="2698">
        <v>-1605000</v>
      </c>
      <c r="H1734" s="2698">
        <v>1983.9850968798344</v>
      </c>
      <c r="I1734" s="2698">
        <v>1058.0005253978336</v>
      </c>
      <c r="J1734" s="2698">
        <v>945.3437977970691</v>
      </c>
      <c r="K1734" s="2698">
        <v>797.51077369181269</v>
      </c>
      <c r="L1734" s="2700">
        <v>2800.8550968867153</v>
      </c>
      <c r="M1734" s="2698">
        <v>0</v>
      </c>
      <c r="N1734" s="1327">
        <v>15695</v>
      </c>
      <c r="O1734" s="2702">
        <v>3542.895</v>
      </c>
      <c r="P1734" s="125">
        <v>-12769958.669799</v>
      </c>
      <c r="Q1734" s="2698">
        <v>0</v>
      </c>
      <c r="S1734" s="2698">
        <v>0</v>
      </c>
      <c r="T1734" s="2698">
        <v>0</v>
      </c>
      <c r="U1734" s="2698">
        <v>1443662.0232279999</v>
      </c>
      <c r="V1734" s="2698">
        <v>1.1E-5</v>
      </c>
      <c r="W1734" s="2704">
        <v>0</v>
      </c>
      <c r="X1734" s="2704">
        <v>2.5318944999999999</v>
      </c>
      <c r="Y1734" s="2704">
        <v>85166328.650830001</v>
      </c>
      <c r="Z1734" s="2704">
        <v>511.22908650997135</v>
      </c>
    </row>
    <row r="1735" spans="1:26" s="141" customFormat="1" ht="19.5">
      <c r="A1735" s="3188">
        <v>45520</v>
      </c>
      <c r="B1735" s="2698">
        <v>170971638.05616799</v>
      </c>
      <c r="C1735" s="2698">
        <v>61822709.882650003</v>
      </c>
      <c r="D1735" s="2698">
        <v>63775321.875734001</v>
      </c>
      <c r="E1735" s="2698">
        <v>76601280.482057005</v>
      </c>
      <c r="F1735" s="2699">
        <v>202199312.24044102</v>
      </c>
      <c r="G1735" s="2698">
        <v>-3025000</v>
      </c>
      <c r="H1735" s="2698">
        <v>1974.4793641114086</v>
      </c>
      <c r="I1735" s="2698">
        <v>1066.3089644133206</v>
      </c>
      <c r="J1735" s="2698">
        <v>947.39183842715101</v>
      </c>
      <c r="K1735" s="2698">
        <v>794.47075865449335</v>
      </c>
      <c r="L1735" s="2700">
        <v>2808.1715614949649</v>
      </c>
      <c r="M1735" s="2698">
        <v>0</v>
      </c>
      <c r="N1735" s="1327">
        <v>15690</v>
      </c>
      <c r="O1735" s="2702">
        <v>3534.1850000000004</v>
      </c>
      <c r="P1735" s="125">
        <v>-11298283.887899</v>
      </c>
      <c r="Q1735" s="2698">
        <v>0</v>
      </c>
      <c r="S1735" s="2698">
        <v>0</v>
      </c>
      <c r="T1735" s="2698">
        <v>0</v>
      </c>
      <c r="U1735" s="2698">
        <v>978084.72597000003</v>
      </c>
      <c r="V1735" s="2698">
        <v>1.1E-5</v>
      </c>
      <c r="W1735" s="2704">
        <v>0</v>
      </c>
      <c r="X1735" s="2704">
        <v>2.5318944999999999</v>
      </c>
      <c r="Y1735" s="2704">
        <v>85740712.493710995</v>
      </c>
      <c r="Z1735" s="2704">
        <v>509.01132922001278</v>
      </c>
    </row>
    <row r="1736" spans="1:26" s="141" customFormat="1" ht="19.5">
      <c r="A1736" s="3188">
        <v>45523</v>
      </c>
      <c r="B1736" s="2698">
        <v>171036519.16525301</v>
      </c>
      <c r="C1736" s="2698">
        <v>64613849.355649002</v>
      </c>
      <c r="D1736" s="2698">
        <v>63713472.699092001</v>
      </c>
      <c r="E1736" s="2698">
        <v>75056863.310219005</v>
      </c>
      <c r="F1736" s="2699">
        <v>203384185.36496001</v>
      </c>
      <c r="G1736" s="2698">
        <v>-3375000</v>
      </c>
      <c r="H1736" s="2698">
        <v>1974.2579967401286</v>
      </c>
      <c r="I1736" s="2698">
        <v>1078.3391871442443</v>
      </c>
      <c r="J1736" s="2698">
        <v>951.23825916906753</v>
      </c>
      <c r="K1736" s="2698">
        <v>787.9146613092604</v>
      </c>
      <c r="L1736" s="2700">
        <v>2817.4921076225723</v>
      </c>
      <c r="M1736" s="2698">
        <v>0</v>
      </c>
      <c r="N1736" s="1327">
        <v>15550</v>
      </c>
      <c r="O1736" s="2702">
        <v>3551.8550000000005</v>
      </c>
      <c r="P1736" s="125">
        <v>-11691316.398398999</v>
      </c>
      <c r="Q1736" s="2698">
        <v>0</v>
      </c>
      <c r="S1736" s="2698">
        <v>0</v>
      </c>
      <c r="T1736" s="2698">
        <v>0</v>
      </c>
      <c r="U1736" s="2698">
        <v>977721.69343500002</v>
      </c>
      <c r="V1736" s="2698">
        <v>1.1E-5</v>
      </c>
      <c r="W1736" s="2704">
        <v>0</v>
      </c>
      <c r="X1736" s="2704">
        <v>7.5318944999999999</v>
      </c>
      <c r="Y1736" s="2704">
        <v>84997580.254660994</v>
      </c>
      <c r="Z1736" s="2704">
        <v>508.07982171003215</v>
      </c>
    </row>
    <row r="1737" spans="1:26" s="141" customFormat="1" ht="19.5">
      <c r="A1737" s="3188">
        <v>45524</v>
      </c>
      <c r="B1737" s="2698">
        <v>170997579.71448201</v>
      </c>
      <c r="C1737" s="2698">
        <v>65176993.938596003</v>
      </c>
      <c r="D1737" s="2698">
        <v>63552924.320216998</v>
      </c>
      <c r="E1737" s="2698">
        <v>76192676.562827006</v>
      </c>
      <c r="F1737" s="2699">
        <v>204922594.82164001</v>
      </c>
      <c r="G1737" s="2698">
        <v>-3575000</v>
      </c>
      <c r="H1737" s="2698">
        <v>1983.2232584574022</v>
      </c>
      <c r="I1737" s="2698">
        <v>1074.3242589758343</v>
      </c>
      <c r="J1737" s="2698">
        <v>961.64127171467442</v>
      </c>
      <c r="K1737" s="2698">
        <v>780.85743186679622</v>
      </c>
      <c r="L1737" s="2700">
        <v>2816.8229625573049</v>
      </c>
      <c r="M1737" s="2698">
        <v>0</v>
      </c>
      <c r="N1737" s="1327">
        <v>15435</v>
      </c>
      <c r="O1737" s="2702">
        <v>3528.8050000000003</v>
      </c>
      <c r="P1737" s="125">
        <v>-12726286.540898999</v>
      </c>
      <c r="Q1737" s="2698">
        <v>0</v>
      </c>
      <c r="S1737" s="2698">
        <v>0</v>
      </c>
      <c r="T1737" s="2698">
        <v>0</v>
      </c>
      <c r="U1737" s="2698">
        <v>977737.71579199994</v>
      </c>
      <c r="V1737" s="2698">
        <v>1.1E-5</v>
      </c>
      <c r="W1737" s="2704">
        <v>0</v>
      </c>
      <c r="X1737" s="2704">
        <v>2.5318945000000004</v>
      </c>
      <c r="Y1737" s="2704">
        <v>84920881.627749994</v>
      </c>
      <c r="Z1737" s="2704">
        <v>504.26208811998703</v>
      </c>
    </row>
    <row r="1738" spans="1:26" s="141" customFormat="1" ht="19.5">
      <c r="A1738" s="3188">
        <v>45525</v>
      </c>
      <c r="B1738" s="2698">
        <v>170118993.34904301</v>
      </c>
      <c r="C1738" s="2698">
        <v>66314556.982354</v>
      </c>
      <c r="D1738" s="2698">
        <v>63631708.578252003</v>
      </c>
      <c r="E1738" s="2698">
        <v>76487293.729416996</v>
      </c>
      <c r="F1738" s="2699">
        <v>206433559.290023</v>
      </c>
      <c r="G1738" s="2698">
        <v>-3095000</v>
      </c>
      <c r="H1738" s="2698">
        <v>1975.0547015367774</v>
      </c>
      <c r="I1738" s="2698">
        <v>1052.7145760377139</v>
      </c>
      <c r="J1738" s="2698">
        <v>964.10333029951562</v>
      </c>
      <c r="K1738" s="2698">
        <v>788.33567891036478</v>
      </c>
      <c r="L1738" s="2700">
        <v>2805.1535852475945</v>
      </c>
      <c r="M1738" s="2698">
        <v>0</v>
      </c>
      <c r="N1738" s="1327">
        <v>15485</v>
      </c>
      <c r="O1738" s="2702">
        <v>3537.41</v>
      </c>
      <c r="P1738" s="125">
        <v>-13654471.215899</v>
      </c>
      <c r="Q1738" s="2698">
        <v>0</v>
      </c>
      <c r="S1738" s="2698">
        <v>0</v>
      </c>
      <c r="T1738" s="2698">
        <v>0</v>
      </c>
      <c r="U1738" s="2698">
        <v>977756.51127400005</v>
      </c>
      <c r="V1738" s="2698">
        <v>1.1E-5</v>
      </c>
      <c r="W1738" s="2704">
        <v>0</v>
      </c>
      <c r="X1738" s="2704">
        <v>7.5318944999999999</v>
      </c>
      <c r="Y1738" s="2704">
        <v>84606477.348343998</v>
      </c>
      <c r="Z1738" s="2704">
        <v>510.71193188001297</v>
      </c>
    </row>
    <row r="1739" spans="1:26" s="141" customFormat="1" ht="19.5">
      <c r="A1739" s="3188">
        <v>45526</v>
      </c>
      <c r="B1739" s="2698">
        <v>171208809.416655</v>
      </c>
      <c r="C1739" s="2698">
        <v>65845904.154904999</v>
      </c>
      <c r="D1739" s="2698">
        <v>63805275.438014999</v>
      </c>
      <c r="E1739" s="2698">
        <v>76079723.382557005</v>
      </c>
      <c r="F1739" s="2699">
        <v>205730902.97547701</v>
      </c>
      <c r="G1739" s="2698">
        <v>-3145000</v>
      </c>
      <c r="H1739" s="2698">
        <v>1951.7875811232052</v>
      </c>
      <c r="I1739" s="2698">
        <v>1052.3470703696796</v>
      </c>
      <c r="J1739" s="2698">
        <v>962.12422144262825</v>
      </c>
      <c r="K1739" s="2698">
        <v>789.36325174301282</v>
      </c>
      <c r="L1739" s="2700">
        <v>2803.8345435553206</v>
      </c>
      <c r="M1739" s="2698">
        <v>0</v>
      </c>
      <c r="N1739" s="1327">
        <v>15600</v>
      </c>
      <c r="O1739" s="2702">
        <v>3563.6800000000003</v>
      </c>
      <c r="P1739" s="125">
        <v>-15646178.135899</v>
      </c>
      <c r="Q1739" s="2698">
        <v>0</v>
      </c>
      <c r="S1739" s="2698">
        <v>0</v>
      </c>
      <c r="T1739" s="2698">
        <v>0</v>
      </c>
      <c r="U1739" s="2698">
        <v>977788.66295999999</v>
      </c>
      <c r="V1739" s="2698">
        <v>1.1E-5</v>
      </c>
      <c r="W1739" s="2704">
        <v>0</v>
      </c>
      <c r="X1739" s="2704">
        <v>0.53189450000000005</v>
      </c>
      <c r="Y1739" s="2704">
        <v>86322398.883930996</v>
      </c>
      <c r="Z1739" s="2704">
        <v>508.71537928999999</v>
      </c>
    </row>
    <row r="1740" spans="1:26" s="141" customFormat="1" ht="19.5">
      <c r="A1740" s="3188">
        <v>45527</v>
      </c>
      <c r="B1740" s="2698">
        <v>171362677.37723801</v>
      </c>
      <c r="C1740" s="2698">
        <v>62774451.648442999</v>
      </c>
      <c r="D1740" s="2698">
        <v>64744438.515978999</v>
      </c>
      <c r="E1740" s="2698">
        <v>76779542.986196995</v>
      </c>
      <c r="F1740" s="2699">
        <v>204298433.150619</v>
      </c>
      <c r="G1740" s="2698">
        <v>-2925000</v>
      </c>
      <c r="H1740" s="2698">
        <v>1919.3611828124597</v>
      </c>
      <c r="I1740" s="2698">
        <v>1041.6090327096192</v>
      </c>
      <c r="J1740" s="2698">
        <v>968.74708215765008</v>
      </c>
      <c r="K1740" s="2698">
        <v>795.09580836694647</v>
      </c>
      <c r="L1740" s="2700">
        <v>2805.4519232342159</v>
      </c>
      <c r="M1740" s="2698">
        <v>0</v>
      </c>
      <c r="N1740" s="1327">
        <v>15490</v>
      </c>
      <c r="O1740" s="2702">
        <v>3539.76</v>
      </c>
      <c r="P1740" s="125">
        <v>-16073680.290898999</v>
      </c>
      <c r="Q1740" s="2698">
        <v>0</v>
      </c>
      <c r="S1740" s="2698">
        <v>0</v>
      </c>
      <c r="T1740" s="2698">
        <v>0</v>
      </c>
      <c r="U1740" s="2698">
        <v>978154.37931400002</v>
      </c>
      <c r="V1740" s="2698">
        <v>1.1E-5</v>
      </c>
      <c r="W1740" s="2704">
        <v>0</v>
      </c>
      <c r="X1740" s="2704">
        <v>5.5318944999999999</v>
      </c>
      <c r="Y1740" s="2704">
        <v>86636472.518398002</v>
      </c>
      <c r="Z1740" s="2704">
        <v>501.30290007004521</v>
      </c>
    </row>
    <row r="1741" spans="1:26" s="141" customFormat="1" ht="19.5">
      <c r="A1741" s="3188">
        <v>45530</v>
      </c>
      <c r="B1741" s="2698">
        <v>171109621.877671</v>
      </c>
      <c r="C1741" s="2698">
        <v>64588190.799069002</v>
      </c>
      <c r="D1741" s="2698">
        <v>64628844.214913003</v>
      </c>
      <c r="E1741" s="2698">
        <v>74510536.683766007</v>
      </c>
      <c r="F1741" s="2699">
        <v>203727571.69774801</v>
      </c>
      <c r="G1741" s="2698">
        <v>-3325000</v>
      </c>
      <c r="H1741" s="2698">
        <v>1932.2542061152949</v>
      </c>
      <c r="I1741" s="2698">
        <v>1120.940668492547</v>
      </c>
      <c r="J1741" s="2698">
        <v>970.63683854575504</v>
      </c>
      <c r="K1741" s="2698">
        <v>714.98111724193132</v>
      </c>
      <c r="L1741" s="2700">
        <v>2806.5586242802333</v>
      </c>
      <c r="M1741" s="2698">
        <v>0</v>
      </c>
      <c r="N1741" s="1327">
        <v>15430</v>
      </c>
      <c r="O1741" s="2702">
        <v>3549.17</v>
      </c>
      <c r="P1741" s="125">
        <v>-14578010.670899</v>
      </c>
      <c r="Q1741" s="2698">
        <v>0</v>
      </c>
      <c r="S1741" s="2698">
        <v>0</v>
      </c>
      <c r="T1741" s="2698">
        <v>0</v>
      </c>
      <c r="U1741" s="2698">
        <v>1373834.453953</v>
      </c>
      <c r="V1741" s="2698">
        <v>1.1E-5</v>
      </c>
      <c r="W1741" s="2704">
        <v>0</v>
      </c>
      <c r="X1741" s="2704">
        <v>0.53189449999999994</v>
      </c>
      <c r="Y1741" s="2704">
        <v>86813970.539709002</v>
      </c>
      <c r="Z1741" s="2704">
        <v>502.96015699727803</v>
      </c>
    </row>
    <row r="1742" spans="1:26" s="141" customFormat="1" ht="19.5">
      <c r="A1742" s="3188">
        <v>45531</v>
      </c>
      <c r="B1742" s="2698">
        <v>171244902.56948701</v>
      </c>
      <c r="C1742" s="2698">
        <v>63469951.128329001</v>
      </c>
      <c r="D1742" s="2698">
        <v>64697200.639314003</v>
      </c>
      <c r="E1742" s="2698">
        <v>74921725.674747005</v>
      </c>
      <c r="F1742" s="2699">
        <v>203088877.44239002</v>
      </c>
      <c r="G1742" s="2698">
        <v>-3185000</v>
      </c>
      <c r="H1742" s="2698">
        <v>1927.043093281962</v>
      </c>
      <c r="I1742" s="2698">
        <v>1151.6828168422717</v>
      </c>
      <c r="J1742" s="2698">
        <v>971.43336130216198</v>
      </c>
      <c r="K1742" s="2698">
        <v>716.10506868770574</v>
      </c>
      <c r="L1742" s="2700">
        <v>2839.2212468321391</v>
      </c>
      <c r="M1742" s="2698">
        <v>0</v>
      </c>
      <c r="N1742" s="1327">
        <v>15495</v>
      </c>
      <c r="O1742" s="2702">
        <v>3560.0250000000001</v>
      </c>
      <c r="P1742" s="125">
        <v>-18193461.438898999</v>
      </c>
      <c r="Q1742" s="2698">
        <v>0</v>
      </c>
      <c r="S1742" s="2698">
        <v>0</v>
      </c>
      <c r="T1742" s="2698">
        <v>0</v>
      </c>
      <c r="U1742" s="2698">
        <v>1373838.255626</v>
      </c>
      <c r="V1742" s="2698">
        <v>1.1E-5</v>
      </c>
      <c r="W1742" s="2704">
        <v>0</v>
      </c>
      <c r="X1742" s="2704">
        <v>6.5318944999999999</v>
      </c>
      <c r="Y1742" s="2704">
        <v>86303500.7456</v>
      </c>
      <c r="Z1742" s="2704">
        <v>504.21739600025813</v>
      </c>
    </row>
    <row r="1743" spans="1:26" s="141" customFormat="1" ht="19.5">
      <c r="A1743" s="3188">
        <v>45532</v>
      </c>
      <c r="B1743" s="2698">
        <v>171075282.250202</v>
      </c>
      <c r="C1743" s="2698">
        <v>63324707.918004997</v>
      </c>
      <c r="D1743" s="2698">
        <v>65089790.037212998</v>
      </c>
      <c r="E1743" s="2698">
        <v>75224128.117718995</v>
      </c>
      <c r="F1743" s="2699">
        <v>203638626.07293698</v>
      </c>
      <c r="G1743" s="2698">
        <v>-3425000</v>
      </c>
      <c r="H1743" s="2698">
        <v>1924.5800488692382</v>
      </c>
      <c r="I1743" s="2698">
        <v>1153.9121390365642</v>
      </c>
      <c r="J1743" s="2698">
        <v>973.3184871109238</v>
      </c>
      <c r="K1743" s="2698">
        <v>737.40168267863862</v>
      </c>
      <c r="L1743" s="2700">
        <v>2864.6323088261265</v>
      </c>
      <c r="M1743" s="2698">
        <v>0</v>
      </c>
      <c r="N1743" s="1327">
        <v>15425</v>
      </c>
      <c r="O1743" s="2702">
        <v>3550.0550000000003</v>
      </c>
      <c r="P1743" s="125">
        <v>-18577432.386898998</v>
      </c>
      <c r="Q1743" s="2698">
        <v>0</v>
      </c>
      <c r="S1743" s="2698">
        <v>0</v>
      </c>
      <c r="T1743" s="2698">
        <v>0</v>
      </c>
      <c r="U1743" s="2698">
        <v>1856865.977956</v>
      </c>
      <c r="V1743" s="2698">
        <v>1.1E-5</v>
      </c>
      <c r="W1743" s="2704">
        <v>0</v>
      </c>
      <c r="X1743" s="2704">
        <v>6.5318944999999999</v>
      </c>
      <c r="Y1743" s="2704">
        <v>86008155.261219993</v>
      </c>
      <c r="Z1743" s="2704">
        <v>501.91324195001619</v>
      </c>
    </row>
    <row r="1744" spans="1:26" s="141" customFormat="1" ht="19.5">
      <c r="A1744" s="3188">
        <v>45533</v>
      </c>
      <c r="B1744" s="2698">
        <v>171511883.17557901</v>
      </c>
      <c r="C1744" s="2698">
        <v>62705270.719204001</v>
      </c>
      <c r="D1744" s="2698">
        <v>65038295.373934001</v>
      </c>
      <c r="E1744" s="2698">
        <v>76574845.584462002</v>
      </c>
      <c r="F1744" s="2699">
        <v>204318411.67760003</v>
      </c>
      <c r="G1744" s="2698">
        <v>-4005000</v>
      </c>
      <c r="H1744" s="2698">
        <v>1930.6300730621474</v>
      </c>
      <c r="I1744" s="2698">
        <v>1182.7495442456698</v>
      </c>
      <c r="J1744" s="2698">
        <v>975.75818604515075</v>
      </c>
      <c r="K1744" s="2698">
        <v>727.83217712546218</v>
      </c>
      <c r="L1744" s="2700">
        <v>2886.3399074162826</v>
      </c>
      <c r="M1744" s="2698">
        <v>0</v>
      </c>
      <c r="N1744" s="1327">
        <v>15415</v>
      </c>
      <c r="O1744" s="2702">
        <v>3565.4</v>
      </c>
      <c r="P1744" s="125">
        <v>-19355142.962898999</v>
      </c>
      <c r="Q1744" s="2698">
        <v>0</v>
      </c>
      <c r="S1744" s="2698">
        <v>0</v>
      </c>
      <c r="T1744" s="2698">
        <v>0</v>
      </c>
      <c r="U1744" s="2698">
        <v>1856879.444447</v>
      </c>
      <c r="V1744" s="2698">
        <v>1.1E-5</v>
      </c>
      <c r="W1744" s="2704">
        <v>0</v>
      </c>
      <c r="X1744" s="2704">
        <v>6.5318944999999999</v>
      </c>
      <c r="Y1744" s="2704">
        <v>87089606.120533004</v>
      </c>
      <c r="Z1744" s="2704">
        <v>501.52125969996757</v>
      </c>
    </row>
    <row r="1745" spans="1:26" s="141" customFormat="1" ht="19.5">
      <c r="A1745" s="3188">
        <v>45534</v>
      </c>
      <c r="B1745" s="2698">
        <v>172192846.313795</v>
      </c>
      <c r="C1745" s="2698">
        <v>59747578.450430997</v>
      </c>
      <c r="D1745" s="2698">
        <v>65537065.977021001</v>
      </c>
      <c r="E1745" s="2698">
        <v>76033876.602991998</v>
      </c>
      <c r="F1745" s="2699">
        <v>201318521.030444</v>
      </c>
      <c r="G1745" s="2698">
        <v>-3750000</v>
      </c>
      <c r="H1745" s="2698">
        <v>1929.8119845730832</v>
      </c>
      <c r="I1745" s="2698">
        <v>1173.9207895409252</v>
      </c>
      <c r="J1745" s="2698">
        <v>966.02327826664509</v>
      </c>
      <c r="K1745" s="2698">
        <v>758.79136919579423</v>
      </c>
      <c r="L1745" s="2700">
        <v>2898.7354370033645</v>
      </c>
      <c r="M1745" s="2698">
        <v>0</v>
      </c>
      <c r="N1745" s="1327">
        <v>15455</v>
      </c>
      <c r="O1745" s="2702">
        <v>3580.8650000000002</v>
      </c>
      <c r="P1745" s="125">
        <v>-19167291.461499002</v>
      </c>
      <c r="Q1745" s="2698">
        <v>0</v>
      </c>
      <c r="S1745" s="2698">
        <v>0</v>
      </c>
      <c r="T1745" s="2698">
        <v>0</v>
      </c>
      <c r="U1745" s="2698">
        <v>1857059.225412</v>
      </c>
      <c r="V1745" s="2698">
        <v>1.1E-5</v>
      </c>
      <c r="W1745" s="2704">
        <v>0</v>
      </c>
      <c r="X1745" s="2704">
        <v>6.5318944999999999</v>
      </c>
      <c r="Y1745" s="2704">
        <v>86711095.273526996</v>
      </c>
      <c r="Z1745" s="2704">
        <v>502.81802842005823</v>
      </c>
    </row>
    <row r="1746" spans="1:26" s="2227" customFormat="1" ht="19.5">
      <c r="A1746" s="3246">
        <v>45535</v>
      </c>
      <c r="B1746" s="136">
        <f>'[4]Neraca Antasena'!$D$22/1000000</f>
        <v>173124106.86666</v>
      </c>
      <c r="C1746" s="136">
        <f>'[4]Neraca Antasena'!$D$79/1000000</f>
        <v>59657044.411155999</v>
      </c>
      <c r="D1746" s="136">
        <f>'[4]Neraca Antasena'!$D$85/1000000</f>
        <v>65925678.204810001</v>
      </c>
      <c r="E1746" s="136">
        <f>'[4]Neraca Antasena'!$D$91/1000000</f>
        <v>74557325.746396005</v>
      </c>
      <c r="F1746" s="137">
        <f>SUM(C1746:E1746)</f>
        <v>200140048.362362</v>
      </c>
      <c r="G1746" s="2223">
        <v>-3750000</v>
      </c>
      <c r="H1746" s="136">
        <f>'[4]Neraca Antasena'!$E$22/N1746/10^6</f>
        <v>1928.4553199434488</v>
      </c>
      <c r="I1746" s="136">
        <f>'[4]Neraca Antasena'!$E$79/N1746/10^6</f>
        <v>1166.6343699069557</v>
      </c>
      <c r="J1746" s="136">
        <f>'[4]Neraca Antasena'!$E$85/N1746/10^6</f>
        <v>965.23635661766423</v>
      </c>
      <c r="K1746" s="136">
        <f>'[4]Neraca Antasena'!$E$91/N1746/10^6</f>
        <v>753.75948453555486</v>
      </c>
      <c r="L1746" s="165">
        <f>SUM(I1746:K1746)</f>
        <v>2885.6302110601746</v>
      </c>
      <c r="M1746" s="2223">
        <v>0</v>
      </c>
      <c r="N1746" s="3247">
        <v>15455</v>
      </c>
      <c r="O1746" s="2225">
        <v>3580.8650000000002</v>
      </c>
      <c r="P1746" s="125">
        <v>-19167291.461499002</v>
      </c>
      <c r="Q1746" s="2223">
        <v>0</v>
      </c>
      <c r="S1746" s="2698">
        <v>0</v>
      </c>
      <c r="T1746" s="2223">
        <v>0</v>
      </c>
      <c r="U1746" s="2223">
        <v>1857059.225412</v>
      </c>
      <c r="V1746" s="2223">
        <v>1.1E-5</v>
      </c>
      <c r="W1746" s="2226">
        <v>0</v>
      </c>
      <c r="X1746" s="2226">
        <v>6.5318944999999999</v>
      </c>
      <c r="Y1746" s="2226">
        <v>86711095.273526996</v>
      </c>
      <c r="Z1746" s="2226">
        <v>502.81802842005823</v>
      </c>
    </row>
    <row r="1747" spans="1:26" s="141" customFormat="1" ht="19.5">
      <c r="A1747" s="3188">
        <v>45537</v>
      </c>
      <c r="B1747" s="2698">
        <v>171158547.47586</v>
      </c>
      <c r="C1747" s="2698">
        <v>60027419.155458003</v>
      </c>
      <c r="D1747" s="2698">
        <v>65190231.363941997</v>
      </c>
      <c r="E1747" s="2698">
        <v>75530737.659426004</v>
      </c>
      <c r="F1747" s="2699">
        <v>200748388.178826</v>
      </c>
      <c r="G1747" s="2698">
        <v>-3380000</v>
      </c>
      <c r="H1747" s="2698">
        <v>1920.6048775520544</v>
      </c>
      <c r="I1747" s="2698">
        <v>1227.8098175459722</v>
      </c>
      <c r="J1747" s="2698">
        <v>965.12056826218054</v>
      </c>
      <c r="K1747" s="2698">
        <v>702.38329787117436</v>
      </c>
      <c r="L1747" s="2700">
        <v>2895.3136836793274</v>
      </c>
      <c r="M1747" s="2698">
        <v>0</v>
      </c>
      <c r="N1747" s="1327">
        <v>15455</v>
      </c>
      <c r="O1747" s="2702">
        <v>3576.3650000000002</v>
      </c>
      <c r="P1747" s="125">
        <v>-18764620.530499</v>
      </c>
      <c r="Q1747" s="2698">
        <v>0</v>
      </c>
      <c r="S1747" s="2698">
        <v>0</v>
      </c>
      <c r="T1747" s="2698">
        <v>0</v>
      </c>
      <c r="U1747" s="2698">
        <v>1856875.3969699999</v>
      </c>
      <c r="V1747" s="2698">
        <v>1.1E-5</v>
      </c>
      <c r="W1747" s="2704">
        <v>0</v>
      </c>
      <c r="X1747" s="2704">
        <v>6.5614792696538338</v>
      </c>
      <c r="Y1747" s="2704">
        <v>86015564.249145001</v>
      </c>
      <c r="Z1747" s="2704">
        <v>504.93442546865094</v>
      </c>
    </row>
    <row r="1748" spans="1:26" s="141" customFormat="1" ht="19.5">
      <c r="A1748" s="3188">
        <v>45538</v>
      </c>
      <c r="B1748" s="2698">
        <v>170795302.28728601</v>
      </c>
      <c r="C1748" s="2698">
        <v>61209857.811628997</v>
      </c>
      <c r="D1748" s="2698">
        <v>65191837.39333</v>
      </c>
      <c r="E1748" s="2698">
        <v>75626119.837497994</v>
      </c>
      <c r="F1748" s="2699">
        <v>202027815.04245698</v>
      </c>
      <c r="G1748" s="2698">
        <v>-4095000</v>
      </c>
      <c r="H1748" s="2698">
        <v>1898.0366301947824</v>
      </c>
      <c r="I1748" s="2698">
        <v>1223.3440234810948</v>
      </c>
      <c r="J1748" s="2698">
        <v>965.66654022904993</v>
      </c>
      <c r="K1748" s="2698">
        <v>719.72599666885674</v>
      </c>
      <c r="L1748" s="2700">
        <v>2908.7365603790013</v>
      </c>
      <c r="M1748" s="2698">
        <v>0</v>
      </c>
      <c r="N1748" s="1327">
        <v>15525</v>
      </c>
      <c r="O1748" s="2702">
        <v>3554.67</v>
      </c>
      <c r="P1748" s="125">
        <v>-17450383.156498998</v>
      </c>
      <c r="Q1748" s="2698">
        <v>0</v>
      </c>
      <c r="S1748" s="2698">
        <v>0</v>
      </c>
      <c r="T1748" s="2698">
        <v>0</v>
      </c>
      <c r="U1748" s="2698">
        <v>1856878.8681679999</v>
      </c>
      <c r="V1748" s="2698">
        <v>1.1E-5</v>
      </c>
      <c r="W1748" s="2704">
        <v>0</v>
      </c>
      <c r="X1748" s="2704">
        <v>10.5318945</v>
      </c>
      <c r="Y1748" s="2704">
        <v>70313761.785505995</v>
      </c>
      <c r="Z1748" s="2704">
        <v>487.36848011999996</v>
      </c>
    </row>
    <row r="1749" spans="1:26" s="141" customFormat="1" ht="19.5">
      <c r="A1749" s="3188">
        <v>45539</v>
      </c>
      <c r="B1749" s="2698">
        <v>170529209.69793299</v>
      </c>
      <c r="C1749" s="2698">
        <v>62859244.128491998</v>
      </c>
      <c r="D1749" s="2698">
        <v>65139301.501134999</v>
      </c>
      <c r="E1749" s="2698">
        <v>74861658.613453999</v>
      </c>
      <c r="F1749" s="2699">
        <v>202860204.24308097</v>
      </c>
      <c r="G1749" s="2698">
        <v>-3845000</v>
      </c>
      <c r="H1749" s="2698">
        <v>1898.1565834780677</v>
      </c>
      <c r="I1749" s="2698">
        <v>1233.7417887518841</v>
      </c>
      <c r="J1749" s="2698">
        <v>961.59792121983901</v>
      </c>
      <c r="K1749" s="2698">
        <v>734.19709929681164</v>
      </c>
      <c r="L1749" s="2700">
        <v>2929.5368092685349</v>
      </c>
      <c r="M1749" s="2698">
        <v>0</v>
      </c>
      <c r="N1749" s="1327">
        <v>15525</v>
      </c>
      <c r="O1749" s="2702">
        <v>3562.3900000000003</v>
      </c>
      <c r="P1749" s="125">
        <v>-17873700.026549</v>
      </c>
      <c r="Q1749" s="2698">
        <v>0</v>
      </c>
      <c r="S1749" s="2698">
        <v>0</v>
      </c>
      <c r="T1749" s="2698">
        <v>0</v>
      </c>
      <c r="U1749" s="2698">
        <v>1856889.8740989999</v>
      </c>
      <c r="V1749" s="2698">
        <v>1.1E-5</v>
      </c>
      <c r="W1749" s="2704">
        <v>0</v>
      </c>
      <c r="X1749" s="2704">
        <v>11.4947547431562</v>
      </c>
      <c r="Y1749" s="2704">
        <v>70351049.889845997</v>
      </c>
      <c r="Z1749" s="2704">
        <v>490.35888121088567</v>
      </c>
    </row>
    <row r="1750" spans="1:26" s="141" customFormat="1" ht="19.5">
      <c r="A1750" s="3188">
        <v>45540</v>
      </c>
      <c r="B1750" s="2698">
        <v>170380391.00856799</v>
      </c>
      <c r="C1750" s="2698">
        <v>63857508.138755001</v>
      </c>
      <c r="D1750" s="2698">
        <v>65071818.563652001</v>
      </c>
      <c r="E1750" s="2698">
        <v>74525495.408608004</v>
      </c>
      <c r="F1750" s="2699">
        <v>203454822.11101502</v>
      </c>
      <c r="G1750" s="2698">
        <v>-3845000</v>
      </c>
      <c r="H1750" s="2698">
        <v>1859.4463327685301</v>
      </c>
      <c r="I1750" s="2698">
        <v>1239.5180080157675</v>
      </c>
      <c r="J1750" s="2698">
        <v>955.31445264303716</v>
      </c>
      <c r="K1750" s="2698">
        <v>734.23343507457196</v>
      </c>
      <c r="L1750" s="2700">
        <v>2929.0658957333767</v>
      </c>
      <c r="M1750" s="2698">
        <v>0</v>
      </c>
      <c r="N1750" s="1327">
        <v>15475</v>
      </c>
      <c r="O1750" s="2702">
        <v>3551.085</v>
      </c>
      <c r="P1750" s="125">
        <v>-16791076.806049</v>
      </c>
      <c r="Q1750" s="2698">
        <v>0</v>
      </c>
      <c r="S1750" s="2698">
        <v>0</v>
      </c>
      <c r="T1750" s="2698">
        <v>0</v>
      </c>
      <c r="U1750" s="2698">
        <v>1856905.667868</v>
      </c>
      <c r="V1750" s="2698">
        <v>1.1E-5</v>
      </c>
      <c r="W1750" s="2704">
        <v>0</v>
      </c>
      <c r="X1750" s="2704">
        <v>11.474141878109855</v>
      </c>
      <c r="Y1750" s="2704">
        <v>67374081.253092006</v>
      </c>
      <c r="Z1750" s="2704">
        <v>491.52989752452345</v>
      </c>
    </row>
    <row r="1751" spans="1:26" s="141" customFormat="1" ht="19.5">
      <c r="A1751" s="3188">
        <v>45541</v>
      </c>
      <c r="B1751" s="2698">
        <v>170260118.64374799</v>
      </c>
      <c r="C1751" s="2698">
        <v>62420943.104024999</v>
      </c>
      <c r="D1751" s="2698">
        <v>64997823.608864002</v>
      </c>
      <c r="E1751" s="2698">
        <v>74839893.971319005</v>
      </c>
      <c r="F1751" s="2699">
        <v>202258660.68420801</v>
      </c>
      <c r="G1751" s="2698">
        <v>-3695000</v>
      </c>
      <c r="H1751" s="2698">
        <v>1801.3497058530281</v>
      </c>
      <c r="I1751" s="2698">
        <v>1254.0235971074524</v>
      </c>
      <c r="J1751" s="2698">
        <v>972.56424516960544</v>
      </c>
      <c r="K1751" s="2698">
        <v>729.19720978879684</v>
      </c>
      <c r="L1751" s="2700">
        <v>2955.7850520658549</v>
      </c>
      <c r="M1751" s="2698">
        <v>0</v>
      </c>
      <c r="N1751" s="1327">
        <v>15397.5</v>
      </c>
      <c r="O1751" s="2702">
        <v>3549.32</v>
      </c>
      <c r="P1751" s="125">
        <v>-15608707.192549</v>
      </c>
      <c r="Q1751" s="2698">
        <v>0</v>
      </c>
      <c r="S1751" s="2698">
        <v>0</v>
      </c>
      <c r="T1751" s="2698">
        <v>0</v>
      </c>
      <c r="U1751" s="2698">
        <v>1857269.2527419999</v>
      </c>
      <c r="V1751" s="2698">
        <v>1.1E-5</v>
      </c>
      <c r="W1751" s="2704">
        <v>0</v>
      </c>
      <c r="X1751" s="2704">
        <v>16.49700009693132</v>
      </c>
      <c r="Y1751" s="2704">
        <v>67029029.541253999</v>
      </c>
      <c r="Z1751" s="2704">
        <v>493.17236727936353</v>
      </c>
    </row>
    <row r="1752" spans="1:26" s="141" customFormat="1" ht="19.5">
      <c r="A1752" s="3188">
        <v>45544</v>
      </c>
      <c r="B1752" s="2698">
        <v>170001209.600916</v>
      </c>
      <c r="C1752" s="2698">
        <v>63968412.831851996</v>
      </c>
      <c r="D1752" s="2698">
        <v>64535958.895681001</v>
      </c>
      <c r="E1752" s="2698">
        <v>76591751.693727002</v>
      </c>
      <c r="F1752" s="2699">
        <v>205096123.42126</v>
      </c>
      <c r="G1752" s="2698">
        <v>-3695000</v>
      </c>
      <c r="H1752" s="2698">
        <v>1776.2913860052718</v>
      </c>
      <c r="I1752" s="2698">
        <v>1275.3016136885781</v>
      </c>
      <c r="J1752" s="2698">
        <v>971.36164294240155</v>
      </c>
      <c r="K1752" s="2698">
        <v>736.47708016452975</v>
      </c>
      <c r="L1752" s="2700">
        <v>2983.140336795509</v>
      </c>
      <c r="M1752" s="2698">
        <v>0</v>
      </c>
      <c r="N1752" s="1327">
        <v>15365</v>
      </c>
      <c r="O1752" s="2702">
        <v>3546.76</v>
      </c>
      <c r="P1752" s="125">
        <v>-13959974.828549</v>
      </c>
      <c r="Q1752" s="2698">
        <v>0</v>
      </c>
      <c r="S1752" s="2698">
        <v>0</v>
      </c>
      <c r="T1752" s="2698">
        <v>0</v>
      </c>
      <c r="U1752" s="2698">
        <v>1462118.538708</v>
      </c>
      <c r="V1752" s="2698">
        <v>1.1E-5</v>
      </c>
      <c r="W1752" s="2704">
        <v>0</v>
      </c>
      <c r="X1752" s="2704">
        <v>11.599442206150343</v>
      </c>
      <c r="Y1752" s="2704">
        <v>85867593.780945003</v>
      </c>
      <c r="Z1752" s="2704">
        <v>505.26068646963881</v>
      </c>
    </row>
    <row r="1753" spans="1:26" s="141" customFormat="1" ht="19.5">
      <c r="A1753" s="3188">
        <v>45545</v>
      </c>
      <c r="B1753" s="2698">
        <v>169788616.096403</v>
      </c>
      <c r="C1753" s="2698">
        <v>63931531.174113996</v>
      </c>
      <c r="D1753" s="2698">
        <v>64962887.369346</v>
      </c>
      <c r="E1753" s="2698">
        <v>77105393.222228006</v>
      </c>
      <c r="F1753" s="2699">
        <v>205999811.765688</v>
      </c>
      <c r="G1753" s="2698">
        <v>-3720000</v>
      </c>
      <c r="H1753" s="2698">
        <v>1781.6394977119378</v>
      </c>
      <c r="I1753" s="2698">
        <v>1288.183401507991</v>
      </c>
      <c r="J1753" s="2698">
        <v>967.35141109077961</v>
      </c>
      <c r="K1753" s="2698">
        <v>742.20792088760913</v>
      </c>
      <c r="L1753" s="2700">
        <v>2997.7427334863796</v>
      </c>
      <c r="M1753" s="2698">
        <v>0</v>
      </c>
      <c r="N1753" s="1327">
        <v>15455</v>
      </c>
      <c r="O1753" s="2702">
        <v>3550.91</v>
      </c>
      <c r="P1753" s="125">
        <v>-9889500.229549</v>
      </c>
      <c r="Q1753" s="2698">
        <v>0</v>
      </c>
      <c r="S1753" s="2698">
        <v>0</v>
      </c>
      <c r="T1753" s="2698">
        <v>0</v>
      </c>
      <c r="U1753" s="2698">
        <v>1462121.5800330001</v>
      </c>
      <c r="V1753" s="2698">
        <v>1.1E-5</v>
      </c>
      <c r="W1753" s="2704">
        <v>0</v>
      </c>
      <c r="X1753" s="2704">
        <v>6.5297813021675832</v>
      </c>
      <c r="Y1753" s="2704">
        <v>85751720.056946993</v>
      </c>
      <c r="Z1753" s="2704">
        <v>469.26717607000973</v>
      </c>
    </row>
    <row r="1754" spans="1:26" s="141" customFormat="1" ht="19.5">
      <c r="A1754" s="3188">
        <v>45546</v>
      </c>
      <c r="B1754" s="2698">
        <f>[5]F01!$C$24/10^6</f>
        <v>169788616.096403</v>
      </c>
      <c r="C1754" s="2698">
        <f>[5]F01!$C$81/10^6</f>
        <v>63931531.174113996</v>
      </c>
      <c r="D1754" s="2698">
        <f>[5]F01!$C$87/10^6</f>
        <v>64962887.369346</v>
      </c>
      <c r="E1754" s="2698">
        <f>[5]F01!$C$93/10^6</f>
        <v>77105393.222228006</v>
      </c>
      <c r="F1754" s="2699">
        <f>SUM(C1754:E1754)</f>
        <v>205999811.765688</v>
      </c>
      <c r="G1754" s="2698">
        <f>-[5]F17!$C$3/10^6</f>
        <v>-3720000</v>
      </c>
      <c r="H1754" s="2698">
        <f>[5]F01!$D$24/10^6/N1754</f>
        <v>1782.2160800736569</v>
      </c>
      <c r="I1754" s="2698">
        <f>[5]F01!$D$81/10^6/N1754</f>
        <v>1288.6002893401942</v>
      </c>
      <c r="J1754" s="2698">
        <f>[5]F01!$D$87/10^6/N1754</f>
        <v>967.66446979987052</v>
      </c>
      <c r="K1754" s="2698">
        <f>[5]F01!$D$93/10^6/N1754</f>
        <v>742.44811762576046</v>
      </c>
      <c r="L1754" s="2700">
        <f>SUM(I1754:K1754)</f>
        <v>2998.7128767658251</v>
      </c>
      <c r="M1754" s="2698">
        <f>-[5]F17!$D$3/10^6/N1754</f>
        <v>0</v>
      </c>
      <c r="N1754" s="1327">
        <f>'Closing Rate'!R571</f>
        <v>15450</v>
      </c>
      <c r="O1754" s="2702">
        <f>VLOOKUP(A1754,'Closing Rate'!$A:$AI,26,0)</f>
        <v>3558.6400000000003</v>
      </c>
      <c r="P1754" s="125">
        <f>([5]F01!$C$112/1000000)*-1</f>
        <v>-9889500.229549</v>
      </c>
      <c r="Q1754" s="2698">
        <f>-[5]F01!$D$112/10^6</f>
        <v>0</v>
      </c>
      <c r="S1754" s="2698">
        <v>0</v>
      </c>
      <c r="T1754" s="2698">
        <f>[5]F01!$D$99</f>
        <v>0</v>
      </c>
      <c r="U1754" s="2698">
        <f>[5]F01!$C$22/10^6</f>
        <v>1462121.5800330001</v>
      </c>
      <c r="V1754" s="2698">
        <f>-[5]F01!$D$22/10^6</f>
        <v>1.1E-5</v>
      </c>
      <c r="W1754" s="2704">
        <f>-[5]F04!$C$3/10^6</f>
        <v>0</v>
      </c>
      <c r="X1754" s="2704">
        <f>[5]F04!$D$3/10^6/N1754</f>
        <v>6.5318944999999999</v>
      </c>
      <c r="Y1754" s="2704">
        <f>[5]F01!$C$14/10^6</f>
        <v>85751720.056946993</v>
      </c>
      <c r="Z1754" s="2704">
        <f>[5]F01!$D$14/10^6/N1754</f>
        <v>469.41904247003237</v>
      </c>
    </row>
    <row r="1755" spans="1:26" s="141" customFormat="1" ht="19.5">
      <c r="A1755" s="3188">
        <v>45547</v>
      </c>
      <c r="B1755" s="142"/>
      <c r="C1755" s="142"/>
      <c r="D1755" s="142"/>
      <c r="E1755" s="142"/>
      <c r="F1755" s="1118"/>
      <c r="G1755" s="125"/>
      <c r="H1755" s="142"/>
      <c r="I1755" s="142"/>
      <c r="J1755" s="142"/>
      <c r="K1755" s="142"/>
      <c r="L1755" s="1119"/>
      <c r="M1755" s="125"/>
      <c r="N1755" s="1327"/>
      <c r="O1755" s="1328"/>
      <c r="P1755" s="125"/>
      <c r="Q1755" s="125"/>
      <c r="S1755" s="125"/>
      <c r="T1755" s="125"/>
      <c r="U1755" s="125"/>
      <c r="V1755" s="125"/>
      <c r="W1755" s="142"/>
      <c r="X1755" s="142"/>
      <c r="Y1755" s="142"/>
      <c r="Z1755" s="142"/>
    </row>
    <row r="1756" spans="1:26" s="141" customFormat="1" ht="19.5">
      <c r="A1756" s="3188">
        <v>45548</v>
      </c>
      <c r="B1756" s="142"/>
      <c r="C1756" s="142"/>
      <c r="D1756" s="142"/>
      <c r="E1756" s="142"/>
      <c r="F1756" s="1118"/>
      <c r="G1756" s="125"/>
      <c r="H1756" s="142"/>
      <c r="I1756" s="142"/>
      <c r="J1756" s="142"/>
      <c r="K1756" s="142"/>
      <c r="L1756" s="1119"/>
      <c r="M1756" s="125"/>
      <c r="N1756" s="1327"/>
      <c r="O1756" s="1328"/>
      <c r="P1756" s="125"/>
      <c r="Q1756" s="125"/>
      <c r="S1756" s="125"/>
      <c r="T1756" s="125"/>
      <c r="U1756" s="125"/>
      <c r="V1756" s="125"/>
      <c r="W1756" s="142"/>
      <c r="X1756" s="142"/>
      <c r="Y1756" s="142"/>
      <c r="Z1756" s="142"/>
    </row>
    <row r="1757" spans="1:26" s="141" customFormat="1" ht="19.5">
      <c r="A1757" s="3188">
        <v>45549</v>
      </c>
      <c r="B1757" s="142"/>
      <c r="C1757" s="142"/>
      <c r="D1757" s="142"/>
      <c r="E1757" s="142"/>
      <c r="F1757" s="1118"/>
      <c r="G1757" s="125"/>
      <c r="H1757" s="142"/>
      <c r="I1757" s="142"/>
      <c r="J1757" s="142"/>
      <c r="K1757" s="142"/>
      <c r="L1757" s="1119"/>
      <c r="M1757" s="125"/>
      <c r="N1757" s="1327"/>
      <c r="O1757" s="1328"/>
      <c r="P1757" s="125"/>
      <c r="Q1757" s="125"/>
      <c r="S1757" s="125"/>
      <c r="T1757" s="125"/>
      <c r="U1757" s="125"/>
      <c r="V1757" s="125"/>
      <c r="W1757" s="142"/>
      <c r="X1757" s="142"/>
      <c r="Y1757" s="142"/>
      <c r="Z1757" s="142"/>
    </row>
    <row r="1758" spans="1:26" s="141" customFormat="1" ht="19.5">
      <c r="A1758" s="3188">
        <v>45550</v>
      </c>
      <c r="B1758" s="142"/>
      <c r="C1758" s="142"/>
      <c r="D1758" s="142"/>
      <c r="E1758" s="142"/>
      <c r="F1758" s="1118"/>
      <c r="G1758" s="125"/>
      <c r="H1758" s="142"/>
      <c r="I1758" s="142"/>
      <c r="J1758" s="142"/>
      <c r="K1758" s="142"/>
      <c r="L1758" s="1119"/>
      <c r="M1758" s="125"/>
      <c r="N1758" s="1327"/>
      <c r="O1758" s="1328"/>
      <c r="P1758" s="125"/>
      <c r="Q1758" s="125"/>
      <c r="S1758" s="125"/>
      <c r="T1758" s="125"/>
      <c r="U1758" s="125"/>
      <c r="V1758" s="125"/>
      <c r="W1758" s="142"/>
      <c r="X1758" s="142"/>
      <c r="Y1758" s="142"/>
      <c r="Z1758" s="142"/>
    </row>
    <row r="1759" spans="1:26" s="141" customFormat="1" ht="19.5">
      <c r="A1759" s="3188">
        <v>45551</v>
      </c>
      <c r="B1759" s="142"/>
      <c r="C1759" s="142"/>
      <c r="D1759" s="142"/>
      <c r="E1759" s="142"/>
      <c r="F1759" s="1118"/>
      <c r="G1759" s="125"/>
      <c r="H1759" s="142"/>
      <c r="I1759" s="142"/>
      <c r="J1759" s="142"/>
      <c r="K1759" s="142"/>
      <c r="L1759" s="1119"/>
      <c r="M1759" s="125"/>
      <c r="N1759" s="1327"/>
      <c r="O1759" s="1328"/>
      <c r="P1759" s="125"/>
      <c r="Q1759" s="125"/>
      <c r="S1759" s="125"/>
      <c r="T1759" s="125"/>
      <c r="U1759" s="125"/>
      <c r="V1759" s="125"/>
      <c r="W1759" s="142"/>
      <c r="X1759" s="142"/>
      <c r="Y1759" s="142"/>
      <c r="Z1759" s="142"/>
    </row>
    <row r="1760" spans="1:26" s="141" customFormat="1" ht="19.5">
      <c r="A1760" s="3188">
        <v>45552</v>
      </c>
      <c r="B1760" s="142"/>
      <c r="C1760" s="142"/>
      <c r="D1760" s="142"/>
      <c r="E1760" s="142"/>
      <c r="F1760" s="1118"/>
      <c r="G1760" s="125"/>
      <c r="H1760" s="142"/>
      <c r="I1760" s="142"/>
      <c r="J1760" s="142"/>
      <c r="K1760" s="142"/>
      <c r="L1760" s="1119"/>
      <c r="M1760" s="125"/>
      <c r="N1760" s="1327"/>
      <c r="O1760" s="1328"/>
      <c r="P1760" s="125"/>
      <c r="Q1760" s="125"/>
      <c r="S1760" s="125"/>
      <c r="T1760" s="125"/>
      <c r="U1760" s="125"/>
      <c r="V1760" s="125"/>
      <c r="W1760" s="142"/>
      <c r="X1760" s="142"/>
      <c r="Y1760" s="142"/>
      <c r="Z1760" s="142"/>
    </row>
    <row r="1761" spans="1:26" s="141" customFormat="1" ht="19.5">
      <c r="A1761" s="3188">
        <v>45553</v>
      </c>
      <c r="B1761" s="142"/>
      <c r="C1761" s="142"/>
      <c r="D1761" s="142"/>
      <c r="E1761" s="142"/>
      <c r="F1761" s="1118"/>
      <c r="G1761" s="125"/>
      <c r="H1761" s="142"/>
      <c r="I1761" s="142"/>
      <c r="J1761" s="142"/>
      <c r="K1761" s="142"/>
      <c r="L1761" s="1119"/>
      <c r="M1761" s="125"/>
      <c r="N1761" s="1327"/>
      <c r="O1761" s="1328"/>
      <c r="P1761" s="125"/>
      <c r="Q1761" s="125"/>
      <c r="S1761" s="125"/>
      <c r="T1761" s="125"/>
      <c r="U1761" s="125"/>
      <c r="V1761" s="125"/>
      <c r="W1761" s="142"/>
      <c r="X1761" s="142"/>
      <c r="Y1761" s="142"/>
      <c r="Z1761" s="142"/>
    </row>
    <row r="1762" spans="1:26" s="141" customFormat="1" ht="19.5">
      <c r="A1762" s="3188">
        <v>45554</v>
      </c>
      <c r="B1762" s="142"/>
      <c r="C1762" s="142"/>
      <c r="D1762" s="142"/>
      <c r="E1762" s="142"/>
      <c r="F1762" s="1118"/>
      <c r="G1762" s="125"/>
      <c r="H1762" s="142"/>
      <c r="I1762" s="142"/>
      <c r="J1762" s="142"/>
      <c r="K1762" s="142"/>
      <c r="L1762" s="1119"/>
      <c r="M1762" s="125"/>
      <c r="N1762" s="1327"/>
      <c r="O1762" s="1328"/>
      <c r="P1762" s="125"/>
      <c r="Q1762" s="125"/>
      <c r="S1762" s="125"/>
      <c r="T1762" s="125"/>
      <c r="U1762" s="125"/>
      <c r="V1762" s="125"/>
      <c r="W1762" s="142"/>
      <c r="X1762" s="142"/>
      <c r="Y1762" s="142"/>
      <c r="Z1762" s="142"/>
    </row>
    <row r="1763" spans="1:26" s="141" customFormat="1" ht="19.5">
      <c r="A1763" s="3188">
        <v>45555</v>
      </c>
      <c r="B1763" s="142"/>
      <c r="C1763" s="142"/>
      <c r="D1763" s="142"/>
      <c r="E1763" s="142"/>
      <c r="F1763" s="1118"/>
      <c r="G1763" s="125"/>
      <c r="H1763" s="142"/>
      <c r="I1763" s="142"/>
      <c r="J1763" s="142"/>
      <c r="K1763" s="142"/>
      <c r="L1763" s="1119"/>
      <c r="M1763" s="125"/>
      <c r="N1763" s="1327"/>
      <c r="O1763" s="1328"/>
      <c r="P1763" s="125"/>
      <c r="Q1763" s="125"/>
      <c r="S1763" s="125"/>
      <c r="T1763" s="125"/>
      <c r="U1763" s="125"/>
      <c r="V1763" s="125"/>
      <c r="W1763" s="142"/>
      <c r="X1763" s="142"/>
      <c r="Y1763" s="142"/>
      <c r="Z1763" s="142"/>
    </row>
    <row r="1764" spans="1:26" s="141" customFormat="1" ht="19.5">
      <c r="A1764" s="3188">
        <v>45556</v>
      </c>
      <c r="B1764" s="125"/>
      <c r="C1764" s="125"/>
      <c r="D1764" s="125"/>
      <c r="E1764" s="125"/>
      <c r="F1764" s="123"/>
      <c r="G1764" s="125"/>
      <c r="H1764" s="125"/>
      <c r="I1764" s="125"/>
      <c r="J1764" s="125"/>
      <c r="K1764" s="125"/>
      <c r="L1764" s="164"/>
      <c r="M1764" s="125"/>
      <c r="N1764" s="115"/>
      <c r="O1764" s="139"/>
      <c r="P1764" s="125"/>
      <c r="Q1764" s="125"/>
      <c r="S1764" s="125"/>
      <c r="T1764" s="125"/>
      <c r="U1764" s="125"/>
      <c r="V1764" s="125"/>
      <c r="W1764" s="142"/>
      <c r="X1764" s="142"/>
      <c r="Y1764" s="142"/>
      <c r="Z1764" s="142"/>
    </row>
    <row r="1765" spans="1:26" s="141" customFormat="1">
      <c r="A1765" s="2697"/>
      <c r="B1765" s="143"/>
      <c r="C1765" s="143"/>
      <c r="D1765" s="143"/>
      <c r="E1765" s="143"/>
      <c r="F1765" s="143"/>
      <c r="I1765" s="144"/>
      <c r="N1765" s="115"/>
      <c r="O1765" s="139"/>
    </row>
    <row r="1766" spans="1:26">
      <c r="A1766" s="145" t="str">
        <f>"EOM "&amp;TEXT(EOMONTH($A1764,-1),"[$-409]mmm")&amp;" MoM"</f>
        <v>EOM Aug MoM</v>
      </c>
      <c r="B1766" s="146">
        <f>IFERROR(VLOOKUP(EOMONTH($A1764,-1),$A$2:$Z1765,B$1826,0)-VLOOKUP(EOMONTH($A1764,-2),$A$2:$Z1765,B$1826,0),0)</f>
        <v>-449158.76231399179</v>
      </c>
      <c r="C1766" s="146">
        <f>IFERROR(VLOOKUP(EOMONTH($A1764,-1),$A$2:$Z1765,C$1826,0)-VLOOKUP(EOMONTH($A1764,-2),$A$2:$Z1765,C$1826,0),0)</f>
        <v>-1980597.9899649993</v>
      </c>
      <c r="D1766" s="146">
        <f>IFERROR(VLOOKUP(EOMONTH($A1764,-1),$A$2:$Z1765,D$1826,0)-VLOOKUP(EOMONTH($A1764,-2),$A$2:$Z1765,D$1826,0),0)</f>
        <v>470770.40625300258</v>
      </c>
      <c r="E1766" s="146">
        <f>IFERROR(VLOOKUP(EOMONTH($A1764,-1),$A$2:$Z1765,E$1826,0)-VLOOKUP(EOMONTH($A1764,-2),$A$2:$Z1765,E$1826,0),0)</f>
        <v>-1071678.885055989</v>
      </c>
      <c r="F1766" s="146">
        <f>IFERROR(VLOOKUP(EOMONTH($A1764,-1),$A$2:$Z1765,F$1826,0)-VLOOKUP(EOMONTH($A1764,-2),$A$2:$Z1765,F$1826,0),0)</f>
        <v>-2581506.4687680006</v>
      </c>
      <c r="G1766" s="146">
        <f>IFERROR(VLOOKUP(EOMONTH($A1764,-1),$A$2:$Z1765,G$1826,0)-VLOOKUP(EOMONTH($A1764,-2),$A$2:$Z1765,G$1826,0),0)</f>
        <v>-1980000</v>
      </c>
      <c r="H1766" s="146">
        <f>IFERROR(VLOOKUP(EOMONTH($A1764,-1),$A$2:$Z1765,H$1826,0)-VLOOKUP(EOMONTH($A1764,-2),$A$2:$Z1765,H$1826,0),0)</f>
        <v>-63.982810534964528</v>
      </c>
      <c r="I1766" s="146">
        <f>IFERROR(VLOOKUP(EOMONTH($A1764,-1),$A$2:$Z1765,I$1826,0)-VLOOKUP(EOMONTH($A1764,-2),$A$2:$Z1765,I$1826,0),0)</f>
        <v>13.898699249206629</v>
      </c>
      <c r="J1766" s="146">
        <f>IFERROR(VLOOKUP(EOMONTH($A1764,-1),$A$2:$Z1765,J$1826,0)-VLOOKUP(EOMONTH($A1764,-2),$A$2:$Z1765,J$1826,0),0)</f>
        <v>26.580336836421907</v>
      </c>
      <c r="K1766" s="146">
        <f>IFERROR(VLOOKUP(EOMONTH($A1764,-1),$A$2:$Z1765,K$1826,0)-VLOOKUP(EOMONTH($A1764,-2),$A$2:$Z1765,K$1826,0),0)</f>
        <v>44.482663224607791</v>
      </c>
      <c r="L1766" s="146">
        <f>IFERROR(VLOOKUP(EOMONTH($A1764,-1),$A$2:$Z1765,L$1826,0)-VLOOKUP(EOMONTH($A1764,-2),$A$2:$Z1765,L$1826,0),0)</f>
        <v>84.961699310235872</v>
      </c>
      <c r="M1766" s="146">
        <f>IFERROR(VLOOKUP(EOMONTH($A1764,-1),$A$2:$Z1765,M$1826,0)-VLOOKUP(EOMONTH($A1764,-2),$A$2:$Z1765,M$1826,0),0)</f>
        <v>0</v>
      </c>
      <c r="N1766" s="146">
        <f>IFERROR(VLOOKUP(EOMONTH($A1764,-1),$A$2:$Z1765,N$1826,0)-VLOOKUP(EOMONTH($A1764,-2),$A$2:$Z1765,N$1826,0),0)</f>
        <v>-805</v>
      </c>
      <c r="O1766" s="146">
        <f>IFERROR(VLOOKUP(EOMONTH($A1764,-1),$A$2:$Z1765,O$1826,0)-VLOOKUP(EOMONTH($A1764,-2),$A$2:$Z1765,O$1826,0),0)</f>
        <v>46.850000000000364</v>
      </c>
      <c r="P1766" s="146">
        <f>IFERROR(VLOOKUP(EOMONTH($A1764,-1),$A$2:$Z1765,P$1826,0)-VLOOKUP(EOMONTH($A1764,-2),$A$2:$Z1765,P$1826,0),0)</f>
        <v>-5464622.2899000011</v>
      </c>
      <c r="Q1766" s="146">
        <f>IFERROR(VLOOKUP(EOMONTH($A1764,-1),$A$2:$Z1765,Q$1826,0)-VLOOKUP(EOMONTH($A1764,-2),$A$2:$Z1765,Q$1826,0),0)</f>
        <v>0</v>
      </c>
      <c r="R1766" s="146"/>
      <c r="S1766" s="146">
        <f>IFERROR(VLOOKUP(EOMONTH($A1764,-1),$A$2:$Z1765,S$1826,0)-VLOOKUP(EOMONTH($A1764,-2),$A$2:$Z1765,S$1826,0),0)</f>
        <v>0</v>
      </c>
      <c r="T1766" s="146">
        <f>IFERROR(VLOOKUP(EOMONTH($A1764,-1),$A$2:$Z1765,T$1826,0)-VLOOKUP(EOMONTH($A1764,-2),$A$2:$Z1765,T$1826,0),0)</f>
        <v>0</v>
      </c>
      <c r="U1766" s="146">
        <f>IFERROR(VLOOKUP(EOMONTH($A1764,-1),$A$2:$Z1765,U$1826,0)-VLOOKUP(EOMONTH($A1764,-2),$A$2:$Z1765,U$1826,0),0)</f>
        <v>-608823.59025799995</v>
      </c>
      <c r="V1766" s="146">
        <f>IFERROR(VLOOKUP(EOMONTH($A1764,-1),$A$2:$Z1765,V$1826,0)-VLOOKUP(EOMONTH($A1764,-2),$A$2:$Z1765,V$1826,0),0)</f>
        <v>0</v>
      </c>
      <c r="W1766" s="146">
        <f>IFERROR(VLOOKUP(EOMONTH($A1764,-1),$A$2:$Z1765,W$1826,0)-VLOOKUP(EOMONTH($A1764,-2),$A$2:$Z1765,W$1826,0),0)</f>
        <v>0</v>
      </c>
      <c r="X1766" s="146">
        <f>IFERROR(VLOOKUP(EOMONTH($A1764,-1),$A$2:$Z1765,X$1826,0)-VLOOKUP(EOMONTH($A1764,-2),$A$2:$Z1765,X$1826,0),0)</f>
        <v>-14.5</v>
      </c>
      <c r="Y1766" s="146">
        <f>IFERROR(VLOOKUP(EOMONTH($A1764,-1),$A$2:$Z1765,Y$1826,0)-VLOOKUP(EOMONTH($A1764,-2),$A$2:$Z1765,Y$1826,0),0)</f>
        <v>2934244.3984510005</v>
      </c>
      <c r="Z1766" s="146">
        <f>IFERROR(VLOOKUP(EOMONTH($A1764,-1),$A$2:$Z1765,Z$1826,0)-VLOOKUP(EOMONTH($A1764,-2),$A$2:$Z1765,Z$1826,0),0)</f>
        <v>-11.720559229941841</v>
      </c>
    </row>
    <row r="1767" spans="1:26">
      <c r="A1767" s="114" t="s">
        <v>324</v>
      </c>
      <c r="B1767" s="125" t="e">
        <f t="shared" ref="B1767:Q1769" si="10">AVERAGEIFS(B$3:B$1765,$A$3:$A$1765,"&gt;="&amp;DATE("20"&amp;RIGHT($A1767,2),MONTH(1&amp;MID($A1767,8,3)),1),$A$3:$A$1765,"&lt;="&amp;DATE("20"&amp;RIGHT($A1767,2),MONTH(1&amp;MID($A1767,8,3)),DAY(EOMONTH(DATE(RIGHT("20"&amp;$A1767,2),MONTH(1&amp;MID($A1767,8,3)),1),0))))</f>
        <v>#DIV/0!</v>
      </c>
      <c r="C1767" s="125" t="e">
        <f t="shared" si="10"/>
        <v>#DIV/0!</v>
      </c>
      <c r="D1767" s="125" t="e">
        <f t="shared" si="10"/>
        <v>#DIV/0!</v>
      </c>
      <c r="E1767" s="125" t="e">
        <f t="shared" si="10"/>
        <v>#DIV/0!</v>
      </c>
      <c r="F1767" s="125" t="e">
        <f t="shared" si="10"/>
        <v>#DIV/0!</v>
      </c>
      <c r="G1767" s="125" t="e">
        <f t="shared" si="10"/>
        <v>#DIV/0!</v>
      </c>
      <c r="H1767" s="125" t="e">
        <f t="shared" si="10"/>
        <v>#DIV/0!</v>
      </c>
      <c r="I1767" s="125" t="e">
        <f t="shared" si="10"/>
        <v>#DIV/0!</v>
      </c>
      <c r="J1767" s="125" t="e">
        <f t="shared" si="10"/>
        <v>#DIV/0!</v>
      </c>
      <c r="K1767" s="125" t="e">
        <f t="shared" si="10"/>
        <v>#DIV/0!</v>
      </c>
      <c r="L1767" s="125" t="e">
        <f t="shared" si="10"/>
        <v>#DIV/0!</v>
      </c>
      <c r="M1767" s="125" t="e">
        <f t="shared" si="10"/>
        <v>#DIV/0!</v>
      </c>
      <c r="N1767" s="174" t="e">
        <f t="shared" si="10"/>
        <v>#DIV/0!</v>
      </c>
      <c r="O1767" s="125" t="e">
        <f t="shared" si="10"/>
        <v>#DIV/0!</v>
      </c>
      <c r="P1767" s="125" t="e">
        <f t="shared" si="10"/>
        <v>#DIV/0!</v>
      </c>
      <c r="Q1767" s="125" t="e">
        <f t="shared" si="10"/>
        <v>#DIV/0!</v>
      </c>
      <c r="R1767" s="146"/>
      <c r="S1767" s="125" t="e">
        <f t="shared" ref="S1767:Z1769" si="11">AVERAGEIFS(S$3:S$1765,$A$3:$A$1765,"&gt;="&amp;DATE("20"&amp;RIGHT($A1767,2),MONTH(1&amp;MID($A1767,8,3)),1),$A$3:$A$1765,"&lt;="&amp;DATE("20"&amp;RIGHT($A1767,2),MONTH(1&amp;MID($A1767,8,3)),DAY(EOMONTH(DATE(RIGHT("20"&amp;$A1767,2),MONTH(1&amp;MID($A1767,8,3)),1),0))))</f>
        <v>#DIV/0!</v>
      </c>
      <c r="T1767" s="125" t="e">
        <f t="shared" si="11"/>
        <v>#DIV/0!</v>
      </c>
      <c r="U1767" s="125" t="e">
        <f t="shared" si="11"/>
        <v>#DIV/0!</v>
      </c>
      <c r="V1767" s="125" t="e">
        <f t="shared" si="11"/>
        <v>#DIV/0!</v>
      </c>
      <c r="W1767" s="142" t="e">
        <f t="shared" si="11"/>
        <v>#DIV/0!</v>
      </c>
      <c r="X1767" s="142" t="e">
        <f t="shared" si="11"/>
        <v>#DIV/0!</v>
      </c>
      <c r="Y1767" s="142" t="e">
        <f t="shared" si="11"/>
        <v>#DIV/0!</v>
      </c>
      <c r="Z1767" s="142" t="e">
        <f t="shared" si="11"/>
        <v>#DIV/0!</v>
      </c>
    </row>
    <row r="1768" spans="1:26">
      <c r="A1768" s="114" t="s">
        <v>323</v>
      </c>
      <c r="B1768" s="125">
        <f t="shared" si="10"/>
        <v>170992249.83900443</v>
      </c>
      <c r="C1768" s="125">
        <f t="shared" si="10"/>
        <v>66542701.195524924</v>
      </c>
      <c r="D1768" s="125">
        <f t="shared" si="10"/>
        <v>64446622.495121367</v>
      </c>
      <c r="E1768" s="125">
        <f t="shared" si="10"/>
        <v>76510203.511686206</v>
      </c>
      <c r="F1768" s="125">
        <f t="shared" si="10"/>
        <v>207499527.2023325</v>
      </c>
      <c r="G1768" s="125">
        <f t="shared" si="10"/>
        <v>-2545434.7826086958</v>
      </c>
      <c r="H1768" s="125">
        <f t="shared" si="10"/>
        <v>2035.7251982105001</v>
      </c>
      <c r="I1768" s="125">
        <f t="shared" si="10"/>
        <v>1143.7313907205316</v>
      </c>
      <c r="J1768" s="125">
        <f t="shared" si="10"/>
        <v>895.15212764426428</v>
      </c>
      <c r="K1768" s="125">
        <f t="shared" si="10"/>
        <v>687.48901025675616</v>
      </c>
      <c r="L1768" s="125">
        <f t="shared" si="10"/>
        <v>2726.3725286215517</v>
      </c>
      <c r="M1768" s="125">
        <f t="shared" si="10"/>
        <v>0</v>
      </c>
      <c r="N1768" s="174">
        <f t="shared" si="10"/>
        <v>16243.08695652174</v>
      </c>
      <c r="O1768" s="125">
        <f t="shared" si="10"/>
        <v>3471.1856521739128</v>
      </c>
      <c r="P1768" s="125">
        <f t="shared" si="10"/>
        <v>-13997137.576020738</v>
      </c>
      <c r="Q1768" s="125">
        <f t="shared" si="10"/>
        <v>0</v>
      </c>
      <c r="R1768" s="146"/>
      <c r="S1768" s="125">
        <f t="shared" si="11"/>
        <v>0</v>
      </c>
      <c r="T1768" s="125">
        <f t="shared" si="11"/>
        <v>0</v>
      </c>
      <c r="U1768" s="125">
        <f t="shared" si="11"/>
        <v>1741318.5173838264</v>
      </c>
      <c r="V1768" s="125">
        <f t="shared" si="11"/>
        <v>1.0999999999999998E-5</v>
      </c>
      <c r="W1768" s="142">
        <f t="shared" si="11"/>
        <v>-2173.913043478261</v>
      </c>
      <c r="X1768" s="142">
        <f t="shared" si="11"/>
        <v>20.796076016521742</v>
      </c>
      <c r="Y1768" s="142">
        <f t="shared" si="11"/>
        <v>81910392.76262179</v>
      </c>
      <c r="Z1768" s="142">
        <f t="shared" si="11"/>
        <v>514.94302201343157</v>
      </c>
    </row>
    <row r="1769" spans="1:26">
      <c r="A1769" s="114" t="s">
        <v>318</v>
      </c>
      <c r="B1769" s="125">
        <f t="shared" si="10"/>
        <v>170048028.27246532</v>
      </c>
      <c r="C1769" s="125">
        <f t="shared" si="10"/>
        <v>65951678.094913803</v>
      </c>
      <c r="D1769" s="125">
        <f t="shared" si="10"/>
        <v>65475599.662451066</v>
      </c>
      <c r="E1769" s="125">
        <f t="shared" si="10"/>
        <v>78573512.095543846</v>
      </c>
      <c r="F1769" s="125">
        <f t="shared" si="10"/>
        <v>210000789.85290873</v>
      </c>
      <c r="G1769" s="125">
        <f t="shared" si="10"/>
        <v>-2045000</v>
      </c>
      <c r="H1769" s="125">
        <f t="shared" si="10"/>
        <v>2054.3858330490884</v>
      </c>
      <c r="I1769" s="125">
        <f t="shared" si="10"/>
        <v>1036.1731266662221</v>
      </c>
      <c r="J1769" s="125">
        <f t="shared" si="10"/>
        <v>837.54375590623499</v>
      </c>
      <c r="K1769" s="125">
        <f t="shared" si="10"/>
        <v>666.3728011317678</v>
      </c>
      <c r="L1769" s="125">
        <f t="shared" si="10"/>
        <v>2540.0896837042251</v>
      </c>
      <c r="M1769" s="125">
        <f t="shared" si="10"/>
        <v>-21.95</v>
      </c>
      <c r="N1769" s="174">
        <f t="shared" si="10"/>
        <v>16334.525</v>
      </c>
      <c r="O1769" s="125">
        <f t="shared" si="10"/>
        <v>3467.3397500000005</v>
      </c>
      <c r="P1769" s="125">
        <f t="shared" si="10"/>
        <v>-13382010.654798999</v>
      </c>
      <c r="Q1769" s="125">
        <f t="shared" si="10"/>
        <v>0</v>
      </c>
      <c r="R1769" s="146"/>
      <c r="S1769" s="125">
        <f t="shared" si="11"/>
        <v>0</v>
      </c>
      <c r="T1769" s="125">
        <f t="shared" si="11"/>
        <v>0</v>
      </c>
      <c r="U1769" s="125">
        <f t="shared" si="11"/>
        <v>3308344.2642553002</v>
      </c>
      <c r="V1769" s="125">
        <f t="shared" si="11"/>
        <v>1.0999999999999998E-5</v>
      </c>
      <c r="W1769" s="142">
        <f t="shared" si="11"/>
        <v>-70000</v>
      </c>
      <c r="X1769" s="142">
        <f t="shared" si="11"/>
        <v>8.1657871399999991</v>
      </c>
      <c r="Y1769" s="142">
        <f t="shared" si="11"/>
        <v>80293835.202537969</v>
      </c>
      <c r="Z1769" s="142">
        <f t="shared" si="11"/>
        <v>481.87794198361217</v>
      </c>
    </row>
    <row r="1770" spans="1:26">
      <c r="A1770" s="114" t="s">
        <v>274</v>
      </c>
      <c r="B1770" s="125" t="e">
        <f t="shared" ref="B1770:C1774" si="12">AVERAGEIFS(B$3:B$1765,$A$3:$A$1765,"&gt;="&amp;DATE("20"&amp;RIGHT($A1770,2),MONTH(1&amp;MID($A1770,8,3)),1),$A$3:$A$1765,"&lt;="&amp;DATE("20"&amp;RIGHT($A1770,2),MONTH(1&amp;MID($A1770,8,3)),DAY(EOMONTH(DATE(RIGHT("20"&amp;$A1770,2),MONTH(1&amp;MID($A1770,8,3)),1),0))))</f>
        <v>#DIV/0!</v>
      </c>
      <c r="C1770" s="125" t="e">
        <f t="shared" si="12"/>
        <v>#DIV/0!</v>
      </c>
      <c r="D1770" s="125" t="e">
        <f t="shared" ref="D1770:Q1770" si="13">AVERAGEIFS(D$3:D$1765,$A$3:$A$1765,"&gt;="&amp;DATE("20"&amp;RIGHT($A1770,2),MONTH(1&amp;MID($A1770,8,3)),1),$A$3:$A$1765,"&lt;="&amp;DATE("20"&amp;RIGHT($A1770,2),MONTH(1&amp;MID($A1770,8,3)),DAY(EOMONTH(DATE(RIGHT("20"&amp;$A1770,2),MONTH(1&amp;MID($A1770,8,3)),1),0))))</f>
        <v>#DIV/0!</v>
      </c>
      <c r="E1770" s="125" t="e">
        <f t="shared" si="13"/>
        <v>#DIV/0!</v>
      </c>
      <c r="F1770" s="125" t="e">
        <f t="shared" si="13"/>
        <v>#DIV/0!</v>
      </c>
      <c r="G1770" s="125" t="e">
        <f t="shared" si="13"/>
        <v>#DIV/0!</v>
      </c>
      <c r="H1770" s="125" t="e">
        <f t="shared" si="13"/>
        <v>#DIV/0!</v>
      </c>
      <c r="I1770" s="125" t="e">
        <f t="shared" si="13"/>
        <v>#DIV/0!</v>
      </c>
      <c r="J1770" s="125" t="e">
        <f t="shared" si="13"/>
        <v>#DIV/0!</v>
      </c>
      <c r="K1770" s="125" t="e">
        <f t="shared" si="13"/>
        <v>#DIV/0!</v>
      </c>
      <c r="L1770" s="125" t="e">
        <f t="shared" si="13"/>
        <v>#DIV/0!</v>
      </c>
      <c r="M1770" s="125" t="e">
        <f t="shared" si="13"/>
        <v>#DIV/0!</v>
      </c>
      <c r="N1770" s="174" t="e">
        <f t="shared" ref="N1770:N1801" si="14">AVERAGEIFS(N$3:N$1765,$A$3:$A$1765,"&gt;="&amp;DATE("20"&amp;RIGHT($A1770,2),MONTH(1&amp;MID($A1770,8,3)),1),$A$3:$A$1765,"&lt;="&amp;DATE("20"&amp;RIGHT($A1770,2),MONTH(1&amp;MID($A1770,8,3)),DAY(EOMONTH(DATE(RIGHT("20"&amp;$A1770,2),MONTH(1&amp;MID($A1770,8,3)),1),0))))</f>
        <v>#DIV/0!</v>
      </c>
      <c r="O1770" s="125" t="e">
        <f t="shared" si="13"/>
        <v>#DIV/0!</v>
      </c>
      <c r="P1770" s="125" t="e">
        <f t="shared" si="13"/>
        <v>#DIV/0!</v>
      </c>
      <c r="Q1770" s="125" t="e">
        <f t="shared" si="13"/>
        <v>#DIV/0!</v>
      </c>
      <c r="R1770" s="146"/>
      <c r="S1770" s="125" t="e">
        <f t="shared" ref="S1770:Z1770" si="15">AVERAGEIFS(S$3:S$1765,$A$3:$A$1765,"&gt;="&amp;DATE("20"&amp;RIGHT($A1770,2),MONTH(1&amp;MID($A1770,8,3)),1),$A$3:$A$1765,"&lt;="&amp;DATE("20"&amp;RIGHT($A1770,2),MONTH(1&amp;MID($A1770,8,3)),DAY(EOMONTH(DATE(RIGHT("20"&amp;$A1770,2),MONTH(1&amp;MID($A1770,8,3)),1),0))))</f>
        <v>#DIV/0!</v>
      </c>
      <c r="T1770" s="125" t="e">
        <f t="shared" si="15"/>
        <v>#DIV/0!</v>
      </c>
      <c r="U1770" s="125" t="e">
        <f t="shared" si="15"/>
        <v>#DIV/0!</v>
      </c>
      <c r="V1770" s="125" t="e">
        <f t="shared" si="15"/>
        <v>#DIV/0!</v>
      </c>
      <c r="W1770" s="142" t="e">
        <f t="shared" si="15"/>
        <v>#DIV/0!</v>
      </c>
      <c r="X1770" s="142" t="e">
        <f t="shared" si="15"/>
        <v>#DIV/0!</v>
      </c>
      <c r="Y1770" s="142" t="e">
        <f t="shared" si="15"/>
        <v>#DIV/0!</v>
      </c>
      <c r="Z1770" s="142" t="e">
        <f t="shared" si="15"/>
        <v>#DIV/0!</v>
      </c>
    </row>
    <row r="1771" spans="1:26">
      <c r="A1771" s="114" t="s">
        <v>272</v>
      </c>
      <c r="B1771" s="125">
        <f t="shared" si="12"/>
        <v>169447815.29889449</v>
      </c>
      <c r="C1771" s="125">
        <f t="shared" si="12"/>
        <v>66289327.825874679</v>
      </c>
      <c r="D1771" s="125">
        <f t="shared" ref="D1771:M1774" si="16">AVERAGEIFS(D$3:D$1765,$A$3:$A$1765,"&gt;="&amp;DATE("20"&amp;RIGHT($A1771,2),MONTH(1&amp;MID($A1771,8,3)),1),$A$3:$A$1765,"&lt;="&amp;DATE("20"&amp;RIGHT($A1771,2),MONTH(1&amp;MID($A1771,8,3)),DAY(EOMONTH(DATE(RIGHT("20"&amp;$A1771,2),MONTH(1&amp;MID($A1771,8,3)),1),0))))</f>
        <v>67632131.847349554</v>
      </c>
      <c r="E1771" s="125">
        <f t="shared" si="16"/>
        <v>80484024.951108068</v>
      </c>
      <c r="F1771" s="125">
        <f t="shared" si="16"/>
        <v>214405484.62433231</v>
      </c>
      <c r="G1771" s="125">
        <f t="shared" si="16"/>
        <v>-566250</v>
      </c>
      <c r="H1771" s="125">
        <f t="shared" si="16"/>
        <v>1918.7221879275742</v>
      </c>
      <c r="I1771" s="125">
        <f t="shared" si="16"/>
        <v>1037.6304506070139</v>
      </c>
      <c r="J1771" s="125">
        <f t="shared" si="16"/>
        <v>798.14689694296396</v>
      </c>
      <c r="K1771" s="125">
        <f t="shared" si="16"/>
        <v>672.92713559306151</v>
      </c>
      <c r="L1771" s="125">
        <f t="shared" si="16"/>
        <v>2508.7044831430394</v>
      </c>
      <c r="M1771" s="125">
        <f t="shared" si="16"/>
        <v>-15.25</v>
      </c>
      <c r="N1771" s="174">
        <f t="shared" si="14"/>
        <v>16112</v>
      </c>
      <c r="O1771" s="125">
        <f t="shared" ref="O1771:Q1774" si="17">AVERAGEIFS(O$3:O$1765,$A$3:$A$1765,"&gt;="&amp;DATE("20"&amp;RIGHT($A1771,2),MONTH(1&amp;MID($A1771,8,3)),1),$A$3:$A$1765,"&lt;="&amp;DATE("20"&amp;RIGHT($A1771,2),MONTH(1&amp;MID($A1771,8,3)),DAY(EOMONTH(DATE(RIGHT("20"&amp;$A1771,2),MONTH(1&amp;MID($A1771,8,3)),1),0))))</f>
        <v>3378.2425000000003</v>
      </c>
      <c r="P1771" s="125">
        <f t="shared" si="17"/>
        <v>-5999970.5711904997</v>
      </c>
      <c r="Q1771" s="125">
        <f t="shared" si="17"/>
        <v>0</v>
      </c>
      <c r="R1771" s="146"/>
      <c r="S1771" s="125">
        <f t="shared" ref="S1771:Z1774" si="18">AVERAGEIFS(S$3:S$1765,$A$3:$A$1765,"&gt;="&amp;DATE("20"&amp;RIGHT($A1771,2),MONTH(1&amp;MID($A1771,8,3)),1),$A$3:$A$1765,"&lt;="&amp;DATE("20"&amp;RIGHT($A1771,2),MONTH(1&amp;MID($A1771,8,3)),DAY(EOMONTH(DATE(RIGHT("20"&amp;$A1771,2),MONTH(1&amp;MID($A1771,8,3)),1),0))))</f>
        <v>0</v>
      </c>
      <c r="T1771" s="125">
        <f t="shared" si="18"/>
        <v>0</v>
      </c>
      <c r="U1771" s="125">
        <f t="shared" si="18"/>
        <v>4278457.5262485007</v>
      </c>
      <c r="V1771" s="125">
        <f t="shared" si="18"/>
        <v>1.1624999999999998E-5</v>
      </c>
      <c r="W1771" s="142">
        <f t="shared" si="18"/>
        <v>-134687.5</v>
      </c>
      <c r="X1771" s="142">
        <f t="shared" si="18"/>
        <v>6.4407871399999985</v>
      </c>
      <c r="Y1771" s="142">
        <f t="shared" si="18"/>
        <v>75305357.614499375</v>
      </c>
      <c r="Z1771" s="142">
        <f t="shared" si="18"/>
        <v>418.47423399831587</v>
      </c>
    </row>
    <row r="1772" spans="1:26">
      <c r="A1772" s="114" t="s">
        <v>267</v>
      </c>
      <c r="B1772" s="125">
        <f t="shared" si="12"/>
        <v>170291103.07367718</v>
      </c>
      <c r="C1772" s="125">
        <f t="shared" si="12"/>
        <v>63665780.765095547</v>
      </c>
      <c r="D1772" s="125">
        <f t="shared" si="16"/>
        <v>67054202.269791886</v>
      </c>
      <c r="E1772" s="125">
        <f t="shared" si="16"/>
        <v>78829306.033067256</v>
      </c>
      <c r="F1772" s="125">
        <f t="shared" si="16"/>
        <v>209549289.06795469</v>
      </c>
      <c r="G1772" s="125">
        <f t="shared" si="16"/>
        <v>-1127750</v>
      </c>
      <c r="H1772" s="125">
        <f t="shared" si="16"/>
        <v>1838.1793196667204</v>
      </c>
      <c r="I1772" s="125">
        <f t="shared" si="16"/>
        <v>1078.3712096711815</v>
      </c>
      <c r="J1772" s="125">
        <f t="shared" si="16"/>
        <v>796.95398389689092</v>
      </c>
      <c r="K1772" s="125">
        <f t="shared" si="16"/>
        <v>685.39026871033889</v>
      </c>
      <c r="L1772" s="125">
        <f t="shared" si="16"/>
        <v>2560.7154622784101</v>
      </c>
      <c r="M1772" s="125">
        <f t="shared" si="16"/>
        <v>-5.5</v>
      </c>
      <c r="N1772" s="174">
        <f t="shared" si="14"/>
        <v>15723.424999999999</v>
      </c>
      <c r="O1772" s="125">
        <f t="shared" si="17"/>
        <v>3330.7127500000001</v>
      </c>
      <c r="P1772" s="125">
        <f t="shared" si="17"/>
        <v>-6607017.9168530013</v>
      </c>
      <c r="Q1772" s="125">
        <f t="shared" si="17"/>
        <v>0</v>
      </c>
      <c r="R1772" s="146"/>
      <c r="S1772" s="125">
        <f t="shared" si="18"/>
        <v>0</v>
      </c>
      <c r="T1772" s="125">
        <f t="shared" si="18"/>
        <v>0</v>
      </c>
      <c r="U1772" s="125">
        <f t="shared" si="18"/>
        <v>3399613.7079804502</v>
      </c>
      <c r="V1772" s="125">
        <f t="shared" si="18"/>
        <v>7.6499999999999996E-6</v>
      </c>
      <c r="W1772" s="142">
        <f t="shared" si="18"/>
        <v>-56500</v>
      </c>
      <c r="X1772" s="142">
        <f t="shared" si="18"/>
        <v>4.5157871399999978</v>
      </c>
      <c r="Y1772" s="142">
        <f t="shared" si="18"/>
        <v>75314583.877813637</v>
      </c>
      <c r="Z1772" s="142">
        <f t="shared" si="18"/>
        <v>427.34352828085758</v>
      </c>
    </row>
    <row r="1773" spans="1:26">
      <c r="A1773" s="114" t="s">
        <v>266</v>
      </c>
      <c r="B1773" s="125">
        <f t="shared" si="12"/>
        <v>169845463.74080375</v>
      </c>
      <c r="C1773" s="125">
        <f t="shared" si="12"/>
        <v>59947074.164170168</v>
      </c>
      <c r="D1773" s="125">
        <f t="shared" si="16"/>
        <v>66768129.923643552</v>
      </c>
      <c r="E1773" s="125">
        <f t="shared" si="16"/>
        <v>76582503.523462936</v>
      </c>
      <c r="F1773" s="125">
        <f t="shared" si="16"/>
        <v>203297707.61127666</v>
      </c>
      <c r="G1773" s="125">
        <f t="shared" si="16"/>
        <v>-1800526.3157894737</v>
      </c>
      <c r="H1773" s="125">
        <f t="shared" si="16"/>
        <v>1822.5029987546206</v>
      </c>
      <c r="I1773" s="125">
        <f t="shared" si="16"/>
        <v>1069.1126726593131</v>
      </c>
      <c r="J1773" s="125">
        <f t="shared" si="16"/>
        <v>762.84873979360736</v>
      </c>
      <c r="K1773" s="125">
        <f t="shared" si="16"/>
        <v>701.05702042753489</v>
      </c>
      <c r="L1773" s="125">
        <f t="shared" si="16"/>
        <v>2533.0184328804553</v>
      </c>
      <c r="M1773" s="125">
        <f t="shared" si="16"/>
        <v>0</v>
      </c>
      <c r="N1773" s="174">
        <f t="shared" si="14"/>
        <v>15647.105263157895</v>
      </c>
      <c r="O1773" s="125">
        <f t="shared" si="17"/>
        <v>3282.0850000000005</v>
      </c>
      <c r="P1773" s="125">
        <f t="shared" si="17"/>
        <v>-13090871.82787079</v>
      </c>
      <c r="Q1773" s="125">
        <f t="shared" si="17"/>
        <v>0</v>
      </c>
      <c r="R1773" s="125"/>
      <c r="S1773" s="125">
        <f t="shared" si="18"/>
        <v>-7.1157894736842097E-7</v>
      </c>
      <c r="T1773" s="125">
        <f t="shared" si="18"/>
        <v>0</v>
      </c>
      <c r="U1773" s="125">
        <f t="shared" si="18"/>
        <v>3281868.9119602954</v>
      </c>
      <c r="V1773" s="125">
        <f t="shared" si="18"/>
        <v>3.6031578947368416E-6</v>
      </c>
      <c r="W1773" s="142">
        <f t="shared" si="18"/>
        <v>-22631.57894736842</v>
      </c>
      <c r="X1773" s="142">
        <f t="shared" si="18"/>
        <v>6.7763134557894729</v>
      </c>
      <c r="Y1773" s="142">
        <f t="shared" si="18"/>
        <v>77802973.800817892</v>
      </c>
      <c r="Z1773" s="142">
        <f t="shared" si="18"/>
        <v>393.23703082214962</v>
      </c>
    </row>
    <row r="1774" spans="1:26">
      <c r="A1774" s="114" t="s">
        <v>265</v>
      </c>
      <c r="B1774" s="125">
        <f t="shared" si="12"/>
        <v>171373001.05567861</v>
      </c>
      <c r="C1774" s="125">
        <f t="shared" si="12"/>
        <v>61145781.428809501</v>
      </c>
      <c r="D1774" s="125">
        <f t="shared" si="16"/>
        <v>66408877.574880317</v>
      </c>
      <c r="E1774" s="125">
        <f t="shared" si="16"/>
        <v>76070179.62955226</v>
      </c>
      <c r="F1774" s="125">
        <f t="shared" si="16"/>
        <v>203624838.6332421</v>
      </c>
      <c r="G1774" s="125">
        <f t="shared" si="16"/>
        <v>-1767045.4545454546</v>
      </c>
      <c r="H1774" s="125">
        <f t="shared" si="16"/>
        <v>1853.008783105782</v>
      </c>
      <c r="I1774" s="125">
        <f t="shared" si="16"/>
        <v>984.98958965492204</v>
      </c>
      <c r="J1774" s="125">
        <f t="shared" si="16"/>
        <v>730.26364477505228</v>
      </c>
      <c r="K1774" s="125">
        <f t="shared" si="16"/>
        <v>719.95135433159044</v>
      </c>
      <c r="L1774" s="125">
        <f t="shared" si="16"/>
        <v>2435.2045887615645</v>
      </c>
      <c r="M1774" s="125">
        <f t="shared" si="16"/>
        <v>-9.0921369205448048</v>
      </c>
      <c r="N1774" s="174">
        <f t="shared" si="14"/>
        <v>15620.772727272728</v>
      </c>
      <c r="O1774" s="125">
        <f t="shared" si="17"/>
        <v>3333.6281818181815</v>
      </c>
      <c r="P1774" s="125">
        <f t="shared" si="17"/>
        <v>-8874994.3540227283</v>
      </c>
      <c r="Q1774" s="125">
        <f t="shared" si="17"/>
        <v>0</v>
      </c>
      <c r="R1774" s="125"/>
      <c r="S1774" s="125">
        <f t="shared" si="18"/>
        <v>-2607240.5592761068</v>
      </c>
      <c r="T1774" s="125">
        <f t="shared" si="18"/>
        <v>0</v>
      </c>
      <c r="U1774" s="125">
        <f t="shared" si="18"/>
        <v>3935219.1809725706</v>
      </c>
      <c r="V1774" s="125">
        <f t="shared" si="18"/>
        <v>-6.4668181818181824E-6</v>
      </c>
      <c r="W1774" s="142">
        <f t="shared" si="18"/>
        <v>75000</v>
      </c>
      <c r="X1774" s="142">
        <f t="shared" si="18"/>
        <v>2.2930946017836273</v>
      </c>
      <c r="Y1774" s="142">
        <f t="shared" si="18"/>
        <v>74756186.471945152</v>
      </c>
      <c r="Z1774" s="142">
        <f t="shared" si="18"/>
        <v>392.54508829962901</v>
      </c>
    </row>
    <row r="1775" spans="1:26">
      <c r="A1775" s="114" t="s">
        <v>259</v>
      </c>
      <c r="B1775" s="125" t="e">
        <f t="shared" ref="B1775:Q1775" si="19">AVERAGEIFS(B$3:B$1765,$A$3:$A$1765,"&gt;="&amp;DATE("20"&amp;RIGHT($A1775,2),MONTH(1&amp;MID($A1775,8,3)),1),$A$3:$A$1765,"&lt;="&amp;DATE("20"&amp;RIGHT($A1775,2),MONTH(1&amp;MID($A1775,8,3)),DAY(EOMONTH(DATE(RIGHT("20"&amp;$A1775,2),MONTH(1&amp;MID($A1775,8,3)),1),0))))</f>
        <v>#DIV/0!</v>
      </c>
      <c r="C1775" s="125" t="e">
        <f t="shared" si="19"/>
        <v>#DIV/0!</v>
      </c>
      <c r="D1775" s="125" t="e">
        <f t="shared" si="19"/>
        <v>#DIV/0!</v>
      </c>
      <c r="E1775" s="125" t="e">
        <f t="shared" si="19"/>
        <v>#DIV/0!</v>
      </c>
      <c r="F1775" s="125" t="e">
        <f t="shared" si="19"/>
        <v>#DIV/0!</v>
      </c>
      <c r="G1775" s="125" t="e">
        <f t="shared" si="19"/>
        <v>#DIV/0!</v>
      </c>
      <c r="H1775" s="125" t="e">
        <f t="shared" si="19"/>
        <v>#DIV/0!</v>
      </c>
      <c r="I1775" s="125" t="e">
        <f t="shared" si="19"/>
        <v>#DIV/0!</v>
      </c>
      <c r="J1775" s="125" t="e">
        <f t="shared" si="19"/>
        <v>#DIV/0!</v>
      </c>
      <c r="K1775" s="125" t="e">
        <f t="shared" si="19"/>
        <v>#DIV/0!</v>
      </c>
      <c r="L1775" s="125" t="e">
        <f t="shared" si="19"/>
        <v>#DIV/0!</v>
      </c>
      <c r="M1775" s="125" t="e">
        <f t="shared" si="19"/>
        <v>#DIV/0!</v>
      </c>
      <c r="N1775" s="174" t="e">
        <f t="shared" si="14"/>
        <v>#DIV/0!</v>
      </c>
      <c r="O1775" s="125" t="e">
        <f t="shared" si="19"/>
        <v>#DIV/0!</v>
      </c>
      <c r="P1775" s="125" t="e">
        <f t="shared" si="19"/>
        <v>#DIV/0!</v>
      </c>
      <c r="Q1775" s="125" t="e">
        <f t="shared" si="19"/>
        <v>#DIV/0!</v>
      </c>
      <c r="R1775" s="125"/>
      <c r="S1775" s="125" t="e">
        <f t="shared" ref="S1775:Z1775" si="20">AVERAGEIFS(S$3:S$1765,$A$3:$A$1765,"&gt;="&amp;DATE("20"&amp;RIGHT($A1775,2),MONTH(1&amp;MID($A1775,8,3)),1),$A$3:$A$1765,"&lt;="&amp;DATE("20"&amp;RIGHT($A1775,2),MONTH(1&amp;MID($A1775,8,3)),DAY(EOMONTH(DATE(RIGHT("20"&amp;$A1775,2),MONTH(1&amp;MID($A1775,8,3)),1),0))))</f>
        <v>#DIV/0!</v>
      </c>
      <c r="T1775" s="125" t="e">
        <f t="shared" si="20"/>
        <v>#DIV/0!</v>
      </c>
      <c r="U1775" s="125" t="e">
        <f t="shared" si="20"/>
        <v>#DIV/0!</v>
      </c>
      <c r="V1775" s="125" t="e">
        <f t="shared" si="20"/>
        <v>#DIV/0!</v>
      </c>
      <c r="W1775" s="142" t="e">
        <f t="shared" si="20"/>
        <v>#DIV/0!</v>
      </c>
      <c r="X1775" s="142" t="e">
        <f t="shared" si="20"/>
        <v>#DIV/0!</v>
      </c>
      <c r="Y1775" s="142" t="e">
        <f t="shared" si="20"/>
        <v>#DIV/0!</v>
      </c>
      <c r="Z1775" s="142" t="e">
        <f t="shared" si="20"/>
        <v>#DIV/0!</v>
      </c>
    </row>
    <row r="1776" spans="1:26">
      <c r="A1776" s="114" t="s">
        <v>258</v>
      </c>
      <c r="B1776" s="125">
        <f t="shared" ref="B1776:Q1776" si="21">AVERAGEIFS(B$3:B$1765,$A$3:$A$1765,"&gt;="&amp;DATE("20"&amp;RIGHT($A1776,2),MONTH(1&amp;MID($A1776,8,3)),1),$A$3:$A$1765,"&lt;="&amp;DATE("20"&amp;RIGHT($A1776,2),MONTH(1&amp;MID($A1776,8,3)),DAY(EOMONTH(DATE(RIGHT("20"&amp;$A1776,2),MONTH(1&amp;MID($A1776,8,3)),1),0))))</f>
        <v>168298207.37186107</v>
      </c>
      <c r="C1776" s="125">
        <f t="shared" si="21"/>
        <v>60631903.366911694</v>
      </c>
      <c r="D1776" s="125">
        <f t="shared" si="21"/>
        <v>66247405.177606851</v>
      </c>
      <c r="E1776" s="125">
        <f t="shared" si="21"/>
        <v>68922278.152912244</v>
      </c>
      <c r="F1776" s="125">
        <f t="shared" si="21"/>
        <v>195801586.69743079</v>
      </c>
      <c r="G1776" s="125">
        <f t="shared" si="21"/>
        <v>-2116590.9090909092</v>
      </c>
      <c r="H1776" s="125">
        <f t="shared" si="21"/>
        <v>1630.7926874084637</v>
      </c>
      <c r="I1776" s="125">
        <f t="shared" si="21"/>
        <v>968.33989783230822</v>
      </c>
      <c r="J1776" s="125">
        <f t="shared" si="21"/>
        <v>732.56539951399384</v>
      </c>
      <c r="K1776" s="125">
        <f t="shared" si="21"/>
        <v>811.15021678729306</v>
      </c>
      <c r="L1776" s="125">
        <f t="shared" si="21"/>
        <v>2512.0555141335954</v>
      </c>
      <c r="M1776" s="125">
        <f t="shared" si="21"/>
        <v>-10.568181818181818</v>
      </c>
      <c r="N1776" s="174">
        <f t="shared" si="14"/>
        <v>15594.045454545454</v>
      </c>
      <c r="O1776" s="125">
        <f t="shared" si="21"/>
        <v>3325.3590909090908</v>
      </c>
      <c r="P1776" s="125">
        <f t="shared" si="21"/>
        <v>-10078782.205363639</v>
      </c>
      <c r="Q1776" s="125">
        <f t="shared" si="21"/>
        <v>0</v>
      </c>
      <c r="R1776" s="125"/>
      <c r="S1776" s="125">
        <f t="shared" ref="S1776:Z1776" si="22">AVERAGEIFS(S$3:S$1765,$A$3:$A$1765,"&gt;="&amp;DATE("20"&amp;RIGHT($A1776,2),MONTH(1&amp;MID($A1776,8,3)),1),$A$3:$A$1765,"&lt;="&amp;DATE("20"&amp;RIGHT($A1776,2),MONTH(1&amp;MID($A1776,8,3)),DAY(EOMONTH(DATE(RIGHT("20"&amp;$A1776,2),MONTH(1&amp;MID($A1776,8,3)),1),0))))</f>
        <v>-3834216.0664579254</v>
      </c>
      <c r="T1776" s="125">
        <f t="shared" si="22"/>
        <v>0</v>
      </c>
      <c r="U1776" s="125">
        <f t="shared" si="22"/>
        <v>4737687.3066363614</v>
      </c>
      <c r="V1776" s="125">
        <f t="shared" si="22"/>
        <v>-6.1763636363636351E-6</v>
      </c>
      <c r="W1776" s="142">
        <f t="shared" si="22"/>
        <v>63636.36363636364</v>
      </c>
      <c r="X1776" s="142">
        <f t="shared" si="22"/>
        <v>4.7476053218181811</v>
      </c>
      <c r="Y1776" s="142">
        <f t="shared" si="22"/>
        <v>74298400.190725699</v>
      </c>
      <c r="Z1776" s="142">
        <f t="shared" si="22"/>
        <v>358.40446608643242</v>
      </c>
    </row>
    <row r="1777" spans="1:26">
      <c r="A1777" s="114" t="s">
        <v>257</v>
      </c>
      <c r="B1777" s="125" t="e">
        <f t="shared" ref="B1777:Q1777" si="23">AVERAGEIFS(B$3:B$1765,$A$3:$A$1765,"&gt;="&amp;DATE("20"&amp;RIGHT($A1777,2),MONTH(1&amp;MID($A1777,8,3)),1),$A$3:$A$1765,"&lt;="&amp;DATE("20"&amp;RIGHT($A1777,2),MONTH(1&amp;MID($A1777,8,3)),DAY(EOMONTH(DATE(RIGHT("20"&amp;$A1777,2),MONTH(1&amp;MID($A1777,8,3)),1),0))))</f>
        <v>#DIV/0!</v>
      </c>
      <c r="C1777" s="125" t="e">
        <f t="shared" si="23"/>
        <v>#DIV/0!</v>
      </c>
      <c r="D1777" s="125" t="e">
        <f t="shared" si="23"/>
        <v>#DIV/0!</v>
      </c>
      <c r="E1777" s="125" t="e">
        <f t="shared" si="23"/>
        <v>#DIV/0!</v>
      </c>
      <c r="F1777" s="125" t="e">
        <f t="shared" si="23"/>
        <v>#DIV/0!</v>
      </c>
      <c r="G1777" s="125" t="e">
        <f t="shared" si="23"/>
        <v>#DIV/0!</v>
      </c>
      <c r="H1777" s="125" t="e">
        <f t="shared" si="23"/>
        <v>#DIV/0!</v>
      </c>
      <c r="I1777" s="125" t="e">
        <f t="shared" si="23"/>
        <v>#DIV/0!</v>
      </c>
      <c r="J1777" s="125" t="e">
        <f t="shared" si="23"/>
        <v>#DIV/0!</v>
      </c>
      <c r="K1777" s="125" t="e">
        <f t="shared" si="23"/>
        <v>#DIV/0!</v>
      </c>
      <c r="L1777" s="125" t="e">
        <f t="shared" si="23"/>
        <v>#DIV/0!</v>
      </c>
      <c r="M1777" s="125" t="e">
        <f t="shared" si="23"/>
        <v>#DIV/0!</v>
      </c>
      <c r="N1777" s="174" t="e">
        <f t="shared" si="14"/>
        <v>#DIV/0!</v>
      </c>
      <c r="O1777" s="125" t="e">
        <f t="shared" si="23"/>
        <v>#DIV/0!</v>
      </c>
      <c r="P1777" s="125" t="e">
        <f t="shared" si="23"/>
        <v>#DIV/0!</v>
      </c>
      <c r="Q1777" s="125" t="e">
        <f t="shared" si="23"/>
        <v>#DIV/0!</v>
      </c>
      <c r="R1777" s="125"/>
      <c r="S1777" s="125" t="e">
        <f t="shared" ref="S1777:Z1777" si="24">AVERAGEIFS(S$3:S$1765,$A$3:$A$1765,"&gt;="&amp;DATE("20"&amp;RIGHT($A1777,2),MONTH(1&amp;MID($A1777,8,3)),1),$A$3:$A$1765,"&lt;="&amp;DATE("20"&amp;RIGHT($A1777,2),MONTH(1&amp;MID($A1777,8,3)),DAY(EOMONTH(DATE(RIGHT("20"&amp;$A1777,2),MONTH(1&amp;MID($A1777,8,3)),1),0))))</f>
        <v>#DIV/0!</v>
      </c>
      <c r="T1777" s="125" t="e">
        <f t="shared" si="24"/>
        <v>#DIV/0!</v>
      </c>
      <c r="U1777" s="125" t="e">
        <f t="shared" si="24"/>
        <v>#DIV/0!</v>
      </c>
      <c r="V1777" s="125" t="e">
        <f t="shared" si="24"/>
        <v>#DIV/0!</v>
      </c>
      <c r="W1777" s="142" t="e">
        <f t="shared" si="24"/>
        <v>#DIV/0!</v>
      </c>
      <c r="X1777" s="142" t="e">
        <f t="shared" si="24"/>
        <v>#DIV/0!</v>
      </c>
      <c r="Y1777" s="142" t="e">
        <f t="shared" si="24"/>
        <v>#DIV/0!</v>
      </c>
      <c r="Z1777" s="142" t="e">
        <f t="shared" si="24"/>
        <v>#DIV/0!</v>
      </c>
    </row>
    <row r="1778" spans="1:26">
      <c r="A1778" s="114" t="s">
        <v>251</v>
      </c>
      <c r="B1778" s="125">
        <f t="shared" ref="B1778:Q1778" si="25">AVERAGEIFS(B$3:B$1765,$A$3:$A$1765,"&gt;="&amp;DATE("20"&amp;RIGHT($A1778,2),MONTH(1&amp;MID($A1778,8,3)),1),$A$3:$A$1765,"&lt;="&amp;DATE("20"&amp;RIGHT($A1778,2),MONTH(1&amp;MID($A1778,8,3)),DAY(EOMONTH(DATE(RIGHT("20"&amp;$A1778,2),MONTH(1&amp;MID($A1778,8,3)),1),0))))</f>
        <v>168549835.84792778</v>
      </c>
      <c r="C1778" s="125">
        <f t="shared" si="25"/>
        <v>60949984.404747397</v>
      </c>
      <c r="D1778" s="125">
        <f t="shared" si="25"/>
        <v>68623695.342567712</v>
      </c>
      <c r="E1778" s="125">
        <f t="shared" si="25"/>
        <v>68639196.6227936</v>
      </c>
      <c r="F1778" s="125">
        <f t="shared" si="25"/>
        <v>198212876.37010869</v>
      </c>
      <c r="G1778" s="125">
        <f t="shared" si="25"/>
        <v>-667142.85714285716</v>
      </c>
      <c r="H1778" s="125">
        <f t="shared" si="25"/>
        <v>1594.7854801622705</v>
      </c>
      <c r="I1778" s="125">
        <f t="shared" si="25"/>
        <v>1020.5792085407041</v>
      </c>
      <c r="J1778" s="125">
        <f t="shared" si="25"/>
        <v>691.48668214774739</v>
      </c>
      <c r="K1778" s="125">
        <f t="shared" si="25"/>
        <v>771.36273879475357</v>
      </c>
      <c r="L1778" s="125">
        <f t="shared" si="25"/>
        <v>2483.4286294832045</v>
      </c>
      <c r="M1778" s="125">
        <f t="shared" si="25"/>
        <v>-12.380952380952381</v>
      </c>
      <c r="N1778" s="174">
        <f t="shared" si="14"/>
        <v>15363.333333333334</v>
      </c>
      <c r="O1778" s="125">
        <f t="shared" si="25"/>
        <v>3282.2778571428566</v>
      </c>
      <c r="P1778" s="125">
        <f t="shared" si="25"/>
        <v>-7814811.0846428592</v>
      </c>
      <c r="Q1778" s="125">
        <f t="shared" si="25"/>
        <v>0</v>
      </c>
      <c r="R1778" s="125"/>
      <c r="S1778" s="125">
        <f t="shared" ref="S1778:Z1778" si="26">AVERAGEIFS(S$3:S$1765,$A$3:$A$1765,"&gt;="&amp;DATE("20"&amp;RIGHT($A1778,2),MONTH(1&amp;MID($A1778,8,3)),1),$A$3:$A$1765,"&lt;="&amp;DATE("20"&amp;RIGHT($A1778,2),MONTH(1&amp;MID($A1778,8,3)),DAY(EOMONTH(DATE(RIGHT("20"&amp;$A1778,2),MONTH(1&amp;MID($A1778,8,3)),1),0))))</f>
        <v>-8064743.7357176645</v>
      </c>
      <c r="T1778" s="125">
        <f t="shared" si="26"/>
        <v>0</v>
      </c>
      <c r="U1778" s="125">
        <f t="shared" si="26"/>
        <v>5086602.9680952383</v>
      </c>
      <c r="V1778" s="125">
        <f t="shared" si="26"/>
        <v>-3.871428571428571E-6</v>
      </c>
      <c r="W1778" s="142">
        <f t="shared" si="26"/>
        <v>0</v>
      </c>
      <c r="X1778" s="142">
        <f t="shared" si="26"/>
        <v>22.568956768177429</v>
      </c>
      <c r="Y1778" s="142">
        <f t="shared" si="26"/>
        <v>75276350.254212365</v>
      </c>
      <c r="Z1778" s="142">
        <f t="shared" si="26"/>
        <v>358.44452770295607</v>
      </c>
    </row>
    <row r="1779" spans="1:26">
      <c r="A1779" s="114" t="s">
        <v>250</v>
      </c>
      <c r="B1779" s="125" t="e">
        <f t="shared" ref="B1779:Q1779" si="27">AVERAGEIFS(B$3:B$1765,$A$3:$A$1765,"&gt;="&amp;DATE("20"&amp;RIGHT($A1779,2),MONTH(1&amp;MID($A1779,8,3)),1),$A$3:$A$1765,"&lt;="&amp;DATE("20"&amp;RIGHT($A1779,2),MONTH(1&amp;MID($A1779,8,3)),DAY(EOMONTH(DATE(RIGHT("20"&amp;$A1779,2),MONTH(1&amp;MID($A1779,8,3)),1),0))))</f>
        <v>#DIV/0!</v>
      </c>
      <c r="C1779" s="125" t="e">
        <f t="shared" si="27"/>
        <v>#DIV/0!</v>
      </c>
      <c r="D1779" s="125" t="e">
        <f t="shared" si="27"/>
        <v>#DIV/0!</v>
      </c>
      <c r="E1779" s="125" t="e">
        <f t="shared" si="27"/>
        <v>#DIV/0!</v>
      </c>
      <c r="F1779" s="125" t="e">
        <f t="shared" si="27"/>
        <v>#DIV/0!</v>
      </c>
      <c r="G1779" s="125" t="e">
        <f t="shared" si="27"/>
        <v>#DIV/0!</v>
      </c>
      <c r="H1779" s="125" t="e">
        <f t="shared" si="27"/>
        <v>#DIV/0!</v>
      </c>
      <c r="I1779" s="125" t="e">
        <f t="shared" si="27"/>
        <v>#DIV/0!</v>
      </c>
      <c r="J1779" s="125" t="e">
        <f t="shared" si="27"/>
        <v>#DIV/0!</v>
      </c>
      <c r="K1779" s="125" t="e">
        <f t="shared" si="27"/>
        <v>#DIV/0!</v>
      </c>
      <c r="L1779" s="125" t="e">
        <f t="shared" si="27"/>
        <v>#DIV/0!</v>
      </c>
      <c r="M1779" s="125" t="e">
        <f t="shared" si="27"/>
        <v>#DIV/0!</v>
      </c>
      <c r="N1779" s="174" t="e">
        <f t="shared" si="14"/>
        <v>#DIV/0!</v>
      </c>
      <c r="O1779" s="125" t="e">
        <f t="shared" si="27"/>
        <v>#DIV/0!</v>
      </c>
      <c r="P1779" s="125" t="e">
        <f t="shared" si="27"/>
        <v>#DIV/0!</v>
      </c>
      <c r="Q1779" s="125" t="e">
        <f t="shared" si="27"/>
        <v>#DIV/0!</v>
      </c>
      <c r="R1779" s="125"/>
      <c r="S1779" s="125" t="e">
        <f t="shared" ref="S1779:Z1779" si="28">AVERAGEIFS(S$3:S$1765,$A$3:$A$1765,"&gt;="&amp;DATE("20"&amp;RIGHT($A1779,2),MONTH(1&amp;MID($A1779,8,3)),1),$A$3:$A$1765,"&lt;="&amp;DATE("20"&amp;RIGHT($A1779,2),MONTH(1&amp;MID($A1779,8,3)),DAY(EOMONTH(DATE(RIGHT("20"&amp;$A1779,2),MONTH(1&amp;MID($A1779,8,3)),1),0))))</f>
        <v>#DIV/0!</v>
      </c>
      <c r="T1779" s="125" t="e">
        <f t="shared" si="28"/>
        <v>#DIV/0!</v>
      </c>
      <c r="U1779" s="125" t="e">
        <f t="shared" si="28"/>
        <v>#DIV/0!</v>
      </c>
      <c r="V1779" s="125" t="e">
        <f t="shared" si="28"/>
        <v>#DIV/0!</v>
      </c>
      <c r="W1779" s="142" t="e">
        <f t="shared" si="28"/>
        <v>#DIV/0!</v>
      </c>
      <c r="X1779" s="142" t="e">
        <f t="shared" si="28"/>
        <v>#DIV/0!</v>
      </c>
      <c r="Y1779" s="142" t="e">
        <f t="shared" si="28"/>
        <v>#DIV/0!</v>
      </c>
      <c r="Z1779" s="142" t="e">
        <f t="shared" si="28"/>
        <v>#DIV/0!</v>
      </c>
    </row>
    <row r="1780" spans="1:26">
      <c r="A1780" s="114" t="s">
        <v>249</v>
      </c>
      <c r="B1780" s="125">
        <f t="shared" ref="B1780:M1781" si="29">AVERAGEIFS(B$3:B$1765,$A$3:$A$1765,"&gt;="&amp;DATE("20"&amp;RIGHT($A1780,2),MONTH(1&amp;MID($A1780,8,3)),1),$A$3:$A$1765,"&lt;="&amp;DATE("20"&amp;RIGHT($A1780,2),MONTH(1&amp;MID($A1780,8,3)),DAY(EOMONTH(DATE(RIGHT("20"&amp;$A1780,2),MONTH(1&amp;MID($A1780,8,3)),1),0))))</f>
        <v>169445921.9622775</v>
      </c>
      <c r="C1780" s="125">
        <f t="shared" si="29"/>
        <v>61842958.723355487</v>
      </c>
      <c r="D1780" s="125">
        <f t="shared" si="29"/>
        <v>70175163.950917915</v>
      </c>
      <c r="E1780" s="125">
        <f t="shared" si="29"/>
        <v>72420931.702515632</v>
      </c>
      <c r="F1780" s="125">
        <f t="shared" si="29"/>
        <v>204439054.37678906</v>
      </c>
      <c r="G1780" s="125">
        <f t="shared" si="29"/>
        <v>-209750</v>
      </c>
      <c r="H1780" s="125">
        <f t="shared" si="29"/>
        <v>1604.3588073322398</v>
      </c>
      <c r="I1780" s="125">
        <f t="shared" si="29"/>
        <v>967.2941503935001</v>
      </c>
      <c r="J1780" s="125">
        <f t="shared" si="29"/>
        <v>623.50215710779048</v>
      </c>
      <c r="K1780" s="125">
        <f t="shared" si="29"/>
        <v>737.32562393865453</v>
      </c>
      <c r="L1780" s="125">
        <f t="shared" si="29"/>
        <v>2328.1219314399455</v>
      </c>
      <c r="M1780" s="125">
        <f t="shared" si="29"/>
        <v>-22.5</v>
      </c>
      <c r="N1780" s="174">
        <f t="shared" si="14"/>
        <v>15038.424999999999</v>
      </c>
      <c r="O1780" s="125">
        <f t="shared" ref="O1780:Q1781" si="30">AVERAGEIFS(O$3:O$1765,$A$3:$A$1765,"&gt;="&amp;DATE("20"&amp;RIGHT($A1780,2),MONTH(1&amp;MID($A1780,8,3)),1),$A$3:$A$1765,"&lt;="&amp;DATE("20"&amp;RIGHT($A1780,2),MONTH(1&amp;MID($A1780,8,3)),DAY(EOMONTH(DATE(RIGHT("20"&amp;$A1780,2),MONTH(1&amp;MID($A1780,8,3)),1),0))))</f>
        <v>3116.61375</v>
      </c>
      <c r="P1780" s="125">
        <f t="shared" si="30"/>
        <v>-4853591.7709999997</v>
      </c>
      <c r="Q1780" s="125">
        <f t="shared" si="30"/>
        <v>-78865.328738827986</v>
      </c>
      <c r="R1780" s="125"/>
      <c r="S1780" s="125">
        <f t="shared" ref="S1780:Z1781" si="31">AVERAGEIFS(S$3:S$1765,$A$3:$A$1765,"&gt;="&amp;DATE("20"&amp;RIGHT($A1780,2),MONTH(1&amp;MID($A1780,8,3)),1),$A$3:$A$1765,"&lt;="&amp;DATE("20"&amp;RIGHT($A1780,2),MONTH(1&amp;MID($A1780,8,3)),DAY(EOMONTH(DATE(RIGHT("20"&amp;$A1780,2),MONTH(1&amp;MID($A1780,8,3)),1),0))))</f>
        <v>-6015811.3675033813</v>
      </c>
      <c r="T1780" s="125">
        <f t="shared" si="31"/>
        <v>0</v>
      </c>
      <c r="U1780" s="125">
        <f t="shared" si="31"/>
        <v>5527630.7480000015</v>
      </c>
      <c r="V1780" s="125">
        <f t="shared" si="31"/>
        <v>-6.2150000000000011E-7</v>
      </c>
      <c r="W1780" s="142">
        <f t="shared" si="31"/>
        <v>10000</v>
      </c>
      <c r="X1780" s="142">
        <f t="shared" si="31"/>
        <v>5.5239456569108434</v>
      </c>
      <c r="Y1780" s="142">
        <f t="shared" si="31"/>
        <v>72412817.027104676</v>
      </c>
      <c r="Z1780" s="142">
        <f t="shared" si="31"/>
        <v>320.52665287810851</v>
      </c>
    </row>
    <row r="1781" spans="1:26">
      <c r="A1781" s="114" t="s">
        <v>244</v>
      </c>
      <c r="B1781" s="125">
        <f t="shared" si="29"/>
        <v>171206050.30879116</v>
      </c>
      <c r="C1781" s="125">
        <f t="shared" si="29"/>
        <v>58723988.057049207</v>
      </c>
      <c r="D1781" s="125">
        <f t="shared" si="29"/>
        <v>69514454.039747417</v>
      </c>
      <c r="E1781" s="125">
        <f t="shared" si="29"/>
        <v>77917136.19192344</v>
      </c>
      <c r="F1781" s="125">
        <f t="shared" si="29"/>
        <v>206155578.28872004</v>
      </c>
      <c r="G1781" s="125">
        <f t="shared" si="29"/>
        <v>-377833.33333333331</v>
      </c>
      <c r="H1781" s="125">
        <f t="shared" si="29"/>
        <v>1607.5263443089514</v>
      </c>
      <c r="I1781" s="125">
        <f t="shared" si="29"/>
        <v>986.58511654329436</v>
      </c>
      <c r="J1781" s="125">
        <f t="shared" si="29"/>
        <v>624.71013468508602</v>
      </c>
      <c r="K1781" s="125">
        <f t="shared" si="29"/>
        <v>771.80051614993397</v>
      </c>
      <c r="L1781" s="125">
        <f t="shared" si="29"/>
        <v>2383.0957673783141</v>
      </c>
      <c r="M1781" s="125">
        <f t="shared" si="29"/>
        <v>0</v>
      </c>
      <c r="N1781" s="174">
        <f t="shared" si="14"/>
        <v>14929.777777777777</v>
      </c>
      <c r="O1781" s="125">
        <f t="shared" si="30"/>
        <v>3051.0516666666672</v>
      </c>
      <c r="P1781" s="125">
        <f t="shared" si="30"/>
        <v>-3692872.8325555557</v>
      </c>
      <c r="Q1781" s="125">
        <f t="shared" si="30"/>
        <v>-15217.929371708331</v>
      </c>
      <c r="R1781" s="125"/>
      <c r="S1781" s="125">
        <f t="shared" si="31"/>
        <v>-5302511.0777811594</v>
      </c>
      <c r="T1781" s="125">
        <f t="shared" si="31"/>
        <v>0</v>
      </c>
      <c r="U1781" s="125">
        <f t="shared" si="31"/>
        <v>6895597.5476111118</v>
      </c>
      <c r="V1781" s="125">
        <f t="shared" si="31"/>
        <v>4.6388888888888886E-7</v>
      </c>
      <c r="W1781" s="142">
        <f t="shared" si="31"/>
        <v>11111.111111111111</v>
      </c>
      <c r="X1781" s="142">
        <f t="shared" si="31"/>
        <v>3.6213426955555539</v>
      </c>
      <c r="Y1781" s="142">
        <f t="shared" si="31"/>
        <v>67847312.102034763</v>
      </c>
      <c r="Z1781" s="142">
        <f t="shared" si="31"/>
        <v>289.41727250107118</v>
      </c>
    </row>
    <row r="1782" spans="1:26">
      <c r="A1782" s="114" t="s">
        <v>232</v>
      </c>
      <c r="B1782" s="125" t="e">
        <f t="shared" ref="B1782:Q1782" si="32">AVERAGEIFS(B$3:B$1765,$A$3:$A$1765,"&gt;="&amp;DATE("20"&amp;RIGHT($A1782,2),MONTH(1&amp;MID($A1782,8,3)),1),$A$3:$A$1765,"&lt;="&amp;DATE("20"&amp;RIGHT($A1782,2),MONTH(1&amp;MID($A1782,8,3)),DAY(EOMONTH(DATE(RIGHT("20"&amp;$A1782,2),MONTH(1&amp;MID($A1782,8,3)),1),0))))</f>
        <v>#DIV/0!</v>
      </c>
      <c r="C1782" s="125" t="e">
        <f t="shared" si="32"/>
        <v>#DIV/0!</v>
      </c>
      <c r="D1782" s="125" t="e">
        <f t="shared" si="32"/>
        <v>#DIV/0!</v>
      </c>
      <c r="E1782" s="125" t="e">
        <f t="shared" si="32"/>
        <v>#DIV/0!</v>
      </c>
      <c r="F1782" s="125" t="e">
        <f t="shared" si="32"/>
        <v>#DIV/0!</v>
      </c>
      <c r="G1782" s="125" t="e">
        <f t="shared" si="32"/>
        <v>#DIV/0!</v>
      </c>
      <c r="H1782" s="125" t="e">
        <f t="shared" si="32"/>
        <v>#DIV/0!</v>
      </c>
      <c r="I1782" s="125" t="e">
        <f t="shared" si="32"/>
        <v>#DIV/0!</v>
      </c>
      <c r="J1782" s="125" t="e">
        <f t="shared" si="32"/>
        <v>#DIV/0!</v>
      </c>
      <c r="K1782" s="125" t="e">
        <f t="shared" si="32"/>
        <v>#DIV/0!</v>
      </c>
      <c r="L1782" s="125" t="e">
        <f t="shared" si="32"/>
        <v>#DIV/0!</v>
      </c>
      <c r="M1782" s="125" t="e">
        <f t="shared" si="32"/>
        <v>#DIV/0!</v>
      </c>
      <c r="N1782" s="174" t="e">
        <f t="shared" si="14"/>
        <v>#DIV/0!</v>
      </c>
      <c r="O1782" s="125" t="e">
        <f t="shared" si="32"/>
        <v>#DIV/0!</v>
      </c>
      <c r="P1782" s="125" t="e">
        <f t="shared" si="32"/>
        <v>#DIV/0!</v>
      </c>
      <c r="Q1782" s="125" t="e">
        <f t="shared" si="32"/>
        <v>#DIV/0!</v>
      </c>
      <c r="R1782" s="125"/>
      <c r="S1782" s="125" t="e">
        <f t="shared" ref="S1782:Z1782" si="33">AVERAGEIFS(S$3:S$1765,$A$3:$A$1765,"&gt;="&amp;DATE("20"&amp;RIGHT($A1782,2),MONTH(1&amp;MID($A1782,8,3)),1),$A$3:$A$1765,"&lt;="&amp;DATE("20"&amp;RIGHT($A1782,2),MONTH(1&amp;MID($A1782,8,3)),DAY(EOMONTH(DATE(RIGHT("20"&amp;$A1782,2),MONTH(1&amp;MID($A1782,8,3)),1),0))))</f>
        <v>#DIV/0!</v>
      </c>
      <c r="T1782" s="125" t="e">
        <f t="shared" si="33"/>
        <v>#DIV/0!</v>
      </c>
      <c r="U1782" s="125" t="e">
        <f t="shared" si="33"/>
        <v>#DIV/0!</v>
      </c>
      <c r="V1782" s="125" t="e">
        <f t="shared" si="33"/>
        <v>#DIV/0!</v>
      </c>
      <c r="W1782" s="142" t="e">
        <f t="shared" si="33"/>
        <v>#DIV/0!</v>
      </c>
      <c r="X1782" s="142" t="e">
        <f t="shared" si="33"/>
        <v>#DIV/0!</v>
      </c>
      <c r="Y1782" s="142" t="e">
        <f t="shared" si="33"/>
        <v>#DIV/0!</v>
      </c>
      <c r="Z1782" s="142" t="e">
        <f t="shared" si="33"/>
        <v>#DIV/0!</v>
      </c>
    </row>
    <row r="1783" spans="1:26">
      <c r="A1783" s="114" t="s">
        <v>231</v>
      </c>
      <c r="B1783" s="125">
        <f t="shared" ref="B1783:M1786" si="34">AVERAGEIFS(B$3:B$1765,$A$3:$A$1765,"&gt;="&amp;DATE("20"&amp;RIGHT($A1783,2),MONTH(1&amp;MID($A1783,8,3)),1),$A$3:$A$1765,"&lt;="&amp;DATE("20"&amp;RIGHT($A1783,2),MONTH(1&amp;MID($A1783,8,3)),DAY(EOMONTH(DATE(RIGHT("20"&amp;$A1783,2),MONTH(1&amp;MID($A1783,8,3)),1),0))))</f>
        <v>168068037.22943825</v>
      </c>
      <c r="C1783" s="125">
        <f t="shared" si="34"/>
        <v>56328554.171460442</v>
      </c>
      <c r="D1783" s="125">
        <f t="shared" si="34"/>
        <v>67662159.368572876</v>
      </c>
      <c r="E1783" s="125">
        <f t="shared" si="34"/>
        <v>77829882.167078152</v>
      </c>
      <c r="F1783" s="125">
        <f t="shared" si="34"/>
        <v>201820595.70711148</v>
      </c>
      <c r="G1783" s="125">
        <f t="shared" si="34"/>
        <v>0</v>
      </c>
      <c r="H1783" s="125">
        <f t="shared" si="34"/>
        <v>1557.3363586673888</v>
      </c>
      <c r="I1783" s="125">
        <f t="shared" si="34"/>
        <v>977.94850016327143</v>
      </c>
      <c r="J1783" s="125">
        <f t="shared" si="34"/>
        <v>618.68208073496623</v>
      </c>
      <c r="K1783" s="125">
        <f t="shared" si="34"/>
        <v>1133.7822349250921</v>
      </c>
      <c r="L1783" s="125">
        <f t="shared" si="34"/>
        <v>2730.4128158233298</v>
      </c>
      <c r="M1783" s="125">
        <f t="shared" si="34"/>
        <v>0</v>
      </c>
      <c r="N1783" s="174">
        <f t="shared" si="14"/>
        <v>14822.3</v>
      </c>
      <c r="O1783" s="125">
        <f t="shared" ref="O1783:Q1786" si="35">AVERAGEIFS(O$3:O$1765,$A$3:$A$1765,"&gt;="&amp;DATE("20"&amp;RIGHT($A1783,2),MONTH(1&amp;MID($A1783,8,3)),1),$A$3:$A$1765,"&lt;="&amp;DATE("20"&amp;RIGHT($A1783,2),MONTH(1&amp;MID($A1783,8,3)),DAY(EOMONTH(DATE(RIGHT("20"&amp;$A1783,2),MONTH(1&amp;MID($A1783,8,3)),1),0))))</f>
        <v>3350.7490000000003</v>
      </c>
      <c r="P1783" s="125">
        <f t="shared" si="35"/>
        <v>-763153.05120000022</v>
      </c>
      <c r="Q1783" s="125">
        <f t="shared" si="35"/>
        <v>0</v>
      </c>
      <c r="R1783" s="125"/>
      <c r="S1783" s="125">
        <f t="shared" ref="S1783:Z1786" si="36">AVERAGEIFS(S$3:S$1765,$A$3:$A$1765,"&gt;="&amp;DATE("20"&amp;RIGHT($A1783,2),MONTH(1&amp;MID($A1783,8,3)),1),$A$3:$A$1765,"&lt;="&amp;DATE("20"&amp;RIGHT($A1783,2),MONTH(1&amp;MID($A1783,8,3)),DAY(EOMONTH(DATE(RIGHT("20"&amp;$A1783,2),MONTH(1&amp;MID($A1783,8,3)),1),0))))</f>
        <v>-6926076.5300033791</v>
      </c>
      <c r="T1783" s="125">
        <f t="shared" si="36"/>
        <v>0</v>
      </c>
      <c r="U1783" s="125">
        <f t="shared" si="36"/>
        <v>5410848.0766666653</v>
      </c>
      <c r="V1783" s="125">
        <f t="shared" si="36"/>
        <v>1.5453333333333335E-6</v>
      </c>
      <c r="W1783" s="142">
        <f t="shared" si="36"/>
        <v>0</v>
      </c>
      <c r="X1783" s="142">
        <f t="shared" si="36"/>
        <v>6.5657870856325786</v>
      </c>
      <c r="Y1783" s="142">
        <f t="shared" si="36"/>
        <v>66564073.847400539</v>
      </c>
      <c r="Z1783" s="142">
        <f t="shared" si="36"/>
        <v>269.72580767260575</v>
      </c>
    </row>
    <row r="1784" spans="1:26">
      <c r="A1784" s="114" t="s">
        <v>225</v>
      </c>
      <c r="B1784" s="125">
        <f t="shared" si="34"/>
        <v>167655945.52151388</v>
      </c>
      <c r="C1784" s="125">
        <f t="shared" si="34"/>
        <v>56879532.701207839</v>
      </c>
      <c r="D1784" s="125">
        <f t="shared" si="34"/>
        <v>66702102.541701011</v>
      </c>
      <c r="E1784" s="125">
        <f t="shared" si="34"/>
        <v>75743360.114301905</v>
      </c>
      <c r="F1784" s="125">
        <f t="shared" si="34"/>
        <v>199324995.35721076</v>
      </c>
      <c r="G1784" s="125">
        <f t="shared" si="34"/>
        <v>0</v>
      </c>
      <c r="H1784" s="125">
        <f t="shared" si="34"/>
        <v>1569.1813957231893</v>
      </c>
      <c r="I1784" s="125">
        <f t="shared" si="34"/>
        <v>983.46962152036474</v>
      </c>
      <c r="J1784" s="125">
        <f t="shared" si="34"/>
        <v>596.40517866582911</v>
      </c>
      <c r="K1784" s="125">
        <f t="shared" si="34"/>
        <v>1121.1590225845594</v>
      </c>
      <c r="L1784" s="125">
        <f t="shared" si="34"/>
        <v>2701.0338227707534</v>
      </c>
      <c r="M1784" s="125">
        <f t="shared" si="34"/>
        <v>0</v>
      </c>
      <c r="N1784" s="174">
        <f t="shared" si="14"/>
        <v>15277.285714285714</v>
      </c>
      <c r="O1784" s="125">
        <f t="shared" si="35"/>
        <v>3418.5683333333332</v>
      </c>
      <c r="P1784" s="125">
        <f t="shared" si="35"/>
        <v>-2584808.8264047625</v>
      </c>
      <c r="Q1784" s="125">
        <f t="shared" si="35"/>
        <v>0</v>
      </c>
      <c r="R1784" s="125"/>
      <c r="S1784" s="125">
        <f t="shared" si="36"/>
        <v>-4311591.0329322042</v>
      </c>
      <c r="T1784" s="125">
        <f t="shared" si="36"/>
        <v>0</v>
      </c>
      <c r="U1784" s="125">
        <f t="shared" si="36"/>
        <v>5356495.2519523827</v>
      </c>
      <c r="V1784" s="125">
        <f t="shared" si="36"/>
        <v>-3.0033333333333344E-6</v>
      </c>
      <c r="W1784" s="142">
        <f t="shared" si="36"/>
        <v>35714.285714285717</v>
      </c>
      <c r="X1784" s="142">
        <f t="shared" si="36"/>
        <v>6.2046173123818944</v>
      </c>
      <c r="Y1784" s="142">
        <f t="shared" si="36"/>
        <v>63324049.078225523</v>
      </c>
      <c r="Z1784" s="142">
        <f t="shared" si="36"/>
        <v>274.87884914705199</v>
      </c>
    </row>
    <row r="1785" spans="1:26">
      <c r="A1785" s="114" t="s">
        <v>224</v>
      </c>
      <c r="B1785" s="125">
        <f t="shared" si="34"/>
        <v>166338184.69583362</v>
      </c>
      <c r="C1785" s="125">
        <f t="shared" si="34"/>
        <v>59594081.42611368</v>
      </c>
      <c r="D1785" s="125">
        <f t="shared" si="34"/>
        <v>66132000.28454946</v>
      </c>
      <c r="E1785" s="125">
        <f t="shared" si="34"/>
        <v>71022888.444808289</v>
      </c>
      <c r="F1785" s="125">
        <f t="shared" si="34"/>
        <v>196748970.15547144</v>
      </c>
      <c r="G1785" s="125">
        <f t="shared" si="34"/>
        <v>-75000.000000000495</v>
      </c>
      <c r="H1785" s="125">
        <f t="shared" si="34"/>
        <v>1624.8488011862214</v>
      </c>
      <c r="I1785" s="125">
        <f t="shared" si="34"/>
        <v>999.09228031561065</v>
      </c>
      <c r="J1785" s="125">
        <f t="shared" si="34"/>
        <v>597.47865625892632</v>
      </c>
      <c r="K1785" s="125">
        <f t="shared" si="34"/>
        <v>1085.0246254701601</v>
      </c>
      <c r="L1785" s="125">
        <f t="shared" si="34"/>
        <v>2681.5955620446975</v>
      </c>
      <c r="M1785" s="125">
        <f t="shared" si="34"/>
        <v>0</v>
      </c>
      <c r="N1785" s="174">
        <f t="shared" si="14"/>
        <v>15133.85</v>
      </c>
      <c r="O1785" s="125">
        <f t="shared" si="35"/>
        <v>3466.1377499999994</v>
      </c>
      <c r="P1785" s="125">
        <f t="shared" si="35"/>
        <v>-905444.06976665114</v>
      </c>
      <c r="Q1785" s="125">
        <f t="shared" si="35"/>
        <v>0</v>
      </c>
      <c r="R1785" s="125"/>
      <c r="S1785" s="125">
        <f t="shared" si="36"/>
        <v>-5951655.602309227</v>
      </c>
      <c r="T1785" s="125">
        <f t="shared" si="36"/>
        <v>0</v>
      </c>
      <c r="U1785" s="125">
        <f t="shared" si="36"/>
        <v>6390389.7891499978</v>
      </c>
      <c r="V1785" s="125">
        <f t="shared" si="36"/>
        <v>-1.5660000000000003E-6</v>
      </c>
      <c r="W1785" s="142">
        <f t="shared" si="36"/>
        <v>0</v>
      </c>
      <c r="X1785" s="142">
        <f t="shared" si="36"/>
        <v>6.4567879342629668</v>
      </c>
      <c r="Y1785" s="142">
        <f t="shared" si="36"/>
        <v>61089878.724739052</v>
      </c>
      <c r="Z1785" s="142">
        <f t="shared" si="36"/>
        <v>387.51558875108867</v>
      </c>
    </row>
    <row r="1786" spans="1:26">
      <c r="A1786" s="114" t="s">
        <v>223</v>
      </c>
      <c r="B1786" s="125">
        <f t="shared" si="34"/>
        <v>165290394.22257262</v>
      </c>
      <c r="C1786" s="125">
        <f t="shared" si="34"/>
        <v>59705412.473450288</v>
      </c>
      <c r="D1786" s="125">
        <f t="shared" si="34"/>
        <v>65366622.962678365</v>
      </c>
      <c r="E1786" s="125">
        <f t="shared" si="34"/>
        <v>65852182.350107238</v>
      </c>
      <c r="F1786" s="125">
        <f t="shared" si="34"/>
        <v>190924217.7862359</v>
      </c>
      <c r="G1786" s="125">
        <f t="shared" si="34"/>
        <v>-680000</v>
      </c>
      <c r="H1786" s="125">
        <f t="shared" si="34"/>
        <v>1633.8770723628529</v>
      </c>
      <c r="I1786" s="125">
        <f t="shared" si="34"/>
        <v>996.15231544407743</v>
      </c>
      <c r="J1786" s="125">
        <f t="shared" si="34"/>
        <v>586.1360707173302</v>
      </c>
      <c r="K1786" s="125">
        <f t="shared" si="34"/>
        <v>970.68712720312567</v>
      </c>
      <c r="L1786" s="125">
        <f t="shared" si="34"/>
        <v>2552.9755133645335</v>
      </c>
      <c r="M1786" s="125">
        <f t="shared" si="34"/>
        <v>-0.82276844910868485</v>
      </c>
      <c r="N1786" s="174">
        <f t="shared" si="14"/>
        <v>15253.523809523809</v>
      </c>
      <c r="O1786" s="125">
        <f t="shared" si="35"/>
        <v>3522.3190476190475</v>
      </c>
      <c r="P1786" s="125">
        <f t="shared" si="35"/>
        <v>-288084.72285714286</v>
      </c>
      <c r="Q1786" s="125">
        <f t="shared" si="35"/>
        <v>0</v>
      </c>
      <c r="R1786" s="125"/>
      <c r="S1786" s="125">
        <f t="shared" si="36"/>
        <v>-5068565.5843539732</v>
      </c>
      <c r="T1786" s="125">
        <f t="shared" si="36"/>
        <v>0</v>
      </c>
      <c r="U1786" s="125">
        <f t="shared" si="36"/>
        <v>4304247.6308571426</v>
      </c>
      <c r="V1786" s="125">
        <f t="shared" si="36"/>
        <v>-2.7571428571428574E-6</v>
      </c>
      <c r="W1786" s="142">
        <f t="shared" si="36"/>
        <v>0</v>
      </c>
      <c r="X1786" s="142">
        <f t="shared" si="36"/>
        <v>9.8782881656989421</v>
      </c>
      <c r="Y1786" s="142">
        <f t="shared" si="36"/>
        <v>59870468.121380478</v>
      </c>
      <c r="Z1786" s="142">
        <f t="shared" si="36"/>
        <v>382.78877665016074</v>
      </c>
    </row>
    <row r="1787" spans="1:26">
      <c r="A1787" s="114" t="s">
        <v>219</v>
      </c>
      <c r="B1787" s="125" t="e">
        <f t="shared" ref="B1787:Q1787" si="37">AVERAGEIFS(B$3:B$1765,$A$3:$A$1765,"&gt;="&amp;DATE("20"&amp;RIGHT($A1787,2),MONTH(1&amp;MID($A1787,8,3)),1),$A$3:$A$1765,"&lt;="&amp;DATE("20"&amp;RIGHT($A1787,2),MONTH(1&amp;MID($A1787,8,3)),DAY(EOMONTH(DATE(RIGHT("20"&amp;$A1787,2),MONTH(1&amp;MID($A1787,8,3)),1),0))))</f>
        <v>#DIV/0!</v>
      </c>
      <c r="C1787" s="125" t="e">
        <f t="shared" si="37"/>
        <v>#DIV/0!</v>
      </c>
      <c r="D1787" s="125" t="e">
        <f t="shared" si="37"/>
        <v>#DIV/0!</v>
      </c>
      <c r="E1787" s="125" t="e">
        <f t="shared" si="37"/>
        <v>#DIV/0!</v>
      </c>
      <c r="F1787" s="125" t="e">
        <f t="shared" si="37"/>
        <v>#DIV/0!</v>
      </c>
      <c r="G1787" s="125" t="e">
        <f t="shared" si="37"/>
        <v>#DIV/0!</v>
      </c>
      <c r="H1787" s="125" t="e">
        <f t="shared" si="37"/>
        <v>#DIV/0!</v>
      </c>
      <c r="I1787" s="125" t="e">
        <f t="shared" si="37"/>
        <v>#DIV/0!</v>
      </c>
      <c r="J1787" s="125" t="e">
        <f t="shared" si="37"/>
        <v>#DIV/0!</v>
      </c>
      <c r="K1787" s="125" t="e">
        <f t="shared" si="37"/>
        <v>#DIV/0!</v>
      </c>
      <c r="L1787" s="125" t="e">
        <f t="shared" si="37"/>
        <v>#DIV/0!</v>
      </c>
      <c r="M1787" s="125" t="e">
        <f t="shared" si="37"/>
        <v>#DIV/0!</v>
      </c>
      <c r="N1787" s="174" t="e">
        <f t="shared" si="14"/>
        <v>#DIV/0!</v>
      </c>
      <c r="O1787" s="125" t="e">
        <f t="shared" si="37"/>
        <v>#DIV/0!</v>
      </c>
      <c r="P1787" s="125" t="e">
        <f t="shared" si="37"/>
        <v>#DIV/0!</v>
      </c>
      <c r="Q1787" s="125" t="e">
        <f t="shared" si="37"/>
        <v>#DIV/0!</v>
      </c>
      <c r="R1787" s="125"/>
      <c r="S1787" s="125" t="e">
        <f t="shared" ref="S1787:Z1787" si="38">AVERAGEIFS(S$3:S$1765,$A$3:$A$1765,"&gt;="&amp;DATE("20"&amp;RIGHT($A1787,2),MONTH(1&amp;MID($A1787,8,3)),1),$A$3:$A$1765,"&lt;="&amp;DATE("20"&amp;RIGHT($A1787,2),MONTH(1&amp;MID($A1787,8,3)),DAY(EOMONTH(DATE(RIGHT("20"&amp;$A1787,2),MONTH(1&amp;MID($A1787,8,3)),1),0))))</f>
        <v>#DIV/0!</v>
      </c>
      <c r="T1787" s="125" t="e">
        <f t="shared" si="38"/>
        <v>#DIV/0!</v>
      </c>
      <c r="U1787" s="125" t="e">
        <f t="shared" si="38"/>
        <v>#DIV/0!</v>
      </c>
      <c r="V1787" s="125" t="e">
        <f t="shared" si="38"/>
        <v>#DIV/0!</v>
      </c>
      <c r="W1787" s="142" t="e">
        <f t="shared" si="38"/>
        <v>#DIV/0!</v>
      </c>
      <c r="X1787" s="142" t="e">
        <f t="shared" si="38"/>
        <v>#DIV/0!</v>
      </c>
      <c r="Y1787" s="142" t="e">
        <f t="shared" si="38"/>
        <v>#DIV/0!</v>
      </c>
      <c r="Z1787" s="142" t="e">
        <f t="shared" si="38"/>
        <v>#DIV/0!</v>
      </c>
    </row>
    <row r="1788" spans="1:26">
      <c r="A1788" s="114" t="s">
        <v>217</v>
      </c>
      <c r="B1788" s="125">
        <f t="shared" ref="B1788:Q1788" si="39">AVERAGEIFS(B$3:B$1765,$A$3:$A$1765,"&gt;="&amp;DATE("20"&amp;RIGHT($A1788,2),MONTH(1&amp;MID($A1788,8,3)),1),$A$3:$A$1765,"&lt;="&amp;DATE("20"&amp;RIGHT($A1788,2),MONTH(1&amp;MID($A1788,8,3)),DAY(EOMONTH(DATE(RIGHT("20"&amp;$A1788,2),MONTH(1&amp;MID($A1788,8,3)),1),0))))</f>
        <v>159229970.45198286</v>
      </c>
      <c r="C1788" s="125">
        <f t="shared" si="39"/>
        <v>59642957.663817167</v>
      </c>
      <c r="D1788" s="125">
        <f t="shared" si="39"/>
        <v>63219324.323881082</v>
      </c>
      <c r="E1788" s="125">
        <f t="shared" si="39"/>
        <v>63173095.55843126</v>
      </c>
      <c r="F1788" s="125">
        <f t="shared" si="39"/>
        <v>186035377.54612949</v>
      </c>
      <c r="G1788" s="125">
        <f t="shared" si="39"/>
        <v>-1131363.6363636365</v>
      </c>
      <c r="H1788" s="125">
        <f t="shared" si="39"/>
        <v>1647.092510938968</v>
      </c>
      <c r="I1788" s="125">
        <f t="shared" si="39"/>
        <v>972.69621356808102</v>
      </c>
      <c r="J1788" s="125">
        <f t="shared" si="39"/>
        <v>593.3588238736279</v>
      </c>
      <c r="K1788" s="125">
        <f t="shared" si="39"/>
        <v>861.95301667801755</v>
      </c>
      <c r="L1788" s="125">
        <f t="shared" si="39"/>
        <v>2428.0080541197267</v>
      </c>
      <c r="M1788" s="125">
        <f t="shared" si="39"/>
        <v>0</v>
      </c>
      <c r="N1788" s="174">
        <f t="shared" si="14"/>
        <v>15663.522727272728</v>
      </c>
      <c r="O1788" s="125">
        <f t="shared" si="39"/>
        <v>3400.0420454545456</v>
      </c>
      <c r="P1788" s="125">
        <f t="shared" si="39"/>
        <v>-441662.92931818211</v>
      </c>
      <c r="Q1788" s="125">
        <f t="shared" si="39"/>
        <v>0</v>
      </c>
      <c r="R1788" s="125"/>
      <c r="S1788" s="125">
        <f t="shared" ref="S1788:Z1788" si="40">AVERAGEIFS(S$3:S$1765,$A$3:$A$1765,"&gt;="&amp;DATE("20"&amp;RIGHT($A1788,2),MONTH(1&amp;MID($A1788,8,3)),1),$A$3:$A$1765,"&lt;="&amp;DATE("20"&amp;RIGHT($A1788,2),MONTH(1&amp;MID($A1788,8,3)),DAY(EOMONTH(DATE(RIGHT("20"&amp;$A1788,2),MONTH(1&amp;MID($A1788,8,3)),1),0))))</f>
        <v>-3888747.0681848647</v>
      </c>
      <c r="T1788" s="125">
        <f t="shared" si="40"/>
        <v>0</v>
      </c>
      <c r="U1788" s="125">
        <f t="shared" si="40"/>
        <v>3111915.1659363643</v>
      </c>
      <c r="V1788" s="125">
        <f t="shared" si="40"/>
        <v>-6.843636363636363E-6</v>
      </c>
      <c r="W1788" s="142">
        <f t="shared" si="40"/>
        <v>15909.09090909091</v>
      </c>
      <c r="X1788" s="142">
        <f t="shared" si="40"/>
        <v>16.155632748827752</v>
      </c>
      <c r="Y1788" s="142">
        <f t="shared" si="40"/>
        <v>61942853.729005583</v>
      </c>
      <c r="Z1788" s="142">
        <f t="shared" si="40"/>
        <v>395.49914066884463</v>
      </c>
    </row>
    <row r="1789" spans="1:26">
      <c r="A1789" s="114" t="s">
        <v>216</v>
      </c>
      <c r="B1789" s="125" t="e">
        <f t="shared" ref="B1789:Q1789" si="41">AVERAGEIFS(B$3:B$1765,$A$3:$A$1765,"&gt;="&amp;DATE("20"&amp;RIGHT($A1789,2),MONTH(1&amp;MID($A1789,8,3)),1),$A$3:$A$1765,"&lt;="&amp;DATE("20"&amp;RIGHT($A1789,2),MONTH(1&amp;MID($A1789,8,3)),DAY(EOMONTH(DATE(RIGHT("20"&amp;$A1789,2),MONTH(1&amp;MID($A1789,8,3)),1),0))))</f>
        <v>#DIV/0!</v>
      </c>
      <c r="C1789" s="125" t="e">
        <f t="shared" si="41"/>
        <v>#DIV/0!</v>
      </c>
      <c r="D1789" s="125" t="e">
        <f t="shared" si="41"/>
        <v>#DIV/0!</v>
      </c>
      <c r="E1789" s="125" t="e">
        <f t="shared" si="41"/>
        <v>#DIV/0!</v>
      </c>
      <c r="F1789" s="125" t="e">
        <f t="shared" si="41"/>
        <v>#DIV/0!</v>
      </c>
      <c r="G1789" s="125" t="e">
        <f t="shared" si="41"/>
        <v>#DIV/0!</v>
      </c>
      <c r="H1789" s="125" t="e">
        <f t="shared" si="41"/>
        <v>#DIV/0!</v>
      </c>
      <c r="I1789" s="125" t="e">
        <f t="shared" si="41"/>
        <v>#DIV/0!</v>
      </c>
      <c r="J1789" s="125" t="e">
        <f t="shared" si="41"/>
        <v>#DIV/0!</v>
      </c>
      <c r="K1789" s="125" t="e">
        <f t="shared" si="41"/>
        <v>#DIV/0!</v>
      </c>
      <c r="L1789" s="125" t="e">
        <f t="shared" si="41"/>
        <v>#DIV/0!</v>
      </c>
      <c r="M1789" s="125" t="e">
        <f t="shared" si="41"/>
        <v>#DIV/0!</v>
      </c>
      <c r="N1789" s="174" t="e">
        <f t="shared" si="14"/>
        <v>#DIV/0!</v>
      </c>
      <c r="O1789" s="125" t="e">
        <f t="shared" si="41"/>
        <v>#DIV/0!</v>
      </c>
      <c r="P1789" s="125" t="e">
        <f t="shared" si="41"/>
        <v>#DIV/0!</v>
      </c>
      <c r="Q1789" s="125" t="e">
        <f t="shared" si="41"/>
        <v>#DIV/0!</v>
      </c>
      <c r="R1789" s="125"/>
      <c r="S1789" s="125" t="e">
        <f t="shared" ref="S1789:Z1789" si="42">AVERAGEIFS(S$3:S$1765,$A$3:$A$1765,"&gt;="&amp;DATE("20"&amp;RIGHT($A1789,2),MONTH(1&amp;MID($A1789,8,3)),1),$A$3:$A$1765,"&lt;="&amp;DATE("20"&amp;RIGHT($A1789,2),MONTH(1&amp;MID($A1789,8,3)),DAY(EOMONTH(DATE(RIGHT("20"&amp;$A1789,2),MONTH(1&amp;MID($A1789,8,3)),1),0))))</f>
        <v>#DIV/0!</v>
      </c>
      <c r="T1789" s="125" t="e">
        <f t="shared" si="42"/>
        <v>#DIV/0!</v>
      </c>
      <c r="U1789" s="125" t="e">
        <f t="shared" si="42"/>
        <v>#DIV/0!</v>
      </c>
      <c r="V1789" s="125" t="e">
        <f t="shared" si="42"/>
        <v>#DIV/0!</v>
      </c>
      <c r="W1789" s="142" t="e">
        <f t="shared" si="42"/>
        <v>#DIV/0!</v>
      </c>
      <c r="X1789" s="142" t="e">
        <f t="shared" si="42"/>
        <v>#DIV/0!</v>
      </c>
      <c r="Y1789" s="142" t="e">
        <f t="shared" si="42"/>
        <v>#DIV/0!</v>
      </c>
      <c r="Z1789" s="142" t="e">
        <f t="shared" si="42"/>
        <v>#DIV/0!</v>
      </c>
    </row>
    <row r="1790" spans="1:26">
      <c r="A1790" s="114" t="s">
        <v>211</v>
      </c>
      <c r="B1790" s="125">
        <f t="shared" ref="B1790:Q1790" si="43">AVERAGEIFS(B$3:B$1765,$A$3:$A$1765,"&gt;="&amp;DATE("20"&amp;RIGHT($A1790,2),MONTH(1&amp;MID($A1790,8,3)),1),$A$3:$A$1765,"&lt;="&amp;DATE("20"&amp;RIGHT($A1790,2),MONTH(1&amp;MID($A1790,8,3)),DAY(EOMONTH(DATE(RIGHT("20"&amp;$A1790,2),MONTH(1&amp;MID($A1790,8,3)),1),0))))</f>
        <v>157867564.43882114</v>
      </c>
      <c r="C1790" s="125">
        <f t="shared" si="43"/>
        <v>63698278.096495792</v>
      </c>
      <c r="D1790" s="125">
        <f t="shared" si="43"/>
        <v>64070945.846014909</v>
      </c>
      <c r="E1790" s="125">
        <f t="shared" si="43"/>
        <v>63277072.747468658</v>
      </c>
      <c r="F1790" s="125">
        <f t="shared" si="43"/>
        <v>191046296.68997931</v>
      </c>
      <c r="G1790" s="125">
        <f t="shared" si="43"/>
        <v>0</v>
      </c>
      <c r="H1790" s="125">
        <f t="shared" si="43"/>
        <v>1717.3261303161687</v>
      </c>
      <c r="I1790" s="125">
        <f t="shared" si="43"/>
        <v>1076.6745098165193</v>
      </c>
      <c r="J1790" s="125">
        <f t="shared" si="43"/>
        <v>610.31737628333315</v>
      </c>
      <c r="K1790" s="125">
        <f t="shared" si="43"/>
        <v>760.57553924257309</v>
      </c>
      <c r="L1790" s="125">
        <f t="shared" si="43"/>
        <v>2447.5674253424254</v>
      </c>
      <c r="M1790" s="125">
        <f t="shared" si="43"/>
        <v>-34.772727272727273</v>
      </c>
      <c r="N1790" s="174">
        <f t="shared" si="14"/>
        <v>14985.431818181818</v>
      </c>
      <c r="O1790" s="125">
        <f t="shared" si="43"/>
        <v>3297.2422727272728</v>
      </c>
      <c r="P1790" s="125">
        <f t="shared" si="43"/>
        <v>-192988.63636363635</v>
      </c>
      <c r="Q1790" s="125">
        <f t="shared" si="43"/>
        <v>0</v>
      </c>
      <c r="R1790" s="125"/>
      <c r="S1790" s="125">
        <f t="shared" ref="S1790:Z1790" si="44">AVERAGEIFS(S$3:S$1765,$A$3:$A$1765,"&gt;="&amp;DATE("20"&amp;RIGHT($A1790,2),MONTH(1&amp;MID($A1790,8,3)),1),$A$3:$A$1765,"&lt;="&amp;DATE("20"&amp;RIGHT($A1790,2),MONTH(1&amp;MID($A1790,8,3)),DAY(EOMONTH(DATE(RIGHT("20"&amp;$A1790,2),MONTH(1&amp;MID($A1790,8,3)),1),0))))</f>
        <v>-566296.21363783639</v>
      </c>
      <c r="T1790" s="125">
        <f t="shared" si="44"/>
        <v>0</v>
      </c>
      <c r="U1790" s="125">
        <f t="shared" si="44"/>
        <v>4056427.7196649988</v>
      </c>
      <c r="V1790" s="125">
        <f t="shared" si="44"/>
        <v>-4.5454545454545385E-8</v>
      </c>
      <c r="W1790" s="142">
        <f t="shared" si="44"/>
        <v>315644.625</v>
      </c>
      <c r="X1790" s="142">
        <f t="shared" si="44"/>
        <v>5.9542874446108049</v>
      </c>
      <c r="Y1790" s="142">
        <f t="shared" si="44"/>
        <v>61145164.721742436</v>
      </c>
      <c r="Z1790" s="142">
        <f t="shared" si="44"/>
        <v>418.59813457522165</v>
      </c>
    </row>
    <row r="1791" spans="1:26">
      <c r="A1791" s="114" t="s">
        <v>210</v>
      </c>
      <c r="B1791" s="125" t="e">
        <f t="shared" ref="B1791:Q1791" si="45">AVERAGEIFS(B$3:B$1765,$A$3:$A$1765,"&gt;="&amp;DATE("20"&amp;RIGHT($A1791,2),MONTH(1&amp;MID($A1791,8,3)),1),$A$3:$A$1765,"&lt;="&amp;DATE("20"&amp;RIGHT($A1791,2),MONTH(1&amp;MID($A1791,8,3)),DAY(EOMONTH(DATE(RIGHT("20"&amp;$A1791,2),MONTH(1&amp;MID($A1791,8,3)),1),0))))</f>
        <v>#DIV/0!</v>
      </c>
      <c r="C1791" s="125" t="e">
        <f t="shared" si="45"/>
        <v>#DIV/0!</v>
      </c>
      <c r="D1791" s="125" t="e">
        <f t="shared" si="45"/>
        <v>#DIV/0!</v>
      </c>
      <c r="E1791" s="125" t="e">
        <f t="shared" si="45"/>
        <v>#DIV/0!</v>
      </c>
      <c r="F1791" s="125" t="e">
        <f t="shared" si="45"/>
        <v>#DIV/0!</v>
      </c>
      <c r="G1791" s="125" t="e">
        <f t="shared" si="45"/>
        <v>#DIV/0!</v>
      </c>
      <c r="H1791" s="125" t="e">
        <f t="shared" si="45"/>
        <v>#DIV/0!</v>
      </c>
      <c r="I1791" s="125" t="e">
        <f t="shared" si="45"/>
        <v>#DIV/0!</v>
      </c>
      <c r="J1791" s="125" t="e">
        <f t="shared" si="45"/>
        <v>#DIV/0!</v>
      </c>
      <c r="K1791" s="125" t="e">
        <f t="shared" si="45"/>
        <v>#DIV/0!</v>
      </c>
      <c r="L1791" s="125" t="e">
        <f t="shared" si="45"/>
        <v>#DIV/0!</v>
      </c>
      <c r="M1791" s="125" t="e">
        <f t="shared" si="45"/>
        <v>#DIV/0!</v>
      </c>
      <c r="N1791" s="174" t="e">
        <f t="shared" si="14"/>
        <v>#DIV/0!</v>
      </c>
      <c r="O1791" s="125" t="e">
        <f t="shared" si="45"/>
        <v>#DIV/0!</v>
      </c>
      <c r="P1791" s="125" t="e">
        <f t="shared" si="45"/>
        <v>#DIV/0!</v>
      </c>
      <c r="Q1791" s="125" t="e">
        <f t="shared" si="45"/>
        <v>#DIV/0!</v>
      </c>
      <c r="R1791" s="125"/>
      <c r="S1791" s="125" t="e">
        <f t="shared" ref="S1791:Z1791" si="46">AVERAGEIFS(S$3:S$1765,$A$3:$A$1765,"&gt;="&amp;DATE("20"&amp;RIGHT($A1791,2),MONTH(1&amp;MID($A1791,8,3)),1),$A$3:$A$1765,"&lt;="&amp;DATE("20"&amp;RIGHT($A1791,2),MONTH(1&amp;MID($A1791,8,3)),DAY(EOMONTH(DATE(RIGHT("20"&amp;$A1791,2),MONTH(1&amp;MID($A1791,8,3)),1),0))))</f>
        <v>#DIV/0!</v>
      </c>
      <c r="T1791" s="125" t="e">
        <f t="shared" si="46"/>
        <v>#DIV/0!</v>
      </c>
      <c r="U1791" s="125" t="e">
        <f t="shared" si="46"/>
        <v>#DIV/0!</v>
      </c>
      <c r="V1791" s="125" t="e">
        <f t="shared" si="46"/>
        <v>#DIV/0!</v>
      </c>
      <c r="W1791" s="142" t="e">
        <f t="shared" si="46"/>
        <v>#DIV/0!</v>
      </c>
      <c r="X1791" s="142" t="e">
        <f t="shared" si="46"/>
        <v>#DIV/0!</v>
      </c>
      <c r="Y1791" s="142" t="e">
        <f t="shared" si="46"/>
        <v>#DIV/0!</v>
      </c>
      <c r="Z1791" s="142" t="e">
        <f t="shared" si="46"/>
        <v>#DIV/0!</v>
      </c>
    </row>
    <row r="1792" spans="1:26">
      <c r="A1792" s="114" t="s">
        <v>209</v>
      </c>
      <c r="B1792" s="125">
        <f t="shared" ref="B1792:M1793" si="47">AVERAGEIFS(B$3:B$1765,$A$3:$A$1765,"&gt;="&amp;DATE("20"&amp;RIGHT($A1792,2),MONTH(1&amp;MID($A1792,8,3)),1),$A$3:$A$1765,"&lt;="&amp;DATE("20"&amp;RIGHT($A1792,2),MONTH(1&amp;MID($A1792,8,3)),DAY(EOMONTH(DATE(RIGHT("20"&amp;$A1792,2),MONTH(1&amp;MID($A1792,8,3)),1),0))))</f>
        <v>157131607.68478566</v>
      </c>
      <c r="C1792" s="125">
        <f t="shared" si="47"/>
        <v>61650585.473467283</v>
      </c>
      <c r="D1792" s="125">
        <f t="shared" si="47"/>
        <v>64943121.565901928</v>
      </c>
      <c r="E1792" s="125">
        <f t="shared" si="47"/>
        <v>64267072.426138669</v>
      </c>
      <c r="F1792" s="125">
        <f t="shared" si="47"/>
        <v>190860779.46550786</v>
      </c>
      <c r="G1792" s="125">
        <f t="shared" si="47"/>
        <v>-64318.181818181816</v>
      </c>
      <c r="H1792" s="125">
        <f t="shared" si="47"/>
        <v>1585.4710869424218</v>
      </c>
      <c r="I1792" s="125">
        <f t="shared" si="47"/>
        <v>1135.9886845908234</v>
      </c>
      <c r="J1792" s="125">
        <f t="shared" si="47"/>
        <v>663.45077314660273</v>
      </c>
      <c r="K1792" s="125">
        <f t="shared" si="47"/>
        <v>865.47763773368035</v>
      </c>
      <c r="L1792" s="125">
        <f t="shared" si="47"/>
        <v>2664.9170954711062</v>
      </c>
      <c r="M1792" s="125">
        <f t="shared" si="47"/>
        <v>-45.68181818181818</v>
      </c>
      <c r="N1792" s="174">
        <f t="shared" si="14"/>
        <v>14972.613636363636</v>
      </c>
      <c r="O1792" s="125">
        <f t="shared" ref="O1792:Q1793" si="48">AVERAGEIFS(O$3:O$1765,$A$3:$A$1765,"&gt;="&amp;DATE("20"&amp;RIGHT($A1792,2),MONTH(1&amp;MID($A1792,8,3)),1),$A$3:$A$1765,"&lt;="&amp;DATE("20"&amp;RIGHT($A1792,2),MONTH(1&amp;MID($A1792,8,3)),DAY(EOMONTH(DATE(RIGHT("20"&amp;$A1792,2),MONTH(1&amp;MID($A1792,8,3)),1),0))))</f>
        <v>3371.8518181818176</v>
      </c>
      <c r="P1792" s="125">
        <f t="shared" si="48"/>
        <v>-361745.61218181829</v>
      </c>
      <c r="Q1792" s="125">
        <f t="shared" si="48"/>
        <v>0</v>
      </c>
      <c r="R1792" s="125"/>
      <c r="S1792" s="125">
        <f t="shared" ref="S1792:Z1793" si="49">AVERAGEIFS(S$3:S$1765,$A$3:$A$1765,"&gt;="&amp;DATE("20"&amp;RIGHT($A1792,2),MONTH(1&amp;MID($A1792,8,3)),1),$A$3:$A$1765,"&lt;="&amp;DATE("20"&amp;RIGHT($A1792,2),MONTH(1&amp;MID($A1792,8,3)),DAY(EOMONTH(DATE(RIGHT("20"&amp;$A1792,2),MONTH(1&amp;MID($A1792,8,3)),1),0))))</f>
        <v>-107611.3636378236</v>
      </c>
      <c r="T1792" s="125">
        <f t="shared" si="49"/>
        <v>0</v>
      </c>
      <c r="U1792" s="125">
        <f t="shared" si="49"/>
        <v>4849483.1819487959</v>
      </c>
      <c r="V1792" s="125">
        <f t="shared" si="49"/>
        <v>20838.894048131362</v>
      </c>
      <c r="W1792" s="142">
        <f t="shared" si="49"/>
        <v>635692.5</v>
      </c>
      <c r="X1792" s="142">
        <f t="shared" si="49"/>
        <v>9.8558814969331756</v>
      </c>
      <c r="Y1792" s="142">
        <f t="shared" si="49"/>
        <v>62085299.9777757</v>
      </c>
      <c r="Z1792" s="142">
        <f t="shared" si="49"/>
        <v>413.36425416236341</v>
      </c>
    </row>
    <row r="1793" spans="1:26">
      <c r="A1793" s="114" t="s">
        <v>202</v>
      </c>
      <c r="B1793" s="125">
        <f t="shared" si="47"/>
        <v>157448840.37938774</v>
      </c>
      <c r="C1793" s="125">
        <f t="shared" si="47"/>
        <v>63675871.009265512</v>
      </c>
      <c r="D1793" s="125">
        <f t="shared" si="47"/>
        <v>65959047.747233301</v>
      </c>
      <c r="E1793" s="125">
        <f t="shared" si="47"/>
        <v>68580505.214245364</v>
      </c>
      <c r="F1793" s="125">
        <f t="shared" si="47"/>
        <v>198215423.97074419</v>
      </c>
      <c r="G1793" s="125">
        <f t="shared" si="47"/>
        <v>0</v>
      </c>
      <c r="H1793" s="125">
        <f t="shared" si="47"/>
        <v>1464.7735753787331</v>
      </c>
      <c r="I1793" s="125">
        <f t="shared" si="47"/>
        <v>983.29965112629554</v>
      </c>
      <c r="J1793" s="125">
        <f t="shared" si="47"/>
        <v>705.95414877176245</v>
      </c>
      <c r="K1793" s="125">
        <f t="shared" si="47"/>
        <v>946.56949360481974</v>
      </c>
      <c r="L1793" s="125">
        <f t="shared" si="47"/>
        <v>2635.8232935028777</v>
      </c>
      <c r="M1793" s="125">
        <f t="shared" si="47"/>
        <v>-45.001472501043018</v>
      </c>
      <c r="N1793" s="174">
        <f t="shared" si="14"/>
        <v>14701.404761904761</v>
      </c>
      <c r="O1793" s="125">
        <f t="shared" si="48"/>
        <v>3339.6235714285713</v>
      </c>
      <c r="P1793" s="125">
        <f t="shared" si="48"/>
        <v>-255381.81428571427</v>
      </c>
      <c r="Q1793" s="125">
        <f t="shared" si="48"/>
        <v>0</v>
      </c>
      <c r="R1793" s="125"/>
      <c r="S1793" s="125">
        <f t="shared" si="49"/>
        <v>-1.4599999999999998E-6</v>
      </c>
      <c r="T1793" s="125">
        <f t="shared" si="49"/>
        <v>0</v>
      </c>
      <c r="U1793" s="125">
        <f t="shared" si="49"/>
        <v>8900144.2815362345</v>
      </c>
      <c r="V1793" s="125">
        <f t="shared" si="49"/>
        <v>4.3815558696550241</v>
      </c>
      <c r="W1793" s="142">
        <f t="shared" si="49"/>
        <v>644239.53571428568</v>
      </c>
      <c r="X1793" s="142">
        <f t="shared" si="49"/>
        <v>12.849320794265024</v>
      </c>
      <c r="Y1793" s="142">
        <f t="shared" si="49"/>
        <v>62476920.088587239</v>
      </c>
      <c r="Z1793" s="142">
        <f t="shared" si="49"/>
        <v>410.09398507360561</v>
      </c>
    </row>
    <row r="1794" spans="1:26">
      <c r="A1794" s="114" t="s">
        <v>165</v>
      </c>
      <c r="B1794" s="125" t="e">
        <f t="shared" ref="B1794:Q1794" si="50">AVERAGEIFS(B$3:B$1765,$A$3:$A$1765,"&gt;="&amp;DATE("20"&amp;RIGHT($A1794,2),MONTH(1&amp;MID($A1794,8,3)),1),$A$3:$A$1765,"&lt;="&amp;DATE("20"&amp;RIGHT($A1794,2),MONTH(1&amp;MID($A1794,8,3)),DAY(EOMONTH(DATE(RIGHT("20"&amp;$A1794,2),MONTH(1&amp;MID($A1794,8,3)),1),0))))</f>
        <v>#DIV/0!</v>
      </c>
      <c r="C1794" s="125" t="e">
        <f t="shared" si="50"/>
        <v>#DIV/0!</v>
      </c>
      <c r="D1794" s="125" t="e">
        <f t="shared" si="50"/>
        <v>#DIV/0!</v>
      </c>
      <c r="E1794" s="125" t="e">
        <f t="shared" si="50"/>
        <v>#DIV/0!</v>
      </c>
      <c r="F1794" s="125" t="e">
        <f t="shared" si="50"/>
        <v>#DIV/0!</v>
      </c>
      <c r="G1794" s="125" t="e">
        <f t="shared" si="50"/>
        <v>#DIV/0!</v>
      </c>
      <c r="H1794" s="125" t="e">
        <f t="shared" si="50"/>
        <v>#DIV/0!</v>
      </c>
      <c r="I1794" s="125" t="e">
        <f t="shared" si="50"/>
        <v>#DIV/0!</v>
      </c>
      <c r="J1794" s="125" t="e">
        <f t="shared" si="50"/>
        <v>#DIV/0!</v>
      </c>
      <c r="K1794" s="125" t="e">
        <f t="shared" si="50"/>
        <v>#DIV/0!</v>
      </c>
      <c r="L1794" s="125" t="e">
        <f t="shared" si="50"/>
        <v>#DIV/0!</v>
      </c>
      <c r="M1794" s="125" t="e">
        <f t="shared" si="50"/>
        <v>#DIV/0!</v>
      </c>
      <c r="N1794" s="174" t="e">
        <f t="shared" si="14"/>
        <v>#DIV/0!</v>
      </c>
      <c r="O1794" s="125" t="e">
        <f t="shared" si="50"/>
        <v>#DIV/0!</v>
      </c>
      <c r="P1794" s="125" t="e">
        <f t="shared" si="50"/>
        <v>#DIV/0!</v>
      </c>
      <c r="Q1794" s="125" t="e">
        <f t="shared" si="50"/>
        <v>#DIV/0!</v>
      </c>
      <c r="R1794" s="125"/>
      <c r="S1794" s="125" t="e">
        <f t="shared" ref="S1794:Z1794" si="51">AVERAGEIFS(S$3:S$1765,$A$3:$A$1765,"&gt;="&amp;DATE("20"&amp;RIGHT($A1794,2),MONTH(1&amp;MID($A1794,8,3)),1),$A$3:$A$1765,"&lt;="&amp;DATE("20"&amp;RIGHT($A1794,2),MONTH(1&amp;MID($A1794,8,3)),DAY(EOMONTH(DATE(RIGHT("20"&amp;$A1794,2),MONTH(1&amp;MID($A1794,8,3)),1),0))))</f>
        <v>#DIV/0!</v>
      </c>
      <c r="T1794" s="125" t="e">
        <f t="shared" si="51"/>
        <v>#DIV/0!</v>
      </c>
      <c r="U1794" s="125" t="e">
        <f t="shared" si="51"/>
        <v>#DIV/0!</v>
      </c>
      <c r="V1794" s="125" t="e">
        <f t="shared" si="51"/>
        <v>#DIV/0!</v>
      </c>
      <c r="W1794" s="142" t="e">
        <f t="shared" si="51"/>
        <v>#DIV/0!</v>
      </c>
      <c r="X1794" s="142" t="e">
        <f t="shared" si="51"/>
        <v>#DIV/0!</v>
      </c>
      <c r="Y1794" s="142" t="e">
        <f t="shared" si="51"/>
        <v>#DIV/0!</v>
      </c>
      <c r="Z1794" s="142" t="e">
        <f t="shared" si="51"/>
        <v>#DIV/0!</v>
      </c>
    </row>
    <row r="1795" spans="1:26">
      <c r="A1795" s="114" t="s">
        <v>164</v>
      </c>
      <c r="B1795" s="125">
        <f t="shared" ref="B1795:M1799" si="52">AVERAGEIFS(B$3:B$1765,$A$3:$A$1765,"&gt;="&amp;DATE("20"&amp;RIGHT($A1795,2),MONTH(1&amp;MID($A1795,8,3)),1),$A$3:$A$1765,"&lt;="&amp;DATE("20"&amp;RIGHT($A1795,2),MONTH(1&amp;MID($A1795,8,3)),DAY(EOMONTH(DATE(RIGHT("20"&amp;$A1795,2),MONTH(1&amp;MID($A1795,8,3)),1),0))))</f>
        <v>155846235.1887615</v>
      </c>
      <c r="C1795" s="125">
        <f t="shared" si="52"/>
        <v>61098363.685242236</v>
      </c>
      <c r="D1795" s="125">
        <f t="shared" si="52"/>
        <v>65348503.043696761</v>
      </c>
      <c r="E1795" s="125">
        <f t="shared" si="52"/>
        <v>68789206.997284472</v>
      </c>
      <c r="F1795" s="125">
        <f t="shared" si="52"/>
        <v>195236073.72622347</v>
      </c>
      <c r="G1795" s="125">
        <f t="shared" si="52"/>
        <v>-220000</v>
      </c>
      <c r="H1795" s="125">
        <f t="shared" si="52"/>
        <v>1418.375803639371</v>
      </c>
      <c r="I1795" s="125">
        <f t="shared" si="52"/>
        <v>1152.2861308332704</v>
      </c>
      <c r="J1795" s="125">
        <f t="shared" si="52"/>
        <v>711.10614963342289</v>
      </c>
      <c r="K1795" s="125">
        <f t="shared" si="52"/>
        <v>1145.4753914428898</v>
      </c>
      <c r="L1795" s="125">
        <f t="shared" si="52"/>
        <v>3008.8676719095834</v>
      </c>
      <c r="M1795" s="125">
        <f t="shared" si="52"/>
        <v>-45</v>
      </c>
      <c r="N1795" s="174">
        <f t="shared" si="14"/>
        <v>14380.8</v>
      </c>
      <c r="O1795" s="125">
        <f t="shared" ref="O1795:Q1799" si="53">AVERAGEIFS(O$3:O$1765,$A$3:$A$1765,"&gt;="&amp;DATE("20"&amp;RIGHT($A1795,2),MONTH(1&amp;MID($A1795,8,3)),1),$A$3:$A$1765,"&lt;="&amp;DATE("20"&amp;RIGHT($A1795,2),MONTH(1&amp;MID($A1795,8,3)),DAY(EOMONTH(DATE(RIGHT("20"&amp;$A1795,2),MONTH(1&amp;MID($A1795,8,3)),1),0))))</f>
        <v>3322.0504999999998</v>
      </c>
      <c r="P1795" s="125">
        <f t="shared" si="53"/>
        <v>-337803.47999999986</v>
      </c>
      <c r="Q1795" s="125">
        <f t="shared" si="53"/>
        <v>0</v>
      </c>
      <c r="R1795" s="125"/>
      <c r="S1795" s="125">
        <f t="shared" ref="S1795:Z1798" si="54">AVERAGEIFS(S$3:S$1765,$A$3:$A$1765,"&gt;="&amp;DATE("20"&amp;RIGHT($A1795,2),MONTH(1&amp;MID($A1795,8,3)),1),$A$3:$A$1765,"&lt;="&amp;DATE("20"&amp;RIGHT($A1795,2),MONTH(1&amp;MID($A1795,8,3)),DAY(EOMONTH(DATE(RIGHT("20"&amp;$A1795,2),MONTH(1&amp;MID($A1795,8,3)),1),0))))</f>
        <v>-196535.110001397</v>
      </c>
      <c r="T1795" s="125">
        <f t="shared" si="54"/>
        <v>0</v>
      </c>
      <c r="U1795" s="125">
        <f t="shared" si="54"/>
        <v>7371739.8424986899</v>
      </c>
      <c r="V1795" s="125">
        <f t="shared" si="54"/>
        <v>0</v>
      </c>
      <c r="W1795" s="142">
        <f t="shared" si="54"/>
        <v>613199.58750000002</v>
      </c>
      <c r="X1795" s="142">
        <f t="shared" si="54"/>
        <v>7.1238249871959196</v>
      </c>
      <c r="Y1795" s="142">
        <f t="shared" si="54"/>
        <v>66253780.942510486</v>
      </c>
      <c r="Z1795" s="142">
        <f t="shared" si="54"/>
        <v>415.61212243302782</v>
      </c>
    </row>
    <row r="1796" spans="1:26">
      <c r="A1796" s="114" t="s">
        <v>154</v>
      </c>
      <c r="B1796" s="125">
        <f t="shared" si="52"/>
        <v>154101100.92002404</v>
      </c>
      <c r="C1796" s="125">
        <f t="shared" si="52"/>
        <v>58295637.364857771</v>
      </c>
      <c r="D1796" s="125">
        <f t="shared" si="52"/>
        <v>65061842.354495667</v>
      </c>
      <c r="E1796" s="125">
        <f t="shared" si="52"/>
        <v>69354864.635546029</v>
      </c>
      <c r="F1796" s="125">
        <f t="shared" si="52"/>
        <v>192712344.35489944</v>
      </c>
      <c r="G1796" s="125">
        <f t="shared" si="52"/>
        <v>-1100000</v>
      </c>
      <c r="H1796" s="125">
        <f t="shared" si="52"/>
        <v>1371.9748568832526</v>
      </c>
      <c r="I1796" s="125">
        <f t="shared" si="52"/>
        <v>1221.1864416532253</v>
      </c>
      <c r="J1796" s="125">
        <f t="shared" si="52"/>
        <v>706.32681864480571</v>
      </c>
      <c r="K1796" s="125">
        <f t="shared" si="52"/>
        <v>1175.2872878916069</v>
      </c>
      <c r="L1796" s="125">
        <f t="shared" si="52"/>
        <v>3102.800548189638</v>
      </c>
      <c r="M1796" s="125">
        <f t="shared" si="52"/>
        <v>-44.999928727323407</v>
      </c>
      <c r="N1796" s="174">
        <f t="shared" si="14"/>
        <v>14347.113636363636</v>
      </c>
      <c r="O1796" s="125">
        <f t="shared" si="53"/>
        <v>3417.125</v>
      </c>
      <c r="P1796" s="125">
        <f t="shared" si="53"/>
        <v>-320550.79090909101</v>
      </c>
      <c r="Q1796" s="125">
        <f t="shared" si="53"/>
        <v>0</v>
      </c>
      <c r="R1796" s="125"/>
      <c r="S1796" s="125">
        <f t="shared" si="54"/>
        <v>-1.3899999999999994E-6</v>
      </c>
      <c r="T1796" s="125">
        <f t="shared" si="54"/>
        <v>0</v>
      </c>
      <c r="U1796" s="125">
        <f t="shared" si="54"/>
        <v>6938370.4780672928</v>
      </c>
      <c r="V1796" s="125">
        <f t="shared" si="54"/>
        <v>0</v>
      </c>
      <c r="W1796" s="142">
        <f t="shared" si="54"/>
        <v>612049.80681818177</v>
      </c>
      <c r="X1796" s="142">
        <f t="shared" si="54"/>
        <v>5.2600138434133141</v>
      </c>
      <c r="Y1796" s="142">
        <f t="shared" si="54"/>
        <v>66516590.452140711</v>
      </c>
      <c r="Z1796" s="142">
        <f t="shared" si="54"/>
        <v>423.45402825624751</v>
      </c>
    </row>
    <row r="1797" spans="1:26">
      <c r="A1797" s="114" t="s">
        <v>153</v>
      </c>
      <c r="B1797" s="125">
        <f t="shared" si="52"/>
        <v>152477565.40705436</v>
      </c>
      <c r="C1797" s="125">
        <f t="shared" si="52"/>
        <v>58324710.38779901</v>
      </c>
      <c r="D1797" s="125">
        <f t="shared" si="52"/>
        <v>63073659.265712276</v>
      </c>
      <c r="E1797" s="125">
        <f t="shared" si="52"/>
        <v>72693729.288518175</v>
      </c>
      <c r="F1797" s="125">
        <f t="shared" si="52"/>
        <v>194092098.94202948</v>
      </c>
      <c r="G1797" s="125">
        <f t="shared" si="52"/>
        <v>-1100000</v>
      </c>
      <c r="H1797" s="125">
        <f t="shared" si="52"/>
        <v>1408.9966670462425</v>
      </c>
      <c r="I1797" s="125">
        <f t="shared" si="52"/>
        <v>1250.7305824897394</v>
      </c>
      <c r="J1797" s="125">
        <f t="shared" si="52"/>
        <v>694.89278189137167</v>
      </c>
      <c r="K1797" s="125">
        <f t="shared" si="52"/>
        <v>1194.4856607603949</v>
      </c>
      <c r="L1797" s="125">
        <f t="shared" si="52"/>
        <v>3140.1090251415067</v>
      </c>
      <c r="M1797" s="125">
        <f t="shared" si="52"/>
        <v>-45</v>
      </c>
      <c r="N1797" s="174">
        <f t="shared" si="14"/>
        <v>14349.131578947368</v>
      </c>
      <c r="O1797" s="125">
        <f t="shared" si="53"/>
        <v>3422.3449999999998</v>
      </c>
      <c r="P1797" s="125">
        <f t="shared" si="53"/>
        <v>-511767.47368421062</v>
      </c>
      <c r="Q1797" s="125">
        <f t="shared" si="53"/>
        <v>0</v>
      </c>
      <c r="R1797" s="125"/>
      <c r="S1797" s="125">
        <f t="shared" si="54"/>
        <v>-1.3899999999999994E-6</v>
      </c>
      <c r="T1797" s="125">
        <f t="shared" si="54"/>
        <v>0</v>
      </c>
      <c r="U1797" s="125">
        <f t="shared" si="54"/>
        <v>10370461.979480332</v>
      </c>
      <c r="V1797" s="125">
        <f t="shared" si="54"/>
        <v>0</v>
      </c>
      <c r="W1797" s="142">
        <f t="shared" si="54"/>
        <v>612798.75</v>
      </c>
      <c r="X1797" s="142">
        <f t="shared" si="54"/>
        <v>4.911224863040438</v>
      </c>
      <c r="Y1797" s="142">
        <f t="shared" si="54"/>
        <v>62726536.574807681</v>
      </c>
      <c r="Z1797" s="142">
        <f t="shared" si="54"/>
        <v>425.41475913654079</v>
      </c>
    </row>
    <row r="1798" spans="1:26">
      <c r="A1798" s="114" t="s">
        <v>152</v>
      </c>
      <c r="B1798" s="125">
        <f t="shared" si="52"/>
        <v>154144632.79425922</v>
      </c>
      <c r="C1798" s="125">
        <f t="shared" si="52"/>
        <v>58409579.404353082</v>
      </c>
      <c r="D1798" s="125">
        <f t="shared" si="52"/>
        <v>62747719.65746437</v>
      </c>
      <c r="E1798" s="125">
        <f t="shared" si="52"/>
        <v>76835384.148499325</v>
      </c>
      <c r="F1798" s="125">
        <f t="shared" si="52"/>
        <v>197992683.21031681</v>
      </c>
      <c r="G1798" s="125">
        <f t="shared" si="52"/>
        <v>-1100000</v>
      </c>
      <c r="H1798" s="125">
        <f t="shared" si="52"/>
        <v>1289.8622474510964</v>
      </c>
      <c r="I1798" s="125">
        <f t="shared" si="52"/>
        <v>1205.5540643341319</v>
      </c>
      <c r="J1798" s="125">
        <f t="shared" si="52"/>
        <v>693.2624616608764</v>
      </c>
      <c r="K1798" s="125">
        <f t="shared" si="52"/>
        <v>1101.1653396952672</v>
      </c>
      <c r="L1798" s="125">
        <f t="shared" si="52"/>
        <v>2999.9818656902753</v>
      </c>
      <c r="M1798" s="125">
        <f t="shared" si="52"/>
        <v>-50.30952380952381</v>
      </c>
      <c r="N1798" s="174">
        <f t="shared" si="14"/>
        <v>14337.452380952382</v>
      </c>
      <c r="O1798" s="125">
        <f t="shared" si="53"/>
        <v>3436.15</v>
      </c>
      <c r="P1798" s="125">
        <f t="shared" si="53"/>
        <v>-366677.40000000008</v>
      </c>
      <c r="Q1798" s="125">
        <f t="shared" si="53"/>
        <v>0</v>
      </c>
      <c r="R1798" s="125"/>
      <c r="S1798" s="125">
        <f t="shared" si="54"/>
        <v>-141211.57142996142</v>
      </c>
      <c r="T1798" s="125">
        <f t="shared" si="54"/>
        <v>0</v>
      </c>
      <c r="U1798" s="125">
        <f t="shared" si="54"/>
        <v>8238421.4516581623</v>
      </c>
      <c r="V1798" s="125">
        <f t="shared" si="54"/>
        <v>0</v>
      </c>
      <c r="W1798" s="142">
        <f t="shared" si="54"/>
        <v>611068.5</v>
      </c>
      <c r="X1798" s="142">
        <f t="shared" si="54"/>
        <v>6.3989629079618124</v>
      </c>
      <c r="Y1798" s="142">
        <f t="shared" si="54"/>
        <v>63540111.445315205</v>
      </c>
      <c r="Z1798" s="142">
        <f t="shared" si="54"/>
        <v>425.81102960421345</v>
      </c>
    </row>
    <row r="1799" spans="1:26">
      <c r="A1799" s="114" t="s">
        <v>142</v>
      </c>
      <c r="B1799" s="125" t="e">
        <f t="shared" si="52"/>
        <v>#DIV/0!</v>
      </c>
      <c r="C1799" s="125" t="e">
        <f t="shared" si="52"/>
        <v>#DIV/0!</v>
      </c>
      <c r="D1799" s="125" t="e">
        <f t="shared" si="52"/>
        <v>#DIV/0!</v>
      </c>
      <c r="E1799" s="125" t="e">
        <f t="shared" si="52"/>
        <v>#DIV/0!</v>
      </c>
      <c r="F1799" s="125" t="e">
        <f t="shared" si="52"/>
        <v>#DIV/0!</v>
      </c>
      <c r="G1799" s="125" t="e">
        <f t="shared" si="52"/>
        <v>#DIV/0!</v>
      </c>
      <c r="H1799" s="125" t="e">
        <f t="shared" si="52"/>
        <v>#DIV/0!</v>
      </c>
      <c r="I1799" s="125" t="e">
        <f t="shared" si="52"/>
        <v>#DIV/0!</v>
      </c>
      <c r="J1799" s="125" t="e">
        <f t="shared" si="52"/>
        <v>#DIV/0!</v>
      </c>
      <c r="K1799" s="125" t="e">
        <f t="shared" si="52"/>
        <v>#DIV/0!</v>
      </c>
      <c r="L1799" s="125" t="e">
        <f t="shared" si="52"/>
        <v>#DIV/0!</v>
      </c>
      <c r="M1799" s="125" t="e">
        <f t="shared" si="52"/>
        <v>#DIV/0!</v>
      </c>
      <c r="N1799" s="174" t="e">
        <f t="shared" si="14"/>
        <v>#DIV/0!</v>
      </c>
      <c r="O1799" s="125" t="e">
        <f t="shared" si="53"/>
        <v>#DIV/0!</v>
      </c>
      <c r="P1799" s="125" t="e">
        <f t="shared" si="53"/>
        <v>#DIV/0!</v>
      </c>
      <c r="Q1799" s="125" t="e">
        <f t="shared" si="53"/>
        <v>#DIV/0!</v>
      </c>
      <c r="R1799" s="125"/>
      <c r="S1799" s="125" t="e">
        <f t="shared" ref="S1799:Z1799" si="55">AVERAGEIFS(S$3:S$1765,$A$3:$A$1765,"&gt;="&amp;DATE("20"&amp;RIGHT($A1799,2),MONTH(1&amp;MID($A1799,8,3)),1),$A$3:$A$1765,"&lt;="&amp;DATE("20"&amp;RIGHT($A1799,2),MONTH(1&amp;MID($A1799,8,3)),DAY(EOMONTH(DATE(RIGHT("20"&amp;$A1799,2),MONTH(1&amp;MID($A1799,8,3)),1),0))))</f>
        <v>#DIV/0!</v>
      </c>
      <c r="T1799" s="125" t="e">
        <f t="shared" si="55"/>
        <v>#DIV/0!</v>
      </c>
      <c r="U1799" s="125" t="e">
        <f t="shared" si="55"/>
        <v>#DIV/0!</v>
      </c>
      <c r="V1799" s="125" t="e">
        <f t="shared" si="55"/>
        <v>#DIV/0!</v>
      </c>
      <c r="W1799" s="142" t="e">
        <f t="shared" si="55"/>
        <v>#DIV/0!</v>
      </c>
      <c r="X1799" s="142" t="e">
        <f t="shared" si="55"/>
        <v>#DIV/0!</v>
      </c>
      <c r="Y1799" s="142" t="e">
        <f t="shared" si="55"/>
        <v>#DIV/0!</v>
      </c>
      <c r="Z1799" s="142" t="e">
        <f t="shared" si="55"/>
        <v>#DIV/0!</v>
      </c>
    </row>
    <row r="1800" spans="1:26">
      <c r="A1800" s="114" t="s">
        <v>141</v>
      </c>
      <c r="B1800" s="125">
        <f t="shared" ref="B1800:Q1800" si="56">AVERAGEIFS(B$3:B$1765,$A$3:$A$1765,"&gt;="&amp;DATE("20"&amp;RIGHT($A1800,2),MONTH(1&amp;MID($A1800,8,3)),1),$A$3:$A$1765,"&lt;="&amp;DATE("20"&amp;RIGHT($A1800,2),MONTH(1&amp;MID($A1800,8,3)),DAY(EOMONTH(DATE(RIGHT("20"&amp;$A1800,2),MONTH(1&amp;MID($A1800,8,3)),1),0))))</f>
        <v>149372035.50282708</v>
      </c>
      <c r="C1800" s="125">
        <f t="shared" si="56"/>
        <v>53438498.937585063</v>
      </c>
      <c r="D1800" s="125">
        <f t="shared" si="56"/>
        <v>64489995.877104372</v>
      </c>
      <c r="E1800" s="125">
        <f t="shared" si="56"/>
        <v>73041080.126571223</v>
      </c>
      <c r="F1800" s="125">
        <f t="shared" si="56"/>
        <v>190969574.94126067</v>
      </c>
      <c r="G1800" s="125">
        <f t="shared" si="56"/>
        <v>0</v>
      </c>
      <c r="H1800" s="125">
        <f t="shared" si="56"/>
        <v>1381.6489036891344</v>
      </c>
      <c r="I1800" s="125">
        <f t="shared" si="56"/>
        <v>1186.2376034982919</v>
      </c>
      <c r="J1800" s="125">
        <f t="shared" si="56"/>
        <v>697.06219934795456</v>
      </c>
      <c r="K1800" s="125">
        <f t="shared" si="56"/>
        <v>1184.7923043731314</v>
      </c>
      <c r="L1800" s="125">
        <f t="shared" si="56"/>
        <v>3068.0921072193782</v>
      </c>
      <c r="M1800" s="125">
        <f t="shared" si="56"/>
        <v>-44.999282422541505</v>
      </c>
      <c r="N1800" s="174">
        <f t="shared" si="14"/>
        <v>14265.068181818182</v>
      </c>
      <c r="O1800" s="125">
        <f t="shared" si="56"/>
        <v>3395.165</v>
      </c>
      <c r="P1800" s="125">
        <f t="shared" si="56"/>
        <v>-4168.022727272727</v>
      </c>
      <c r="Q1800" s="125">
        <f t="shared" si="56"/>
        <v>0</v>
      </c>
      <c r="R1800" s="125"/>
      <c r="S1800" s="125">
        <f t="shared" ref="S1800:Z1800" si="57">AVERAGEIFS(S$3:S$1765,$A$3:$A$1765,"&gt;="&amp;DATE("20"&amp;RIGHT($A1800,2),MONTH(1&amp;MID($A1800,8,3)),1),$A$3:$A$1765,"&lt;="&amp;DATE("20"&amp;RIGHT($A1800,2),MONTH(1&amp;MID($A1800,8,3)),DAY(EOMONTH(DATE(RIGHT("20"&amp;$A1800,2),MONTH(1&amp;MID($A1800,8,3)),1),0))))</f>
        <v>-1.5599999999999995E-6</v>
      </c>
      <c r="T1800" s="125">
        <f t="shared" si="57"/>
        <v>0</v>
      </c>
      <c r="U1800" s="125">
        <f t="shared" si="57"/>
        <v>7338146.078593255</v>
      </c>
      <c r="V1800" s="125">
        <f t="shared" si="57"/>
        <v>0</v>
      </c>
      <c r="W1800" s="142">
        <f t="shared" si="57"/>
        <v>605600.38636363635</v>
      </c>
      <c r="X1800" s="142">
        <f t="shared" si="57"/>
        <v>3.9229024684994083</v>
      </c>
      <c r="Y1800" s="142">
        <f t="shared" si="57"/>
        <v>65982581.728619404</v>
      </c>
      <c r="Z1800" s="142">
        <f t="shared" si="57"/>
        <v>420.09089808585014</v>
      </c>
    </row>
    <row r="1801" spans="1:26">
      <c r="A1801" s="114" t="s">
        <v>140</v>
      </c>
      <c r="B1801" s="125" t="e">
        <f t="shared" ref="B1801:Q1801" si="58">AVERAGEIFS(B$3:B$1765,$A$3:$A$1765,"&gt;="&amp;DATE("20"&amp;RIGHT($A1801,2),MONTH(1&amp;MID($A1801,8,3)),1),$A$3:$A$1765,"&lt;="&amp;DATE("20"&amp;RIGHT($A1801,2),MONTH(1&amp;MID($A1801,8,3)),DAY(EOMONTH(DATE(RIGHT("20"&amp;$A1801,2),MONTH(1&amp;MID($A1801,8,3)),1),0))))</f>
        <v>#DIV/0!</v>
      </c>
      <c r="C1801" s="125" t="e">
        <f t="shared" si="58"/>
        <v>#DIV/0!</v>
      </c>
      <c r="D1801" s="125" t="e">
        <f t="shared" si="58"/>
        <v>#DIV/0!</v>
      </c>
      <c r="E1801" s="125" t="e">
        <f t="shared" si="58"/>
        <v>#DIV/0!</v>
      </c>
      <c r="F1801" s="125" t="e">
        <f t="shared" si="58"/>
        <v>#DIV/0!</v>
      </c>
      <c r="G1801" s="125" t="e">
        <f t="shared" si="58"/>
        <v>#DIV/0!</v>
      </c>
      <c r="H1801" s="125" t="e">
        <f t="shared" si="58"/>
        <v>#DIV/0!</v>
      </c>
      <c r="I1801" s="125" t="e">
        <f t="shared" si="58"/>
        <v>#DIV/0!</v>
      </c>
      <c r="J1801" s="125" t="e">
        <f t="shared" si="58"/>
        <v>#DIV/0!</v>
      </c>
      <c r="K1801" s="125" t="e">
        <f t="shared" si="58"/>
        <v>#DIV/0!</v>
      </c>
      <c r="L1801" s="125" t="e">
        <f t="shared" si="58"/>
        <v>#DIV/0!</v>
      </c>
      <c r="M1801" s="125" t="e">
        <f t="shared" si="58"/>
        <v>#DIV/0!</v>
      </c>
      <c r="N1801" s="174" t="e">
        <f t="shared" si="14"/>
        <v>#DIV/0!</v>
      </c>
      <c r="O1801" s="125" t="e">
        <f t="shared" si="58"/>
        <v>#DIV/0!</v>
      </c>
      <c r="P1801" s="125" t="e">
        <f t="shared" si="58"/>
        <v>#DIV/0!</v>
      </c>
      <c r="Q1801" s="125" t="e">
        <f t="shared" si="58"/>
        <v>#DIV/0!</v>
      </c>
      <c r="R1801" s="125"/>
      <c r="S1801" s="125" t="e">
        <f t="shared" ref="S1801:Z1801" si="59">AVERAGEIFS(S$3:S$1765,$A$3:$A$1765,"&gt;="&amp;DATE("20"&amp;RIGHT($A1801,2),MONTH(1&amp;MID($A1801,8,3)),1),$A$3:$A$1765,"&lt;="&amp;DATE("20"&amp;RIGHT($A1801,2),MONTH(1&amp;MID($A1801,8,3)),DAY(EOMONTH(DATE(RIGHT("20"&amp;$A1801,2),MONTH(1&amp;MID($A1801,8,3)),1),0))))</f>
        <v>#DIV/0!</v>
      </c>
      <c r="T1801" s="125" t="e">
        <f t="shared" si="59"/>
        <v>#DIV/0!</v>
      </c>
      <c r="U1801" s="125" t="e">
        <f t="shared" si="59"/>
        <v>#DIV/0!</v>
      </c>
      <c r="V1801" s="125" t="e">
        <f t="shared" si="59"/>
        <v>#DIV/0!</v>
      </c>
      <c r="W1801" s="142" t="e">
        <f t="shared" si="59"/>
        <v>#DIV/0!</v>
      </c>
      <c r="X1801" s="142" t="e">
        <f t="shared" si="59"/>
        <v>#DIV/0!</v>
      </c>
      <c r="Y1801" s="142" t="e">
        <f t="shared" si="59"/>
        <v>#DIV/0!</v>
      </c>
      <c r="Z1801" s="142" t="e">
        <f t="shared" si="59"/>
        <v>#DIV/0!</v>
      </c>
    </row>
    <row r="1802" spans="1:26">
      <c r="A1802" s="114" t="s">
        <v>138</v>
      </c>
      <c r="B1802" s="125">
        <f t="shared" ref="B1802:M1802" si="60">AVERAGEIFS(B$3:B$1765,$A$3:$A$1765,"&gt;="&amp;DATE("20"&amp;RIGHT($A1802,2),MONTH(1&amp;MID($A1802,8,3)),1),$A$3:$A$1765,"&lt;="&amp;DATE("20"&amp;RIGHT($A1802,2),MONTH(1&amp;MID($A1802,8,3)),DAY(EOMONTH(DATE(RIGHT("20"&amp;$A1802,2),MONTH(1&amp;MID($A1802,8,3)),1),0))))</f>
        <v>147754944.17354009</v>
      </c>
      <c r="C1802" s="125">
        <f t="shared" si="60"/>
        <v>55334379.94322563</v>
      </c>
      <c r="D1802" s="125">
        <f t="shared" si="60"/>
        <v>61652166.330491751</v>
      </c>
      <c r="E1802" s="125">
        <f t="shared" si="60"/>
        <v>69601590.548753724</v>
      </c>
      <c r="F1802" s="125">
        <f t="shared" si="60"/>
        <v>186588136.82247111</v>
      </c>
      <c r="G1802" s="125">
        <f t="shared" si="60"/>
        <v>-402272.72727272729</v>
      </c>
      <c r="H1802" s="125">
        <f t="shared" si="60"/>
        <v>1445.8240532857178</v>
      </c>
      <c r="I1802" s="125">
        <f t="shared" si="60"/>
        <v>974.94411549788174</v>
      </c>
      <c r="J1802" s="125">
        <f t="shared" si="60"/>
        <v>710.54952961354252</v>
      </c>
      <c r="K1802" s="125">
        <f t="shared" si="60"/>
        <v>1091.2529890193384</v>
      </c>
      <c r="L1802" s="125">
        <f t="shared" si="60"/>
        <v>2776.7466341307631</v>
      </c>
      <c r="M1802" s="125">
        <f t="shared" si="60"/>
        <v>-45</v>
      </c>
      <c r="N1802" s="174">
        <f t="shared" ref="N1802:N1822" si="61">AVERAGEIFS(N$3:N$1765,$A$3:$A$1765,"&gt;="&amp;DATE("20"&amp;RIGHT($A1802,2),MONTH(1&amp;MID($A1802,8,3)),1),$A$3:$A$1765,"&lt;="&amp;DATE("20"&amp;RIGHT($A1802,2),MONTH(1&amp;MID($A1802,8,3)),DAY(EOMONTH(DATE(RIGHT("20"&amp;$A1802,2),MONTH(1&amp;MID($A1802,8,3)),1),0))))</f>
        <v>14251.59090909091</v>
      </c>
      <c r="O1802" s="125"/>
      <c r="P1802" s="125">
        <f t="shared" ref="P1802:Q1818" si="62">AVERAGEIFS(P$3:P$1765,$A$3:$A$1765,"&gt;="&amp;DATE("20"&amp;RIGHT($A1802,2),MONTH(1&amp;MID($A1802,8,3)),1),$A$3:$A$1765,"&lt;="&amp;DATE("20"&amp;RIGHT($A1802,2),MONTH(1&amp;MID($A1802,8,3)),DAY(EOMONTH(DATE(RIGHT("20"&amp;$A1802,2),MONTH(1&amp;MID($A1802,8,3)),1),0))))</f>
        <v>-473035.56259090896</v>
      </c>
      <c r="Q1802" s="125">
        <f t="shared" si="62"/>
        <v>0</v>
      </c>
      <c r="R1802" s="125"/>
      <c r="S1802" s="125">
        <f t="shared" ref="S1802:Z1802" si="63">AVERAGEIFS(S$3:S$1765,$A$3:$A$1765,"&gt;="&amp;DATE("20"&amp;RIGHT($A1802,2),MONTH(1&amp;MID($A1802,8,3)),1),$A$3:$A$1765,"&lt;="&amp;DATE("20"&amp;RIGHT($A1802,2),MONTH(1&amp;MID($A1802,8,3)),DAY(EOMONTH(DATE(RIGHT("20"&amp;$A1802,2),MONTH(1&amp;MID($A1802,8,3)),1),0))))</f>
        <v>-1409328.1000015503</v>
      </c>
      <c r="T1802" s="125">
        <f t="shared" si="63"/>
        <v>0</v>
      </c>
      <c r="U1802" s="125">
        <f t="shared" si="63"/>
        <v>4508032.5945452098</v>
      </c>
      <c r="V1802" s="125">
        <f t="shared" si="63"/>
        <v>0</v>
      </c>
      <c r="W1802" s="142">
        <f t="shared" si="63"/>
        <v>615578.625</v>
      </c>
      <c r="X1802" s="142">
        <f t="shared" si="63"/>
        <v>3.6632964485142474</v>
      </c>
      <c r="Y1802" s="142">
        <f t="shared" si="63"/>
        <v>69862095.355770633</v>
      </c>
      <c r="Z1802" s="142">
        <f t="shared" si="63"/>
        <v>412.44278878307688</v>
      </c>
    </row>
    <row r="1803" spans="1:26">
      <c r="A1803" s="114" t="s">
        <v>130</v>
      </c>
      <c r="B1803" s="125" t="e">
        <f t="shared" ref="B1803:M1803" si="64">AVERAGEIFS(B$3:B$1765,$A$3:$A$1765,"&gt;="&amp;DATE("20"&amp;RIGHT($A1803,2),MONTH(1&amp;MID($A1803,8,3)),1),$A$3:$A$1765,"&lt;="&amp;DATE("20"&amp;RIGHT($A1803,2),MONTH(1&amp;MID($A1803,8,3)),DAY(EOMONTH(DATE(RIGHT("20"&amp;$A1803,2),MONTH(1&amp;MID($A1803,8,3)),1),0))))</f>
        <v>#DIV/0!</v>
      </c>
      <c r="C1803" s="125" t="e">
        <f t="shared" si="64"/>
        <v>#DIV/0!</v>
      </c>
      <c r="D1803" s="125" t="e">
        <f t="shared" si="64"/>
        <v>#DIV/0!</v>
      </c>
      <c r="E1803" s="125" t="e">
        <f t="shared" si="64"/>
        <v>#DIV/0!</v>
      </c>
      <c r="F1803" s="125" t="e">
        <f t="shared" si="64"/>
        <v>#DIV/0!</v>
      </c>
      <c r="G1803" s="125" t="e">
        <f t="shared" si="64"/>
        <v>#DIV/0!</v>
      </c>
      <c r="H1803" s="125" t="e">
        <f t="shared" si="64"/>
        <v>#DIV/0!</v>
      </c>
      <c r="I1803" s="125" t="e">
        <f t="shared" si="64"/>
        <v>#DIV/0!</v>
      </c>
      <c r="J1803" s="125" t="e">
        <f t="shared" si="64"/>
        <v>#DIV/0!</v>
      </c>
      <c r="K1803" s="125" t="e">
        <f t="shared" si="64"/>
        <v>#DIV/0!</v>
      </c>
      <c r="L1803" s="125" t="e">
        <f t="shared" si="64"/>
        <v>#DIV/0!</v>
      </c>
      <c r="M1803" s="125" t="e">
        <f t="shared" si="64"/>
        <v>#DIV/0!</v>
      </c>
      <c r="N1803" s="174" t="e">
        <f t="shared" si="61"/>
        <v>#DIV/0!</v>
      </c>
      <c r="O1803" s="125"/>
      <c r="P1803" s="125" t="e">
        <f t="shared" si="62"/>
        <v>#DIV/0!</v>
      </c>
      <c r="Q1803" s="125" t="e">
        <f t="shared" si="62"/>
        <v>#DIV/0!</v>
      </c>
      <c r="R1803" s="125"/>
      <c r="S1803" s="125" t="e">
        <f t="shared" ref="S1803:S1818" si="65">AVERAGEIFS(S$3:S$1765,$A$3:$A$1765,"&gt;="&amp;DATE("20"&amp;RIGHT($A1803,2),MONTH(1&amp;MID($A1803,8,3)),1),$A$3:$A$1765,"&lt;="&amp;DATE("20"&amp;RIGHT($A1803,2),MONTH(1&amp;MID($A1803,8,3)),DAY(EOMONTH(DATE(RIGHT("20"&amp;$A1803,2),MONTH(1&amp;MID($A1803,8,3)),1),0))))</f>
        <v>#DIV/0!</v>
      </c>
    </row>
    <row r="1804" spans="1:26">
      <c r="A1804" s="114" t="s">
        <v>129</v>
      </c>
      <c r="B1804" s="125">
        <f t="shared" ref="B1804:M1805" si="66">AVERAGEIFS(B$3:B$1765,$A$3:$A$1765,"&gt;="&amp;DATE("20"&amp;RIGHT($A1804,2),MONTH(1&amp;MID($A1804,8,3)),1),$A$3:$A$1765,"&lt;="&amp;DATE("20"&amp;RIGHT($A1804,2),MONTH(1&amp;MID($A1804,8,3)),DAY(EOMONTH(DATE(RIGHT("20"&amp;$A1804,2),MONTH(1&amp;MID($A1804,8,3)),1),0))))</f>
        <v>146843002.2613003</v>
      </c>
      <c r="C1804" s="125">
        <f t="shared" si="66"/>
        <v>52002455.546902105</v>
      </c>
      <c r="D1804" s="125">
        <f t="shared" si="66"/>
        <v>60995561.152852863</v>
      </c>
      <c r="E1804" s="125">
        <f t="shared" si="66"/>
        <v>73049239.720032439</v>
      </c>
      <c r="F1804" s="125">
        <f t="shared" si="66"/>
        <v>186047256.41978738</v>
      </c>
      <c r="G1804" s="125">
        <f t="shared" si="66"/>
        <v>0</v>
      </c>
      <c r="H1804" s="125">
        <f t="shared" si="66"/>
        <v>1400.9047411984016</v>
      </c>
      <c r="I1804" s="125">
        <f t="shared" si="66"/>
        <v>936.58233768810351</v>
      </c>
      <c r="J1804" s="125">
        <f t="shared" si="66"/>
        <v>649.43539755500399</v>
      </c>
      <c r="K1804" s="125">
        <f t="shared" si="66"/>
        <v>928.32061302234115</v>
      </c>
      <c r="L1804" s="125">
        <f t="shared" si="66"/>
        <v>2514.3383482654499</v>
      </c>
      <c r="M1804" s="125">
        <f t="shared" si="66"/>
        <v>-80.012046739967559</v>
      </c>
      <c r="N1804" s="174">
        <f t="shared" si="61"/>
        <v>14492.613636363636</v>
      </c>
      <c r="O1804" s="125"/>
      <c r="P1804" s="125">
        <f t="shared" si="62"/>
        <v>-114290.63181818182</v>
      </c>
      <c r="Q1804" s="125">
        <f t="shared" si="62"/>
        <v>0</v>
      </c>
      <c r="R1804" s="125"/>
      <c r="S1804" s="125">
        <f t="shared" si="65"/>
        <v>-1.2400000000000008E-6</v>
      </c>
    </row>
    <row r="1805" spans="1:26">
      <c r="A1805" s="114" t="s">
        <v>127</v>
      </c>
      <c r="B1805" s="125">
        <f t="shared" si="66"/>
        <v>145416233.09336847</v>
      </c>
      <c r="C1805" s="125">
        <f t="shared" si="66"/>
        <v>52695582.236448891</v>
      </c>
      <c r="D1805" s="125">
        <f t="shared" si="66"/>
        <v>60117284.254381917</v>
      </c>
      <c r="E1805" s="125">
        <f t="shared" si="66"/>
        <v>69201617.288646668</v>
      </c>
      <c r="F1805" s="125">
        <f t="shared" si="66"/>
        <v>182014483.77947745</v>
      </c>
      <c r="G1805" s="125">
        <f t="shared" si="66"/>
        <v>-397619.04761904763</v>
      </c>
      <c r="H1805" s="125">
        <f t="shared" si="66"/>
        <v>1449.0337118081127</v>
      </c>
      <c r="I1805" s="125">
        <f t="shared" si="66"/>
        <v>892.06462415404667</v>
      </c>
      <c r="J1805" s="125">
        <f t="shared" si="66"/>
        <v>650.76716144000329</v>
      </c>
      <c r="K1805" s="125">
        <f t="shared" si="66"/>
        <v>828.81347565567125</v>
      </c>
      <c r="L1805" s="125">
        <f t="shared" si="66"/>
        <v>2371.645261249721</v>
      </c>
      <c r="M1805" s="125">
        <f t="shared" si="66"/>
        <v>-79.983569352376591</v>
      </c>
      <c r="N1805" s="174">
        <f t="shared" si="61"/>
        <v>14334.309523809523</v>
      </c>
      <c r="O1805" s="125"/>
      <c r="P1805" s="125">
        <f t="shared" si="62"/>
        <v>-19955.507142857143</v>
      </c>
      <c r="Q1805" s="125">
        <f t="shared" si="62"/>
        <v>0</v>
      </c>
      <c r="R1805" s="125"/>
      <c r="S1805" s="125">
        <f t="shared" si="65"/>
        <v>-1.2400000000000006E-6</v>
      </c>
    </row>
    <row r="1806" spans="1:26">
      <c r="A1806" s="114" t="s">
        <v>126</v>
      </c>
      <c r="B1806" s="125" t="e">
        <f t="shared" ref="B1806:M1806" si="67">AVERAGEIFS(B$3:B$1765,$A$3:$A$1765,"&gt;="&amp;DATE("20"&amp;RIGHT($A1806,2),MONTH(1&amp;MID($A1806,8,3)),1),$A$3:$A$1765,"&lt;="&amp;DATE("20"&amp;RIGHT($A1806,2),MONTH(1&amp;MID($A1806,8,3)),DAY(EOMONTH(DATE(RIGHT("20"&amp;$A1806,2),MONTH(1&amp;MID($A1806,8,3)),1),0))))</f>
        <v>#DIV/0!</v>
      </c>
      <c r="C1806" s="125" t="e">
        <f t="shared" si="67"/>
        <v>#DIV/0!</v>
      </c>
      <c r="D1806" s="125" t="e">
        <f t="shared" si="67"/>
        <v>#DIV/0!</v>
      </c>
      <c r="E1806" s="125" t="e">
        <f t="shared" si="67"/>
        <v>#DIV/0!</v>
      </c>
      <c r="F1806" s="125" t="e">
        <f t="shared" si="67"/>
        <v>#DIV/0!</v>
      </c>
      <c r="G1806" s="125" t="e">
        <f t="shared" si="67"/>
        <v>#DIV/0!</v>
      </c>
      <c r="H1806" s="125" t="e">
        <f t="shared" si="67"/>
        <v>#DIV/0!</v>
      </c>
      <c r="I1806" s="125" t="e">
        <f t="shared" si="67"/>
        <v>#DIV/0!</v>
      </c>
      <c r="J1806" s="125" t="e">
        <f t="shared" si="67"/>
        <v>#DIV/0!</v>
      </c>
      <c r="K1806" s="125" t="e">
        <f t="shared" si="67"/>
        <v>#DIV/0!</v>
      </c>
      <c r="L1806" s="125" t="e">
        <f t="shared" si="67"/>
        <v>#DIV/0!</v>
      </c>
      <c r="M1806" s="125" t="e">
        <f t="shared" si="67"/>
        <v>#DIV/0!</v>
      </c>
      <c r="N1806" s="174" t="e">
        <f t="shared" si="61"/>
        <v>#DIV/0!</v>
      </c>
      <c r="O1806" s="125"/>
      <c r="P1806" s="125" t="e">
        <f t="shared" si="62"/>
        <v>#DIV/0!</v>
      </c>
      <c r="Q1806" s="125" t="e">
        <f t="shared" si="62"/>
        <v>#DIV/0!</v>
      </c>
      <c r="R1806" s="125"/>
      <c r="S1806" s="125" t="e">
        <f t="shared" si="65"/>
        <v>#DIV/0!</v>
      </c>
    </row>
    <row r="1807" spans="1:26">
      <c r="A1807" s="114" t="s">
        <v>123</v>
      </c>
      <c r="B1807" s="125">
        <f t="shared" ref="B1807:M1810" si="68">AVERAGEIFS(B$3:B$1765,$A$3:$A$1765,"&gt;="&amp;DATE("20"&amp;RIGHT($A1807,2),MONTH(1&amp;MID($A1807,8,3)),1),$A$3:$A$1765,"&lt;="&amp;DATE("20"&amp;RIGHT($A1807,2),MONTH(1&amp;MID($A1807,8,3)),DAY(EOMONTH(DATE(RIGHT("20"&amp;$A1807,2),MONTH(1&amp;MID($A1807,8,3)),1),0))))</f>
        <v>144637960.5293985</v>
      </c>
      <c r="C1807" s="125">
        <f t="shared" si="68"/>
        <v>47895435.162829004</v>
      </c>
      <c r="D1807" s="125">
        <f t="shared" si="68"/>
        <v>58020697.766920306</v>
      </c>
      <c r="E1807" s="125">
        <f t="shared" si="68"/>
        <v>63820847.305258662</v>
      </c>
      <c r="F1807" s="125">
        <f t="shared" si="68"/>
        <v>169736980.235008</v>
      </c>
      <c r="G1807" s="125">
        <f t="shared" si="68"/>
        <v>-1100000</v>
      </c>
      <c r="H1807" s="125">
        <f t="shared" si="68"/>
        <v>1434.1544270143168</v>
      </c>
      <c r="I1807" s="125">
        <f t="shared" si="68"/>
        <v>948.26253946612894</v>
      </c>
      <c r="J1807" s="125">
        <f t="shared" si="68"/>
        <v>642.35462893169949</v>
      </c>
      <c r="K1807" s="125">
        <f t="shared" si="68"/>
        <v>783.4734140848384</v>
      </c>
      <c r="L1807" s="125">
        <f t="shared" si="68"/>
        <v>2374.0905824826659</v>
      </c>
      <c r="M1807" s="125">
        <f t="shared" si="68"/>
        <v>-80</v>
      </c>
      <c r="N1807" s="174">
        <f t="shared" si="61"/>
        <v>14528.690476190477</v>
      </c>
      <c r="O1807" s="125"/>
      <c r="P1807" s="125">
        <f t="shared" si="62"/>
        <v>-666625.70485714311</v>
      </c>
      <c r="Q1807" s="125">
        <f t="shared" si="62"/>
        <v>0</v>
      </c>
      <c r="R1807" s="125"/>
      <c r="S1807" s="125">
        <f t="shared" si="65"/>
        <v>-899490.14047743112</v>
      </c>
    </row>
    <row r="1808" spans="1:26">
      <c r="A1808" s="114" t="s">
        <v>121</v>
      </c>
      <c r="B1808" s="125">
        <f t="shared" si="68"/>
        <v>146365193.07792801</v>
      </c>
      <c r="C1808" s="125">
        <f t="shared" si="68"/>
        <v>48832321.261725359</v>
      </c>
      <c r="D1808" s="125">
        <f t="shared" si="68"/>
        <v>58501032.55077707</v>
      </c>
      <c r="E1808" s="125">
        <f t="shared" si="68"/>
        <v>61791208.457790777</v>
      </c>
      <c r="F1808" s="125">
        <f t="shared" si="68"/>
        <v>169124562.27029321</v>
      </c>
      <c r="G1808" s="125">
        <f t="shared" si="68"/>
        <v>-1101681.8181818181</v>
      </c>
      <c r="H1808" s="125">
        <f t="shared" si="68"/>
        <v>1480.9667962813915</v>
      </c>
      <c r="I1808" s="125">
        <f t="shared" si="68"/>
        <v>863.87845906409973</v>
      </c>
      <c r="J1808" s="125">
        <f t="shared" si="68"/>
        <v>659.20814541055972</v>
      </c>
      <c r="K1808" s="125">
        <f t="shared" si="68"/>
        <v>820.95140564980829</v>
      </c>
      <c r="L1808" s="125">
        <f t="shared" si="68"/>
        <v>2344.0380101244682</v>
      </c>
      <c r="M1808" s="125">
        <f t="shared" si="68"/>
        <v>-89.085372637088369</v>
      </c>
      <c r="N1808" s="174">
        <f t="shared" si="61"/>
        <v>14386.90909090909</v>
      </c>
      <c r="O1808" s="125"/>
      <c r="P1808" s="125">
        <f t="shared" si="62"/>
        <v>-463477.06677272724</v>
      </c>
      <c r="Q1808" s="125">
        <f t="shared" si="62"/>
        <v>0</v>
      </c>
      <c r="R1808" s="125"/>
      <c r="S1808" s="125">
        <f t="shared" si="65"/>
        <v>-4980431.9713645428</v>
      </c>
    </row>
    <row r="1809" spans="1:19">
      <c r="A1809" s="114" t="s">
        <v>116</v>
      </c>
      <c r="B1809" s="125">
        <f t="shared" si="68"/>
        <v>146569716.67912287</v>
      </c>
      <c r="C1809" s="125">
        <f t="shared" si="68"/>
        <v>49506003.377170458</v>
      </c>
      <c r="D1809" s="125">
        <f t="shared" si="68"/>
        <v>58768487.587542132</v>
      </c>
      <c r="E1809" s="125">
        <f t="shared" si="68"/>
        <v>61951506.273785368</v>
      </c>
      <c r="F1809" s="125">
        <f t="shared" si="68"/>
        <v>170225997.23849797</v>
      </c>
      <c r="G1809" s="125">
        <f t="shared" si="68"/>
        <v>-1590750</v>
      </c>
      <c r="H1809" s="125">
        <f t="shared" si="68"/>
        <v>1486.302716057565</v>
      </c>
      <c r="I1809" s="125">
        <f t="shared" si="68"/>
        <v>889.8314942373238</v>
      </c>
      <c r="J1809" s="125">
        <f t="shared" si="68"/>
        <v>695.10530032936174</v>
      </c>
      <c r="K1809" s="125">
        <f t="shared" si="68"/>
        <v>835.00712828091332</v>
      </c>
      <c r="L1809" s="125">
        <f t="shared" si="68"/>
        <v>2419.943922847599</v>
      </c>
      <c r="M1809" s="125">
        <f t="shared" si="68"/>
        <v>-90</v>
      </c>
      <c r="N1809" s="174">
        <f t="shared" si="61"/>
        <v>14042.7</v>
      </c>
      <c r="O1809" s="125"/>
      <c r="P1809" s="125">
        <f t="shared" si="62"/>
        <v>-186468.0749999999</v>
      </c>
      <c r="Q1809" s="125">
        <f t="shared" si="62"/>
        <v>0</v>
      </c>
      <c r="R1809" s="125"/>
      <c r="S1809" s="125">
        <f t="shared" si="65"/>
        <v>-3233261.7100007059</v>
      </c>
    </row>
    <row r="1810" spans="1:19">
      <c r="A1810" s="114" t="s">
        <v>115</v>
      </c>
      <c r="B1810" s="125">
        <f t="shared" si="68"/>
        <v>147050721.35992584</v>
      </c>
      <c r="C1810" s="125">
        <f t="shared" si="68"/>
        <v>47869454.665903956</v>
      </c>
      <c r="D1810" s="125">
        <f t="shared" si="68"/>
        <v>59115656.630267248</v>
      </c>
      <c r="E1810" s="125">
        <f t="shared" si="68"/>
        <v>67822015.062068969</v>
      </c>
      <c r="F1810" s="125">
        <f t="shared" si="68"/>
        <v>174807126.35824016</v>
      </c>
      <c r="G1810" s="125">
        <f t="shared" si="68"/>
        <v>-642857.14285714284</v>
      </c>
      <c r="H1810" s="125">
        <f t="shared" si="68"/>
        <v>1452.4947404120592</v>
      </c>
      <c r="I1810" s="125">
        <f t="shared" si="68"/>
        <v>876.56508123505648</v>
      </c>
      <c r="J1810" s="125">
        <f t="shared" si="68"/>
        <v>689.35143066939713</v>
      </c>
      <c r="K1810" s="125">
        <f t="shared" si="68"/>
        <v>853.23236515666406</v>
      </c>
      <c r="L1810" s="125">
        <f t="shared" si="68"/>
        <v>2419.1488770611177</v>
      </c>
      <c r="M1810" s="125">
        <f t="shared" si="68"/>
        <v>-90</v>
      </c>
      <c r="N1810" s="174">
        <f t="shared" si="61"/>
        <v>14023.333333333334</v>
      </c>
      <c r="O1810" s="125"/>
      <c r="P1810" s="125">
        <f t="shared" si="62"/>
        <v>-473144.01428571431</v>
      </c>
      <c r="Q1810" s="125">
        <f t="shared" si="62"/>
        <v>0</v>
      </c>
      <c r="R1810" s="125"/>
      <c r="S1810" s="125">
        <f t="shared" si="65"/>
        <v>-2728822.8952389145</v>
      </c>
    </row>
    <row r="1811" spans="1:19">
      <c r="A1811" s="114" t="s">
        <v>114</v>
      </c>
      <c r="B1811" s="125" t="e">
        <f t="shared" ref="B1811:M1811" si="69">AVERAGEIFS(B$3:B$1765,$A$3:$A$1765,"&gt;="&amp;DATE("20"&amp;RIGHT($A1811,2),MONTH(1&amp;MID($A1811,8,3)),1),$A$3:$A$1765,"&lt;="&amp;DATE("20"&amp;RIGHT($A1811,2),MONTH(1&amp;MID($A1811,8,3)),DAY(EOMONTH(DATE(RIGHT("20"&amp;$A1811,2),MONTH(1&amp;MID($A1811,8,3)),1),0))))</f>
        <v>#DIV/0!</v>
      </c>
      <c r="C1811" s="125" t="e">
        <f t="shared" si="69"/>
        <v>#DIV/0!</v>
      </c>
      <c r="D1811" s="125" t="e">
        <f t="shared" si="69"/>
        <v>#DIV/0!</v>
      </c>
      <c r="E1811" s="125" t="e">
        <f t="shared" si="69"/>
        <v>#DIV/0!</v>
      </c>
      <c r="F1811" s="125" t="e">
        <f t="shared" si="69"/>
        <v>#DIV/0!</v>
      </c>
      <c r="G1811" s="125" t="e">
        <f t="shared" si="69"/>
        <v>#DIV/0!</v>
      </c>
      <c r="H1811" s="125" t="e">
        <f t="shared" si="69"/>
        <v>#DIV/0!</v>
      </c>
      <c r="I1811" s="125" t="e">
        <f t="shared" si="69"/>
        <v>#DIV/0!</v>
      </c>
      <c r="J1811" s="125" t="e">
        <f t="shared" si="69"/>
        <v>#DIV/0!</v>
      </c>
      <c r="K1811" s="125" t="e">
        <f t="shared" si="69"/>
        <v>#DIV/0!</v>
      </c>
      <c r="L1811" s="125" t="e">
        <f t="shared" si="69"/>
        <v>#DIV/0!</v>
      </c>
      <c r="M1811" s="125" t="e">
        <f t="shared" si="69"/>
        <v>#DIV/0!</v>
      </c>
      <c r="N1811" s="174" t="e">
        <f t="shared" si="61"/>
        <v>#DIV/0!</v>
      </c>
      <c r="O1811" s="125"/>
      <c r="P1811" s="125" t="e">
        <f t="shared" si="62"/>
        <v>#DIV/0!</v>
      </c>
      <c r="Q1811" s="125" t="e">
        <f t="shared" si="62"/>
        <v>#DIV/0!</v>
      </c>
      <c r="R1811" s="125"/>
      <c r="S1811" s="125" t="e">
        <f t="shared" si="65"/>
        <v>#DIV/0!</v>
      </c>
    </row>
    <row r="1812" spans="1:19">
      <c r="A1812" s="114" t="s">
        <v>113</v>
      </c>
      <c r="B1812" s="125">
        <f t="shared" ref="B1812:M1812" si="70">AVERAGEIFS(B$3:B$1765,$A$3:$A$1765,"&gt;="&amp;DATE("20"&amp;RIGHT($A1812,2),MONTH(1&amp;MID($A1812,8,3)),1),$A$3:$A$1765,"&lt;="&amp;DATE("20"&amp;RIGHT($A1812,2),MONTH(1&amp;MID($A1812,8,3)),DAY(EOMONTH(DATE(RIGHT("20"&amp;$A1812,2),MONTH(1&amp;MID($A1812,8,3)),1),0))))</f>
        <v>149191227.15153906</v>
      </c>
      <c r="C1812" s="125">
        <f t="shared" si="70"/>
        <v>53412517.50502979</v>
      </c>
      <c r="D1812" s="125">
        <f t="shared" si="70"/>
        <v>55844129.49638997</v>
      </c>
      <c r="E1812" s="125">
        <f t="shared" si="70"/>
        <v>77512928.01222308</v>
      </c>
      <c r="F1812" s="125">
        <f t="shared" si="70"/>
        <v>186769575.01364279</v>
      </c>
      <c r="G1812" s="125">
        <f t="shared" si="70"/>
        <v>0</v>
      </c>
      <c r="H1812" s="125">
        <f t="shared" si="70"/>
        <v>1482.1589263369997</v>
      </c>
      <c r="I1812" s="125">
        <f t="shared" si="70"/>
        <v>971.98826668746574</v>
      </c>
      <c r="J1812" s="125">
        <f t="shared" si="70"/>
        <v>701.05685785959611</v>
      </c>
      <c r="K1812" s="125">
        <f t="shared" si="70"/>
        <v>857.56470587246542</v>
      </c>
      <c r="L1812" s="125">
        <f t="shared" si="70"/>
        <v>2530.609830419527</v>
      </c>
      <c r="M1812" s="125">
        <f t="shared" si="70"/>
        <v>-75.62539638382043</v>
      </c>
      <c r="N1812" s="174">
        <f t="shared" si="61"/>
        <v>14201.261904761905</v>
      </c>
      <c r="O1812" s="125"/>
      <c r="P1812" s="125">
        <f t="shared" si="62"/>
        <v>-446298.14999999985</v>
      </c>
      <c r="Q1812" s="125">
        <f t="shared" si="62"/>
        <v>0</v>
      </c>
      <c r="R1812" s="125"/>
      <c r="S1812" s="125">
        <f t="shared" si="65"/>
        <v>-239740.2380969284</v>
      </c>
    </row>
    <row r="1813" spans="1:19">
      <c r="A1813" s="114" t="s">
        <v>112</v>
      </c>
      <c r="B1813" s="125" t="e">
        <f t="shared" ref="B1813:M1813" si="71">AVERAGEIFS(B$3:B$1765,$A$3:$A$1765,"&gt;="&amp;DATE("20"&amp;RIGHT($A1813,2),MONTH(1&amp;MID($A1813,8,3)),1),$A$3:$A$1765,"&lt;="&amp;DATE("20"&amp;RIGHT($A1813,2),MONTH(1&amp;MID($A1813,8,3)),DAY(EOMONTH(DATE(RIGHT("20"&amp;$A1813,2),MONTH(1&amp;MID($A1813,8,3)),1),0))))</f>
        <v>#DIV/0!</v>
      </c>
      <c r="C1813" s="125" t="e">
        <f t="shared" si="71"/>
        <v>#DIV/0!</v>
      </c>
      <c r="D1813" s="125" t="e">
        <f t="shared" si="71"/>
        <v>#DIV/0!</v>
      </c>
      <c r="E1813" s="125" t="e">
        <f t="shared" si="71"/>
        <v>#DIV/0!</v>
      </c>
      <c r="F1813" s="125" t="e">
        <f t="shared" si="71"/>
        <v>#DIV/0!</v>
      </c>
      <c r="G1813" s="125" t="e">
        <f t="shared" si="71"/>
        <v>#DIV/0!</v>
      </c>
      <c r="H1813" s="125" t="e">
        <f t="shared" si="71"/>
        <v>#DIV/0!</v>
      </c>
      <c r="I1813" s="125" t="e">
        <f t="shared" si="71"/>
        <v>#DIV/0!</v>
      </c>
      <c r="J1813" s="125" t="e">
        <f t="shared" si="71"/>
        <v>#DIV/0!</v>
      </c>
      <c r="K1813" s="125" t="e">
        <f t="shared" si="71"/>
        <v>#DIV/0!</v>
      </c>
      <c r="L1813" s="125" t="e">
        <f t="shared" si="71"/>
        <v>#DIV/0!</v>
      </c>
      <c r="M1813" s="125" t="e">
        <f t="shared" si="71"/>
        <v>#DIV/0!</v>
      </c>
      <c r="N1813" s="174" t="e">
        <f t="shared" si="61"/>
        <v>#DIV/0!</v>
      </c>
      <c r="O1813" s="125"/>
      <c r="P1813" s="125" t="e">
        <f t="shared" si="62"/>
        <v>#DIV/0!</v>
      </c>
      <c r="Q1813" s="125" t="e">
        <f t="shared" si="62"/>
        <v>#DIV/0!</v>
      </c>
      <c r="R1813" s="125"/>
      <c r="S1813" s="125" t="e">
        <f t="shared" si="65"/>
        <v>#DIV/0!</v>
      </c>
    </row>
    <row r="1814" spans="1:19">
      <c r="A1814" s="114" t="s">
        <v>111</v>
      </c>
      <c r="B1814" s="125">
        <f t="shared" ref="B1814:M1814" si="72">AVERAGEIFS(B$3:B$1765,$A$3:$A$1765,"&gt;="&amp;DATE("20"&amp;RIGHT($A1814,2),MONTH(1&amp;MID($A1814,8,3)),1),$A$3:$A$1765,"&lt;="&amp;DATE("20"&amp;RIGHT($A1814,2),MONTH(1&amp;MID($A1814,8,3)),DAY(EOMONTH(DATE(RIGHT("20"&amp;$A1814,2),MONTH(1&amp;MID($A1814,8,3)),1),0))))</f>
        <v>154327552.46626756</v>
      </c>
      <c r="C1814" s="125">
        <f t="shared" si="72"/>
        <v>49862208.807674594</v>
      </c>
      <c r="D1814" s="125">
        <f t="shared" si="72"/>
        <v>54797039.824412733</v>
      </c>
      <c r="E1814" s="125">
        <f t="shared" si="72"/>
        <v>70171847.523290023</v>
      </c>
      <c r="F1814" s="125">
        <f t="shared" si="72"/>
        <v>174831096.15537736</v>
      </c>
      <c r="G1814" s="125">
        <f t="shared" si="72"/>
        <v>0</v>
      </c>
      <c r="H1814" s="125">
        <f t="shared" si="72"/>
        <v>1545.5765299296208</v>
      </c>
      <c r="I1814" s="125">
        <f t="shared" si="72"/>
        <v>1014.6962490979174</v>
      </c>
      <c r="J1814" s="125">
        <f t="shared" si="72"/>
        <v>690.03635898580126</v>
      </c>
      <c r="K1814" s="125">
        <f t="shared" si="72"/>
        <v>789.37597720268639</v>
      </c>
      <c r="L1814" s="125">
        <f t="shared" si="72"/>
        <v>2494.1085852864057</v>
      </c>
      <c r="M1814" s="125">
        <f t="shared" si="72"/>
        <v>0</v>
      </c>
      <c r="N1814" s="174">
        <f t="shared" si="61"/>
        <v>14806.022727272728</v>
      </c>
      <c r="O1814" s="125"/>
      <c r="P1814" s="125">
        <f t="shared" si="62"/>
        <v>-192293.67272727273</v>
      </c>
      <c r="Q1814" s="125">
        <f t="shared" si="62"/>
        <v>0</v>
      </c>
      <c r="R1814" s="125"/>
      <c r="S1814" s="125">
        <f t="shared" si="65"/>
        <v>-4298116.1600016914</v>
      </c>
    </row>
    <row r="1815" spans="1:19">
      <c r="A1815" s="114" t="s">
        <v>110</v>
      </c>
      <c r="B1815" s="125" t="e">
        <f t="shared" ref="B1815:M1817" si="73">AVERAGEIFS(B$3:B$1765,$A$3:$A$1765,"&gt;="&amp;DATE("20"&amp;RIGHT($A1815,2),MONTH(1&amp;MID($A1815,8,3)),1),$A$3:$A$1765,"&lt;="&amp;DATE("20"&amp;RIGHT($A1815,2),MONTH(1&amp;MID($A1815,8,3)),DAY(EOMONTH(DATE(RIGHT("20"&amp;$A1815,2),MONTH(1&amp;MID($A1815,8,3)),1),0))))</f>
        <v>#DIV/0!</v>
      </c>
      <c r="C1815" s="125" t="e">
        <f t="shared" si="73"/>
        <v>#DIV/0!</v>
      </c>
      <c r="D1815" s="125" t="e">
        <f t="shared" si="73"/>
        <v>#DIV/0!</v>
      </c>
      <c r="E1815" s="125" t="e">
        <f t="shared" si="73"/>
        <v>#DIV/0!</v>
      </c>
      <c r="F1815" s="125" t="e">
        <f t="shared" si="73"/>
        <v>#DIV/0!</v>
      </c>
      <c r="G1815" s="125" t="e">
        <f t="shared" si="73"/>
        <v>#DIV/0!</v>
      </c>
      <c r="H1815" s="125" t="e">
        <f t="shared" si="73"/>
        <v>#DIV/0!</v>
      </c>
      <c r="I1815" s="125" t="e">
        <f t="shared" si="73"/>
        <v>#DIV/0!</v>
      </c>
      <c r="J1815" s="125" t="e">
        <f t="shared" si="73"/>
        <v>#DIV/0!</v>
      </c>
      <c r="K1815" s="125" t="e">
        <f t="shared" si="73"/>
        <v>#DIV/0!</v>
      </c>
      <c r="L1815" s="125" t="e">
        <f t="shared" si="73"/>
        <v>#DIV/0!</v>
      </c>
      <c r="M1815" s="125" t="e">
        <f t="shared" si="73"/>
        <v>#DIV/0!</v>
      </c>
      <c r="N1815" s="174" t="e">
        <f t="shared" si="61"/>
        <v>#DIV/0!</v>
      </c>
      <c r="O1815" s="125"/>
      <c r="P1815" s="125" t="e">
        <f t="shared" si="62"/>
        <v>#DIV/0!</v>
      </c>
      <c r="Q1815" s="125" t="e">
        <f t="shared" si="62"/>
        <v>#DIV/0!</v>
      </c>
      <c r="R1815" s="125"/>
      <c r="S1815" s="125" t="e">
        <f t="shared" si="65"/>
        <v>#DIV/0!</v>
      </c>
    </row>
    <row r="1816" spans="1:19">
      <c r="A1816" s="114" t="s">
        <v>106</v>
      </c>
      <c r="B1816" s="125">
        <f t="shared" si="73"/>
        <v>159110037.3036598</v>
      </c>
      <c r="C1816" s="125">
        <f t="shared" si="73"/>
        <v>48178855.648861617</v>
      </c>
      <c r="D1816" s="125">
        <f t="shared" si="73"/>
        <v>55209223.840794168</v>
      </c>
      <c r="E1816" s="125">
        <f t="shared" si="73"/>
        <v>68547790.619460106</v>
      </c>
      <c r="F1816" s="125">
        <f t="shared" si="73"/>
        <v>171935870.1091159</v>
      </c>
      <c r="G1816" s="125">
        <f t="shared" si="73"/>
        <v>-356521.73913043475</v>
      </c>
      <c r="H1816" s="125">
        <f t="shared" si="73"/>
        <v>1499.3032071989164</v>
      </c>
      <c r="I1816" s="125">
        <f t="shared" si="73"/>
        <v>956.44634036367188</v>
      </c>
      <c r="J1816" s="125">
        <f t="shared" si="73"/>
        <v>622.29112912963569</v>
      </c>
      <c r="K1816" s="125">
        <f t="shared" si="73"/>
        <v>744.11623783879099</v>
      </c>
      <c r="L1816" s="125">
        <f t="shared" si="73"/>
        <v>2322.853707332099</v>
      </c>
      <c r="M1816" s="125">
        <f t="shared" si="73"/>
        <v>-27.075282993479096</v>
      </c>
      <c r="N1816" s="174">
        <f t="shared" si="61"/>
        <v>14533.021739130434</v>
      </c>
      <c r="O1816" s="125"/>
      <c r="P1816" s="125">
        <f t="shared" si="62"/>
        <v>0</v>
      </c>
      <c r="Q1816" s="125">
        <f t="shared" si="62"/>
        <v>0</v>
      </c>
      <c r="R1816" s="125"/>
      <c r="S1816" s="125">
        <f t="shared" si="65"/>
        <v>-4308913.2430450628</v>
      </c>
    </row>
    <row r="1817" spans="1:19">
      <c r="A1817" s="114" t="s">
        <v>105</v>
      </c>
      <c r="B1817" s="125">
        <f t="shared" si="73"/>
        <v>160808181.53570566</v>
      </c>
      <c r="C1817" s="125">
        <f t="shared" si="73"/>
        <v>47343110.13672787</v>
      </c>
      <c r="D1817" s="125">
        <f t="shared" si="73"/>
        <v>55044607.089224279</v>
      </c>
      <c r="E1817" s="125">
        <f t="shared" si="73"/>
        <v>67758289.739893883</v>
      </c>
      <c r="F1817" s="125">
        <f t="shared" si="73"/>
        <v>170146006.96584603</v>
      </c>
      <c r="G1817" s="125">
        <f t="shared" si="73"/>
        <v>-119761.90476190476</v>
      </c>
      <c r="H1817" s="125">
        <f t="shared" si="73"/>
        <v>1516.4475416132125</v>
      </c>
      <c r="I1817" s="125">
        <f t="shared" si="73"/>
        <v>987.41334515561482</v>
      </c>
      <c r="J1817" s="125">
        <f t="shared" si="73"/>
        <v>603.51287239611895</v>
      </c>
      <c r="K1817" s="125">
        <f t="shared" si="73"/>
        <v>765.04657127779922</v>
      </c>
      <c r="L1817" s="125">
        <f t="shared" si="73"/>
        <v>2355.9727888295333</v>
      </c>
      <c r="M1817" s="125">
        <f t="shared" si="73"/>
        <v>-1.1904761904761905</v>
      </c>
      <c r="N1817" s="174">
        <f t="shared" si="61"/>
        <v>14105.357142857143</v>
      </c>
      <c r="O1817" s="125"/>
      <c r="P1817" s="125">
        <f t="shared" si="62"/>
        <v>-233390.57142857142</v>
      </c>
      <c r="Q1817" s="125">
        <f t="shared" si="62"/>
        <v>0</v>
      </c>
      <c r="R1817" s="125"/>
      <c r="S1817" s="125">
        <f t="shared" si="65"/>
        <v>-1659488.0000016396</v>
      </c>
    </row>
    <row r="1818" spans="1:19">
      <c r="A1818" s="114" t="s">
        <v>104</v>
      </c>
      <c r="B1818" s="125" t="e">
        <f t="shared" ref="B1818:M1818" si="74">AVERAGEIFS(B$3:B$1765,$A$3:$A$1765,"&gt;="&amp;DATE("20"&amp;RIGHT($A1818,2),MONTH(1&amp;MID($A1818,8,3)),1),$A$3:$A$1765,"&lt;="&amp;DATE("20"&amp;RIGHT($A1818,2),MONTH(1&amp;MID($A1818,8,3)),DAY(EOMONTH(DATE(RIGHT("20"&amp;$A1818,2),MONTH(1&amp;MID($A1818,8,3)),1),0))))</f>
        <v>#DIV/0!</v>
      </c>
      <c r="C1818" s="125" t="e">
        <f t="shared" si="74"/>
        <v>#DIV/0!</v>
      </c>
      <c r="D1818" s="125" t="e">
        <f t="shared" si="74"/>
        <v>#DIV/0!</v>
      </c>
      <c r="E1818" s="125" t="e">
        <f t="shared" si="74"/>
        <v>#DIV/0!</v>
      </c>
      <c r="F1818" s="125" t="e">
        <f t="shared" si="74"/>
        <v>#DIV/0!</v>
      </c>
      <c r="G1818" s="125" t="e">
        <f t="shared" si="74"/>
        <v>#DIV/0!</v>
      </c>
      <c r="H1818" s="125" t="e">
        <f t="shared" si="74"/>
        <v>#DIV/0!</v>
      </c>
      <c r="I1818" s="125" t="e">
        <f t="shared" si="74"/>
        <v>#DIV/0!</v>
      </c>
      <c r="J1818" s="125" t="e">
        <f t="shared" si="74"/>
        <v>#DIV/0!</v>
      </c>
      <c r="K1818" s="125" t="e">
        <f t="shared" si="74"/>
        <v>#DIV/0!</v>
      </c>
      <c r="L1818" s="125" t="e">
        <f t="shared" si="74"/>
        <v>#DIV/0!</v>
      </c>
      <c r="M1818" s="125" t="e">
        <f t="shared" si="74"/>
        <v>#DIV/0!</v>
      </c>
      <c r="N1818" s="174" t="e">
        <f t="shared" si="61"/>
        <v>#DIV/0!</v>
      </c>
      <c r="O1818" s="125"/>
      <c r="P1818" s="125" t="e">
        <f t="shared" si="62"/>
        <v>#DIV/0!</v>
      </c>
      <c r="Q1818" s="125" t="e">
        <f t="shared" si="62"/>
        <v>#DIV/0!</v>
      </c>
      <c r="R1818" s="125"/>
      <c r="S1818" s="125" t="e">
        <f t="shared" si="65"/>
        <v>#DIV/0!</v>
      </c>
    </row>
    <row r="1819" spans="1:19">
      <c r="A1819" s="114" t="s">
        <v>103</v>
      </c>
      <c r="B1819" s="125">
        <f t="shared" ref="B1819:M1820" si="75">AVERAGEIFS(B$3:B$1765,$A$3:$A$1765,"&gt;="&amp;DATE("20"&amp;RIGHT($A1819,2),MONTH(1&amp;MID($A1819,8,3)),1),$A$3:$A$1765,"&lt;="&amp;DATE("20"&amp;RIGHT($A1819,2),MONTH(1&amp;MID($A1819,8,3)),DAY(EOMONTH(DATE(RIGHT("20"&amp;$A1819,2),MONTH(1&amp;MID($A1819,8,3)),1),0))))</f>
        <v>164064952.45728388</v>
      </c>
      <c r="C1819" s="125">
        <f t="shared" si="75"/>
        <v>47246000.709309325</v>
      </c>
      <c r="D1819" s="125">
        <f t="shared" si="75"/>
        <v>54656198.940850392</v>
      </c>
      <c r="E1819" s="125">
        <f t="shared" si="75"/>
        <v>66296900.088193633</v>
      </c>
      <c r="F1819" s="125">
        <f t="shared" si="75"/>
        <v>168199099.73835337</v>
      </c>
      <c r="G1819" s="125">
        <f t="shared" si="75"/>
        <v>-671428.57142857148</v>
      </c>
      <c r="H1819" s="125">
        <f t="shared" si="75"/>
        <v>1533.8460000575274</v>
      </c>
      <c r="I1819" s="125">
        <f t="shared" si="75"/>
        <v>1014.9215542056105</v>
      </c>
      <c r="J1819" s="125">
        <f t="shared" si="75"/>
        <v>577.82133475710918</v>
      </c>
      <c r="K1819" s="125">
        <f t="shared" si="75"/>
        <v>793.1100544575836</v>
      </c>
      <c r="L1819" s="125">
        <f t="shared" si="75"/>
        <v>2385.8529434203033</v>
      </c>
      <c r="M1819" s="125">
        <f t="shared" si="75"/>
        <v>0</v>
      </c>
      <c r="N1819" s="174">
        <f t="shared" si="61"/>
        <v>15710.595238095239</v>
      </c>
      <c r="P1819" s="125"/>
      <c r="Q1819" s="125"/>
      <c r="R1819" s="125"/>
      <c r="S1819" s="125"/>
    </row>
    <row r="1820" spans="1:19">
      <c r="A1820" s="114" t="s">
        <v>102</v>
      </c>
      <c r="B1820" s="125">
        <f t="shared" si="75"/>
        <v>165927807.85498178</v>
      </c>
      <c r="C1820" s="125">
        <f t="shared" si="75"/>
        <v>44231711.614445753</v>
      </c>
      <c r="D1820" s="125">
        <f t="shared" si="75"/>
        <v>54112903.702089272</v>
      </c>
      <c r="E1820" s="125">
        <f t="shared" si="75"/>
        <v>68373164.000340641</v>
      </c>
      <c r="F1820" s="125">
        <f t="shared" si="75"/>
        <v>166717779.31687561</v>
      </c>
      <c r="G1820" s="125">
        <f t="shared" si="75"/>
        <v>-397857.14285714284</v>
      </c>
      <c r="H1820" s="125">
        <f t="shared" si="75"/>
        <v>1513.8069785389985</v>
      </c>
      <c r="I1820" s="125">
        <f t="shared" si="75"/>
        <v>1056.554462971133</v>
      </c>
      <c r="J1820" s="125">
        <f t="shared" si="75"/>
        <v>599.9586880332738</v>
      </c>
      <c r="K1820" s="125">
        <f t="shared" si="75"/>
        <v>1045.2868132711988</v>
      </c>
      <c r="L1820" s="125">
        <f t="shared" si="75"/>
        <v>2701.7999642756058</v>
      </c>
      <c r="M1820" s="125">
        <f t="shared" si="75"/>
        <v>-2.6190476190476191</v>
      </c>
      <c r="N1820" s="174">
        <f t="shared" si="61"/>
        <v>15189.619047619048</v>
      </c>
      <c r="P1820" s="125"/>
      <c r="Q1820" s="125"/>
      <c r="S1820" s="125"/>
    </row>
    <row r="1821" spans="1:19">
      <c r="A1821" s="114" t="s">
        <v>100</v>
      </c>
      <c r="B1821" s="125">
        <f t="shared" ref="B1821:M1821" si="76">AVERAGEIFS(B$3:B$1765,$A$3:$A$1765,"&gt;="&amp;DATE("20"&amp;RIGHT($A1821,2),MONTH(1&amp;MID($A1821,8,3)),1),$A$3:$A$1765,"&lt;="&amp;DATE("20"&amp;RIGHT($A1821,2),MONTH(1&amp;MID($A1821,8,3)),DAY(EOMONTH(DATE(RIGHT("20"&amp;$A1821,2),MONTH(1&amp;MID($A1821,8,3)),1),0))))</f>
        <v>164782812.23412365</v>
      </c>
      <c r="C1821" s="125">
        <f t="shared" si="76"/>
        <v>40777632.60135933</v>
      </c>
      <c r="D1821" s="125">
        <f t="shared" si="76"/>
        <v>52212500.445346318</v>
      </c>
      <c r="E1821" s="125">
        <f t="shared" si="76"/>
        <v>72547601.911509782</v>
      </c>
      <c r="F1821" s="125">
        <f t="shared" si="76"/>
        <v>165537734.95821545</v>
      </c>
      <c r="G1821" s="125">
        <f t="shared" si="76"/>
        <v>-141666.66666666666</v>
      </c>
      <c r="H1821" s="125">
        <f t="shared" si="76"/>
        <v>1485.3396360927272</v>
      </c>
      <c r="I1821" s="125">
        <f t="shared" si="76"/>
        <v>1095.3397309542768</v>
      </c>
      <c r="J1821" s="125">
        <f t="shared" si="76"/>
        <v>606.49422973675587</v>
      </c>
      <c r="K1821" s="125">
        <f t="shared" si="76"/>
        <v>1132.3342217410504</v>
      </c>
      <c r="L1821" s="125">
        <f t="shared" si="76"/>
        <v>2834.1681824320831</v>
      </c>
      <c r="M1821" s="125">
        <f t="shared" si="76"/>
        <v>0</v>
      </c>
      <c r="N1821" s="174">
        <f t="shared" si="61"/>
        <v>13795.428571428571</v>
      </c>
      <c r="P1821" s="125"/>
      <c r="Q1821" s="125"/>
      <c r="S1821" s="125"/>
    </row>
    <row r="1822" spans="1:19">
      <c r="A1822" s="114" t="s">
        <v>203</v>
      </c>
      <c r="B1822" s="125">
        <f t="shared" ref="B1822:M1822" si="77">+AVERAGE(B591:B612)</f>
        <v>166199991.62342703</v>
      </c>
      <c r="C1822" s="125">
        <f t="shared" si="77"/>
        <v>41026780.629619747</v>
      </c>
      <c r="D1822" s="125">
        <f t="shared" si="77"/>
        <v>51368863.725577734</v>
      </c>
      <c r="E1822" s="125">
        <f t="shared" si="77"/>
        <v>72558863.314799249</v>
      </c>
      <c r="F1822" s="125">
        <f t="shared" si="77"/>
        <v>164954507.66999674</v>
      </c>
      <c r="G1822" s="125">
        <f t="shared" si="77"/>
        <v>-33863.63636363636</v>
      </c>
      <c r="H1822" s="125">
        <f t="shared" si="77"/>
        <v>1518.3503202276202</v>
      </c>
      <c r="I1822" s="125">
        <f t="shared" si="77"/>
        <v>954.55830196365719</v>
      </c>
      <c r="J1822" s="125">
        <f t="shared" si="77"/>
        <v>591.55445861429621</v>
      </c>
      <c r="K1822" s="125">
        <f t="shared" si="77"/>
        <v>1202.9303379197283</v>
      </c>
      <c r="L1822" s="125">
        <f t="shared" si="77"/>
        <v>2749.043098497682</v>
      </c>
      <c r="M1822" s="125">
        <f t="shared" si="77"/>
        <v>0</v>
      </c>
      <c r="N1822" s="174">
        <f t="shared" si="61"/>
        <v>13713.431818181818</v>
      </c>
      <c r="P1822" s="126"/>
    </row>
    <row r="1823" spans="1:19">
      <c r="A1823" s="114" t="s">
        <v>204</v>
      </c>
      <c r="B1823" s="125">
        <f t="shared" ref="B1823:M1823" si="78">+AVERAGE(B571:B590)</f>
        <v>164232480.28399855</v>
      </c>
      <c r="C1823" s="125">
        <f t="shared" si="78"/>
        <v>41549274.152098216</v>
      </c>
      <c r="D1823" s="125">
        <f t="shared" si="78"/>
        <v>50816530.963722259</v>
      </c>
      <c r="E1823" s="125">
        <f t="shared" si="78"/>
        <v>73039551.921250731</v>
      </c>
      <c r="F1823" s="125">
        <f t="shared" si="78"/>
        <v>165405357.03707126</v>
      </c>
      <c r="G1823" s="125">
        <f t="shared" si="78"/>
        <v>-313250</v>
      </c>
      <c r="H1823" s="125">
        <f t="shared" si="78"/>
        <v>1578.0350637597908</v>
      </c>
      <c r="I1823" s="125">
        <f t="shared" si="78"/>
        <v>1012.2082426152376</v>
      </c>
      <c r="J1823" s="125">
        <f t="shared" si="78"/>
        <v>566.97262067612178</v>
      </c>
      <c r="K1823" s="125">
        <f t="shared" si="78"/>
        <v>1124.6150830086783</v>
      </c>
      <c r="L1823" s="125">
        <f t="shared" si="78"/>
        <v>2703.795946300037</v>
      </c>
      <c r="M1823" s="125">
        <f t="shared" si="78"/>
        <v>-0.75</v>
      </c>
      <c r="N1823" s="175"/>
    </row>
    <row r="1824" spans="1:19">
      <c r="B1824" s="125"/>
      <c r="C1824" s="125"/>
      <c r="D1824" s="125"/>
      <c r="E1824" s="125"/>
      <c r="F1824" s="123"/>
      <c r="G1824" s="125"/>
      <c r="H1824" s="125"/>
      <c r="I1824" s="125"/>
      <c r="J1824" s="125"/>
      <c r="K1824" s="125"/>
      <c r="L1824" s="125"/>
      <c r="M1824" s="125"/>
      <c r="P1824" s="126"/>
    </row>
    <row r="1825" spans="1:26">
      <c r="A1825" s="145" t="s">
        <v>107</v>
      </c>
      <c r="B1825" s="146">
        <f t="shared" ref="B1825:Q1825" si="79">IFERROR(VLOOKUP("Average"&amp;TEXT(EOMONTH($A1765,-1),"mmmyy"),$A1766:$Z1801,B1826,0)-VLOOKUP("Average"&amp;TEXT(EOMONTH($A1765,-2),"mmmyy"),$A1766:$Z1801,B1826,0),0)</f>
        <v>0</v>
      </c>
      <c r="C1825" s="146">
        <f t="shared" si="79"/>
        <v>0</v>
      </c>
      <c r="D1825" s="146">
        <f t="shared" si="79"/>
        <v>0</v>
      </c>
      <c r="E1825" s="146">
        <f t="shared" si="79"/>
        <v>0</v>
      </c>
      <c r="F1825" s="146">
        <f t="shared" si="79"/>
        <v>0</v>
      </c>
      <c r="G1825" s="146">
        <f t="shared" si="79"/>
        <v>0</v>
      </c>
      <c r="H1825" s="146">
        <f t="shared" si="79"/>
        <v>0</v>
      </c>
      <c r="I1825" s="146">
        <f t="shared" si="79"/>
        <v>0</v>
      </c>
      <c r="J1825" s="146">
        <f t="shared" si="79"/>
        <v>0</v>
      </c>
      <c r="K1825" s="146">
        <f t="shared" si="79"/>
        <v>0</v>
      </c>
      <c r="L1825" s="146">
        <f t="shared" si="79"/>
        <v>0</v>
      </c>
      <c r="M1825" s="146">
        <f t="shared" si="79"/>
        <v>0</v>
      </c>
      <c r="N1825" s="146">
        <f t="shared" si="79"/>
        <v>0</v>
      </c>
      <c r="O1825" s="146">
        <f t="shared" si="79"/>
        <v>0</v>
      </c>
      <c r="P1825" s="146">
        <f t="shared" si="79"/>
        <v>0</v>
      </c>
      <c r="Q1825" s="146">
        <f t="shared" si="79"/>
        <v>0</v>
      </c>
      <c r="R1825" s="146"/>
      <c r="S1825" s="146">
        <f t="shared" ref="S1825:Z1825" si="80">IFERROR(VLOOKUP("Average"&amp;TEXT(EOMONTH($A1765,-1),"mmmyy"),$A1766:$Z1801,S1826,0)-VLOOKUP("Average"&amp;TEXT(EOMONTH($A1765,-2),"mmmyy"),$A1766:$Z1801,S1826,0),0)</f>
        <v>0</v>
      </c>
      <c r="T1825" s="146">
        <f t="shared" si="80"/>
        <v>0</v>
      </c>
      <c r="U1825" s="146">
        <f t="shared" si="80"/>
        <v>0</v>
      </c>
      <c r="V1825" s="146">
        <f t="shared" si="80"/>
        <v>0</v>
      </c>
      <c r="W1825" s="146">
        <f t="shared" si="80"/>
        <v>0</v>
      </c>
      <c r="X1825" s="146">
        <f t="shared" si="80"/>
        <v>0</v>
      </c>
      <c r="Y1825" s="146">
        <f t="shared" si="80"/>
        <v>0</v>
      </c>
      <c r="Z1825" s="146">
        <f t="shared" si="80"/>
        <v>0</v>
      </c>
    </row>
    <row r="1826" spans="1:26" s="229" customFormat="1">
      <c r="A1826" s="229">
        <v>1</v>
      </c>
      <c r="B1826" s="229">
        <v>2</v>
      </c>
      <c r="C1826" s="229">
        <v>3</v>
      </c>
      <c r="D1826" s="229">
        <v>4</v>
      </c>
      <c r="E1826" s="229">
        <v>5</v>
      </c>
      <c r="F1826" s="229">
        <v>6</v>
      </c>
      <c r="G1826" s="229">
        <v>7</v>
      </c>
      <c r="H1826" s="229">
        <v>8</v>
      </c>
      <c r="I1826" s="229">
        <v>9</v>
      </c>
      <c r="J1826" s="229">
        <v>10</v>
      </c>
      <c r="K1826" s="229">
        <v>11</v>
      </c>
      <c r="L1826" s="229">
        <v>12</v>
      </c>
      <c r="M1826" s="229">
        <v>13</v>
      </c>
      <c r="N1826" s="229">
        <v>14</v>
      </c>
      <c r="O1826" s="229">
        <v>15</v>
      </c>
      <c r="P1826" s="229">
        <v>16</v>
      </c>
      <c r="Q1826" s="229">
        <v>17</v>
      </c>
      <c r="S1826" s="229">
        <v>19</v>
      </c>
      <c r="T1826" s="229">
        <v>20</v>
      </c>
      <c r="U1826" s="229">
        <v>21</v>
      </c>
      <c r="V1826" s="229">
        <v>22</v>
      </c>
      <c r="W1826" s="229">
        <v>23</v>
      </c>
      <c r="X1826" s="229">
        <v>24</v>
      </c>
      <c r="Y1826" s="229">
        <v>25</v>
      </c>
      <c r="Z1826" s="229">
        <v>26</v>
      </c>
    </row>
    <row r="1827" spans="1:26">
      <c r="A1827" s="148" t="s">
        <v>109</v>
      </c>
      <c r="B1827" s="149"/>
      <c r="C1827" s="149"/>
      <c r="D1827" s="149"/>
      <c r="E1827" s="149"/>
      <c r="F1827" s="149"/>
      <c r="G1827" s="149"/>
      <c r="H1827" s="149">
        <f>+B1766+(H1766*N1766)</f>
        <v>-397652.59983334533</v>
      </c>
      <c r="I1827" s="149">
        <f>+C1766+(I1766*N1766)</f>
        <v>-1991786.4428606106</v>
      </c>
      <c r="J1827" s="149">
        <f>+D1766+(J1766*N1766)</f>
        <v>449373.23509968293</v>
      </c>
      <c r="K1827" s="149">
        <f>+E1766+(K1766*N1766)</f>
        <v>-1107487.4289517982</v>
      </c>
      <c r="L1827" s="149">
        <f>+F1766+(L1766*N1766)</f>
        <v>-2649900.6367127406</v>
      </c>
      <c r="M1827" s="149">
        <f>+G1766+(M1766*$N1766)</f>
        <v>-1980000</v>
      </c>
      <c r="O1827" s="144"/>
    </row>
    <row r="1828" spans="1:26" ht="36.75" customHeight="1">
      <c r="H1828" s="147" t="s">
        <v>30</v>
      </c>
      <c r="I1828" s="147" t="s">
        <v>31</v>
      </c>
      <c r="J1828" s="147" t="s">
        <v>32</v>
      </c>
      <c r="K1828" s="147" t="s">
        <v>124</v>
      </c>
      <c r="L1828" s="118" t="s">
        <v>125</v>
      </c>
      <c r="M1828" s="118" t="s">
        <v>36</v>
      </c>
      <c r="O1828" s="144"/>
    </row>
    <row r="1829" spans="1:26" s="141" customFormat="1">
      <c r="A1829" s="145" t="str">
        <f>"Avg All CCY "&amp;TEXT(EOMONTH($A1764,-1),"mmmyy")</f>
        <v>Avg All CCY Aug24</v>
      </c>
      <c r="B1829" s="145"/>
      <c r="C1829" s="145"/>
      <c r="D1829" s="145"/>
      <c r="E1829" s="145"/>
      <c r="F1829" s="145"/>
      <c r="G1829" s="145"/>
      <c r="H1829" s="166" t="e">
        <f>VLOOKUP("Average"&amp;RIGHT($A1829,5),$A$2:$N1825,B1826,0)+VLOOKUP("Average"&amp;RIGHT($A1829,5),$A$2:$N1825,H1826,0)*VLOOKUP("Average"&amp;RIGHT($A1829,5),$A$2:$N1825,$N$1826,0)</f>
        <v>#DIV/0!</v>
      </c>
      <c r="I1829" s="166" t="e">
        <f>VLOOKUP("Average"&amp;RIGHT($A1829,5),$A$2:$N1825,C1826,0)+VLOOKUP("Average"&amp;RIGHT($A1829,5),$A$2:$N1825,I1826,0)*VLOOKUP("Average"&amp;RIGHT($A1829,5),$A$2:$N1825,$N$1826,0)</f>
        <v>#DIV/0!</v>
      </c>
      <c r="J1829" s="166" t="e">
        <f>VLOOKUP("Average"&amp;RIGHT($A1829,5),$A$2:$N1825,D1826,0)+VLOOKUP("Average"&amp;RIGHT($A1829,5),$A$2:$N1825,J1826,0)*VLOOKUP("Average"&amp;RIGHT($A1829,5),$A$2:$N1825,$N$1826,0)</f>
        <v>#DIV/0!</v>
      </c>
      <c r="K1829" s="166" t="e">
        <f>VLOOKUP("Average"&amp;RIGHT($A1829,5),$A$2:$N1825,E1826,0)+VLOOKUP("Average"&amp;RIGHT($A1829,5),$A$2:$N1825,K1826,0)*VLOOKUP("Average"&amp;RIGHT($A1829,5),$A$2:$N1825,$N$1826,0)</f>
        <v>#DIV/0!</v>
      </c>
      <c r="L1829" s="166" t="e">
        <f>VLOOKUP("Average"&amp;RIGHT($A1829,5),$A$2:$N1825,F1826,0)+VLOOKUP("Average"&amp;RIGHT($A1829,5),$A$2:$N1825,L1826,0)*VLOOKUP("Average"&amp;RIGHT($A1829,5),$A$2:$N1825,$N$1826,0)</f>
        <v>#DIV/0!</v>
      </c>
      <c r="M1829" s="2611" t="e">
        <f>VLOOKUP("Average"&amp;RIGHT($A1829,5),$A$2:$N1825,G1826,0)+VLOOKUP("Average"&amp;RIGHT($A1829,5),$A$2:$N1825,M1826,0)*VLOOKUP("Average"&amp;RIGHT($A1829,5),$A$2:$N1825,$N$1826,0)</f>
        <v>#DIV/0!</v>
      </c>
      <c r="N1829" s="139"/>
      <c r="O1829" s="144"/>
      <c r="P1829" s="140"/>
      <c r="Q1829" s="140"/>
      <c r="R1829" s="140"/>
      <c r="S1829" s="140"/>
    </row>
    <row r="1830" spans="1:26" s="141" customFormat="1">
      <c r="A1830" s="145" t="str">
        <f>"Avg All CCY "&amp;TEXT(EOMONTH($A1764,-2),"mmmyy")</f>
        <v>Avg All CCY Jul24</v>
      </c>
      <c r="B1830" s="145"/>
      <c r="C1830" s="145"/>
      <c r="D1830" s="145"/>
      <c r="E1830" s="145"/>
      <c r="F1830" s="145"/>
      <c r="G1830" s="145"/>
      <c r="H1830" s="166">
        <f>VLOOKUP("Average"&amp;RIGHT($A1830,5),$A$2:$N1825,B1826,0)+VLOOKUP("Average"&amp;RIGHT($A1830,5),$A$2:$N1825,H1826,0)*VLOOKUP("Average"&amp;RIGHT($A1830,5),$A$2:$N1825,$N$1826,0)</f>
        <v>204058711.25312003</v>
      </c>
      <c r="I1830" s="166">
        <f>VLOOKUP("Average"&amp;RIGHT($A1830,5),$A$2:$N1825,C1826,0)+VLOOKUP("Average"&amp;RIGHT($A1830,5),$A$2:$N1825,I1826,0)*VLOOKUP("Average"&amp;RIGHT($A1830,5),$A$2:$N1825,$N$1826,0)</f>
        <v>85120429.629902065</v>
      </c>
      <c r="J1830" s="166">
        <f>VLOOKUP("Average"&amp;RIGHT($A1830,5),$A$2:$N1825,D1826,0)+VLOOKUP("Average"&amp;RIGHT($A1830,5),$A$2:$N1825,J1826,0)*VLOOKUP("Average"&amp;RIGHT($A1830,5),$A$2:$N1825,$N$1826,0)</f>
        <v>78986656.343762606</v>
      </c>
      <c r="K1830" s="166">
        <f>VLOOKUP("Average"&amp;RIGHT($A1830,5),$A$2:$N1825,E1826,0)+VLOOKUP("Average"&amp;RIGHT($A1830,5),$A$2:$N1825,K1826,0)*VLOOKUP("Average"&amp;RIGHT($A1830,5),$A$2:$N1825,$N$1826,0)</f>
        <v>87677147.28693977</v>
      </c>
      <c r="L1830" s="166">
        <f>VLOOKUP("Average"&amp;RIGHT($A1830,5),$A$2:$N1825,F1826,0)+VLOOKUP("Average"&amp;RIGHT($A1830,5),$A$2:$N1825,L1826,0)*VLOOKUP("Average"&amp;RIGHT($A1830,5),$A$2:$N1825,$N$1826,0)</f>
        <v>251784233.26060441</v>
      </c>
      <c r="M1830" s="166">
        <f>VLOOKUP("Average"&amp;RIGHT($A1830,5),$A$2:$N1825,G1826,0)+VLOOKUP("Average"&amp;RIGHT($A1830,5),$A$2:$N1825,M1826,0)*VLOOKUP("Average"&amp;RIGHT($A1830,5),$A$2:$N1825,$N$1826,0)</f>
        <v>-2545434.7826086958</v>
      </c>
      <c r="N1830" s="139"/>
      <c r="O1830" s="139"/>
      <c r="P1830" s="140"/>
      <c r="Q1830" s="140"/>
      <c r="R1830" s="140"/>
      <c r="S1830" s="140"/>
    </row>
    <row r="1831" spans="1:26" s="141" customFormat="1">
      <c r="A1831" s="186" t="s">
        <v>108</v>
      </c>
      <c r="B1831" s="186"/>
      <c r="C1831" s="186"/>
      <c r="D1831" s="186"/>
      <c r="E1831" s="186"/>
      <c r="F1831" s="186"/>
      <c r="G1831" s="186"/>
      <c r="H1831" s="187" t="e">
        <f>H1829-H1830</f>
        <v>#DIV/0!</v>
      </c>
      <c r="I1831" s="187" t="e">
        <f t="shared" ref="I1831:M1831" si="81">I1829-I1830</f>
        <v>#DIV/0!</v>
      </c>
      <c r="J1831" s="187" t="e">
        <f t="shared" si="81"/>
        <v>#DIV/0!</v>
      </c>
      <c r="K1831" s="187" t="e">
        <f t="shared" si="81"/>
        <v>#DIV/0!</v>
      </c>
      <c r="L1831" s="187" t="e">
        <f t="shared" si="81"/>
        <v>#DIV/0!</v>
      </c>
      <c r="M1831" s="187" t="e">
        <f t="shared" si="81"/>
        <v>#DIV/0!</v>
      </c>
      <c r="N1831" s="139"/>
      <c r="O1831" s="139"/>
      <c r="P1831" s="140"/>
      <c r="Q1831" s="140"/>
      <c r="R1831" s="140"/>
      <c r="S1831" s="140"/>
    </row>
    <row r="1833" spans="1:26" s="176" customFormat="1">
      <c r="A1833" s="145" t="s">
        <v>321</v>
      </c>
      <c r="B1833" s="146" t="e">
        <f t="shared" ref="B1833:L1833" si="82">AVERAGE(B1769:B1771)</f>
        <v>#DIV/0!</v>
      </c>
      <c r="C1833" s="146" t="e">
        <f t="shared" si="82"/>
        <v>#DIV/0!</v>
      </c>
      <c r="D1833" s="146" t="e">
        <f t="shared" si="82"/>
        <v>#DIV/0!</v>
      </c>
      <c r="E1833" s="146" t="e">
        <f t="shared" si="82"/>
        <v>#DIV/0!</v>
      </c>
      <c r="F1833" s="146" t="e">
        <f t="shared" si="82"/>
        <v>#DIV/0!</v>
      </c>
      <c r="G1833" s="146" t="e">
        <f t="shared" si="82"/>
        <v>#DIV/0!</v>
      </c>
      <c r="H1833" s="146" t="e">
        <f t="shared" si="82"/>
        <v>#DIV/0!</v>
      </c>
      <c r="I1833" s="146" t="e">
        <f t="shared" si="82"/>
        <v>#DIV/0!</v>
      </c>
      <c r="J1833" s="146" t="e">
        <f t="shared" si="82"/>
        <v>#DIV/0!</v>
      </c>
      <c r="K1833" s="146" t="e">
        <f t="shared" si="82"/>
        <v>#DIV/0!</v>
      </c>
      <c r="L1833" s="146" t="e">
        <f t="shared" si="82"/>
        <v>#DIV/0!</v>
      </c>
      <c r="M1833" s="146" t="e">
        <f t="shared" ref="M1833:Z1833" si="83">AVERAGE(M1769:M1771)</f>
        <v>#DIV/0!</v>
      </c>
      <c r="N1833" s="146" t="e">
        <f t="shared" si="83"/>
        <v>#DIV/0!</v>
      </c>
      <c r="O1833" s="146" t="e">
        <f t="shared" si="83"/>
        <v>#DIV/0!</v>
      </c>
      <c r="P1833" s="146" t="e">
        <f t="shared" si="83"/>
        <v>#DIV/0!</v>
      </c>
      <c r="Q1833" s="146" t="e">
        <f t="shared" si="83"/>
        <v>#DIV/0!</v>
      </c>
      <c r="R1833" s="146"/>
      <c r="S1833" s="146" t="e">
        <f t="shared" si="83"/>
        <v>#DIV/0!</v>
      </c>
      <c r="T1833" s="146" t="e">
        <f t="shared" si="83"/>
        <v>#DIV/0!</v>
      </c>
      <c r="U1833" s="146" t="e">
        <f t="shared" si="83"/>
        <v>#DIV/0!</v>
      </c>
      <c r="V1833" s="146" t="e">
        <f t="shared" si="83"/>
        <v>#DIV/0!</v>
      </c>
      <c r="W1833" s="146" t="e">
        <f t="shared" si="83"/>
        <v>#DIV/0!</v>
      </c>
      <c r="X1833" s="146" t="e">
        <f t="shared" si="83"/>
        <v>#DIV/0!</v>
      </c>
      <c r="Y1833" s="146" t="e">
        <f t="shared" si="83"/>
        <v>#DIV/0!</v>
      </c>
      <c r="Z1833" s="146" t="e">
        <f t="shared" si="83"/>
        <v>#DIV/0!</v>
      </c>
    </row>
    <row r="1834" spans="1:26" s="176" customFormat="1">
      <c r="A1834" s="176" t="s">
        <v>268</v>
      </c>
      <c r="B1834" s="3090">
        <f t="shared" ref="B1834:Q1834" si="84">AVERAGE(B1772:B1774)</f>
        <v>170503189.29005316</v>
      </c>
      <c r="C1834" s="3090">
        <f t="shared" si="84"/>
        <v>61586212.119358398</v>
      </c>
      <c r="D1834" s="3090">
        <f t="shared" si="84"/>
        <v>66743736.58943858</v>
      </c>
      <c r="E1834" s="3090">
        <f t="shared" si="84"/>
        <v>77160663.062027469</v>
      </c>
      <c r="F1834" s="3090">
        <f t="shared" si="84"/>
        <v>205490611.77082446</v>
      </c>
      <c r="G1834" s="3090">
        <f t="shared" si="84"/>
        <v>-1565107.2567783094</v>
      </c>
      <c r="H1834" s="3090">
        <f t="shared" si="84"/>
        <v>1837.8970338423742</v>
      </c>
      <c r="I1834" s="3090">
        <f t="shared" si="84"/>
        <v>1044.1578239951389</v>
      </c>
      <c r="J1834" s="3090">
        <f t="shared" si="84"/>
        <v>763.35545615518356</v>
      </c>
      <c r="K1834" s="3090">
        <f t="shared" si="84"/>
        <v>702.13288115648811</v>
      </c>
      <c r="L1834" s="3090">
        <f t="shared" si="84"/>
        <v>2509.64616130681</v>
      </c>
      <c r="M1834" s="3090">
        <f t="shared" si="84"/>
        <v>-4.8640456401816019</v>
      </c>
      <c r="N1834" s="3090">
        <f t="shared" si="84"/>
        <v>15663.767663476874</v>
      </c>
      <c r="O1834" s="3090">
        <f t="shared" si="84"/>
        <v>3315.4753106060612</v>
      </c>
      <c r="P1834" s="3090">
        <f t="shared" si="84"/>
        <v>-9524294.6995821726</v>
      </c>
      <c r="Q1834" s="3090">
        <f t="shared" si="84"/>
        <v>0</v>
      </c>
      <c r="R1834" s="3090"/>
      <c r="S1834" s="3090">
        <f t="shared" ref="S1834:Z1834" si="85">AVERAGE(S1772:S1774)</f>
        <v>-869080.18642560614</v>
      </c>
      <c r="T1834" s="3090">
        <f t="shared" si="85"/>
        <v>0</v>
      </c>
      <c r="U1834" s="3090">
        <f t="shared" si="85"/>
        <v>3538900.6003044383</v>
      </c>
      <c r="V1834" s="3090">
        <f t="shared" si="85"/>
        <v>1.5954465709728863E-6</v>
      </c>
      <c r="W1834" s="3090">
        <f t="shared" si="85"/>
        <v>-1377.1929824561423</v>
      </c>
      <c r="X1834" s="3090">
        <f t="shared" si="85"/>
        <v>4.5283983991910324</v>
      </c>
      <c r="Y1834" s="3090">
        <f t="shared" si="85"/>
        <v>75957914.716858909</v>
      </c>
      <c r="Z1834" s="3090">
        <f t="shared" si="85"/>
        <v>404.37521580087878</v>
      </c>
    </row>
    <row r="1835" spans="1:26" s="141" customFormat="1">
      <c r="A1835" s="141" t="s">
        <v>260</v>
      </c>
      <c r="B1835" s="142" t="e">
        <f>AVERAGE(B1775:B1777)</f>
        <v>#DIV/0!</v>
      </c>
      <c r="C1835" s="142" t="e">
        <f t="shared" ref="C1835:Q1835" si="86">AVERAGE(C1775:C1777)</f>
        <v>#DIV/0!</v>
      </c>
      <c r="D1835" s="142" t="e">
        <f t="shared" si="86"/>
        <v>#DIV/0!</v>
      </c>
      <c r="E1835" s="142" t="e">
        <f t="shared" si="86"/>
        <v>#DIV/0!</v>
      </c>
      <c r="F1835" s="142" t="e">
        <f t="shared" si="86"/>
        <v>#DIV/0!</v>
      </c>
      <c r="G1835" s="142" t="e">
        <f t="shared" si="86"/>
        <v>#DIV/0!</v>
      </c>
      <c r="H1835" s="142" t="e">
        <f t="shared" si="86"/>
        <v>#DIV/0!</v>
      </c>
      <c r="I1835" s="142" t="e">
        <f t="shared" si="86"/>
        <v>#DIV/0!</v>
      </c>
      <c r="J1835" s="142" t="e">
        <f t="shared" si="86"/>
        <v>#DIV/0!</v>
      </c>
      <c r="K1835" s="142" t="e">
        <f t="shared" si="86"/>
        <v>#DIV/0!</v>
      </c>
      <c r="L1835" s="142" t="e">
        <f t="shared" si="86"/>
        <v>#DIV/0!</v>
      </c>
      <c r="M1835" s="142" t="e">
        <f t="shared" si="86"/>
        <v>#DIV/0!</v>
      </c>
      <c r="N1835" s="142" t="e">
        <f t="shared" si="86"/>
        <v>#DIV/0!</v>
      </c>
      <c r="O1835" s="142" t="e">
        <f t="shared" si="86"/>
        <v>#DIV/0!</v>
      </c>
      <c r="P1835" s="142" t="e">
        <f t="shared" si="86"/>
        <v>#DIV/0!</v>
      </c>
      <c r="Q1835" s="142" t="e">
        <f t="shared" si="86"/>
        <v>#DIV/0!</v>
      </c>
      <c r="R1835" s="142"/>
      <c r="S1835" s="142" t="e">
        <f t="shared" ref="S1835:Z1835" si="87">AVERAGE(S1775:S1777)</f>
        <v>#DIV/0!</v>
      </c>
      <c r="T1835" s="142" t="e">
        <f t="shared" si="87"/>
        <v>#DIV/0!</v>
      </c>
      <c r="U1835" s="142" t="e">
        <f t="shared" si="87"/>
        <v>#DIV/0!</v>
      </c>
      <c r="V1835" s="142" t="e">
        <f t="shared" si="87"/>
        <v>#DIV/0!</v>
      </c>
      <c r="W1835" s="142" t="e">
        <f t="shared" si="87"/>
        <v>#DIV/0!</v>
      </c>
      <c r="X1835" s="142" t="e">
        <f t="shared" si="87"/>
        <v>#DIV/0!</v>
      </c>
      <c r="Y1835" s="142" t="e">
        <f t="shared" si="87"/>
        <v>#DIV/0!</v>
      </c>
      <c r="Z1835" s="142" t="e">
        <f t="shared" si="87"/>
        <v>#DIV/0!</v>
      </c>
    </row>
    <row r="1836" spans="1:26" s="141" customFormat="1">
      <c r="A1836" s="141" t="s">
        <v>252</v>
      </c>
      <c r="B1836" s="142" t="e">
        <f>AVERAGE(B1778:B1780)</f>
        <v>#DIV/0!</v>
      </c>
      <c r="C1836" s="142" t="e">
        <f t="shared" ref="C1836:Q1836" si="88">AVERAGE(C1778:C1780)</f>
        <v>#DIV/0!</v>
      </c>
      <c r="D1836" s="142" t="e">
        <f t="shared" si="88"/>
        <v>#DIV/0!</v>
      </c>
      <c r="E1836" s="142" t="e">
        <f t="shared" si="88"/>
        <v>#DIV/0!</v>
      </c>
      <c r="F1836" s="142" t="e">
        <f t="shared" si="88"/>
        <v>#DIV/0!</v>
      </c>
      <c r="G1836" s="142" t="e">
        <f t="shared" si="88"/>
        <v>#DIV/0!</v>
      </c>
      <c r="H1836" s="142" t="e">
        <f t="shared" si="88"/>
        <v>#DIV/0!</v>
      </c>
      <c r="I1836" s="142" t="e">
        <f t="shared" si="88"/>
        <v>#DIV/0!</v>
      </c>
      <c r="J1836" s="142" t="e">
        <f t="shared" si="88"/>
        <v>#DIV/0!</v>
      </c>
      <c r="K1836" s="142" t="e">
        <f t="shared" si="88"/>
        <v>#DIV/0!</v>
      </c>
      <c r="L1836" s="142" t="e">
        <f t="shared" si="88"/>
        <v>#DIV/0!</v>
      </c>
      <c r="M1836" s="142" t="e">
        <f t="shared" si="88"/>
        <v>#DIV/0!</v>
      </c>
      <c r="N1836" s="142" t="e">
        <f t="shared" si="88"/>
        <v>#DIV/0!</v>
      </c>
      <c r="O1836" s="142" t="e">
        <f t="shared" si="88"/>
        <v>#DIV/0!</v>
      </c>
      <c r="P1836" s="142" t="e">
        <f t="shared" si="88"/>
        <v>#DIV/0!</v>
      </c>
      <c r="Q1836" s="142" t="e">
        <f t="shared" si="88"/>
        <v>#DIV/0!</v>
      </c>
      <c r="R1836" s="142"/>
      <c r="S1836" s="142" t="e">
        <f t="shared" ref="S1836:Z1836" si="89">AVERAGE(S1778:S1780)</f>
        <v>#DIV/0!</v>
      </c>
      <c r="T1836" s="142" t="e">
        <f t="shared" si="89"/>
        <v>#DIV/0!</v>
      </c>
      <c r="U1836" s="142" t="e">
        <f t="shared" si="89"/>
        <v>#DIV/0!</v>
      </c>
      <c r="V1836" s="142" t="e">
        <f t="shared" si="89"/>
        <v>#DIV/0!</v>
      </c>
      <c r="W1836" s="142" t="e">
        <f t="shared" si="89"/>
        <v>#DIV/0!</v>
      </c>
      <c r="X1836" s="142" t="e">
        <f t="shared" si="89"/>
        <v>#DIV/0!</v>
      </c>
      <c r="Y1836" s="142" t="e">
        <f t="shared" si="89"/>
        <v>#DIV/0!</v>
      </c>
      <c r="Z1836" s="142" t="e">
        <f t="shared" si="89"/>
        <v>#DIV/0!</v>
      </c>
    </row>
    <row r="1837" spans="1:26" s="141" customFormat="1">
      <c r="A1837" s="141" t="s">
        <v>245</v>
      </c>
      <c r="B1837" s="142" t="e">
        <f>AVERAGE(B1781:B1783)</f>
        <v>#DIV/0!</v>
      </c>
      <c r="C1837" s="142" t="e">
        <f t="shared" ref="C1837:Q1837" si="90">AVERAGE(C1781:C1783)</f>
        <v>#DIV/0!</v>
      </c>
      <c r="D1837" s="142" t="e">
        <f t="shared" si="90"/>
        <v>#DIV/0!</v>
      </c>
      <c r="E1837" s="142" t="e">
        <f t="shared" si="90"/>
        <v>#DIV/0!</v>
      </c>
      <c r="F1837" s="142" t="e">
        <f t="shared" si="90"/>
        <v>#DIV/0!</v>
      </c>
      <c r="G1837" s="142" t="e">
        <f t="shared" si="90"/>
        <v>#DIV/0!</v>
      </c>
      <c r="H1837" s="142" t="e">
        <f t="shared" si="90"/>
        <v>#DIV/0!</v>
      </c>
      <c r="I1837" s="142" t="e">
        <f t="shared" si="90"/>
        <v>#DIV/0!</v>
      </c>
      <c r="J1837" s="142" t="e">
        <f t="shared" si="90"/>
        <v>#DIV/0!</v>
      </c>
      <c r="K1837" s="142" t="e">
        <f t="shared" si="90"/>
        <v>#DIV/0!</v>
      </c>
      <c r="L1837" s="142" t="e">
        <f t="shared" si="90"/>
        <v>#DIV/0!</v>
      </c>
      <c r="M1837" s="142" t="e">
        <f t="shared" si="90"/>
        <v>#DIV/0!</v>
      </c>
      <c r="N1837" s="142" t="e">
        <f t="shared" si="90"/>
        <v>#DIV/0!</v>
      </c>
      <c r="O1837" s="142" t="e">
        <f t="shared" si="90"/>
        <v>#DIV/0!</v>
      </c>
      <c r="P1837" s="142" t="e">
        <f t="shared" si="90"/>
        <v>#DIV/0!</v>
      </c>
      <c r="Q1837" s="142" t="e">
        <f t="shared" si="90"/>
        <v>#DIV/0!</v>
      </c>
      <c r="R1837" s="142"/>
      <c r="S1837" s="142" t="e">
        <f t="shared" ref="S1837:Z1837" si="91">AVERAGE(S1781:S1783)</f>
        <v>#DIV/0!</v>
      </c>
      <c r="T1837" s="142" t="e">
        <f t="shared" si="91"/>
        <v>#DIV/0!</v>
      </c>
      <c r="U1837" s="142" t="e">
        <f t="shared" si="91"/>
        <v>#DIV/0!</v>
      </c>
      <c r="V1837" s="142" t="e">
        <f t="shared" si="91"/>
        <v>#DIV/0!</v>
      </c>
      <c r="W1837" s="142" t="e">
        <f t="shared" si="91"/>
        <v>#DIV/0!</v>
      </c>
      <c r="X1837" s="142" t="e">
        <f t="shared" si="91"/>
        <v>#DIV/0!</v>
      </c>
      <c r="Y1837" s="142" t="e">
        <f t="shared" si="91"/>
        <v>#DIV/0!</v>
      </c>
      <c r="Z1837" s="142" t="e">
        <f t="shared" si="91"/>
        <v>#DIV/0!</v>
      </c>
    </row>
    <row r="1838" spans="1:26" s="141" customFormat="1">
      <c r="A1838" s="141" t="s">
        <v>226</v>
      </c>
      <c r="B1838" s="142">
        <f>AVERAGE(B1784:B1786)</f>
        <v>166428174.81330672</v>
      </c>
      <c r="C1838" s="142">
        <f t="shared" ref="C1838:Q1838" si="92">AVERAGE(C1784:C1786)</f>
        <v>58726342.200257264</v>
      </c>
      <c r="D1838" s="142">
        <f t="shared" si="92"/>
        <v>66066908.59630961</v>
      </c>
      <c r="E1838" s="142">
        <f t="shared" si="92"/>
        <v>70872810.303072467</v>
      </c>
      <c r="F1838" s="142">
        <f t="shared" si="92"/>
        <v>195666061.09963939</v>
      </c>
      <c r="G1838" s="142">
        <f t="shared" si="92"/>
        <v>-251666.66666666683</v>
      </c>
      <c r="H1838" s="142">
        <f t="shared" si="92"/>
        <v>1609.3024230907547</v>
      </c>
      <c r="I1838" s="142">
        <f t="shared" si="92"/>
        <v>992.90473909335094</v>
      </c>
      <c r="J1838" s="142">
        <f t="shared" si="92"/>
        <v>593.33996854736188</v>
      </c>
      <c r="K1838" s="142">
        <f t="shared" si="92"/>
        <v>1058.9569250859483</v>
      </c>
      <c r="L1838" s="142">
        <f t="shared" si="92"/>
        <v>2645.2016327266615</v>
      </c>
      <c r="M1838" s="142">
        <f t="shared" si="92"/>
        <v>-0.27425614970289497</v>
      </c>
      <c r="N1838" s="142">
        <f t="shared" si="92"/>
        <v>15221.553174603176</v>
      </c>
      <c r="O1838" s="142">
        <f t="shared" si="92"/>
        <v>3469.0083769841272</v>
      </c>
      <c r="P1838" s="142">
        <f t="shared" si="92"/>
        <v>-1259445.8730095187</v>
      </c>
      <c r="Q1838" s="142">
        <f t="shared" si="92"/>
        <v>0</v>
      </c>
      <c r="R1838" s="142"/>
      <c r="S1838" s="142">
        <f t="shared" ref="S1838:Z1838" si="93">AVERAGE(S1784:S1786)</f>
        <v>-5110604.0731984675</v>
      </c>
      <c r="T1838" s="142">
        <f t="shared" si="93"/>
        <v>0</v>
      </c>
      <c r="U1838" s="142">
        <f t="shared" si="93"/>
        <v>5350377.5573198413</v>
      </c>
      <c r="V1838" s="142">
        <f t="shared" si="93"/>
        <v>-2.4421587301587307E-6</v>
      </c>
      <c r="W1838" s="142">
        <f t="shared" si="93"/>
        <v>11904.761904761906</v>
      </c>
      <c r="X1838" s="142">
        <f t="shared" si="93"/>
        <v>7.5132311374479341</v>
      </c>
      <c r="Y1838" s="142">
        <f t="shared" si="93"/>
        <v>61428131.974781685</v>
      </c>
      <c r="Z1838" s="142">
        <f t="shared" si="93"/>
        <v>348.39440484943384</v>
      </c>
    </row>
    <row r="1839" spans="1:26" s="141" customFormat="1">
      <c r="A1839" s="141" t="s">
        <v>218</v>
      </c>
      <c r="B1839" s="142" t="e">
        <f>AVERAGE(B1787:B1789)</f>
        <v>#DIV/0!</v>
      </c>
      <c r="C1839" s="142" t="e">
        <f t="shared" ref="C1839:Q1839" si="94">AVERAGE(C1787:C1789)</f>
        <v>#DIV/0!</v>
      </c>
      <c r="D1839" s="142" t="e">
        <f t="shared" si="94"/>
        <v>#DIV/0!</v>
      </c>
      <c r="E1839" s="142" t="e">
        <f t="shared" si="94"/>
        <v>#DIV/0!</v>
      </c>
      <c r="F1839" s="142" t="e">
        <f t="shared" si="94"/>
        <v>#DIV/0!</v>
      </c>
      <c r="G1839" s="142" t="e">
        <f t="shared" si="94"/>
        <v>#DIV/0!</v>
      </c>
      <c r="H1839" s="142" t="e">
        <f t="shared" si="94"/>
        <v>#DIV/0!</v>
      </c>
      <c r="I1839" s="142" t="e">
        <f t="shared" si="94"/>
        <v>#DIV/0!</v>
      </c>
      <c r="J1839" s="142" t="e">
        <f t="shared" si="94"/>
        <v>#DIV/0!</v>
      </c>
      <c r="K1839" s="142" t="e">
        <f t="shared" si="94"/>
        <v>#DIV/0!</v>
      </c>
      <c r="L1839" s="142" t="e">
        <f t="shared" si="94"/>
        <v>#DIV/0!</v>
      </c>
      <c r="M1839" s="142" t="e">
        <f t="shared" si="94"/>
        <v>#DIV/0!</v>
      </c>
      <c r="N1839" s="142" t="e">
        <f t="shared" si="94"/>
        <v>#DIV/0!</v>
      </c>
      <c r="O1839" s="142" t="e">
        <f t="shared" si="94"/>
        <v>#DIV/0!</v>
      </c>
      <c r="P1839" s="142" t="e">
        <f t="shared" si="94"/>
        <v>#DIV/0!</v>
      </c>
      <c r="Q1839" s="142" t="e">
        <f t="shared" si="94"/>
        <v>#DIV/0!</v>
      </c>
      <c r="R1839" s="142"/>
      <c r="S1839" s="142" t="e">
        <f t="shared" ref="S1839:Z1839" si="95">AVERAGE(S1787:S1789)</f>
        <v>#DIV/0!</v>
      </c>
      <c r="T1839" s="142" t="e">
        <f t="shared" si="95"/>
        <v>#DIV/0!</v>
      </c>
      <c r="U1839" s="142" t="e">
        <f t="shared" si="95"/>
        <v>#DIV/0!</v>
      </c>
      <c r="V1839" s="142" t="e">
        <f t="shared" si="95"/>
        <v>#DIV/0!</v>
      </c>
      <c r="W1839" s="142" t="e">
        <f t="shared" si="95"/>
        <v>#DIV/0!</v>
      </c>
      <c r="X1839" s="142" t="e">
        <f t="shared" si="95"/>
        <v>#DIV/0!</v>
      </c>
      <c r="Y1839" s="142" t="e">
        <f t="shared" si="95"/>
        <v>#DIV/0!</v>
      </c>
      <c r="Z1839" s="142" t="e">
        <f t="shared" si="95"/>
        <v>#DIV/0!</v>
      </c>
    </row>
    <row r="1840" spans="1:26" s="141" customFormat="1">
      <c r="A1840" s="141" t="s">
        <v>212</v>
      </c>
      <c r="B1840" s="142" t="e">
        <f>AVERAGE(B1790:B1792)</f>
        <v>#DIV/0!</v>
      </c>
      <c r="C1840" s="142" t="e">
        <f t="shared" ref="C1840:Q1840" si="96">AVERAGE(C1790:C1792)</f>
        <v>#DIV/0!</v>
      </c>
      <c r="D1840" s="142" t="e">
        <f t="shared" si="96"/>
        <v>#DIV/0!</v>
      </c>
      <c r="E1840" s="142" t="e">
        <f t="shared" si="96"/>
        <v>#DIV/0!</v>
      </c>
      <c r="F1840" s="142" t="e">
        <f t="shared" si="96"/>
        <v>#DIV/0!</v>
      </c>
      <c r="G1840" s="142" t="e">
        <f t="shared" si="96"/>
        <v>#DIV/0!</v>
      </c>
      <c r="H1840" s="142" t="e">
        <f t="shared" si="96"/>
        <v>#DIV/0!</v>
      </c>
      <c r="I1840" s="142" t="e">
        <f t="shared" si="96"/>
        <v>#DIV/0!</v>
      </c>
      <c r="J1840" s="142" t="e">
        <f t="shared" si="96"/>
        <v>#DIV/0!</v>
      </c>
      <c r="K1840" s="142" t="e">
        <f t="shared" si="96"/>
        <v>#DIV/0!</v>
      </c>
      <c r="L1840" s="142" t="e">
        <f t="shared" si="96"/>
        <v>#DIV/0!</v>
      </c>
      <c r="M1840" s="142" t="e">
        <f t="shared" si="96"/>
        <v>#DIV/0!</v>
      </c>
      <c r="N1840" s="142" t="e">
        <f t="shared" si="96"/>
        <v>#DIV/0!</v>
      </c>
      <c r="O1840" s="142" t="e">
        <f t="shared" si="96"/>
        <v>#DIV/0!</v>
      </c>
      <c r="P1840" s="142" t="e">
        <f t="shared" si="96"/>
        <v>#DIV/0!</v>
      </c>
      <c r="Q1840" s="142" t="e">
        <f t="shared" si="96"/>
        <v>#DIV/0!</v>
      </c>
      <c r="R1840" s="142"/>
      <c r="S1840" s="142" t="e">
        <f t="shared" ref="S1840:Z1840" si="97">AVERAGE(S1790:S1792)</f>
        <v>#DIV/0!</v>
      </c>
      <c r="T1840" s="142" t="e">
        <f t="shared" si="97"/>
        <v>#DIV/0!</v>
      </c>
      <c r="U1840" s="142" t="e">
        <f t="shared" si="97"/>
        <v>#DIV/0!</v>
      </c>
      <c r="V1840" s="142" t="e">
        <f t="shared" si="97"/>
        <v>#DIV/0!</v>
      </c>
      <c r="W1840" s="142" t="e">
        <f t="shared" si="97"/>
        <v>#DIV/0!</v>
      </c>
      <c r="X1840" s="142" t="e">
        <f t="shared" si="97"/>
        <v>#DIV/0!</v>
      </c>
      <c r="Y1840" s="142" t="e">
        <f t="shared" si="97"/>
        <v>#DIV/0!</v>
      </c>
      <c r="Z1840" s="142" t="e">
        <f t="shared" si="97"/>
        <v>#DIV/0!</v>
      </c>
    </row>
    <row r="1841" spans="1:26" s="141" customFormat="1">
      <c r="A1841" s="141" t="s">
        <v>205</v>
      </c>
      <c r="B1841" s="142" t="e">
        <f>AVERAGE(B1793:B1795)</f>
        <v>#DIV/0!</v>
      </c>
      <c r="C1841" s="142" t="e">
        <f t="shared" ref="C1841:Q1841" si="98">AVERAGE(C1793:C1795)</f>
        <v>#DIV/0!</v>
      </c>
      <c r="D1841" s="142" t="e">
        <f t="shared" si="98"/>
        <v>#DIV/0!</v>
      </c>
      <c r="E1841" s="142" t="e">
        <f t="shared" si="98"/>
        <v>#DIV/0!</v>
      </c>
      <c r="F1841" s="142" t="e">
        <f t="shared" si="98"/>
        <v>#DIV/0!</v>
      </c>
      <c r="G1841" s="142" t="e">
        <f t="shared" si="98"/>
        <v>#DIV/0!</v>
      </c>
      <c r="H1841" s="142" t="e">
        <f t="shared" si="98"/>
        <v>#DIV/0!</v>
      </c>
      <c r="I1841" s="142" t="e">
        <f t="shared" si="98"/>
        <v>#DIV/0!</v>
      </c>
      <c r="J1841" s="142" t="e">
        <f t="shared" si="98"/>
        <v>#DIV/0!</v>
      </c>
      <c r="K1841" s="142" t="e">
        <f t="shared" si="98"/>
        <v>#DIV/0!</v>
      </c>
      <c r="L1841" s="142" t="e">
        <f t="shared" si="98"/>
        <v>#DIV/0!</v>
      </c>
      <c r="M1841" s="142" t="e">
        <f t="shared" si="98"/>
        <v>#DIV/0!</v>
      </c>
      <c r="N1841" s="142" t="e">
        <f t="shared" si="98"/>
        <v>#DIV/0!</v>
      </c>
      <c r="O1841" s="142" t="e">
        <f t="shared" si="98"/>
        <v>#DIV/0!</v>
      </c>
      <c r="P1841" s="142" t="e">
        <f t="shared" si="98"/>
        <v>#DIV/0!</v>
      </c>
      <c r="Q1841" s="142" t="e">
        <f t="shared" si="98"/>
        <v>#DIV/0!</v>
      </c>
      <c r="R1841" s="142"/>
      <c r="S1841" s="142" t="e">
        <f t="shared" ref="S1841:Z1841" si="99">AVERAGE(S1793:S1795)</f>
        <v>#DIV/0!</v>
      </c>
      <c r="T1841" s="142" t="e">
        <f t="shared" si="99"/>
        <v>#DIV/0!</v>
      </c>
      <c r="U1841" s="142" t="e">
        <f t="shared" si="99"/>
        <v>#DIV/0!</v>
      </c>
      <c r="V1841" s="142" t="e">
        <f t="shared" si="99"/>
        <v>#DIV/0!</v>
      </c>
      <c r="W1841" s="142" t="e">
        <f t="shared" si="99"/>
        <v>#DIV/0!</v>
      </c>
      <c r="X1841" s="142" t="e">
        <f t="shared" si="99"/>
        <v>#DIV/0!</v>
      </c>
      <c r="Y1841" s="142" t="e">
        <f t="shared" si="99"/>
        <v>#DIV/0!</v>
      </c>
      <c r="Z1841" s="142" t="e">
        <f t="shared" si="99"/>
        <v>#DIV/0!</v>
      </c>
    </row>
    <row r="1842" spans="1:26" s="141" customFormat="1">
      <c r="A1842" s="141" t="s">
        <v>155</v>
      </c>
      <c r="B1842" s="142">
        <f t="shared" ref="B1842" si="100">AVERAGE(B1796:B1798)</f>
        <v>153574433.04044589</v>
      </c>
      <c r="C1842" s="142">
        <f t="shared" ref="C1842:Q1842" si="101">AVERAGE(C1796:C1798)</f>
        <v>58343309.052336626</v>
      </c>
      <c r="D1842" s="142">
        <f t="shared" si="101"/>
        <v>63627740.425890766</v>
      </c>
      <c r="E1842" s="142">
        <f t="shared" si="101"/>
        <v>72961326.024187848</v>
      </c>
      <c r="F1842" s="142">
        <f t="shared" si="101"/>
        <v>194932375.50241521</v>
      </c>
      <c r="G1842" s="142">
        <f t="shared" si="101"/>
        <v>-1100000</v>
      </c>
      <c r="H1842" s="142">
        <f t="shared" si="101"/>
        <v>1356.9445904601971</v>
      </c>
      <c r="I1842" s="142">
        <f t="shared" si="101"/>
        <v>1225.8236961590321</v>
      </c>
      <c r="J1842" s="142">
        <f t="shared" si="101"/>
        <v>698.160687399018</v>
      </c>
      <c r="K1842" s="142">
        <f t="shared" si="101"/>
        <v>1156.9794294490896</v>
      </c>
      <c r="L1842" s="142">
        <f t="shared" si="101"/>
        <v>3080.9638130071398</v>
      </c>
      <c r="M1842" s="142">
        <f t="shared" si="101"/>
        <v>-46.769817512282408</v>
      </c>
      <c r="N1842" s="142">
        <f t="shared" si="101"/>
        <v>14344.565865421129</v>
      </c>
      <c r="O1842" s="142">
        <f t="shared" si="101"/>
        <v>3425.2066666666665</v>
      </c>
      <c r="P1842" s="142">
        <f t="shared" si="101"/>
        <v>-399665.22153110057</v>
      </c>
      <c r="Q1842" s="142">
        <f t="shared" si="101"/>
        <v>0</v>
      </c>
      <c r="R1842" s="142"/>
      <c r="S1842" s="142">
        <f t="shared" ref="S1842:Z1842" si="102">AVERAGE(S1796:S1798)</f>
        <v>-47070.523810913808</v>
      </c>
      <c r="T1842" s="142">
        <f t="shared" si="102"/>
        <v>0</v>
      </c>
      <c r="U1842" s="142">
        <f t="shared" si="102"/>
        <v>8515751.303068595</v>
      </c>
      <c r="V1842" s="142">
        <f t="shared" si="102"/>
        <v>0</v>
      </c>
      <c r="W1842" s="142">
        <f t="shared" si="102"/>
        <v>611972.35227272718</v>
      </c>
      <c r="X1842" s="142">
        <f t="shared" si="102"/>
        <v>5.5234005381385218</v>
      </c>
      <c r="Y1842" s="142">
        <f t="shared" si="102"/>
        <v>64261079.490754537</v>
      </c>
      <c r="Z1842" s="142">
        <f t="shared" si="102"/>
        <v>424.89327233233394</v>
      </c>
    </row>
    <row r="1843" spans="1:26" s="141" customFormat="1">
      <c r="A1843" s="141" t="s">
        <v>143</v>
      </c>
      <c r="B1843" s="142" t="e">
        <f>AVERAGE(B1799:B1801)</f>
        <v>#DIV/0!</v>
      </c>
      <c r="C1843" s="142" t="e">
        <f t="shared" ref="C1843:Q1843" si="103">AVERAGE(C1799:C1801)</f>
        <v>#DIV/0!</v>
      </c>
      <c r="D1843" s="142" t="e">
        <f t="shared" si="103"/>
        <v>#DIV/0!</v>
      </c>
      <c r="E1843" s="142" t="e">
        <f t="shared" si="103"/>
        <v>#DIV/0!</v>
      </c>
      <c r="F1843" s="142" t="e">
        <f t="shared" si="103"/>
        <v>#DIV/0!</v>
      </c>
      <c r="G1843" s="142" t="e">
        <f t="shared" si="103"/>
        <v>#DIV/0!</v>
      </c>
      <c r="H1843" s="142" t="e">
        <f t="shared" si="103"/>
        <v>#DIV/0!</v>
      </c>
      <c r="I1843" s="142" t="e">
        <f t="shared" si="103"/>
        <v>#DIV/0!</v>
      </c>
      <c r="J1843" s="142" t="e">
        <f t="shared" si="103"/>
        <v>#DIV/0!</v>
      </c>
      <c r="K1843" s="142" t="e">
        <f t="shared" si="103"/>
        <v>#DIV/0!</v>
      </c>
      <c r="L1843" s="142" t="e">
        <f t="shared" si="103"/>
        <v>#DIV/0!</v>
      </c>
      <c r="M1843" s="142" t="e">
        <f t="shared" si="103"/>
        <v>#DIV/0!</v>
      </c>
      <c r="N1843" s="142" t="e">
        <f t="shared" si="103"/>
        <v>#DIV/0!</v>
      </c>
      <c r="O1843" s="142" t="e">
        <f t="shared" si="103"/>
        <v>#DIV/0!</v>
      </c>
      <c r="P1843" s="142" t="e">
        <f t="shared" si="103"/>
        <v>#DIV/0!</v>
      </c>
      <c r="Q1843" s="142" t="e">
        <f t="shared" si="103"/>
        <v>#DIV/0!</v>
      </c>
      <c r="R1843" s="142"/>
      <c r="S1843" s="142" t="e">
        <f t="shared" ref="S1843:Z1843" si="104">AVERAGE(S1799:S1801)</f>
        <v>#DIV/0!</v>
      </c>
      <c r="T1843" s="142" t="e">
        <f t="shared" si="104"/>
        <v>#DIV/0!</v>
      </c>
      <c r="U1843" s="142" t="e">
        <f t="shared" si="104"/>
        <v>#DIV/0!</v>
      </c>
      <c r="V1843" s="142" t="e">
        <f t="shared" si="104"/>
        <v>#DIV/0!</v>
      </c>
      <c r="W1843" s="142" t="e">
        <f t="shared" si="104"/>
        <v>#DIV/0!</v>
      </c>
      <c r="X1843" s="142" t="e">
        <f t="shared" si="104"/>
        <v>#DIV/0!</v>
      </c>
      <c r="Y1843" s="142" t="e">
        <f t="shared" si="104"/>
        <v>#DIV/0!</v>
      </c>
      <c r="Z1843" s="142" t="e">
        <f t="shared" si="104"/>
        <v>#DIV/0!</v>
      </c>
    </row>
    <row r="1844" spans="1:26">
      <c r="A1844" s="114" t="s">
        <v>139</v>
      </c>
      <c r="B1844" s="125" t="e">
        <f>AVERAGE(B1802:B1804)</f>
        <v>#DIV/0!</v>
      </c>
      <c r="C1844" s="125" t="e">
        <f t="shared" ref="C1844:N1844" si="105">AVERAGE(C1802:C1804)</f>
        <v>#DIV/0!</v>
      </c>
      <c r="D1844" s="125" t="e">
        <f t="shared" si="105"/>
        <v>#DIV/0!</v>
      </c>
      <c r="E1844" s="125" t="e">
        <f t="shared" si="105"/>
        <v>#DIV/0!</v>
      </c>
      <c r="F1844" s="125" t="e">
        <f t="shared" si="105"/>
        <v>#DIV/0!</v>
      </c>
      <c r="G1844" s="125" t="e">
        <f t="shared" si="105"/>
        <v>#DIV/0!</v>
      </c>
      <c r="H1844" s="125" t="e">
        <f t="shared" si="105"/>
        <v>#DIV/0!</v>
      </c>
      <c r="I1844" s="125" t="e">
        <f t="shared" si="105"/>
        <v>#DIV/0!</v>
      </c>
      <c r="J1844" s="125" t="e">
        <f t="shared" si="105"/>
        <v>#DIV/0!</v>
      </c>
      <c r="K1844" s="125" t="e">
        <f t="shared" si="105"/>
        <v>#DIV/0!</v>
      </c>
      <c r="L1844" s="125" t="e">
        <f t="shared" si="105"/>
        <v>#DIV/0!</v>
      </c>
      <c r="M1844" s="125" t="e">
        <f t="shared" si="105"/>
        <v>#DIV/0!</v>
      </c>
      <c r="N1844" s="125" t="e">
        <f t="shared" si="105"/>
        <v>#DIV/0!</v>
      </c>
      <c r="P1844" s="125"/>
      <c r="Q1844" s="125"/>
      <c r="R1844" s="125"/>
      <c r="S1844" s="125" t="e">
        <f>AVERAGE(S1802:S1804)</f>
        <v>#DIV/0!</v>
      </c>
      <c r="T1844" s="125">
        <f t="shared" ref="T1844:Z1844" si="106">AVERAGE(T1802:T1804)</f>
        <v>0</v>
      </c>
      <c r="U1844" s="125">
        <f t="shared" si="106"/>
        <v>4508032.5945452098</v>
      </c>
      <c r="V1844" s="125">
        <f t="shared" si="106"/>
        <v>0</v>
      </c>
      <c r="W1844" s="125">
        <f t="shared" si="106"/>
        <v>615578.625</v>
      </c>
      <c r="X1844" s="125">
        <f t="shared" si="106"/>
        <v>3.6632964485142474</v>
      </c>
      <c r="Y1844" s="125">
        <f t="shared" si="106"/>
        <v>69862095.355770633</v>
      </c>
      <c r="Z1844" s="125">
        <f t="shared" si="106"/>
        <v>412.44278878307688</v>
      </c>
    </row>
    <row r="1845" spans="1:26">
      <c r="A1845" s="114" t="s">
        <v>128</v>
      </c>
      <c r="B1845" s="125" t="e">
        <f>AVERAGE(B1805:B1807)</f>
        <v>#DIV/0!</v>
      </c>
      <c r="C1845" s="125" t="e">
        <f t="shared" ref="C1845:N1845" si="107">AVERAGE(C1805:C1807)</f>
        <v>#DIV/0!</v>
      </c>
      <c r="D1845" s="125" t="e">
        <f t="shared" si="107"/>
        <v>#DIV/0!</v>
      </c>
      <c r="E1845" s="125" t="e">
        <f t="shared" si="107"/>
        <v>#DIV/0!</v>
      </c>
      <c r="F1845" s="125" t="e">
        <f t="shared" si="107"/>
        <v>#DIV/0!</v>
      </c>
      <c r="G1845" s="125" t="e">
        <f t="shared" si="107"/>
        <v>#DIV/0!</v>
      </c>
      <c r="H1845" s="125" t="e">
        <f t="shared" si="107"/>
        <v>#DIV/0!</v>
      </c>
      <c r="I1845" s="125" t="e">
        <f t="shared" si="107"/>
        <v>#DIV/0!</v>
      </c>
      <c r="J1845" s="125" t="e">
        <f t="shared" si="107"/>
        <v>#DIV/0!</v>
      </c>
      <c r="K1845" s="125" t="e">
        <f t="shared" si="107"/>
        <v>#DIV/0!</v>
      </c>
      <c r="L1845" s="125" t="e">
        <f t="shared" si="107"/>
        <v>#DIV/0!</v>
      </c>
      <c r="M1845" s="125" t="e">
        <f t="shared" si="107"/>
        <v>#DIV/0!</v>
      </c>
      <c r="N1845" s="125" t="e">
        <f t="shared" si="107"/>
        <v>#DIV/0!</v>
      </c>
      <c r="P1845" s="125"/>
      <c r="Q1845" s="125"/>
      <c r="R1845" s="125"/>
      <c r="S1845" s="125" t="e">
        <f>AVERAGE(S1805:S1807)</f>
        <v>#DIV/0!</v>
      </c>
      <c r="T1845" s="125"/>
      <c r="U1845" s="125"/>
      <c r="V1845" s="125"/>
      <c r="W1845" s="125"/>
      <c r="X1845" s="125"/>
      <c r="Y1845" s="125"/>
      <c r="Z1845" s="125"/>
    </row>
    <row r="1846" spans="1:26">
      <c r="A1846" s="114" t="s">
        <v>122</v>
      </c>
      <c r="B1846" s="125">
        <f t="shared" ref="B1846" si="108">AVERAGE(B1808:B1810)</f>
        <v>146661877.03899226</v>
      </c>
      <c r="C1846" s="125">
        <f t="shared" ref="C1846:N1846" si="109">AVERAGE(C1808:C1810)</f>
        <v>48735926.434933253</v>
      </c>
      <c r="D1846" s="125">
        <f t="shared" si="109"/>
        <v>58795058.92286215</v>
      </c>
      <c r="E1846" s="125">
        <f t="shared" si="109"/>
        <v>63854909.93121504</v>
      </c>
      <c r="F1846" s="125">
        <f t="shared" si="109"/>
        <v>171385895.28901044</v>
      </c>
      <c r="G1846" s="125">
        <f t="shared" si="109"/>
        <v>-1111762.987012987</v>
      </c>
      <c r="H1846" s="125">
        <f t="shared" si="109"/>
        <v>1473.2547509170054</v>
      </c>
      <c r="I1846" s="125">
        <f t="shared" si="109"/>
        <v>876.7583448454933</v>
      </c>
      <c r="J1846" s="125">
        <f t="shared" si="109"/>
        <v>681.2216254697729</v>
      </c>
      <c r="K1846" s="125">
        <f t="shared" si="109"/>
        <v>836.39696636246197</v>
      </c>
      <c r="L1846" s="125">
        <f t="shared" si="109"/>
        <v>2394.3769366777283</v>
      </c>
      <c r="M1846" s="125">
        <f t="shared" si="109"/>
        <v>-89.695124212362785</v>
      </c>
      <c r="N1846" s="125">
        <f t="shared" si="109"/>
        <v>14150.980808080809</v>
      </c>
      <c r="P1846" s="125"/>
      <c r="Q1846" s="125"/>
      <c r="R1846" s="125"/>
      <c r="S1846" s="125">
        <f>AVERAGE(S1808:S1810)</f>
        <v>-3647505.5255347211</v>
      </c>
      <c r="T1846" s="125"/>
      <c r="U1846" s="125"/>
      <c r="V1846" s="125"/>
      <c r="W1846" s="125"/>
      <c r="X1846" s="125"/>
      <c r="Y1846" s="125"/>
      <c r="Z1846" s="125"/>
    </row>
    <row r="1847" spans="1:26">
      <c r="A1847" s="114" t="s">
        <v>120</v>
      </c>
      <c r="B1847" s="125" t="e">
        <f>AVERAGE(B1811:B1813)</f>
        <v>#DIV/0!</v>
      </c>
      <c r="C1847" s="125" t="e">
        <f t="shared" ref="C1847:N1847" si="110">AVERAGE(C1811:C1813)</f>
        <v>#DIV/0!</v>
      </c>
      <c r="D1847" s="125" t="e">
        <f t="shared" si="110"/>
        <v>#DIV/0!</v>
      </c>
      <c r="E1847" s="125" t="e">
        <f t="shared" si="110"/>
        <v>#DIV/0!</v>
      </c>
      <c r="F1847" s="125" t="e">
        <f t="shared" si="110"/>
        <v>#DIV/0!</v>
      </c>
      <c r="G1847" s="125" t="e">
        <f t="shared" si="110"/>
        <v>#DIV/0!</v>
      </c>
      <c r="H1847" s="125" t="e">
        <f t="shared" si="110"/>
        <v>#DIV/0!</v>
      </c>
      <c r="I1847" s="125" t="e">
        <f t="shared" si="110"/>
        <v>#DIV/0!</v>
      </c>
      <c r="J1847" s="125" t="e">
        <f t="shared" si="110"/>
        <v>#DIV/0!</v>
      </c>
      <c r="K1847" s="125" t="e">
        <f t="shared" si="110"/>
        <v>#DIV/0!</v>
      </c>
      <c r="L1847" s="125" t="e">
        <f t="shared" si="110"/>
        <v>#DIV/0!</v>
      </c>
      <c r="M1847" s="125" t="e">
        <f t="shared" si="110"/>
        <v>#DIV/0!</v>
      </c>
      <c r="N1847" s="125" t="e">
        <f t="shared" si="110"/>
        <v>#DIV/0!</v>
      </c>
      <c r="P1847" s="125"/>
      <c r="Q1847" s="125"/>
      <c r="R1847" s="125"/>
      <c r="S1847" s="125" t="e">
        <f>AVERAGE(S1811:S1813)</f>
        <v>#DIV/0!</v>
      </c>
      <c r="T1847" s="125"/>
      <c r="U1847" s="125"/>
      <c r="V1847" s="125"/>
      <c r="W1847" s="125"/>
      <c r="X1847" s="125"/>
      <c r="Y1847" s="125"/>
      <c r="Z1847" s="125"/>
    </row>
    <row r="1848" spans="1:26">
      <c r="A1848" s="114" t="s">
        <v>119</v>
      </c>
      <c r="B1848" s="125" t="e">
        <f>AVERAGE(B1814:B1816)</f>
        <v>#DIV/0!</v>
      </c>
      <c r="C1848" s="125" t="e">
        <f t="shared" ref="C1848:N1848" si="111">AVERAGE(C1814:C1816)</f>
        <v>#DIV/0!</v>
      </c>
      <c r="D1848" s="125" t="e">
        <f t="shared" si="111"/>
        <v>#DIV/0!</v>
      </c>
      <c r="E1848" s="125" t="e">
        <f t="shared" si="111"/>
        <v>#DIV/0!</v>
      </c>
      <c r="F1848" s="125" t="e">
        <f t="shared" si="111"/>
        <v>#DIV/0!</v>
      </c>
      <c r="G1848" s="125" t="e">
        <f t="shared" si="111"/>
        <v>#DIV/0!</v>
      </c>
      <c r="H1848" s="125" t="e">
        <f t="shared" si="111"/>
        <v>#DIV/0!</v>
      </c>
      <c r="I1848" s="125" t="e">
        <f t="shared" si="111"/>
        <v>#DIV/0!</v>
      </c>
      <c r="J1848" s="125" t="e">
        <f t="shared" si="111"/>
        <v>#DIV/0!</v>
      </c>
      <c r="K1848" s="125" t="e">
        <f t="shared" si="111"/>
        <v>#DIV/0!</v>
      </c>
      <c r="L1848" s="125" t="e">
        <f t="shared" si="111"/>
        <v>#DIV/0!</v>
      </c>
      <c r="M1848" s="125" t="e">
        <f t="shared" si="111"/>
        <v>#DIV/0!</v>
      </c>
      <c r="N1848" s="125" t="e">
        <f t="shared" si="111"/>
        <v>#DIV/0!</v>
      </c>
      <c r="P1848" s="125"/>
      <c r="Q1848" s="125"/>
      <c r="S1848" s="125" t="e">
        <f>AVERAGE(S1814:S1816)</f>
        <v>#DIV/0!</v>
      </c>
      <c r="T1848" s="125"/>
      <c r="U1848" s="125"/>
      <c r="V1848" s="125"/>
      <c r="W1848" s="125"/>
      <c r="X1848" s="125"/>
      <c r="Y1848" s="125"/>
      <c r="Z1848" s="125"/>
    </row>
    <row r="1849" spans="1:26">
      <c r="A1849" s="114" t="s">
        <v>118</v>
      </c>
      <c r="B1849" s="125" t="e">
        <f>AVERAGE(B1817:B1819)</f>
        <v>#DIV/0!</v>
      </c>
      <c r="C1849" s="125" t="e">
        <f t="shared" ref="C1849:N1849" si="112">AVERAGE(C1817:C1819)</f>
        <v>#DIV/0!</v>
      </c>
      <c r="D1849" s="125" t="e">
        <f t="shared" si="112"/>
        <v>#DIV/0!</v>
      </c>
      <c r="E1849" s="125" t="e">
        <f t="shared" si="112"/>
        <v>#DIV/0!</v>
      </c>
      <c r="F1849" s="125" t="e">
        <f t="shared" si="112"/>
        <v>#DIV/0!</v>
      </c>
      <c r="G1849" s="125" t="e">
        <f t="shared" si="112"/>
        <v>#DIV/0!</v>
      </c>
      <c r="H1849" s="125" t="e">
        <f t="shared" si="112"/>
        <v>#DIV/0!</v>
      </c>
      <c r="I1849" s="125" t="e">
        <f t="shared" si="112"/>
        <v>#DIV/0!</v>
      </c>
      <c r="J1849" s="125" t="e">
        <f t="shared" si="112"/>
        <v>#DIV/0!</v>
      </c>
      <c r="K1849" s="125" t="e">
        <f t="shared" si="112"/>
        <v>#DIV/0!</v>
      </c>
      <c r="L1849" s="125" t="e">
        <f t="shared" si="112"/>
        <v>#DIV/0!</v>
      </c>
      <c r="M1849" s="125" t="e">
        <f t="shared" si="112"/>
        <v>#DIV/0!</v>
      </c>
      <c r="N1849" s="125" t="e">
        <f t="shared" si="112"/>
        <v>#DIV/0!</v>
      </c>
    </row>
    <row r="1850" spans="1:26">
      <c r="A1850" s="114" t="s">
        <v>117</v>
      </c>
      <c r="B1850" s="125">
        <f t="shared" ref="B1850" si="113">AVERAGE(B1820:B1822)</f>
        <v>165636870.57084414</v>
      </c>
      <c r="C1850" s="125">
        <f t="shared" ref="C1850:N1850" si="114">AVERAGE(C1820:C1822)</f>
        <v>42012041.615141608</v>
      </c>
      <c r="D1850" s="125">
        <f t="shared" si="114"/>
        <v>52564755.957671106</v>
      </c>
      <c r="E1850" s="125">
        <f t="shared" si="114"/>
        <v>71159876.408883229</v>
      </c>
      <c r="F1850" s="125">
        <f t="shared" si="114"/>
        <v>165736673.98169592</v>
      </c>
      <c r="G1850" s="125">
        <f t="shared" si="114"/>
        <v>-191129.14862914861</v>
      </c>
      <c r="H1850" s="125">
        <f t="shared" si="114"/>
        <v>1505.8323116197819</v>
      </c>
      <c r="I1850" s="125">
        <f t="shared" si="114"/>
        <v>1035.4841652963557</v>
      </c>
      <c r="J1850" s="125">
        <f t="shared" si="114"/>
        <v>599.33579212810866</v>
      </c>
      <c r="K1850" s="125">
        <f t="shared" si="114"/>
        <v>1126.8504576439925</v>
      </c>
      <c r="L1850" s="125">
        <f t="shared" si="114"/>
        <v>2761.6704150684568</v>
      </c>
      <c r="M1850" s="125">
        <f t="shared" si="114"/>
        <v>-0.87301587301587302</v>
      </c>
      <c r="N1850" s="125">
        <f t="shared" si="114"/>
        <v>14232.826479076479</v>
      </c>
    </row>
    <row r="1851" spans="1:26" ht="37">
      <c r="H1851" s="2249" t="s">
        <v>30</v>
      </c>
      <c r="I1851" s="2249" t="s">
        <v>31</v>
      </c>
      <c r="J1851" s="2249" t="s">
        <v>32</v>
      </c>
      <c r="K1851" s="2249" t="s">
        <v>124</v>
      </c>
      <c r="L1851" s="2250" t="s">
        <v>263</v>
      </c>
      <c r="M1851" s="2250" t="s">
        <v>36</v>
      </c>
      <c r="N1851" s="2251"/>
    </row>
    <row r="1852" spans="1:26">
      <c r="H1852" s="2252" t="e">
        <f t="shared" ref="H1852:M1865" si="115">+H1833*$N1833</f>
        <v>#DIV/0!</v>
      </c>
      <c r="I1852" s="2252" t="e">
        <f t="shared" si="115"/>
        <v>#DIV/0!</v>
      </c>
      <c r="J1852" s="2252" t="e">
        <f t="shared" si="115"/>
        <v>#DIV/0!</v>
      </c>
      <c r="K1852" s="2252" t="e">
        <f t="shared" si="115"/>
        <v>#DIV/0!</v>
      </c>
      <c r="L1852" s="2252" t="e">
        <f t="shared" si="115"/>
        <v>#DIV/0!</v>
      </c>
      <c r="M1852" s="2252" t="e">
        <f t="shared" si="115"/>
        <v>#DIV/0!</v>
      </c>
      <c r="N1852" s="2253" t="s">
        <v>322</v>
      </c>
    </row>
    <row r="1853" spans="1:26">
      <c r="B1853" s="125"/>
      <c r="F1853" s="123"/>
      <c r="H1853" s="2252">
        <f t="shared" si="115"/>
        <v>28788392.127500243</v>
      </c>
      <c r="I1853" s="2252">
        <f t="shared" si="115"/>
        <v>16355445.559061434</v>
      </c>
      <c r="J1853" s="2252">
        <f t="shared" si="115"/>
        <v>11957022.509862203</v>
      </c>
      <c r="K1853" s="2252">
        <f t="shared" si="115"/>
        <v>10998046.319322849</v>
      </c>
      <c r="L1853" s="2252">
        <f t="shared" si="115"/>
        <v>39310514.388246477</v>
      </c>
      <c r="M1853" s="2252">
        <f t="shared" si="115"/>
        <v>-76189.280812352241</v>
      </c>
      <c r="N1853" s="2253" t="s">
        <v>269</v>
      </c>
    </row>
    <row r="1854" spans="1:26">
      <c r="H1854" s="2252" t="e">
        <f t="shared" si="115"/>
        <v>#DIV/0!</v>
      </c>
      <c r="I1854" s="2252" t="e">
        <f t="shared" si="115"/>
        <v>#DIV/0!</v>
      </c>
      <c r="J1854" s="2252" t="e">
        <f t="shared" si="115"/>
        <v>#DIV/0!</v>
      </c>
      <c r="K1854" s="2252" t="e">
        <f t="shared" si="115"/>
        <v>#DIV/0!</v>
      </c>
      <c r="L1854" s="2252" t="e">
        <f t="shared" si="115"/>
        <v>#DIV/0!</v>
      </c>
      <c r="M1854" s="2252" t="e">
        <f t="shared" si="115"/>
        <v>#DIV/0!</v>
      </c>
      <c r="N1854" s="2253" t="s">
        <v>261</v>
      </c>
    </row>
    <row r="1855" spans="1:26">
      <c r="H1855" s="2252" t="e">
        <f t="shared" si="115"/>
        <v>#DIV/0!</v>
      </c>
      <c r="I1855" s="2252" t="e">
        <f t="shared" si="115"/>
        <v>#DIV/0!</v>
      </c>
      <c r="J1855" s="2252" t="e">
        <f t="shared" si="115"/>
        <v>#DIV/0!</v>
      </c>
      <c r="K1855" s="2252" t="e">
        <f t="shared" si="115"/>
        <v>#DIV/0!</v>
      </c>
      <c r="L1855" s="2252" t="e">
        <f t="shared" si="115"/>
        <v>#DIV/0!</v>
      </c>
      <c r="M1855" s="2252" t="e">
        <f t="shared" si="115"/>
        <v>#DIV/0!</v>
      </c>
      <c r="N1855" s="2253" t="s">
        <v>253</v>
      </c>
    </row>
    <row r="1856" spans="1:26">
      <c r="H1856" s="2252" t="e">
        <f t="shared" si="115"/>
        <v>#DIV/0!</v>
      </c>
      <c r="I1856" s="2252" t="e">
        <f t="shared" si="115"/>
        <v>#DIV/0!</v>
      </c>
      <c r="J1856" s="2252" t="e">
        <f t="shared" si="115"/>
        <v>#DIV/0!</v>
      </c>
      <c r="K1856" s="2252" t="e">
        <f t="shared" si="115"/>
        <v>#DIV/0!</v>
      </c>
      <c r="L1856" s="2252" t="e">
        <f t="shared" si="115"/>
        <v>#DIV/0!</v>
      </c>
      <c r="M1856" s="2252" t="e">
        <f t="shared" si="115"/>
        <v>#DIV/0!</v>
      </c>
      <c r="N1856" s="2253" t="s">
        <v>246</v>
      </c>
    </row>
    <row r="1857" spans="1:19">
      <c r="B1857" s="125"/>
      <c r="C1857" s="125"/>
      <c r="D1857" s="125"/>
      <c r="E1857" s="125"/>
      <c r="F1857" s="125"/>
      <c r="G1857" s="125"/>
      <c r="H1857" s="2252">
        <f t="shared" si="115"/>
        <v>24496082.407093659</v>
      </c>
      <c r="I1857" s="2252">
        <f t="shared" si="115"/>
        <v>15113552.283424934</v>
      </c>
      <c r="J1857" s="2252">
        <f t="shared" si="115"/>
        <v>9031555.8818610441</v>
      </c>
      <c r="K1857" s="2252">
        <f t="shared" si="115"/>
        <v>16118969.144810034</v>
      </c>
      <c r="L1857" s="2252">
        <f t="shared" si="115"/>
        <v>40264077.310096018</v>
      </c>
      <c r="M1857" s="2252">
        <f t="shared" si="115"/>
        <v>-4174.6045661645448</v>
      </c>
      <c r="N1857" s="2253" t="s">
        <v>227</v>
      </c>
      <c r="S1857" s="125" t="e">
        <f>S1844-S1845</f>
        <v>#DIV/0!</v>
      </c>
    </row>
    <row r="1858" spans="1:19">
      <c r="B1858" s="125"/>
      <c r="C1858" s="125"/>
      <c r="D1858" s="125"/>
      <c r="E1858" s="125"/>
      <c r="F1858" s="125"/>
      <c r="G1858" s="125"/>
      <c r="H1858" s="2252" t="e">
        <f t="shared" si="115"/>
        <v>#DIV/0!</v>
      </c>
      <c r="I1858" s="2252" t="e">
        <f t="shared" si="115"/>
        <v>#DIV/0!</v>
      </c>
      <c r="J1858" s="2252" t="e">
        <f t="shared" si="115"/>
        <v>#DIV/0!</v>
      </c>
      <c r="K1858" s="2252" t="e">
        <f t="shared" si="115"/>
        <v>#DIV/0!</v>
      </c>
      <c r="L1858" s="2252" t="e">
        <f t="shared" si="115"/>
        <v>#DIV/0!</v>
      </c>
      <c r="M1858" s="2252" t="e">
        <f t="shared" si="115"/>
        <v>#DIV/0!</v>
      </c>
      <c r="N1858" s="2253" t="s">
        <v>220</v>
      </c>
      <c r="S1858" s="125"/>
    </row>
    <row r="1859" spans="1:19">
      <c r="B1859" s="125"/>
      <c r="C1859" s="125"/>
      <c r="D1859" s="125"/>
      <c r="E1859" s="125"/>
      <c r="F1859" s="125"/>
      <c r="G1859" s="125"/>
      <c r="H1859" s="2252" t="e">
        <f t="shared" si="115"/>
        <v>#DIV/0!</v>
      </c>
      <c r="I1859" s="2252" t="e">
        <f t="shared" si="115"/>
        <v>#DIV/0!</v>
      </c>
      <c r="J1859" s="2252" t="e">
        <f t="shared" si="115"/>
        <v>#DIV/0!</v>
      </c>
      <c r="K1859" s="2252" t="e">
        <f t="shared" si="115"/>
        <v>#DIV/0!</v>
      </c>
      <c r="L1859" s="2252" t="e">
        <f t="shared" si="115"/>
        <v>#DIV/0!</v>
      </c>
      <c r="M1859" s="2252" t="e">
        <f t="shared" si="115"/>
        <v>#DIV/0!</v>
      </c>
      <c r="N1859" s="2253" t="s">
        <v>213</v>
      </c>
      <c r="S1859" s="125" t="e">
        <f>S1845-S1846</f>
        <v>#DIV/0!</v>
      </c>
    </row>
    <row r="1860" spans="1:19">
      <c r="H1860" s="2252" t="e">
        <f t="shared" si="115"/>
        <v>#DIV/0!</v>
      </c>
      <c r="I1860" s="2252" t="e">
        <f t="shared" si="115"/>
        <v>#DIV/0!</v>
      </c>
      <c r="J1860" s="2252" t="e">
        <f t="shared" si="115"/>
        <v>#DIV/0!</v>
      </c>
      <c r="K1860" s="2252" t="e">
        <f t="shared" si="115"/>
        <v>#DIV/0!</v>
      </c>
      <c r="L1860" s="2252" t="e">
        <f t="shared" si="115"/>
        <v>#DIV/0!</v>
      </c>
      <c r="M1860" s="2252" t="e">
        <f t="shared" si="115"/>
        <v>#DIV/0!</v>
      </c>
      <c r="N1860" s="2253" t="s">
        <v>206</v>
      </c>
    </row>
    <row r="1861" spans="1:19" ht="17.25" customHeight="1">
      <c r="A1861" s="177"/>
      <c r="B1861" s="141"/>
      <c r="C1861" s="141"/>
      <c r="D1861" s="141"/>
      <c r="E1861" s="141"/>
      <c r="F1861" s="178"/>
      <c r="G1861" s="141"/>
      <c r="H1861" s="2252">
        <f t="shared" si="115"/>
        <v>19464781.053583197</v>
      </c>
      <c r="I1861" s="2252">
        <f t="shared" si="115"/>
        <v>17583908.748947214</v>
      </c>
      <c r="J1861" s="2252">
        <f t="shared" si="115"/>
        <v>10014811.965042906</v>
      </c>
      <c r="K1861" s="2252">
        <f t="shared" si="115"/>
        <v>16596367.630669825</v>
      </c>
      <c r="L1861" s="2252">
        <f t="shared" si="115"/>
        <v>44195088.344659947</v>
      </c>
      <c r="M1861" s="2252">
        <f t="shared" si="115"/>
        <v>-670892.7278186616</v>
      </c>
      <c r="N1861" s="2253" t="s">
        <v>156</v>
      </c>
    </row>
    <row r="1862" spans="1:19" ht="17.25" customHeight="1">
      <c r="A1862" s="177"/>
      <c r="B1862" s="141"/>
      <c r="C1862" s="141"/>
      <c r="D1862" s="141"/>
      <c r="E1862" s="141"/>
      <c r="F1862" s="178"/>
      <c r="G1862" s="141"/>
      <c r="H1862" s="2252" t="e">
        <f t="shared" si="115"/>
        <v>#DIV/0!</v>
      </c>
      <c r="I1862" s="2252" t="e">
        <f t="shared" si="115"/>
        <v>#DIV/0!</v>
      </c>
      <c r="J1862" s="2252" t="e">
        <f t="shared" si="115"/>
        <v>#DIV/0!</v>
      </c>
      <c r="K1862" s="2252" t="e">
        <f t="shared" si="115"/>
        <v>#DIV/0!</v>
      </c>
      <c r="L1862" s="2252" t="e">
        <f t="shared" si="115"/>
        <v>#DIV/0!</v>
      </c>
      <c r="M1862" s="2252" t="e">
        <f t="shared" si="115"/>
        <v>#DIV/0!</v>
      </c>
      <c r="N1862" s="2253" t="s">
        <v>148</v>
      </c>
    </row>
    <row r="1863" spans="1:19" ht="17.25" customHeight="1">
      <c r="A1863" s="177"/>
      <c r="B1863" s="140" t="e">
        <f>B1870-B1871</f>
        <v>#DIV/0!</v>
      </c>
      <c r="C1863" s="141"/>
      <c r="D1863" s="141"/>
      <c r="E1863" s="141"/>
      <c r="F1863" s="178"/>
      <c r="G1863" s="141"/>
      <c r="H1863" s="2252" t="e">
        <f t="shared" si="115"/>
        <v>#DIV/0!</v>
      </c>
      <c r="I1863" s="2252" t="e">
        <f t="shared" si="115"/>
        <v>#DIV/0!</v>
      </c>
      <c r="J1863" s="2252" t="e">
        <f t="shared" si="115"/>
        <v>#DIV/0!</v>
      </c>
      <c r="K1863" s="2252" t="e">
        <f t="shared" si="115"/>
        <v>#DIV/0!</v>
      </c>
      <c r="L1863" s="2252" t="e">
        <f t="shared" si="115"/>
        <v>#DIV/0!</v>
      </c>
      <c r="M1863" s="2252" t="e">
        <f t="shared" si="115"/>
        <v>#DIV/0!</v>
      </c>
      <c r="N1863" s="2253" t="s">
        <v>149</v>
      </c>
    </row>
    <row r="1864" spans="1:19" ht="17.25" customHeight="1">
      <c r="A1864" s="177"/>
      <c r="B1864" s="141"/>
      <c r="C1864" s="141"/>
      <c r="D1864" s="141"/>
      <c r="E1864" s="141"/>
      <c r="F1864" s="178"/>
      <c r="G1864" s="141"/>
      <c r="H1864" s="2252" t="e">
        <f t="shared" si="115"/>
        <v>#DIV/0!</v>
      </c>
      <c r="I1864" s="2252" t="e">
        <f t="shared" si="115"/>
        <v>#DIV/0!</v>
      </c>
      <c r="J1864" s="2252" t="e">
        <f t="shared" si="115"/>
        <v>#DIV/0!</v>
      </c>
      <c r="K1864" s="2252" t="e">
        <f t="shared" si="115"/>
        <v>#DIV/0!</v>
      </c>
      <c r="L1864" s="2252" t="e">
        <f t="shared" si="115"/>
        <v>#DIV/0!</v>
      </c>
      <c r="M1864" s="2252" t="e">
        <f t="shared" si="115"/>
        <v>#DIV/0!</v>
      </c>
      <c r="N1864" s="2253" t="s">
        <v>150</v>
      </c>
    </row>
    <row r="1865" spans="1:19" ht="17.25" customHeight="1">
      <c r="A1865" s="177"/>
      <c r="B1865" s="141"/>
      <c r="C1865" s="141"/>
      <c r="D1865" s="141"/>
      <c r="E1865" s="141"/>
      <c r="F1865" s="178"/>
      <c r="G1865" s="141"/>
      <c r="H1865" s="2252">
        <f t="shared" si="115"/>
        <v>20847999.705640417</v>
      </c>
      <c r="I1865" s="2252">
        <f t="shared" si="115"/>
        <v>12406990.511233272</v>
      </c>
      <c r="J1865" s="2252">
        <f t="shared" si="115"/>
        <v>9639954.1480723694</v>
      </c>
      <c r="K1865" s="2252">
        <f t="shared" si="115"/>
        <v>11835837.418932209</v>
      </c>
      <c r="L1865" s="2252">
        <f t="shared" si="115"/>
        <v>33882782.078237854</v>
      </c>
      <c r="M1865" s="2252">
        <f t="shared" si="115"/>
        <v>-1269273.9813075701</v>
      </c>
      <c r="N1865" s="2253" t="s">
        <v>151</v>
      </c>
    </row>
    <row r="1866" spans="1:19" s="185" customFormat="1" ht="47.25" customHeight="1">
      <c r="A1866" s="2255" t="s">
        <v>163</v>
      </c>
      <c r="B1866" s="2255" t="s">
        <v>30</v>
      </c>
      <c r="C1866" s="2255" t="s">
        <v>31</v>
      </c>
      <c r="D1866" s="2255" t="s">
        <v>32</v>
      </c>
      <c r="E1866" s="2256" t="s">
        <v>33</v>
      </c>
      <c r="F1866" s="2255" t="s">
        <v>37</v>
      </c>
      <c r="G1866" s="2255" t="s">
        <v>36</v>
      </c>
      <c r="H1866" s="126"/>
      <c r="I1866" s="126"/>
      <c r="J1866" s="126"/>
      <c r="K1866" s="126"/>
      <c r="L1866" s="126"/>
      <c r="M1866" s="126"/>
      <c r="N1866" s="139"/>
      <c r="O1866" s="184"/>
    </row>
    <row r="1867" spans="1:19" ht="17.25" customHeight="1">
      <c r="A1867" s="2254" t="s">
        <v>320</v>
      </c>
      <c r="B1867" s="2252" t="e">
        <f t="shared" ref="B1867:B1880" si="116">+B1833+H1852</f>
        <v>#DIV/0!</v>
      </c>
      <c r="C1867" s="2252" t="e">
        <f t="shared" ref="C1867:C1880" si="117">+C1833+I1852</f>
        <v>#DIV/0!</v>
      </c>
      <c r="D1867" s="2252" t="e">
        <f t="shared" ref="D1867:D1880" si="118">+D1833+J1852</f>
        <v>#DIV/0!</v>
      </c>
      <c r="E1867" s="2252" t="e">
        <f t="shared" ref="E1867:E1880" si="119">+E1833+K1852</f>
        <v>#DIV/0!</v>
      </c>
      <c r="F1867" s="2252" t="e">
        <f t="shared" ref="F1867:F1880" si="120">+F1833+L1852</f>
        <v>#DIV/0!</v>
      </c>
      <c r="G1867" s="2252" t="e">
        <f t="shared" ref="G1867:G1877" si="121">ABS(+G1833+M1852)</f>
        <v>#DIV/0!</v>
      </c>
      <c r="H1867" s="126"/>
      <c r="I1867" s="126"/>
      <c r="J1867" s="126"/>
      <c r="K1867" s="126"/>
      <c r="L1867" s="126"/>
      <c r="M1867" s="126"/>
    </row>
    <row r="1868" spans="1:19" ht="17.25" customHeight="1">
      <c r="A1868" s="2254" t="s">
        <v>270</v>
      </c>
      <c r="B1868" s="2252">
        <f t="shared" si="116"/>
        <v>199291581.4175534</v>
      </c>
      <c r="C1868" s="2252">
        <f t="shared" si="117"/>
        <v>77941657.678419828</v>
      </c>
      <c r="D1868" s="2252">
        <f t="shared" si="118"/>
        <v>78700759.099300787</v>
      </c>
      <c r="E1868" s="2252">
        <f t="shared" si="119"/>
        <v>88158709.381350324</v>
      </c>
      <c r="F1868" s="2252">
        <f t="shared" si="120"/>
        <v>244801126.15907094</v>
      </c>
      <c r="G1868" s="2252">
        <f t="shared" si="121"/>
        <v>1641296.5375906616</v>
      </c>
      <c r="H1868" s="182"/>
      <c r="I1868" s="182"/>
      <c r="J1868" s="182"/>
      <c r="K1868" s="182"/>
      <c r="L1868" s="182"/>
      <c r="M1868" s="182"/>
      <c r="N1868" s="183"/>
    </row>
    <row r="1869" spans="1:19" ht="17.25" customHeight="1">
      <c r="A1869" s="2254" t="s">
        <v>262</v>
      </c>
      <c r="B1869" s="2252" t="e">
        <f t="shared" si="116"/>
        <v>#DIV/0!</v>
      </c>
      <c r="C1869" s="2252" t="e">
        <f t="shared" si="117"/>
        <v>#DIV/0!</v>
      </c>
      <c r="D1869" s="2252" t="e">
        <f t="shared" si="118"/>
        <v>#DIV/0!</v>
      </c>
      <c r="E1869" s="2252" t="e">
        <f t="shared" si="119"/>
        <v>#DIV/0!</v>
      </c>
      <c r="F1869" s="2252" t="e">
        <f t="shared" si="120"/>
        <v>#DIV/0!</v>
      </c>
      <c r="G1869" s="2252" t="e">
        <f t="shared" si="121"/>
        <v>#DIV/0!</v>
      </c>
      <c r="H1869" s="182"/>
      <c r="I1869" s="182"/>
      <c r="J1869" s="182"/>
      <c r="K1869" s="182"/>
      <c r="L1869" s="182"/>
      <c r="M1869" s="182"/>
      <c r="N1869" s="183"/>
    </row>
    <row r="1870" spans="1:19" ht="17.25" customHeight="1">
      <c r="A1870" s="2254" t="s">
        <v>254</v>
      </c>
      <c r="B1870" s="2252" t="e">
        <f t="shared" si="116"/>
        <v>#DIV/0!</v>
      </c>
      <c r="C1870" s="2252" t="e">
        <f t="shared" si="117"/>
        <v>#DIV/0!</v>
      </c>
      <c r="D1870" s="2252" t="e">
        <f t="shared" si="118"/>
        <v>#DIV/0!</v>
      </c>
      <c r="E1870" s="2252" t="e">
        <f t="shared" si="119"/>
        <v>#DIV/0!</v>
      </c>
      <c r="F1870" s="2252" t="e">
        <f t="shared" si="120"/>
        <v>#DIV/0!</v>
      </c>
      <c r="G1870" s="2252" t="e">
        <f t="shared" si="121"/>
        <v>#DIV/0!</v>
      </c>
      <c r="H1870" s="182"/>
      <c r="I1870" s="182"/>
      <c r="J1870" s="182"/>
      <c r="K1870" s="182"/>
      <c r="L1870" s="182"/>
      <c r="M1870" s="182"/>
      <c r="N1870" s="183"/>
    </row>
    <row r="1871" spans="1:19" ht="17.25" customHeight="1">
      <c r="A1871" s="2254" t="s">
        <v>247</v>
      </c>
      <c r="B1871" s="2252" t="e">
        <f t="shared" si="116"/>
        <v>#DIV/0!</v>
      </c>
      <c r="C1871" s="2252" t="e">
        <f t="shared" si="117"/>
        <v>#DIV/0!</v>
      </c>
      <c r="D1871" s="2252" t="e">
        <f t="shared" si="118"/>
        <v>#DIV/0!</v>
      </c>
      <c r="E1871" s="2252" t="e">
        <f t="shared" si="119"/>
        <v>#DIV/0!</v>
      </c>
      <c r="F1871" s="2252" t="e">
        <f t="shared" si="120"/>
        <v>#DIV/0!</v>
      </c>
      <c r="G1871" s="2252" t="e">
        <f t="shared" si="121"/>
        <v>#DIV/0!</v>
      </c>
      <c r="H1871" s="179"/>
      <c r="I1871" s="179"/>
      <c r="J1871" s="179"/>
      <c r="K1871" s="179"/>
      <c r="L1871" s="179"/>
      <c r="M1871" s="179"/>
      <c r="N1871" s="180"/>
    </row>
    <row r="1872" spans="1:19" ht="17.25" customHeight="1">
      <c r="A1872" s="2254" t="s">
        <v>229</v>
      </c>
      <c r="B1872" s="2252">
        <f t="shared" si="116"/>
        <v>190924257.22040039</v>
      </c>
      <c r="C1872" s="2252">
        <f t="shared" si="117"/>
        <v>73839894.4836822</v>
      </c>
      <c r="D1872" s="2252">
        <f t="shared" si="118"/>
        <v>75098464.478170648</v>
      </c>
      <c r="E1872" s="2252">
        <f t="shared" si="119"/>
        <v>86991779.447882503</v>
      </c>
      <c r="F1872" s="2252">
        <f t="shared" si="120"/>
        <v>235930138.40973541</v>
      </c>
      <c r="G1872" s="2252">
        <f t="shared" si="121"/>
        <v>255841.27123283138</v>
      </c>
      <c r="H1872" s="179"/>
      <c r="I1872" s="179"/>
      <c r="J1872" s="179"/>
      <c r="K1872" s="179"/>
      <c r="L1872" s="179"/>
      <c r="M1872" s="179"/>
      <c r="N1872" s="180"/>
    </row>
    <row r="1873" spans="1:14" ht="17.25" customHeight="1">
      <c r="A1873" s="2254" t="s">
        <v>222</v>
      </c>
      <c r="B1873" s="2252" t="e">
        <f t="shared" si="116"/>
        <v>#DIV/0!</v>
      </c>
      <c r="C1873" s="2252" t="e">
        <f t="shared" si="117"/>
        <v>#DIV/0!</v>
      </c>
      <c r="D1873" s="2252" t="e">
        <f t="shared" si="118"/>
        <v>#DIV/0!</v>
      </c>
      <c r="E1873" s="2252" t="e">
        <f t="shared" si="119"/>
        <v>#DIV/0!</v>
      </c>
      <c r="F1873" s="2252" t="e">
        <f t="shared" si="120"/>
        <v>#DIV/0!</v>
      </c>
      <c r="G1873" s="2252" t="e">
        <f t="shared" si="121"/>
        <v>#DIV/0!</v>
      </c>
      <c r="H1873" s="179"/>
      <c r="I1873" s="179"/>
      <c r="J1873" s="179"/>
      <c r="K1873" s="179"/>
      <c r="L1873" s="179"/>
      <c r="M1873" s="179"/>
      <c r="N1873" s="180"/>
    </row>
    <row r="1874" spans="1:14" ht="17.25" customHeight="1">
      <c r="A1874" s="2254" t="s">
        <v>214</v>
      </c>
      <c r="B1874" s="2252" t="e">
        <f t="shared" si="116"/>
        <v>#DIV/0!</v>
      </c>
      <c r="C1874" s="2252" t="e">
        <f t="shared" si="117"/>
        <v>#DIV/0!</v>
      </c>
      <c r="D1874" s="2252" t="e">
        <f t="shared" si="118"/>
        <v>#DIV/0!</v>
      </c>
      <c r="E1874" s="2252" t="e">
        <f t="shared" si="119"/>
        <v>#DIV/0!</v>
      </c>
      <c r="F1874" s="2252" t="e">
        <f t="shared" si="120"/>
        <v>#DIV/0!</v>
      </c>
      <c r="G1874" s="2252" t="e">
        <f t="shared" si="121"/>
        <v>#DIV/0!</v>
      </c>
      <c r="H1874" s="179"/>
      <c r="I1874" s="179"/>
      <c r="J1874" s="179"/>
      <c r="K1874" s="179"/>
      <c r="L1874" s="179"/>
      <c r="M1874" s="179"/>
      <c r="N1874" s="180"/>
    </row>
    <row r="1875" spans="1:14" ht="17.25" customHeight="1">
      <c r="A1875" s="2254" t="s">
        <v>207</v>
      </c>
      <c r="B1875" s="2252" t="e">
        <f t="shared" si="116"/>
        <v>#DIV/0!</v>
      </c>
      <c r="C1875" s="2252" t="e">
        <f t="shared" si="117"/>
        <v>#DIV/0!</v>
      </c>
      <c r="D1875" s="2252" t="e">
        <f t="shared" si="118"/>
        <v>#DIV/0!</v>
      </c>
      <c r="E1875" s="2252" t="e">
        <f t="shared" si="119"/>
        <v>#DIV/0!</v>
      </c>
      <c r="F1875" s="2252" t="e">
        <f t="shared" si="120"/>
        <v>#DIV/0!</v>
      </c>
      <c r="G1875" s="2252" t="e">
        <f t="shared" si="121"/>
        <v>#DIV/0!</v>
      </c>
      <c r="H1875" s="179"/>
      <c r="I1875" s="179"/>
      <c r="J1875" s="179"/>
      <c r="K1875" s="179"/>
      <c r="L1875" s="179"/>
      <c r="M1875" s="179"/>
      <c r="N1875" s="180"/>
    </row>
    <row r="1876" spans="1:14">
      <c r="A1876" s="2254" t="s">
        <v>157</v>
      </c>
      <c r="B1876" s="2252">
        <f t="shared" si="116"/>
        <v>173039214.0940291</v>
      </c>
      <c r="C1876" s="2252">
        <f t="shared" si="117"/>
        <v>75927217.801283836</v>
      </c>
      <c r="D1876" s="2252">
        <f t="shared" si="118"/>
        <v>73642552.390933678</v>
      </c>
      <c r="E1876" s="2252">
        <f t="shared" si="119"/>
        <v>89557693.654857665</v>
      </c>
      <c r="F1876" s="2252">
        <f t="shared" si="120"/>
        <v>239127463.84707516</v>
      </c>
      <c r="G1876" s="2252">
        <f t="shared" si="121"/>
        <v>1770892.7278186616</v>
      </c>
      <c r="H1876" s="179"/>
      <c r="I1876" s="179"/>
      <c r="J1876" s="179"/>
      <c r="K1876" s="179"/>
      <c r="L1876" s="179"/>
      <c r="M1876" s="179"/>
      <c r="N1876" s="180"/>
    </row>
    <row r="1877" spans="1:14">
      <c r="A1877" s="2254" t="s">
        <v>144</v>
      </c>
      <c r="B1877" s="2252" t="e">
        <f t="shared" si="116"/>
        <v>#DIV/0!</v>
      </c>
      <c r="C1877" s="2252" t="e">
        <f t="shared" si="117"/>
        <v>#DIV/0!</v>
      </c>
      <c r="D1877" s="2252" t="e">
        <f t="shared" si="118"/>
        <v>#DIV/0!</v>
      </c>
      <c r="E1877" s="2252" t="e">
        <f t="shared" si="119"/>
        <v>#DIV/0!</v>
      </c>
      <c r="F1877" s="2252" t="e">
        <f t="shared" si="120"/>
        <v>#DIV/0!</v>
      </c>
      <c r="G1877" s="2252" t="e">
        <f t="shared" si="121"/>
        <v>#DIV/0!</v>
      </c>
      <c r="H1877" s="179"/>
      <c r="I1877" s="179"/>
      <c r="J1877" s="179"/>
      <c r="K1877" s="179"/>
      <c r="L1877" s="179"/>
      <c r="M1877" s="179"/>
      <c r="N1877" s="180"/>
    </row>
    <row r="1878" spans="1:14">
      <c r="A1878" s="2254" t="s">
        <v>145</v>
      </c>
      <c r="B1878" s="2252" t="e">
        <f t="shared" si="116"/>
        <v>#DIV/0!</v>
      </c>
      <c r="C1878" s="2252" t="e">
        <f t="shared" si="117"/>
        <v>#DIV/0!</v>
      </c>
      <c r="D1878" s="2252" t="e">
        <f t="shared" si="118"/>
        <v>#DIV/0!</v>
      </c>
      <c r="E1878" s="2252" t="e">
        <f t="shared" si="119"/>
        <v>#DIV/0!</v>
      </c>
      <c r="F1878" s="2252" t="e">
        <f t="shared" si="120"/>
        <v>#DIV/0!</v>
      </c>
      <c r="G1878" s="2252" t="e">
        <f>ABS(G1844+M1863)</f>
        <v>#DIV/0!</v>
      </c>
      <c r="H1878" s="126"/>
      <c r="I1878" s="126"/>
      <c r="J1878" s="126"/>
      <c r="K1878" s="126"/>
      <c r="L1878" s="126"/>
      <c r="M1878" s="126"/>
    </row>
    <row r="1879" spans="1:14">
      <c r="A1879" s="2254" t="s">
        <v>146</v>
      </c>
      <c r="B1879" s="2252" t="e">
        <f t="shared" si="116"/>
        <v>#DIV/0!</v>
      </c>
      <c r="C1879" s="2252" t="e">
        <f t="shared" si="117"/>
        <v>#DIV/0!</v>
      </c>
      <c r="D1879" s="2252" t="e">
        <f t="shared" si="118"/>
        <v>#DIV/0!</v>
      </c>
      <c r="E1879" s="2252" t="e">
        <f t="shared" si="119"/>
        <v>#DIV/0!</v>
      </c>
      <c r="F1879" s="2252" t="e">
        <f t="shared" si="120"/>
        <v>#DIV/0!</v>
      </c>
      <c r="G1879" s="2252" t="e">
        <f>ABS(G1845+M1864)</f>
        <v>#DIV/0!</v>
      </c>
      <c r="H1879" s="126"/>
      <c r="I1879" s="126"/>
      <c r="J1879" s="126"/>
      <c r="K1879" s="126"/>
      <c r="L1879" s="126"/>
      <c r="M1879" s="126"/>
    </row>
    <row r="1880" spans="1:14" ht="20.25" customHeight="1">
      <c r="A1880" s="2254" t="s">
        <v>147</v>
      </c>
      <c r="B1880" s="2252">
        <f t="shared" si="116"/>
        <v>167509876.74463266</v>
      </c>
      <c r="C1880" s="2252">
        <f t="shared" si="117"/>
        <v>61142916.946166523</v>
      </c>
      <c r="D1880" s="2252">
        <f t="shared" si="118"/>
        <v>68435013.070934519</v>
      </c>
      <c r="E1880" s="2252">
        <f t="shared" si="119"/>
        <v>75690747.350147247</v>
      </c>
      <c r="F1880" s="2252">
        <f t="shared" si="120"/>
        <v>205268677.3672483</v>
      </c>
      <c r="G1880" s="2252">
        <f>ABS(G1846+M1865)</f>
        <v>2381036.9683205569</v>
      </c>
    </row>
    <row r="1881" spans="1:14" ht="30" customHeight="1">
      <c r="A1881" s="3315" t="s">
        <v>158</v>
      </c>
      <c r="B1881" s="3315"/>
      <c r="C1881" s="3315"/>
      <c r="D1881" s="3315"/>
      <c r="E1881" s="3315"/>
      <c r="F1881" s="3315"/>
      <c r="G1881" s="3315"/>
    </row>
    <row r="1882" spans="1:14" ht="30" customHeight="1">
      <c r="A1882" s="2257" t="s">
        <v>319</v>
      </c>
      <c r="B1882" s="2258" t="e">
        <f t="shared" ref="B1882:G1886" si="122">+B1867-B1868</f>
        <v>#DIV/0!</v>
      </c>
      <c r="C1882" s="2258" t="e">
        <f t="shared" si="122"/>
        <v>#DIV/0!</v>
      </c>
      <c r="D1882" s="2258" t="e">
        <f t="shared" si="122"/>
        <v>#DIV/0!</v>
      </c>
      <c r="E1882" s="2258" t="e">
        <f t="shared" si="122"/>
        <v>#DIV/0!</v>
      </c>
      <c r="F1882" s="2258" t="e">
        <f t="shared" si="122"/>
        <v>#DIV/0!</v>
      </c>
      <c r="G1882" s="2258" t="e">
        <f t="shared" si="122"/>
        <v>#DIV/0!</v>
      </c>
    </row>
    <row r="1883" spans="1:14">
      <c r="A1883" s="2257" t="s">
        <v>271</v>
      </c>
      <c r="B1883" s="2258" t="e">
        <f t="shared" si="122"/>
        <v>#DIV/0!</v>
      </c>
      <c r="C1883" s="2258" t="e">
        <f t="shared" si="122"/>
        <v>#DIV/0!</v>
      </c>
      <c r="D1883" s="2258" t="e">
        <f t="shared" si="122"/>
        <v>#DIV/0!</v>
      </c>
      <c r="E1883" s="2258" t="e">
        <f t="shared" si="122"/>
        <v>#DIV/0!</v>
      </c>
      <c r="F1883" s="2258" t="e">
        <f t="shared" si="122"/>
        <v>#DIV/0!</v>
      </c>
      <c r="G1883" s="2258" t="e">
        <f t="shared" si="122"/>
        <v>#DIV/0!</v>
      </c>
    </row>
    <row r="1884" spans="1:14">
      <c r="A1884" s="2257" t="s">
        <v>264</v>
      </c>
      <c r="B1884" s="2258" t="e">
        <f t="shared" si="122"/>
        <v>#DIV/0!</v>
      </c>
      <c r="C1884" s="2258" t="e">
        <f t="shared" si="122"/>
        <v>#DIV/0!</v>
      </c>
      <c r="D1884" s="2258" t="e">
        <f t="shared" si="122"/>
        <v>#DIV/0!</v>
      </c>
      <c r="E1884" s="2258" t="e">
        <f t="shared" si="122"/>
        <v>#DIV/0!</v>
      </c>
      <c r="F1884" s="2258" t="e">
        <f t="shared" si="122"/>
        <v>#DIV/0!</v>
      </c>
      <c r="G1884" s="2258" t="e">
        <f t="shared" si="122"/>
        <v>#DIV/0!</v>
      </c>
      <c r="H1884" s="3314"/>
      <c r="I1884" s="3314"/>
      <c r="J1884" s="3314"/>
      <c r="K1884" s="3314"/>
      <c r="L1884" s="3314"/>
      <c r="M1884" s="3314"/>
    </row>
    <row r="1885" spans="1:14">
      <c r="A1885" s="2257" t="s">
        <v>255</v>
      </c>
      <c r="B1885" s="2258" t="e">
        <f t="shared" si="122"/>
        <v>#DIV/0!</v>
      </c>
      <c r="C1885" s="2258" t="e">
        <f t="shared" si="122"/>
        <v>#DIV/0!</v>
      </c>
      <c r="D1885" s="2258" t="e">
        <f t="shared" si="122"/>
        <v>#DIV/0!</v>
      </c>
      <c r="E1885" s="2258" t="e">
        <f t="shared" si="122"/>
        <v>#DIV/0!</v>
      </c>
      <c r="F1885" s="2258" t="e">
        <f t="shared" si="122"/>
        <v>#DIV/0!</v>
      </c>
      <c r="G1885" s="2258" t="e">
        <f t="shared" si="122"/>
        <v>#DIV/0!</v>
      </c>
      <c r="H1885" s="3314"/>
      <c r="I1885" s="3314"/>
      <c r="J1885" s="3314"/>
      <c r="K1885" s="3314"/>
      <c r="L1885" s="3314"/>
      <c r="M1885" s="3314"/>
    </row>
    <row r="1886" spans="1:14">
      <c r="A1886" s="2257" t="s">
        <v>248</v>
      </c>
      <c r="B1886" s="2258" t="e">
        <f t="shared" si="122"/>
        <v>#DIV/0!</v>
      </c>
      <c r="C1886" s="2258" t="e">
        <f t="shared" si="122"/>
        <v>#DIV/0!</v>
      </c>
      <c r="D1886" s="2258" t="e">
        <f t="shared" si="122"/>
        <v>#DIV/0!</v>
      </c>
      <c r="E1886" s="2258" t="e">
        <f t="shared" si="122"/>
        <v>#DIV/0!</v>
      </c>
      <c r="F1886" s="2258" t="e">
        <f t="shared" si="122"/>
        <v>#DIV/0!</v>
      </c>
      <c r="G1886" s="2258" t="e">
        <f t="shared" si="122"/>
        <v>#DIV/0!</v>
      </c>
      <c r="H1886" s="3314"/>
      <c r="I1886" s="3314"/>
      <c r="J1886" s="3314"/>
      <c r="K1886" s="3314"/>
      <c r="L1886" s="3314"/>
      <c r="M1886" s="3314"/>
    </row>
    <row r="1887" spans="1:14">
      <c r="A1887" s="2257" t="s">
        <v>228</v>
      </c>
      <c r="B1887" s="2258" t="e">
        <f t="shared" ref="B1887:G1888" si="123">+B1872-B1873</f>
        <v>#DIV/0!</v>
      </c>
      <c r="C1887" s="2258" t="e">
        <f t="shared" si="123"/>
        <v>#DIV/0!</v>
      </c>
      <c r="D1887" s="2258" t="e">
        <f t="shared" si="123"/>
        <v>#DIV/0!</v>
      </c>
      <c r="E1887" s="2258" t="e">
        <f t="shared" si="123"/>
        <v>#DIV/0!</v>
      </c>
      <c r="F1887" s="2258" t="e">
        <f t="shared" si="123"/>
        <v>#DIV/0!</v>
      </c>
      <c r="G1887" s="2258" t="e">
        <f t="shared" si="123"/>
        <v>#DIV/0!</v>
      </c>
      <c r="H1887" s="3314"/>
      <c r="I1887" s="3314"/>
      <c r="J1887" s="3314"/>
      <c r="K1887" s="3314"/>
      <c r="L1887" s="3314"/>
      <c r="M1887" s="3314"/>
    </row>
    <row r="1888" spans="1:14">
      <c r="A1888" s="2257" t="s">
        <v>221</v>
      </c>
      <c r="B1888" s="2258" t="e">
        <f t="shared" si="123"/>
        <v>#DIV/0!</v>
      </c>
      <c r="C1888" s="2258" t="e">
        <f t="shared" si="123"/>
        <v>#DIV/0!</v>
      </c>
      <c r="D1888" s="2258" t="e">
        <f t="shared" si="123"/>
        <v>#DIV/0!</v>
      </c>
      <c r="E1888" s="2258" t="e">
        <f t="shared" si="123"/>
        <v>#DIV/0!</v>
      </c>
      <c r="F1888" s="2258" t="e">
        <f t="shared" si="123"/>
        <v>#DIV/0!</v>
      </c>
      <c r="G1888" s="2258" t="e">
        <f t="shared" si="123"/>
        <v>#DIV/0!</v>
      </c>
      <c r="H1888" s="1611"/>
      <c r="I1888" s="1611"/>
      <c r="J1888" s="1611"/>
      <c r="K1888" s="1611"/>
      <c r="L1888" s="1611"/>
      <c r="M1888" s="1611"/>
    </row>
    <row r="1889" spans="1:13">
      <c r="A1889" s="2257" t="s">
        <v>215</v>
      </c>
      <c r="B1889" s="2258" t="e">
        <f t="shared" ref="B1889:G1889" si="124">+B1874-B1875</f>
        <v>#DIV/0!</v>
      </c>
      <c r="C1889" s="2258" t="e">
        <f t="shared" si="124"/>
        <v>#DIV/0!</v>
      </c>
      <c r="D1889" s="2258" t="e">
        <f t="shared" si="124"/>
        <v>#DIV/0!</v>
      </c>
      <c r="E1889" s="2258" t="e">
        <f t="shared" si="124"/>
        <v>#DIV/0!</v>
      </c>
      <c r="F1889" s="2258" t="e">
        <f t="shared" si="124"/>
        <v>#DIV/0!</v>
      </c>
      <c r="G1889" s="2258" t="e">
        <f t="shared" si="124"/>
        <v>#DIV/0!</v>
      </c>
      <c r="H1889" s="3314"/>
      <c r="I1889" s="3314"/>
      <c r="J1889" s="3314"/>
      <c r="K1889" s="3314"/>
      <c r="L1889" s="3314"/>
      <c r="M1889" s="3314"/>
    </row>
    <row r="1890" spans="1:13">
      <c r="A1890" s="2257" t="s">
        <v>208</v>
      </c>
      <c r="B1890" s="2258" t="e">
        <f t="shared" ref="B1890:G1890" si="125">+B1875-B1876</f>
        <v>#DIV/0!</v>
      </c>
      <c r="C1890" s="2258" t="e">
        <f t="shared" si="125"/>
        <v>#DIV/0!</v>
      </c>
      <c r="D1890" s="2258" t="e">
        <f t="shared" si="125"/>
        <v>#DIV/0!</v>
      </c>
      <c r="E1890" s="2258" t="e">
        <f t="shared" si="125"/>
        <v>#DIV/0!</v>
      </c>
      <c r="F1890" s="2258" t="e">
        <f t="shared" si="125"/>
        <v>#DIV/0!</v>
      </c>
      <c r="G1890" s="2258" t="e">
        <f t="shared" si="125"/>
        <v>#DIV/0!</v>
      </c>
      <c r="H1890" s="3314"/>
      <c r="I1890" s="3314"/>
      <c r="J1890" s="3314"/>
      <c r="K1890" s="3314"/>
      <c r="L1890" s="3314"/>
      <c r="M1890" s="3314"/>
    </row>
    <row r="1891" spans="1:13">
      <c r="A1891" s="2257" t="s">
        <v>162</v>
      </c>
      <c r="B1891" s="2258" t="e">
        <f t="shared" ref="B1891:G1893" si="126">+B1876-B1877</f>
        <v>#DIV/0!</v>
      </c>
      <c r="C1891" s="2258" t="e">
        <f t="shared" si="126"/>
        <v>#DIV/0!</v>
      </c>
      <c r="D1891" s="2258" t="e">
        <f t="shared" si="126"/>
        <v>#DIV/0!</v>
      </c>
      <c r="E1891" s="2258" t="e">
        <f t="shared" si="126"/>
        <v>#DIV/0!</v>
      </c>
      <c r="F1891" s="2258" t="e">
        <f t="shared" si="126"/>
        <v>#DIV/0!</v>
      </c>
      <c r="G1891" s="2258" t="e">
        <f t="shared" si="126"/>
        <v>#DIV/0!</v>
      </c>
      <c r="H1891" s="3314"/>
      <c r="I1891" s="3314"/>
      <c r="J1891" s="3314"/>
      <c r="K1891" s="3314"/>
      <c r="L1891" s="3314"/>
      <c r="M1891" s="3314"/>
    </row>
    <row r="1892" spans="1:13">
      <c r="A1892" s="2257" t="s">
        <v>159</v>
      </c>
      <c r="B1892" s="2258" t="e">
        <f t="shared" si="126"/>
        <v>#DIV/0!</v>
      </c>
      <c r="C1892" s="2258" t="e">
        <f t="shared" si="126"/>
        <v>#DIV/0!</v>
      </c>
      <c r="D1892" s="2258" t="e">
        <f t="shared" si="126"/>
        <v>#DIV/0!</v>
      </c>
      <c r="E1892" s="2258" t="e">
        <f t="shared" si="126"/>
        <v>#DIV/0!</v>
      </c>
      <c r="F1892" s="2258" t="e">
        <f t="shared" si="126"/>
        <v>#DIV/0!</v>
      </c>
      <c r="G1892" s="2258" t="e">
        <f t="shared" si="126"/>
        <v>#DIV/0!</v>
      </c>
      <c r="H1892" s="3314"/>
      <c r="I1892" s="3314"/>
      <c r="J1892" s="3314"/>
      <c r="K1892" s="3314"/>
      <c r="L1892" s="3314"/>
      <c r="M1892" s="3314"/>
    </row>
    <row r="1893" spans="1:13">
      <c r="A1893" s="2257" t="s">
        <v>160</v>
      </c>
      <c r="B1893" s="2258" t="e">
        <f t="shared" si="126"/>
        <v>#DIV/0!</v>
      </c>
      <c r="C1893" s="2258" t="e">
        <f t="shared" si="126"/>
        <v>#DIV/0!</v>
      </c>
      <c r="D1893" s="2258" t="e">
        <f t="shared" si="126"/>
        <v>#DIV/0!</v>
      </c>
      <c r="E1893" s="2258" t="e">
        <f t="shared" si="126"/>
        <v>#DIV/0!</v>
      </c>
      <c r="F1893" s="2258" t="e">
        <f t="shared" si="126"/>
        <v>#DIV/0!</v>
      </c>
      <c r="G1893" s="2258" t="e">
        <f t="shared" si="126"/>
        <v>#DIV/0!</v>
      </c>
      <c r="H1893" s="3314"/>
      <c r="I1893" s="3314"/>
      <c r="J1893" s="3314"/>
      <c r="K1893" s="3314"/>
      <c r="L1893" s="3314"/>
      <c r="M1893" s="3314"/>
    </row>
    <row r="1894" spans="1:13">
      <c r="A1894" s="2257" t="s">
        <v>161</v>
      </c>
      <c r="B1894" s="2258" t="e">
        <f>(B1845-B1846)+((H1845*N1845)-(H1846*N1846))</f>
        <v>#DIV/0!</v>
      </c>
      <c r="C1894" s="2258" t="e">
        <f t="shared" ref="C1894:G1894" si="127">(C1845-C1846)+((I1845*O1845)-(I1846*O1846))</f>
        <v>#DIV/0!</v>
      </c>
      <c r="D1894" s="2258" t="e">
        <f t="shared" si="127"/>
        <v>#DIV/0!</v>
      </c>
      <c r="E1894" s="2258" t="e">
        <f t="shared" si="127"/>
        <v>#DIV/0!</v>
      </c>
      <c r="F1894" s="2258" t="e">
        <f t="shared" si="127"/>
        <v>#DIV/0!</v>
      </c>
      <c r="G1894" s="2258" t="e">
        <f t="shared" si="127"/>
        <v>#DIV/0!</v>
      </c>
      <c r="H1894" s="3314"/>
      <c r="I1894" s="3314"/>
      <c r="J1894" s="3314"/>
      <c r="K1894" s="3314"/>
      <c r="L1894" s="3314"/>
      <c r="M1894" s="3314"/>
    </row>
    <row r="1895" spans="1:13">
      <c r="B1895" s="181"/>
      <c r="C1895" s="181"/>
      <c r="D1895" s="181"/>
      <c r="E1895" s="181"/>
      <c r="F1895" s="181"/>
      <c r="G1895" s="181"/>
      <c r="H1895" s="3314"/>
      <c r="I1895" s="3314"/>
      <c r="J1895" s="3314"/>
      <c r="K1895" s="3314"/>
      <c r="L1895" s="3314"/>
      <c r="M1895" s="3314"/>
    </row>
    <row r="1896" spans="1:13">
      <c r="B1896" s="138"/>
      <c r="C1896" s="138"/>
      <c r="D1896" s="138"/>
      <c r="E1896" s="138"/>
      <c r="F1896" s="138"/>
      <c r="G1896" s="138"/>
      <c r="H1896" s="161"/>
      <c r="I1896" s="161"/>
      <c r="J1896" s="161"/>
      <c r="K1896" s="161"/>
      <c r="L1896" s="161"/>
      <c r="M1896" s="161"/>
    </row>
    <row r="1897" spans="1:13">
      <c r="H1897" s="162"/>
      <c r="I1897" s="163"/>
      <c r="J1897" s="163"/>
      <c r="K1897" s="163"/>
      <c r="L1897" s="162"/>
      <c r="M1897" s="162"/>
    </row>
    <row r="1898" spans="1:13">
      <c r="L1898" s="128"/>
    </row>
    <row r="1899" spans="1:13">
      <c r="H1899" s="160"/>
    </row>
  </sheetData>
  <mergeCells count="14">
    <mergeCell ref="B1:G1"/>
    <mergeCell ref="H1:M1"/>
    <mergeCell ref="H1895:M1895"/>
    <mergeCell ref="H1894:M1894"/>
    <mergeCell ref="H1893:M1893"/>
    <mergeCell ref="A1881:G1881"/>
    <mergeCell ref="H1892:M1892"/>
    <mergeCell ref="H1890:M1890"/>
    <mergeCell ref="H1891:M1891"/>
    <mergeCell ref="H1889:M1889"/>
    <mergeCell ref="H1886:M1886"/>
    <mergeCell ref="H1887:M1887"/>
    <mergeCell ref="H1884:M1884"/>
    <mergeCell ref="H1885:M1885"/>
  </mergeCells>
  <conditionalFormatting sqref="A1894:G1894">
    <cfRule type="cellIs" dxfId="11" priority="24" operator="lessThan">
      <formula>0</formula>
    </cfRule>
  </conditionalFormatting>
  <conditionalFormatting sqref="A1893:G1893">
    <cfRule type="cellIs" dxfId="10" priority="23" operator="lessThan">
      <formula>0</formula>
    </cfRule>
  </conditionalFormatting>
  <conditionalFormatting sqref="A1892:G1892">
    <cfRule type="cellIs" dxfId="9" priority="22" operator="lessThan">
      <formula>0</formula>
    </cfRule>
  </conditionalFormatting>
  <conditionalFormatting sqref="A1891">
    <cfRule type="cellIs" dxfId="8" priority="19" operator="lessThan">
      <formula>0</formula>
    </cfRule>
  </conditionalFormatting>
  <conditionalFormatting sqref="B1885:G1891">
    <cfRule type="cellIs" dxfId="7" priority="17" operator="lessThan">
      <formula>0</formula>
    </cfRule>
  </conditionalFormatting>
  <conditionalFormatting sqref="A1888:A1890">
    <cfRule type="cellIs" dxfId="6" priority="10" operator="lessThan">
      <formula>0</formula>
    </cfRule>
  </conditionalFormatting>
  <conditionalFormatting sqref="A1885:A1887">
    <cfRule type="cellIs" dxfId="5" priority="8" operator="lessThan">
      <formula>0</formula>
    </cfRule>
  </conditionalFormatting>
  <conditionalFormatting sqref="B1884:G1884">
    <cfRule type="cellIs" dxfId="4" priority="6" operator="lessThan">
      <formula>0</formula>
    </cfRule>
  </conditionalFormatting>
  <conditionalFormatting sqref="A1884">
    <cfRule type="cellIs" dxfId="3" priority="5" operator="lessThan">
      <formula>0</formula>
    </cfRule>
  </conditionalFormatting>
  <conditionalFormatting sqref="B1882:G1883">
    <cfRule type="cellIs" dxfId="2" priority="4" operator="lessThan">
      <formula>0</formula>
    </cfRule>
  </conditionalFormatting>
  <conditionalFormatting sqref="A1883">
    <cfRule type="cellIs" dxfId="1" priority="3" operator="lessThan">
      <formula>0</formula>
    </cfRule>
  </conditionalFormatting>
  <conditionalFormatting sqref="A1882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I572"/>
  <sheetViews>
    <sheetView zoomScale="78" zoomScaleNormal="78" workbookViewId="0">
      <pane xSplit="1" ySplit="1" topLeftCell="B558" activePane="bottomRight" state="frozen"/>
      <selection pane="topRight" activeCell="B1" sqref="B1"/>
      <selection pane="bottomLeft" activeCell="A2" sqref="A2"/>
      <selection pane="bottomRight" activeCell="F564" sqref="F564"/>
    </sheetView>
  </sheetViews>
  <sheetFormatPr defaultRowHeight="14.5"/>
  <cols>
    <col min="1" max="1" width="18.1796875" bestFit="1" customWidth="1"/>
    <col min="2" max="7" width="15.26953125" bestFit="1" customWidth="1"/>
    <col min="8" max="8" width="19.453125" bestFit="1" customWidth="1"/>
    <col min="9" max="12" width="15.26953125" bestFit="1" customWidth="1"/>
    <col min="13" max="14" width="17.26953125" bestFit="1" customWidth="1"/>
    <col min="15" max="16" width="15.26953125" bestFit="1" customWidth="1"/>
    <col min="17" max="17" width="15.26953125" style="31" customWidth="1"/>
    <col min="18" max="19" width="20.453125" bestFit="1" customWidth="1"/>
    <col min="20" max="20" width="18.453125" bestFit="1" customWidth="1"/>
    <col min="21" max="23" width="20.453125" bestFit="1" customWidth="1"/>
    <col min="24" max="24" width="18.453125" bestFit="1" customWidth="1"/>
    <col min="25" max="25" width="15.26953125" bestFit="1" customWidth="1"/>
    <col min="26" max="27" width="18.453125" bestFit="1" customWidth="1"/>
    <col min="28" max="28" width="20.453125" bestFit="1" customWidth="1"/>
    <col min="29" max="29" width="18.453125" bestFit="1" customWidth="1"/>
    <col min="30" max="30" width="15.26953125" bestFit="1" customWidth="1"/>
    <col min="31" max="32" width="18.453125" bestFit="1" customWidth="1"/>
    <col min="33" max="33" width="12.81640625" bestFit="1" customWidth="1"/>
    <col min="34" max="34" width="15.26953125" bestFit="1" customWidth="1"/>
    <col min="35" max="35" width="18.453125" bestFit="1" customWidth="1"/>
    <col min="36" max="36" width="9.453125" bestFit="1" customWidth="1"/>
  </cols>
  <sheetData>
    <row r="1" spans="1:35">
      <c r="A1" s="194" t="s">
        <v>35</v>
      </c>
      <c r="B1" s="195" t="s">
        <v>166</v>
      </c>
      <c r="C1" s="195" t="s">
        <v>167</v>
      </c>
      <c r="D1" s="195" t="s">
        <v>168</v>
      </c>
      <c r="E1" s="195" t="s">
        <v>169</v>
      </c>
      <c r="F1" s="195" t="s">
        <v>170</v>
      </c>
      <c r="G1" s="195" t="s">
        <v>171</v>
      </c>
      <c r="H1" s="195" t="s">
        <v>172</v>
      </c>
      <c r="I1" s="195" t="s">
        <v>173</v>
      </c>
      <c r="J1" s="195" t="s">
        <v>174</v>
      </c>
      <c r="K1" s="195" t="s">
        <v>175</v>
      </c>
      <c r="L1" s="195" t="s">
        <v>176</v>
      </c>
      <c r="M1" s="195" t="s">
        <v>177</v>
      </c>
      <c r="N1" s="195" t="s">
        <v>178</v>
      </c>
      <c r="O1" s="195" t="s">
        <v>179</v>
      </c>
      <c r="P1" s="195" t="s">
        <v>180</v>
      </c>
      <c r="Q1" s="195" t="s">
        <v>256</v>
      </c>
      <c r="R1" s="196" t="s">
        <v>273</v>
      </c>
      <c r="S1" s="197" t="s">
        <v>181</v>
      </c>
      <c r="T1" s="198" t="s">
        <v>182</v>
      </c>
      <c r="U1" s="198" t="s">
        <v>183</v>
      </c>
      <c r="V1" s="197" t="s">
        <v>184</v>
      </c>
      <c r="W1" s="197" t="s">
        <v>185</v>
      </c>
      <c r="X1" s="197" t="s">
        <v>186</v>
      </c>
      <c r="Y1" s="197" t="s">
        <v>187</v>
      </c>
      <c r="Z1" s="197" t="s">
        <v>188</v>
      </c>
      <c r="AA1" s="197" t="s">
        <v>189</v>
      </c>
      <c r="AB1" s="197" t="s">
        <v>190</v>
      </c>
      <c r="AC1" s="197" t="s">
        <v>191</v>
      </c>
      <c r="AD1" s="197" t="s">
        <v>192</v>
      </c>
      <c r="AE1" s="197" t="s">
        <v>193</v>
      </c>
      <c r="AF1" s="197" t="s">
        <v>194</v>
      </c>
      <c r="AG1" s="197" t="s">
        <v>195</v>
      </c>
      <c r="AH1" s="197" t="s">
        <v>196</v>
      </c>
      <c r="AI1" s="197" t="s">
        <v>197</v>
      </c>
    </row>
    <row r="2" spans="1:35">
      <c r="A2" s="188" t="s">
        <v>198</v>
      </c>
      <c r="B2" s="195" t="str">
        <f>LEFT(B1,3)&amp;"/"&amp;RIGHT(B1,3)</f>
        <v>EUR/USD</v>
      </c>
      <c r="C2" s="195" t="str">
        <f t="shared" ref="C2:P2" si="0">LEFT(C1,3)&amp;"/"&amp;RIGHT(C1,3)</f>
        <v>AUD/USD</v>
      </c>
      <c r="D2" s="195" t="str">
        <f t="shared" si="0"/>
        <v>USD/CAD</v>
      </c>
      <c r="E2" s="195" t="str">
        <f t="shared" si="0"/>
        <v>USD/CHF</v>
      </c>
      <c r="F2" s="195" t="str">
        <f t="shared" si="0"/>
        <v>GBP/USD</v>
      </c>
      <c r="G2" s="195" t="str">
        <f t="shared" si="0"/>
        <v>USD/HKD</v>
      </c>
      <c r="H2" s="195" t="str">
        <f t="shared" si="0"/>
        <v>USD/JPY</v>
      </c>
      <c r="I2" s="195" t="str">
        <f t="shared" si="0"/>
        <v>USD/MYR</v>
      </c>
      <c r="J2" s="195" t="str">
        <f t="shared" si="0"/>
        <v>NZD/USD</v>
      </c>
      <c r="K2" s="195" t="str">
        <f t="shared" si="0"/>
        <v>USD/SGD</v>
      </c>
      <c r="L2" s="195" t="str">
        <f t="shared" si="0"/>
        <v>USD/SAR</v>
      </c>
      <c r="M2" s="195" t="str">
        <f t="shared" si="0"/>
        <v>USD/THB</v>
      </c>
      <c r="N2" s="195" t="str">
        <f t="shared" si="0"/>
        <v>USD/SEK</v>
      </c>
      <c r="O2" s="195" t="str">
        <f t="shared" si="0"/>
        <v>USD/CNY</v>
      </c>
      <c r="P2" s="195" t="str">
        <f t="shared" si="0"/>
        <v>USD/CNH</v>
      </c>
      <c r="Q2" s="195"/>
      <c r="R2" s="196" t="s">
        <v>199</v>
      </c>
      <c r="S2" s="197" t="s">
        <v>200</v>
      </c>
      <c r="T2" s="198" t="s">
        <v>201</v>
      </c>
      <c r="U2" s="198" t="s">
        <v>201</v>
      </c>
      <c r="V2" s="197" t="s">
        <v>201</v>
      </c>
      <c r="W2" s="197" t="s">
        <v>201</v>
      </c>
      <c r="X2" s="197" t="s">
        <v>201</v>
      </c>
      <c r="Y2" s="197" t="s">
        <v>201</v>
      </c>
      <c r="Z2" s="197" t="s">
        <v>201</v>
      </c>
      <c r="AA2" s="197" t="s">
        <v>201</v>
      </c>
      <c r="AB2" s="197" t="s">
        <v>201</v>
      </c>
      <c r="AC2" s="197" t="s">
        <v>201</v>
      </c>
      <c r="AD2" s="197" t="s">
        <v>201</v>
      </c>
      <c r="AE2" s="197" t="s">
        <v>201</v>
      </c>
      <c r="AF2" s="197" t="s">
        <v>201</v>
      </c>
      <c r="AG2" s="197" t="s">
        <v>201</v>
      </c>
      <c r="AH2" s="197" t="s">
        <v>201</v>
      </c>
      <c r="AI2" s="197" t="s">
        <v>201</v>
      </c>
    </row>
    <row r="3" spans="1:35">
      <c r="A3" s="188">
        <v>44712</v>
      </c>
      <c r="B3" s="193">
        <v>1.0737000205747205</v>
      </c>
      <c r="C3" s="192">
        <v>0.71820005486592142</v>
      </c>
      <c r="D3" s="192">
        <v>1.2679499794124436</v>
      </c>
      <c r="E3" s="192">
        <v>0.96119998048726452</v>
      </c>
      <c r="F3" s="192">
        <v>1.260699883409917</v>
      </c>
      <c r="G3" s="192">
        <v>7.8478546362677344</v>
      </c>
      <c r="H3" s="192">
        <v>127.74662694936043</v>
      </c>
      <c r="I3" s="192">
        <v>4.381500996888386</v>
      </c>
      <c r="J3" s="192">
        <v>0.6527000891571223</v>
      </c>
      <c r="K3" s="192">
        <v>1.3704501215744622</v>
      </c>
      <c r="L3" s="192">
        <v>3.7507395498392282</v>
      </c>
      <c r="M3" s="192">
        <v>34.224967960303637</v>
      </c>
      <c r="N3" s="192">
        <v>9.8163432926254561</v>
      </c>
      <c r="O3" s="192">
        <v>6.6618997905163528</v>
      </c>
      <c r="P3" s="192">
        <v>6.674753948271916</v>
      </c>
      <c r="Q3" s="192"/>
      <c r="R3" s="189">
        <v>14581</v>
      </c>
      <c r="S3" s="190">
        <v>15655.62</v>
      </c>
      <c r="T3" s="191">
        <v>10472.075000000001</v>
      </c>
      <c r="U3" s="191">
        <v>11499.665000000001</v>
      </c>
      <c r="V3" s="191">
        <v>15169.580000000002</v>
      </c>
      <c r="W3" s="191">
        <v>18382.264999999999</v>
      </c>
      <c r="X3" s="191">
        <v>1857.96</v>
      </c>
      <c r="Y3" s="191">
        <v>114.14</v>
      </c>
      <c r="Z3" s="191">
        <v>3327.855</v>
      </c>
      <c r="AA3" s="191">
        <v>9517.02</v>
      </c>
      <c r="AB3" s="191">
        <v>10639.57</v>
      </c>
      <c r="AC3" s="191">
        <v>3887.5</v>
      </c>
      <c r="AD3" s="191">
        <v>426.03399999999999</v>
      </c>
      <c r="AE3" s="191">
        <v>1485.38</v>
      </c>
      <c r="AF3" s="191">
        <v>2188.7150000000001</v>
      </c>
      <c r="AG3" s="191">
        <v>11.765000000000001</v>
      </c>
      <c r="AH3" s="191">
        <v>187.70499999999998</v>
      </c>
      <c r="AI3" s="191">
        <v>2184.5</v>
      </c>
    </row>
    <row r="4" spans="1:35">
      <c r="A4" s="188">
        <v>44714</v>
      </c>
      <c r="B4" s="193">
        <v>1.068600034524426</v>
      </c>
      <c r="C4" s="192">
        <v>0.71839979285344369</v>
      </c>
      <c r="D4" s="192">
        <v>1.2659998295391217</v>
      </c>
      <c r="E4" s="192">
        <v>0.95970021172050246</v>
      </c>
      <c r="F4" s="192">
        <v>1.2529000517866391</v>
      </c>
      <c r="G4" s="192">
        <v>7.8461063375627083</v>
      </c>
      <c r="H4" s="192">
        <v>129.89371720704963</v>
      </c>
      <c r="I4" s="192">
        <v>4.3930027421194398</v>
      </c>
      <c r="J4" s="192">
        <v>0.64940031071983428</v>
      </c>
      <c r="K4" s="192">
        <v>1.3760997158008459</v>
      </c>
      <c r="L4" s="192">
        <v>3.7504855626052054</v>
      </c>
      <c r="M4" s="192">
        <v>34.374966621925211</v>
      </c>
      <c r="N4" s="192">
        <v>9.8021963146584543</v>
      </c>
      <c r="O4" s="192">
        <v>6.6769477600586447</v>
      </c>
      <c r="P4" s="192">
        <v>6.6816608996539788</v>
      </c>
      <c r="Q4" s="192"/>
      <c r="R4" s="189">
        <v>14482.5</v>
      </c>
      <c r="S4" s="190">
        <v>15476</v>
      </c>
      <c r="T4" s="191">
        <v>10404.224999999999</v>
      </c>
      <c r="U4" s="191">
        <v>11439.575000000001</v>
      </c>
      <c r="V4" s="191">
        <v>15090.65</v>
      </c>
      <c r="W4" s="191">
        <v>18145.125</v>
      </c>
      <c r="X4" s="191">
        <v>1845.8200000000002</v>
      </c>
      <c r="Y4" s="191">
        <v>111.495</v>
      </c>
      <c r="Z4" s="191">
        <v>3296.7200000000003</v>
      </c>
      <c r="AA4" s="191">
        <v>9404.94</v>
      </c>
      <c r="AB4" s="191">
        <v>10524.31</v>
      </c>
      <c r="AC4" s="191">
        <v>3861.5</v>
      </c>
      <c r="AD4" s="191">
        <v>421.30950000000001</v>
      </c>
      <c r="AE4" s="191">
        <v>1477.4749999999999</v>
      </c>
      <c r="AF4" s="191">
        <v>2169.0299999999997</v>
      </c>
      <c r="AG4" s="191">
        <v>11.574999999999999</v>
      </c>
      <c r="AH4" s="191">
        <v>186.70500000000001</v>
      </c>
      <c r="AI4" s="191">
        <v>2167.5</v>
      </c>
    </row>
    <row r="5" spans="1:35">
      <c r="A5" s="188">
        <v>44715</v>
      </c>
      <c r="B5" s="193">
        <v>1.0756000000000001</v>
      </c>
      <c r="C5" s="192">
        <v>0.72560000000000002</v>
      </c>
      <c r="D5" s="192">
        <v>1.2567002250962274</v>
      </c>
      <c r="E5" s="192">
        <v>0.95629998840848496</v>
      </c>
      <c r="F5" s="192">
        <v>1.2573998268398268</v>
      </c>
      <c r="G5" s="192">
        <v>7.8445488875003395</v>
      </c>
      <c r="H5" s="192">
        <v>129.88619495299358</v>
      </c>
      <c r="I5" s="192">
        <v>4.3880044495504853</v>
      </c>
      <c r="J5" s="192">
        <v>0.65550025974025972</v>
      </c>
      <c r="K5" s="192">
        <v>1.3718499711614569</v>
      </c>
      <c r="L5" s="192">
        <v>3.7509742790335152</v>
      </c>
      <c r="M5" s="192">
        <v>34.23001145149474</v>
      </c>
      <c r="N5" s="192">
        <v>9.6978307086217477</v>
      </c>
      <c r="O5" s="192">
        <v>6.6603004573982956</v>
      </c>
      <c r="P5" s="192">
        <v>6.6333563059958651</v>
      </c>
      <c r="Q5" s="192"/>
      <c r="R5" s="189">
        <v>14437.5</v>
      </c>
      <c r="S5" s="190">
        <v>15528.975</v>
      </c>
      <c r="T5" s="191">
        <v>10475.85</v>
      </c>
      <c r="U5" s="191">
        <v>11488.42</v>
      </c>
      <c r="V5" s="191">
        <v>15097.25</v>
      </c>
      <c r="W5" s="191">
        <v>18153.71</v>
      </c>
      <c r="X5" s="191">
        <v>1840.45</v>
      </c>
      <c r="Y5" s="191">
        <v>111.155</v>
      </c>
      <c r="Z5" s="191">
        <v>3290.2200000000003</v>
      </c>
      <c r="AA5" s="191">
        <v>9463.7849999999999</v>
      </c>
      <c r="AB5" s="191">
        <v>10524.11</v>
      </c>
      <c r="AC5" s="191">
        <v>3849</v>
      </c>
      <c r="AD5" s="191">
        <v>421.779</v>
      </c>
      <c r="AE5" s="191">
        <v>1488.7350000000001</v>
      </c>
      <c r="AF5" s="191">
        <v>2167.6950000000002</v>
      </c>
      <c r="AG5" s="191">
        <v>11.61</v>
      </c>
      <c r="AH5" s="191">
        <v>186.02499999999998</v>
      </c>
      <c r="AI5" s="191">
        <v>2176.5</v>
      </c>
    </row>
    <row r="6" spans="1:35">
      <c r="A6" s="188">
        <v>44718</v>
      </c>
      <c r="B6" s="193">
        <v>1.0742500778465904</v>
      </c>
      <c r="C6" s="192">
        <v>0.7218001591530292</v>
      </c>
      <c r="D6" s="192">
        <v>1.2564997550297159</v>
      </c>
      <c r="E6" s="192">
        <v>0.96120014499645823</v>
      </c>
      <c r="F6" s="192">
        <v>1.2545998685257584</v>
      </c>
      <c r="G6" s="192">
        <v>7.8452501805034549</v>
      </c>
      <c r="H6" s="192">
        <v>130.77688792362338</v>
      </c>
      <c r="I6" s="192">
        <v>4.3889979697296875</v>
      </c>
      <c r="J6" s="192">
        <v>0.6523502750579524</v>
      </c>
      <c r="K6" s="192">
        <v>1.3730497828526258</v>
      </c>
      <c r="L6" s="192">
        <v>3.7512005191434135</v>
      </c>
      <c r="M6" s="192">
        <v>34.31498839466451</v>
      </c>
      <c r="N6" s="192">
        <v>9.7366656897324209</v>
      </c>
      <c r="O6" s="192">
        <v>6.6455594336455732</v>
      </c>
      <c r="P6" s="192">
        <v>6.6489533011272144</v>
      </c>
      <c r="Q6" s="192"/>
      <c r="R6" s="189">
        <v>14451.5</v>
      </c>
      <c r="S6" s="190">
        <v>15524.525000000001</v>
      </c>
      <c r="T6" s="191">
        <v>10431.095000000001</v>
      </c>
      <c r="U6" s="191">
        <v>11501.395</v>
      </c>
      <c r="V6" s="191">
        <v>15034.85</v>
      </c>
      <c r="W6" s="191">
        <v>18130.849999999999</v>
      </c>
      <c r="X6" s="191">
        <v>1842.0700000000002</v>
      </c>
      <c r="Y6" s="191">
        <v>110.505</v>
      </c>
      <c r="Z6" s="191">
        <v>3292.665</v>
      </c>
      <c r="AA6" s="191">
        <v>9427.4399999999987</v>
      </c>
      <c r="AB6" s="191">
        <v>10525.11</v>
      </c>
      <c r="AC6" s="191">
        <v>3852.5</v>
      </c>
      <c r="AD6" s="191">
        <v>421.14250000000004</v>
      </c>
      <c r="AE6" s="191">
        <v>1484.2350000000001</v>
      </c>
      <c r="AF6" s="191">
        <v>2174.61</v>
      </c>
      <c r="AG6" s="191">
        <v>11.545000000000002</v>
      </c>
      <c r="AH6" s="191">
        <v>186.07</v>
      </c>
      <c r="AI6" s="191">
        <v>2173.5</v>
      </c>
    </row>
    <row r="7" spans="1:35">
      <c r="A7" s="188">
        <v>44719</v>
      </c>
      <c r="B7" s="193">
        <v>1.0688001936845017</v>
      </c>
      <c r="C7" s="192">
        <v>0.71840002766921451</v>
      </c>
      <c r="D7" s="192">
        <v>1.2602496351713954</v>
      </c>
      <c r="E7" s="192">
        <v>0.97504994462587735</v>
      </c>
      <c r="F7" s="192">
        <v>1.2480500121052815</v>
      </c>
      <c r="G7" s="192">
        <v>7.8458561841780341</v>
      </c>
      <c r="H7" s="192">
        <v>132.77461425422484</v>
      </c>
      <c r="I7" s="192">
        <v>4.3967524281515029</v>
      </c>
      <c r="J7" s="192">
        <v>0.64440009684225097</v>
      </c>
      <c r="K7" s="192">
        <v>1.3769498415552823</v>
      </c>
      <c r="L7" s="192">
        <v>3.7510378827192525</v>
      </c>
      <c r="M7" s="192">
        <v>34.494977212531914</v>
      </c>
      <c r="N7" s="192">
        <v>9.8258981216844017</v>
      </c>
      <c r="O7" s="192">
        <v>6.6644077797907997</v>
      </c>
      <c r="P7" s="192">
        <v>6.6696655132641292</v>
      </c>
      <c r="Q7" s="192"/>
      <c r="R7" s="189">
        <v>14456.5</v>
      </c>
      <c r="S7" s="190">
        <v>15451.11</v>
      </c>
      <c r="T7" s="191">
        <v>10385.549999999999</v>
      </c>
      <c r="U7" s="191">
        <v>11471.14</v>
      </c>
      <c r="V7" s="191">
        <v>14826.42</v>
      </c>
      <c r="W7" s="191">
        <v>18042.435000000001</v>
      </c>
      <c r="X7" s="191">
        <v>1842.5650000000001</v>
      </c>
      <c r="Y7" s="191">
        <v>108.88</v>
      </c>
      <c r="Z7" s="191">
        <v>3287.9949999999999</v>
      </c>
      <c r="AA7" s="191">
        <v>9315.77</v>
      </c>
      <c r="AB7" s="191">
        <v>10498.93</v>
      </c>
      <c r="AC7" s="191">
        <v>3854</v>
      </c>
      <c r="AD7" s="191">
        <v>419.09000000000003</v>
      </c>
      <c r="AE7" s="191">
        <v>1471.2649999999999</v>
      </c>
      <c r="AF7" s="191">
        <v>2169.21</v>
      </c>
      <c r="AG7" s="191">
        <v>11.504999999999999</v>
      </c>
      <c r="AH7" s="191">
        <v>185.995</v>
      </c>
      <c r="AI7" s="191">
        <v>2167.5</v>
      </c>
    </row>
    <row r="8" spans="1:35">
      <c r="A8" s="188">
        <v>44720</v>
      </c>
      <c r="B8" s="193">
        <v>1.0688997757460756</v>
      </c>
      <c r="C8" s="192">
        <v>0.71940003450060364</v>
      </c>
      <c r="D8" s="192">
        <v>1.2541999580274639</v>
      </c>
      <c r="E8" s="192">
        <v>0.97609978342943915</v>
      </c>
      <c r="F8" s="192">
        <v>1.254849749870623</v>
      </c>
      <c r="G8" s="192">
        <v>7.847442575726399</v>
      </c>
      <c r="H8" s="192">
        <v>133.58374043690662</v>
      </c>
      <c r="I8" s="192">
        <v>4.3919993938934772</v>
      </c>
      <c r="J8" s="192">
        <v>0.64519993099879258</v>
      </c>
      <c r="K8" s="192">
        <v>1.3748499926478608</v>
      </c>
      <c r="L8" s="192">
        <v>3.7511323929079849</v>
      </c>
      <c r="M8" s="192">
        <v>34.469964097008244</v>
      </c>
      <c r="N8" s="192">
        <v>9.8017002914978661</v>
      </c>
      <c r="O8" s="192">
        <v>6.6767868495978036</v>
      </c>
      <c r="P8" s="192">
        <v>6.6831911459534243</v>
      </c>
      <c r="Q8" s="192"/>
      <c r="R8" s="189">
        <v>14492.5</v>
      </c>
      <c r="S8" s="190">
        <v>15491.03</v>
      </c>
      <c r="T8" s="191">
        <v>10425.904999999999</v>
      </c>
      <c r="U8" s="191">
        <v>11555.174999999999</v>
      </c>
      <c r="V8" s="191">
        <v>14847.355</v>
      </c>
      <c r="W8" s="191">
        <v>18185.910000000003</v>
      </c>
      <c r="X8" s="191">
        <v>1846.7800000000002</v>
      </c>
      <c r="Y8" s="191">
        <v>108.49000000000001</v>
      </c>
      <c r="Z8" s="191">
        <v>3299.75</v>
      </c>
      <c r="AA8" s="191">
        <v>9350.5600000000013</v>
      </c>
      <c r="AB8" s="191">
        <v>10541.150000000001</v>
      </c>
      <c r="AC8" s="191">
        <v>3863.5</v>
      </c>
      <c r="AD8" s="191">
        <v>420.43849999999998</v>
      </c>
      <c r="AE8" s="191">
        <v>1478.57</v>
      </c>
      <c r="AF8" s="191">
        <v>2170.58</v>
      </c>
      <c r="AG8" s="191">
        <v>11.535</v>
      </c>
      <c r="AH8" s="191">
        <v>186.38499999999999</v>
      </c>
      <c r="AI8" s="191">
        <v>2168.5</v>
      </c>
    </row>
    <row r="9" spans="1:35">
      <c r="A9" s="188">
        <v>44721</v>
      </c>
      <c r="B9" s="193">
        <v>1.0702001716738199</v>
      </c>
      <c r="C9" s="192">
        <v>0.71675021459227461</v>
      </c>
      <c r="D9" s="192">
        <v>1.257799979356965</v>
      </c>
      <c r="E9" s="192">
        <v>0.97939981706660928</v>
      </c>
      <c r="F9" s="192">
        <v>1.2496999141630902</v>
      </c>
      <c r="G9" s="192">
        <v>7.849261832509554</v>
      </c>
      <c r="H9" s="192">
        <v>133.48457766167101</v>
      </c>
      <c r="I9" s="192">
        <v>4.3954965967914763</v>
      </c>
      <c r="J9" s="192">
        <v>0.64385030042918456</v>
      </c>
      <c r="K9" s="192">
        <v>1.3754498842733067</v>
      </c>
      <c r="L9" s="192">
        <v>3.7512879958784131</v>
      </c>
      <c r="M9" s="192">
        <v>34.469984779948355</v>
      </c>
      <c r="N9" s="192">
        <v>9.8352407227931078</v>
      </c>
      <c r="O9" s="192">
        <v>6.6868093645177806</v>
      </c>
      <c r="P9" s="192">
        <v>6.6907879623248334</v>
      </c>
      <c r="Q9" s="192"/>
      <c r="R9" s="189">
        <v>14562.5</v>
      </c>
      <c r="S9" s="190">
        <v>15584.79</v>
      </c>
      <c r="T9" s="191">
        <v>10437.674999999999</v>
      </c>
      <c r="U9" s="191">
        <v>11577.755000000001</v>
      </c>
      <c r="V9" s="191">
        <v>14868.8</v>
      </c>
      <c r="W9" s="191">
        <v>18198.755000000001</v>
      </c>
      <c r="X9" s="191">
        <v>1855.27</v>
      </c>
      <c r="Y9" s="191">
        <v>109.095</v>
      </c>
      <c r="Z9" s="191">
        <v>3313.05</v>
      </c>
      <c r="AA9" s="191">
        <v>9376.07</v>
      </c>
      <c r="AB9" s="191">
        <v>10587.445</v>
      </c>
      <c r="AC9" s="191">
        <v>3882</v>
      </c>
      <c r="AD9" s="191">
        <v>422.46899999999999</v>
      </c>
      <c r="AE9" s="191">
        <v>1480.645</v>
      </c>
      <c r="AF9" s="191">
        <v>2177.7950000000001</v>
      </c>
      <c r="AG9" s="191">
        <v>11.594999999999999</v>
      </c>
      <c r="AH9" s="191">
        <v>187.18</v>
      </c>
      <c r="AI9" s="191">
        <v>2176.5</v>
      </c>
    </row>
    <row r="10" spans="1:35">
      <c r="A10" s="188">
        <v>44722</v>
      </c>
      <c r="B10" s="193">
        <v>1.0625500773063048</v>
      </c>
      <c r="C10" s="192">
        <v>0.71260024050850379</v>
      </c>
      <c r="D10" s="192">
        <v>1.270899651108462</v>
      </c>
      <c r="E10" s="192">
        <v>0.97839990184065573</v>
      </c>
      <c r="F10" s="192">
        <v>1.2470001717917885</v>
      </c>
      <c r="G10" s="192">
        <v>7.8491390353420254</v>
      </c>
      <c r="H10" s="192">
        <v>133.6195023413828</v>
      </c>
      <c r="I10" s="192">
        <v>4.400500754457954</v>
      </c>
      <c r="J10" s="192">
        <v>0.64219996564164239</v>
      </c>
      <c r="K10" s="192">
        <v>1.3806493724579778</v>
      </c>
      <c r="L10" s="192">
        <v>3.7516112400103121</v>
      </c>
      <c r="M10" s="192">
        <v>34.724956392470155</v>
      </c>
      <c r="N10" s="192">
        <v>9.9048818254521951</v>
      </c>
      <c r="O10" s="192">
        <v>6.6890516048667701</v>
      </c>
      <c r="P10" s="192">
        <v>6.6985040276179513</v>
      </c>
      <c r="Q10" s="192"/>
      <c r="R10" s="189">
        <v>14552.5</v>
      </c>
      <c r="S10" s="190">
        <v>15462.76</v>
      </c>
      <c r="T10" s="191">
        <v>10370.115000000002</v>
      </c>
      <c r="U10" s="191">
        <v>11450.55</v>
      </c>
      <c r="V10" s="191">
        <v>14873.775000000001</v>
      </c>
      <c r="W10" s="191">
        <v>18146.97</v>
      </c>
      <c r="X10" s="191">
        <v>1854.0250000000001</v>
      </c>
      <c r="Y10" s="191">
        <v>108.91</v>
      </c>
      <c r="Z10" s="191">
        <v>3307.01</v>
      </c>
      <c r="AA10" s="191">
        <v>9345.6150000000016</v>
      </c>
      <c r="AB10" s="191">
        <v>10540.330000000002</v>
      </c>
      <c r="AC10" s="191">
        <v>3879</v>
      </c>
      <c r="AD10" s="191">
        <v>419.07900000000001</v>
      </c>
      <c r="AE10" s="191">
        <v>1469.2249999999999</v>
      </c>
      <c r="AF10" s="191">
        <v>2175.5700000000002</v>
      </c>
      <c r="AG10" s="191">
        <v>11.465</v>
      </c>
      <c r="AH10" s="191">
        <v>186.935</v>
      </c>
      <c r="AI10" s="191">
        <v>2172.5</v>
      </c>
    </row>
    <row r="11" spans="1:35">
      <c r="A11" s="188">
        <v>44725</v>
      </c>
      <c r="B11" s="193">
        <v>1.0465999114471578</v>
      </c>
      <c r="C11" s="192">
        <v>0.69984980075610503</v>
      </c>
      <c r="D11" s="192">
        <v>1.2836498483368646</v>
      </c>
      <c r="E11" s="192">
        <v>0.99145004761229405</v>
      </c>
      <c r="F11" s="192">
        <v>1.2239998637648581</v>
      </c>
      <c r="G11" s="192">
        <v>7.8498631133165082</v>
      </c>
      <c r="H11" s="192">
        <v>134.59704776748879</v>
      </c>
      <c r="I11" s="192">
        <v>4.4180048632511557</v>
      </c>
      <c r="J11" s="192">
        <v>0.63170021457034842</v>
      </c>
      <c r="K11" s="192">
        <v>1.3893502548159504</v>
      </c>
      <c r="L11" s="192">
        <v>3.7517250191668796</v>
      </c>
      <c r="M11" s="192">
        <v>34.784988466610038</v>
      </c>
      <c r="N11" s="192">
        <v>10.099894739014674</v>
      </c>
      <c r="O11" s="192">
        <v>6.7342515395818747</v>
      </c>
      <c r="P11" s="192">
        <v>6.7512071740630031</v>
      </c>
      <c r="Q11" s="192"/>
      <c r="R11" s="189">
        <v>14680.5</v>
      </c>
      <c r="S11" s="190">
        <v>15364.61</v>
      </c>
      <c r="T11" s="191">
        <v>10274.145</v>
      </c>
      <c r="U11" s="191">
        <v>11436.529999999999</v>
      </c>
      <c r="V11" s="191">
        <v>14807.1</v>
      </c>
      <c r="W11" s="191">
        <v>17968.93</v>
      </c>
      <c r="X11" s="191">
        <v>1870.1599999999999</v>
      </c>
      <c r="Y11" s="191">
        <v>109.07</v>
      </c>
      <c r="Z11" s="191">
        <v>3322.88</v>
      </c>
      <c r="AA11" s="191">
        <v>9273.6749999999993</v>
      </c>
      <c r="AB11" s="191">
        <v>10566.45</v>
      </c>
      <c r="AC11" s="191">
        <v>3913</v>
      </c>
      <c r="AD11" s="191">
        <v>422.03549999999996</v>
      </c>
      <c r="AE11" s="191">
        <v>1453.53</v>
      </c>
      <c r="AF11" s="191">
        <v>2179.9750000000004</v>
      </c>
      <c r="AG11" s="191">
        <v>11.41</v>
      </c>
      <c r="AH11" s="191">
        <v>187.84500000000003</v>
      </c>
      <c r="AI11" s="191">
        <v>2174.5</v>
      </c>
    </row>
    <row r="12" spans="1:35">
      <c r="A12" s="188">
        <v>44726</v>
      </c>
      <c r="B12" s="193">
        <v>1.0468001360775643</v>
      </c>
      <c r="C12" s="192">
        <v>0.69510018710665078</v>
      </c>
      <c r="D12" s="192">
        <v>1.2893001900506114</v>
      </c>
      <c r="E12" s="192">
        <v>0.99049969437549823</v>
      </c>
      <c r="F12" s="192">
        <v>1.2181000170096956</v>
      </c>
      <c r="G12" s="192">
        <v>7.8499496609793811</v>
      </c>
      <c r="H12" s="192">
        <v>134.42630447706588</v>
      </c>
      <c r="I12" s="192">
        <v>4.4204935252815538</v>
      </c>
      <c r="J12" s="192">
        <v>0.62784997448545676</v>
      </c>
      <c r="K12" s="192">
        <v>1.3906498372568314</v>
      </c>
      <c r="L12" s="192">
        <v>3.7517549457562223</v>
      </c>
      <c r="M12" s="192">
        <v>34.949985672824383</v>
      </c>
      <c r="N12" s="192">
        <v>10.132782714806721</v>
      </c>
      <c r="O12" s="192">
        <v>6.7330465575452711</v>
      </c>
      <c r="P12" s="192">
        <v>6.7466146431030527</v>
      </c>
      <c r="Q12" s="192"/>
      <c r="R12" s="189">
        <v>14697.5</v>
      </c>
      <c r="S12" s="190">
        <v>15385.345000000001</v>
      </c>
      <c r="T12" s="191">
        <v>10216.235000000001</v>
      </c>
      <c r="U12" s="191">
        <v>11399.595000000001</v>
      </c>
      <c r="V12" s="191">
        <v>14838.470000000001</v>
      </c>
      <c r="W12" s="191">
        <v>17903.025000000001</v>
      </c>
      <c r="X12" s="191">
        <v>1872.3050000000001</v>
      </c>
      <c r="Y12" s="191">
        <v>109.33500000000001</v>
      </c>
      <c r="Z12" s="191">
        <v>3324.855</v>
      </c>
      <c r="AA12" s="191">
        <v>9227.8250000000007</v>
      </c>
      <c r="AB12" s="191">
        <v>10568.8</v>
      </c>
      <c r="AC12" s="191">
        <v>3917.5</v>
      </c>
      <c r="AD12" s="191">
        <v>420.52949999999998</v>
      </c>
      <c r="AE12" s="191">
        <v>1450.49</v>
      </c>
      <c r="AF12" s="191">
        <v>2182.8900000000003</v>
      </c>
      <c r="AG12" s="191">
        <v>11.43</v>
      </c>
      <c r="AH12" s="191">
        <v>188.32499999999999</v>
      </c>
      <c r="AI12" s="191">
        <v>2178.5</v>
      </c>
    </row>
    <row r="13" spans="1:35">
      <c r="A13" s="188">
        <v>44727</v>
      </c>
      <c r="B13" s="193">
        <v>1.0466003052399526</v>
      </c>
      <c r="C13" s="192">
        <v>0.69075021197218922</v>
      </c>
      <c r="D13" s="192">
        <v>1.296700000747631</v>
      </c>
      <c r="E13" s="192">
        <v>0.99899981432867602</v>
      </c>
      <c r="F13" s="192">
        <v>1.2031999321688995</v>
      </c>
      <c r="G13" s="192">
        <v>7.8499392984174996</v>
      </c>
      <c r="H13" s="192">
        <v>134.70851608187135</v>
      </c>
      <c r="I13" s="192">
        <v>4.4194994581485316</v>
      </c>
      <c r="J13" s="192">
        <v>0.62199999999999989</v>
      </c>
      <c r="K13" s="192">
        <v>1.3910499136166732</v>
      </c>
      <c r="L13" s="192">
        <v>3.7522270297785698</v>
      </c>
      <c r="M13" s="192">
        <v>35.100020475507961</v>
      </c>
      <c r="N13" s="192">
        <v>10.144643311795104</v>
      </c>
      <c r="O13" s="192">
        <v>6.7203504565325405</v>
      </c>
      <c r="P13" s="192">
        <v>6.7286627110908261</v>
      </c>
      <c r="Q13" s="192"/>
      <c r="R13" s="189">
        <v>14742.5</v>
      </c>
      <c r="S13" s="190">
        <v>15429.505000000001</v>
      </c>
      <c r="T13" s="191">
        <v>10183.385</v>
      </c>
      <c r="U13" s="191">
        <v>11369.244999999999</v>
      </c>
      <c r="V13" s="191">
        <v>14757.260000000002</v>
      </c>
      <c r="W13" s="191">
        <v>17738.175000000003</v>
      </c>
      <c r="X13" s="191">
        <v>1878.04</v>
      </c>
      <c r="Y13" s="191">
        <v>109.44</v>
      </c>
      <c r="Z13" s="191">
        <v>3335.7849999999999</v>
      </c>
      <c r="AA13" s="191">
        <v>9169.8349999999991</v>
      </c>
      <c r="AB13" s="191">
        <v>10598.11</v>
      </c>
      <c r="AC13" s="191">
        <v>3929</v>
      </c>
      <c r="AD13" s="191">
        <v>420.01400000000001</v>
      </c>
      <c r="AE13" s="191">
        <v>1453.23</v>
      </c>
      <c r="AF13" s="191">
        <v>2193.71</v>
      </c>
      <c r="AG13" s="191">
        <v>11.41</v>
      </c>
      <c r="AH13" s="191">
        <v>188.80500000000001</v>
      </c>
      <c r="AI13" s="191">
        <v>2191</v>
      </c>
    </row>
    <row r="14" spans="1:35">
      <c r="A14" s="188">
        <v>44728</v>
      </c>
      <c r="B14" s="193">
        <v>1.039600121893411</v>
      </c>
      <c r="C14" s="192">
        <v>0.69695029457574331</v>
      </c>
      <c r="D14" s="192">
        <v>1.293350155264203</v>
      </c>
      <c r="E14" s="192">
        <v>0.97939990449408387</v>
      </c>
      <c r="F14" s="192">
        <v>1.2091000203155684</v>
      </c>
      <c r="G14" s="192">
        <v>7.8499436517893209</v>
      </c>
      <c r="H14" s="192">
        <v>134.23325152258886</v>
      </c>
      <c r="I14" s="192">
        <v>4.4004934798674515</v>
      </c>
      <c r="J14" s="192">
        <v>0.62514999661407189</v>
      </c>
      <c r="K14" s="192">
        <v>1.3906500514419033</v>
      </c>
      <c r="L14" s="192">
        <v>3.7522551137085505</v>
      </c>
      <c r="M14" s="192">
        <v>34.974989105102601</v>
      </c>
      <c r="N14" s="192">
        <v>10.271659554340605</v>
      </c>
      <c r="O14" s="192">
        <v>6.7137528045955577</v>
      </c>
      <c r="P14" s="192">
        <v>6.7214383249886209</v>
      </c>
      <c r="Q14" s="192"/>
      <c r="R14" s="189">
        <v>14767</v>
      </c>
      <c r="S14" s="190">
        <v>15351.775000000001</v>
      </c>
      <c r="T14" s="191">
        <v>10291.865000000002</v>
      </c>
      <c r="U14" s="191">
        <v>11417.635</v>
      </c>
      <c r="V14" s="191">
        <v>15077.6</v>
      </c>
      <c r="W14" s="191">
        <v>17854.78</v>
      </c>
      <c r="X14" s="191">
        <v>1881.16</v>
      </c>
      <c r="Y14" s="191">
        <v>110.01</v>
      </c>
      <c r="Z14" s="191">
        <v>3355.76</v>
      </c>
      <c r="AA14" s="191">
        <v>9231.59</v>
      </c>
      <c r="AB14" s="191">
        <v>10618.775000000001</v>
      </c>
      <c r="AC14" s="191">
        <v>3935.5</v>
      </c>
      <c r="AD14" s="191">
        <v>422.21600000000001</v>
      </c>
      <c r="AE14" s="191">
        <v>1437.645</v>
      </c>
      <c r="AF14" s="191">
        <v>2199.5150000000003</v>
      </c>
      <c r="AG14" s="191">
        <v>11.44</v>
      </c>
      <c r="AH14" s="191">
        <v>189.14</v>
      </c>
      <c r="AI14" s="191">
        <v>2197</v>
      </c>
    </row>
    <row r="15" spans="1:35">
      <c r="A15" s="188">
        <v>44729</v>
      </c>
      <c r="B15" s="193">
        <v>1.0518002428658166</v>
      </c>
      <c r="C15" s="192">
        <v>0.69924981447750112</v>
      </c>
      <c r="D15" s="192">
        <v>1.2964998963534793</v>
      </c>
      <c r="E15" s="192">
        <v>0.96349972114863358</v>
      </c>
      <c r="F15" s="192">
        <v>1.2300502597314986</v>
      </c>
      <c r="G15" s="192">
        <v>7.8499387013152075</v>
      </c>
      <c r="H15" s="192">
        <v>134.30279967382441</v>
      </c>
      <c r="I15" s="192">
        <v>4.4024942418297837</v>
      </c>
      <c r="J15" s="192">
        <v>0.63300006746272675</v>
      </c>
      <c r="K15" s="192">
        <v>1.3861497243691348</v>
      </c>
      <c r="L15" s="192">
        <v>3.752183267940767</v>
      </c>
      <c r="M15" s="192">
        <v>35.275009667727637</v>
      </c>
      <c r="N15" s="192">
        <v>10.183919259651121</v>
      </c>
      <c r="O15" s="192">
        <v>6.7012511443393334</v>
      </c>
      <c r="P15" s="192">
        <v>6.7057226871748474</v>
      </c>
      <c r="Q15" s="192"/>
      <c r="R15" s="189">
        <v>14823</v>
      </c>
      <c r="S15" s="190">
        <v>15590.834999999999</v>
      </c>
      <c r="T15" s="191">
        <v>10364.98</v>
      </c>
      <c r="U15" s="191">
        <v>11433.09</v>
      </c>
      <c r="V15" s="191">
        <v>15384.54</v>
      </c>
      <c r="W15" s="191">
        <v>18233.035000000003</v>
      </c>
      <c r="X15" s="191">
        <v>1888.2950000000001</v>
      </c>
      <c r="Y15" s="191">
        <v>110.37</v>
      </c>
      <c r="Z15" s="191">
        <v>3366.9549999999999</v>
      </c>
      <c r="AA15" s="191">
        <v>9382.9599999999991</v>
      </c>
      <c r="AB15" s="191">
        <v>10693.650000000001</v>
      </c>
      <c r="AC15" s="191">
        <v>3950.5</v>
      </c>
      <c r="AD15" s="191">
        <v>420.21250000000003</v>
      </c>
      <c r="AE15" s="191">
        <v>1455.5300000000002</v>
      </c>
      <c r="AF15" s="191">
        <v>2211.9750000000004</v>
      </c>
      <c r="AG15" s="191">
        <v>11.46</v>
      </c>
      <c r="AH15" s="191">
        <v>189.84</v>
      </c>
      <c r="AI15" s="191">
        <v>2210.5</v>
      </c>
    </row>
    <row r="16" spans="1:35">
      <c r="A16" s="188">
        <v>44732</v>
      </c>
      <c r="B16" s="193">
        <v>1.0517003202427104</v>
      </c>
      <c r="C16" s="192">
        <v>0.69800000000000006</v>
      </c>
      <c r="D16" s="192">
        <v>1.2995495712559699</v>
      </c>
      <c r="E16" s="192">
        <v>0.96519977341475738</v>
      </c>
      <c r="F16" s="192">
        <v>1.2226000337097589</v>
      </c>
      <c r="G16" s="192">
        <v>7.8498356734214321</v>
      </c>
      <c r="H16" s="192">
        <v>134.66339824776429</v>
      </c>
      <c r="I16" s="192">
        <v>4.4014985719054858</v>
      </c>
      <c r="J16" s="192">
        <v>0.63430001685487958</v>
      </c>
      <c r="K16" s="192">
        <v>1.3865998319159618</v>
      </c>
      <c r="L16" s="192">
        <v>3.7522135087275488</v>
      </c>
      <c r="M16" s="192">
        <v>35.324980292316738</v>
      </c>
      <c r="N16" s="192">
        <v>10.167882311003867</v>
      </c>
      <c r="O16" s="192">
        <v>6.6854470674404194</v>
      </c>
      <c r="P16" s="192">
        <v>6.682811444018923</v>
      </c>
      <c r="Q16" s="192"/>
      <c r="R16" s="189">
        <v>14832.5</v>
      </c>
      <c r="S16" s="190">
        <v>15599.345000000001</v>
      </c>
      <c r="T16" s="191">
        <v>10353.085000000001</v>
      </c>
      <c r="U16" s="191">
        <v>11413.57</v>
      </c>
      <c r="V16" s="191">
        <v>15367.285</v>
      </c>
      <c r="W16" s="191">
        <v>18134.215</v>
      </c>
      <c r="X16" s="191">
        <v>1889.5300000000002</v>
      </c>
      <c r="Y16" s="191">
        <v>110.14500000000001</v>
      </c>
      <c r="Z16" s="191">
        <v>3369.875</v>
      </c>
      <c r="AA16" s="191">
        <v>9408.255000000001</v>
      </c>
      <c r="AB16" s="191">
        <v>10697.029999999999</v>
      </c>
      <c r="AC16" s="191">
        <v>3953</v>
      </c>
      <c r="AD16" s="191">
        <v>419.88700000000006</v>
      </c>
      <c r="AE16" s="191">
        <v>1458.76</v>
      </c>
      <c r="AF16" s="191">
        <v>2218.625</v>
      </c>
      <c r="AG16" s="191">
        <v>11.48</v>
      </c>
      <c r="AH16" s="191">
        <v>190.16000000000003</v>
      </c>
      <c r="AI16" s="191">
        <v>2219.5</v>
      </c>
    </row>
    <row r="17" spans="1:35">
      <c r="A17" s="188">
        <v>44733</v>
      </c>
      <c r="B17" s="193">
        <v>1.0557001080205239</v>
      </c>
      <c r="C17" s="192">
        <v>0.69790001350256547</v>
      </c>
      <c r="D17" s="192">
        <v>1.2911999302619535</v>
      </c>
      <c r="E17" s="192">
        <v>0.96424978183620835</v>
      </c>
      <c r="F17" s="192">
        <v>1.2297502025384823</v>
      </c>
      <c r="G17" s="192">
        <v>7.849954157370064</v>
      </c>
      <c r="H17" s="192">
        <v>135.2261834116949</v>
      </c>
      <c r="I17" s="192">
        <v>4.3979993438037708</v>
      </c>
      <c r="J17" s="192">
        <v>0.6357001080205239</v>
      </c>
      <c r="K17" s="192">
        <v>1.3850498401002411</v>
      </c>
      <c r="L17" s="192">
        <v>3.7522482583913868</v>
      </c>
      <c r="M17" s="192">
        <v>35.389983908213495</v>
      </c>
      <c r="N17" s="192">
        <v>10.073997497143479</v>
      </c>
      <c r="O17" s="192">
        <v>6.6963084858937636</v>
      </c>
      <c r="P17" s="192">
        <v>6.6977164820257746</v>
      </c>
      <c r="Q17" s="192"/>
      <c r="R17" s="189">
        <v>14812</v>
      </c>
      <c r="S17" s="190">
        <v>15637.03</v>
      </c>
      <c r="T17" s="191">
        <v>10337.295</v>
      </c>
      <c r="U17" s="191">
        <v>11471.5</v>
      </c>
      <c r="V17" s="191">
        <v>15361.165000000001</v>
      </c>
      <c r="W17" s="191">
        <v>18215.060000000001</v>
      </c>
      <c r="X17" s="191">
        <v>1886.89</v>
      </c>
      <c r="Y17" s="191">
        <v>109.535</v>
      </c>
      <c r="Z17" s="191">
        <v>3367.895</v>
      </c>
      <c r="AA17" s="191">
        <v>9415.99</v>
      </c>
      <c r="AB17" s="191">
        <v>10694.2</v>
      </c>
      <c r="AC17" s="191">
        <v>3947.5</v>
      </c>
      <c r="AD17" s="191">
        <v>418.53650000000005</v>
      </c>
      <c r="AE17" s="191">
        <v>1470.3200000000002</v>
      </c>
      <c r="AF17" s="191">
        <v>2211.9650000000001</v>
      </c>
      <c r="AG17" s="191">
        <v>11.47</v>
      </c>
      <c r="AH17" s="191">
        <v>189.715</v>
      </c>
      <c r="AI17" s="191">
        <v>2211.5</v>
      </c>
    </row>
    <row r="18" spans="1:35">
      <c r="A18" s="188">
        <v>44734</v>
      </c>
      <c r="B18" s="193">
        <v>1.0505000840760048</v>
      </c>
      <c r="C18" s="192">
        <v>0.68970001681520088</v>
      </c>
      <c r="D18" s="192">
        <v>1.2980997583225069</v>
      </c>
      <c r="E18" s="192">
        <v>0.96744995353897645</v>
      </c>
      <c r="F18" s="192">
        <v>1.2197501261140071</v>
      </c>
      <c r="G18" s="192">
        <v>7.8498509755885069</v>
      </c>
      <c r="H18" s="192">
        <v>136.23659855218548</v>
      </c>
      <c r="I18" s="192">
        <v>4.4054984650760352</v>
      </c>
      <c r="J18" s="192">
        <v>0.62590011770640652</v>
      </c>
      <c r="K18" s="192">
        <v>1.3894502711378911</v>
      </c>
      <c r="L18" s="192">
        <v>3.7520504731861197</v>
      </c>
      <c r="M18" s="192">
        <v>35.495026398940944</v>
      </c>
      <c r="N18" s="192">
        <v>10.147736851624968</v>
      </c>
      <c r="O18" s="192">
        <v>6.7210498716140465</v>
      </c>
      <c r="P18" s="192">
        <v>6.7243328810492988</v>
      </c>
      <c r="Q18" s="192"/>
      <c r="R18" s="189">
        <v>14867.5</v>
      </c>
      <c r="S18" s="190">
        <v>15618.310000000001</v>
      </c>
      <c r="T18" s="191">
        <v>10254.115</v>
      </c>
      <c r="U18" s="191">
        <v>11453.279999999999</v>
      </c>
      <c r="V18" s="191">
        <v>15367.720000000001</v>
      </c>
      <c r="W18" s="191">
        <v>18134.635000000002</v>
      </c>
      <c r="X18" s="191">
        <v>1893.9850000000001</v>
      </c>
      <c r="Y18" s="191">
        <v>109.13</v>
      </c>
      <c r="Z18" s="191">
        <v>3374.76</v>
      </c>
      <c r="AA18" s="191">
        <v>9305.57</v>
      </c>
      <c r="AB18" s="191">
        <v>10700.275000000001</v>
      </c>
      <c r="AC18" s="191">
        <v>3962.5</v>
      </c>
      <c r="AD18" s="191">
        <v>418.86149999999998</v>
      </c>
      <c r="AE18" s="191">
        <v>1465.105</v>
      </c>
      <c r="AF18" s="191">
        <v>2212.08</v>
      </c>
      <c r="AG18" s="191">
        <v>11.405000000000001</v>
      </c>
      <c r="AH18" s="191">
        <v>189.95499999999998</v>
      </c>
      <c r="AI18" s="191">
        <v>2211</v>
      </c>
    </row>
    <row r="19" spans="1:35">
      <c r="A19" s="188">
        <v>44735</v>
      </c>
      <c r="B19" s="193">
        <v>1.0508</v>
      </c>
      <c r="C19" s="192">
        <v>0.68780016849199666</v>
      </c>
      <c r="D19" s="192">
        <v>1.2979997463050201</v>
      </c>
      <c r="E19" s="192">
        <v>0.96639989578838525</v>
      </c>
      <c r="F19" s="192">
        <v>1.2176</v>
      </c>
      <c r="G19" s="192">
        <v>7.8485358215902838</v>
      </c>
      <c r="H19" s="192">
        <v>135.3662986953745</v>
      </c>
      <c r="I19" s="192">
        <v>4.4074945973844653</v>
      </c>
      <c r="J19" s="192">
        <v>0.62539983150800327</v>
      </c>
      <c r="K19" s="192">
        <v>1.3912499636657552</v>
      </c>
      <c r="L19" s="192">
        <v>3.7525290844714214</v>
      </c>
      <c r="M19" s="192">
        <v>35.459975933819202</v>
      </c>
      <c r="N19" s="192">
        <v>10.172076920440132</v>
      </c>
      <c r="O19" s="192">
        <v>6.7077002364365432</v>
      </c>
      <c r="P19" s="192">
        <v>6.709247117341171</v>
      </c>
      <c r="Q19" s="192"/>
      <c r="R19" s="189">
        <v>14837.5</v>
      </c>
      <c r="S19" s="190">
        <v>15591.244999999999</v>
      </c>
      <c r="T19" s="191">
        <v>10205.235000000001</v>
      </c>
      <c r="U19" s="191">
        <v>11431.05</v>
      </c>
      <c r="V19" s="191">
        <v>15353.375</v>
      </c>
      <c r="W19" s="191">
        <v>18066.14</v>
      </c>
      <c r="X19" s="191">
        <v>1890.48</v>
      </c>
      <c r="Y19" s="191">
        <v>109.61</v>
      </c>
      <c r="Z19" s="191">
        <v>3366.4250000000002</v>
      </c>
      <c r="AA19" s="191">
        <v>9279.369999999999</v>
      </c>
      <c r="AB19" s="191">
        <v>10664.869999999999</v>
      </c>
      <c r="AC19" s="191">
        <v>3954</v>
      </c>
      <c r="AD19" s="191">
        <v>418.42949999999996</v>
      </c>
      <c r="AE19" s="191">
        <v>1458.65</v>
      </c>
      <c r="AF19" s="191">
        <v>2212.0100000000002</v>
      </c>
      <c r="AG19" s="191">
        <v>11.35</v>
      </c>
      <c r="AH19" s="191">
        <v>189.39499999999998</v>
      </c>
      <c r="AI19" s="191">
        <v>2211.5</v>
      </c>
    </row>
    <row r="20" spans="1:35">
      <c r="A20" s="188">
        <v>44736</v>
      </c>
      <c r="B20" s="193">
        <v>1.0523000505135545</v>
      </c>
      <c r="C20" s="192">
        <v>0.69020003367570304</v>
      </c>
      <c r="D20" s="192">
        <v>1.2977999679210246</v>
      </c>
      <c r="E20" s="192">
        <v>0.96139993039199023</v>
      </c>
      <c r="F20" s="192">
        <v>1.2268001347028119</v>
      </c>
      <c r="G20" s="192">
        <v>7.8491338066514764</v>
      </c>
      <c r="H20" s="192">
        <v>134.52478028449758</v>
      </c>
      <c r="I20" s="192">
        <v>4.4060020742855359</v>
      </c>
      <c r="J20" s="192">
        <v>0.62950025256777242</v>
      </c>
      <c r="K20" s="192">
        <v>1.3883499230902299</v>
      </c>
      <c r="L20" s="192">
        <v>3.7526854543156829</v>
      </c>
      <c r="M20" s="192">
        <v>35.519995023971063</v>
      </c>
      <c r="N20" s="192">
        <v>10.145893125597922</v>
      </c>
      <c r="O20" s="192">
        <v>6.6957088386964392</v>
      </c>
      <c r="P20" s="192">
        <v>6.6925850800090148</v>
      </c>
      <c r="Q20" s="192"/>
      <c r="R20" s="189">
        <v>14847.5</v>
      </c>
      <c r="S20" s="190">
        <v>15624.025</v>
      </c>
      <c r="T20" s="191">
        <v>10247.745000000001</v>
      </c>
      <c r="U20" s="191">
        <v>11440.514999999999</v>
      </c>
      <c r="V20" s="191">
        <v>15443.625</v>
      </c>
      <c r="W20" s="191">
        <v>18214.915000000001</v>
      </c>
      <c r="X20" s="191">
        <v>1891.6100000000001</v>
      </c>
      <c r="Y20" s="191">
        <v>110.37</v>
      </c>
      <c r="Z20" s="191">
        <v>3369.835</v>
      </c>
      <c r="AA20" s="191">
        <v>9346.505000000001</v>
      </c>
      <c r="AB20" s="191">
        <v>10694.35</v>
      </c>
      <c r="AC20" s="191">
        <v>3956.5</v>
      </c>
      <c r="AD20" s="191">
        <v>418.00400000000002</v>
      </c>
      <c r="AE20" s="191">
        <v>1463.4</v>
      </c>
      <c r="AF20" s="191">
        <v>2217.4650000000001</v>
      </c>
      <c r="AG20" s="191">
        <v>11.46</v>
      </c>
      <c r="AH20" s="191">
        <v>189.59</v>
      </c>
      <c r="AI20" s="191">
        <v>2218.5</v>
      </c>
    </row>
    <row r="21" spans="1:35">
      <c r="A21" s="199">
        <v>44739</v>
      </c>
      <c r="B21" s="204">
        <v>1.0588002026684682</v>
      </c>
      <c r="C21" s="203">
        <v>0.69390001688903902</v>
      </c>
      <c r="D21" s="203">
        <v>1.2868997474451094</v>
      </c>
      <c r="E21" s="203">
        <v>0.95669983958594829</v>
      </c>
      <c r="F21" s="203">
        <v>1.2320999831109609</v>
      </c>
      <c r="G21" s="203">
        <v>7.8470403630233561</v>
      </c>
      <c r="H21" s="203">
        <v>135.07163062323204</v>
      </c>
      <c r="I21" s="203">
        <v>4.4059976931949247</v>
      </c>
      <c r="J21" s="203">
        <v>0.63140010133423408</v>
      </c>
      <c r="K21" s="203">
        <v>1.3849495444238762</v>
      </c>
      <c r="L21" s="203">
        <v>3.7526936240334643</v>
      </c>
      <c r="M21" s="203">
        <v>35.33499316096907</v>
      </c>
      <c r="N21" s="203">
        <v>10.058882089719587</v>
      </c>
      <c r="O21" s="203">
        <v>6.6860438855614879</v>
      </c>
      <c r="P21" s="203">
        <v>6.6813360415256149</v>
      </c>
      <c r="Q21" s="203"/>
      <c r="R21" s="200">
        <v>14802.5</v>
      </c>
      <c r="S21" s="201">
        <v>15672.89</v>
      </c>
      <c r="T21" s="202">
        <v>10271.455</v>
      </c>
      <c r="U21" s="202">
        <v>11502.45</v>
      </c>
      <c r="V21" s="202">
        <v>15472.46</v>
      </c>
      <c r="W21" s="202">
        <v>18238.16</v>
      </c>
      <c r="X21" s="202">
        <v>1886.38</v>
      </c>
      <c r="Y21" s="202">
        <v>109.59</v>
      </c>
      <c r="Z21" s="202">
        <v>3359.625</v>
      </c>
      <c r="AA21" s="202">
        <v>9346.2999999999993</v>
      </c>
      <c r="AB21" s="202">
        <v>10688.115000000002</v>
      </c>
      <c r="AC21" s="202">
        <v>3944.5</v>
      </c>
      <c r="AD21" s="202">
        <v>418.91899999999998</v>
      </c>
      <c r="AE21" s="202">
        <v>1471.585</v>
      </c>
      <c r="AF21" s="202">
        <v>2213.94</v>
      </c>
      <c r="AG21" s="202">
        <v>11.535</v>
      </c>
      <c r="AH21" s="202">
        <v>189.05500000000001</v>
      </c>
      <c r="AI21" s="202">
        <v>2215.5</v>
      </c>
    </row>
    <row r="22" spans="1:35">
      <c r="A22" s="205">
        <v>44740</v>
      </c>
      <c r="B22" s="210">
        <v>1.0584002830760937</v>
      </c>
      <c r="C22" s="209">
        <v>0.69470007413897683</v>
      </c>
      <c r="D22" s="209">
        <v>1.2839001072584877</v>
      </c>
      <c r="E22" s="209">
        <v>0.95505014061515336</v>
      </c>
      <c r="F22" s="209">
        <v>1.2271001550178608</v>
      </c>
      <c r="G22" s="209">
        <v>7.846445116662788</v>
      </c>
      <c r="H22" s="209">
        <v>135.75186422068714</v>
      </c>
      <c r="I22" s="209">
        <v>4.3969949768103485</v>
      </c>
      <c r="J22" s="209">
        <v>0.62900013479813977</v>
      </c>
      <c r="K22" s="209">
        <v>1.3855497350907724</v>
      </c>
      <c r="L22" s="209">
        <v>3.7533518846445739</v>
      </c>
      <c r="M22" s="209">
        <v>35.125016127867653</v>
      </c>
      <c r="N22" s="209">
        <v>10.060688252246143</v>
      </c>
      <c r="O22" s="209">
        <v>6.6869629686383822</v>
      </c>
      <c r="P22" s="209">
        <v>6.6818284170231932</v>
      </c>
      <c r="Q22" s="209"/>
      <c r="R22" s="206">
        <v>14837</v>
      </c>
      <c r="S22" s="207">
        <v>15703.485000000001</v>
      </c>
      <c r="T22" s="208">
        <v>10307.264999999999</v>
      </c>
      <c r="U22" s="208">
        <v>11556.195</v>
      </c>
      <c r="V22" s="208">
        <v>15535.310000000001</v>
      </c>
      <c r="W22" s="208">
        <v>18206.485000000001</v>
      </c>
      <c r="X22" s="208">
        <v>1890.92</v>
      </c>
      <c r="Y22" s="208">
        <v>109.295</v>
      </c>
      <c r="Z22" s="208">
        <v>3374.3500000000004</v>
      </c>
      <c r="AA22" s="208">
        <v>9332.4750000000004</v>
      </c>
      <c r="AB22" s="208">
        <v>10708.385</v>
      </c>
      <c r="AC22" s="208">
        <v>3953</v>
      </c>
      <c r="AD22" s="208">
        <v>422.40550000000002</v>
      </c>
      <c r="AE22" s="208">
        <v>1474.75</v>
      </c>
      <c r="AF22" s="208">
        <v>2218.7950000000001</v>
      </c>
      <c r="AG22" s="208">
        <v>11.55</v>
      </c>
      <c r="AH22" s="208">
        <v>188.35</v>
      </c>
      <c r="AI22" s="208">
        <v>2220.5</v>
      </c>
    </row>
    <row r="23" spans="1:35">
      <c r="A23" s="211">
        <v>44741</v>
      </c>
      <c r="B23" s="216">
        <v>1.0517000572409847</v>
      </c>
      <c r="C23" s="215">
        <v>0.68859995286036579</v>
      </c>
      <c r="D23" s="215">
        <v>1.2870996205311869</v>
      </c>
      <c r="E23" s="215">
        <v>0.95629981298396194</v>
      </c>
      <c r="F23" s="215">
        <v>1.2195999865315328</v>
      </c>
      <c r="G23" s="215">
        <v>7.8472457089709975</v>
      </c>
      <c r="H23" s="215">
        <v>136.02180086104241</v>
      </c>
      <c r="I23" s="215">
        <v>4.400001777838356</v>
      </c>
      <c r="J23" s="215">
        <v>0.62385029798983127</v>
      </c>
      <c r="K23" s="215">
        <v>1.3885005839379201</v>
      </c>
      <c r="L23" s="215">
        <v>3.7522425773847128</v>
      </c>
      <c r="M23" s="215">
        <v>35.160018989417303</v>
      </c>
      <c r="N23" s="215">
        <v>10.160173515606825</v>
      </c>
      <c r="O23" s="215">
        <v>6.7023081992074314</v>
      </c>
      <c r="P23" s="215">
        <v>6.7070912375790428</v>
      </c>
      <c r="Q23" s="215"/>
      <c r="R23" s="212">
        <v>14849.5</v>
      </c>
      <c r="S23" s="213">
        <v>15617.220000000001</v>
      </c>
      <c r="T23" s="214">
        <v>10225.365000000002</v>
      </c>
      <c r="U23" s="214">
        <v>11537.18</v>
      </c>
      <c r="V23" s="214">
        <v>15528.08</v>
      </c>
      <c r="W23" s="214">
        <v>18110.449999999997</v>
      </c>
      <c r="X23" s="214">
        <v>1892.3200000000002</v>
      </c>
      <c r="Y23" s="214">
        <v>109.17</v>
      </c>
      <c r="Z23" s="214">
        <v>3374.8850000000002</v>
      </c>
      <c r="AA23" s="214">
        <v>9263.8649999999998</v>
      </c>
      <c r="AB23" s="214">
        <v>10694.630000000001</v>
      </c>
      <c r="AC23" s="214">
        <v>3957.5</v>
      </c>
      <c r="AD23" s="214">
        <v>422.34050000000002</v>
      </c>
      <c r="AE23" s="214">
        <v>1461.54</v>
      </c>
      <c r="AF23" s="214">
        <v>2215.58</v>
      </c>
      <c r="AG23" s="214">
        <v>11.43</v>
      </c>
      <c r="AH23" s="214">
        <v>188.04500000000002</v>
      </c>
      <c r="AI23" s="214">
        <v>2214</v>
      </c>
    </row>
    <row r="24" spans="1:35">
      <c r="A24" s="217">
        <v>44742</v>
      </c>
      <c r="B24" s="222">
        <v>1.0445000839066958</v>
      </c>
      <c r="C24" s="221">
        <v>0.68810001678133925</v>
      </c>
      <c r="D24" s="221">
        <v>1.2912500097510069</v>
      </c>
      <c r="E24" s="221">
        <v>0.95524993114954759</v>
      </c>
      <c r="F24" s="221">
        <v>1.2130001678133915</v>
      </c>
      <c r="G24" s="221">
        <v>7.8458893017303346</v>
      </c>
      <c r="H24" s="221">
        <v>136.21194111730821</v>
      </c>
      <c r="I24" s="221">
        <v>4.4065014197823</v>
      </c>
      <c r="J24" s="221">
        <v>0.62235005873468696</v>
      </c>
      <c r="K24" s="221">
        <v>1.3908501247540512</v>
      </c>
      <c r="L24" s="221">
        <v>3.7520463417705581</v>
      </c>
      <c r="M24" s="221">
        <v>35.299999644571237</v>
      </c>
      <c r="N24" s="221">
        <v>10.233802633070345</v>
      </c>
      <c r="O24" s="221">
        <v>6.6954454341983443</v>
      </c>
      <c r="P24" s="221">
        <v>6.6940013480116827</v>
      </c>
      <c r="Q24" s="221"/>
      <c r="R24" s="218">
        <v>14897.5</v>
      </c>
      <c r="S24" s="219">
        <v>15560.44</v>
      </c>
      <c r="T24" s="220">
        <v>10250.970000000001</v>
      </c>
      <c r="U24" s="220">
        <v>11537.27</v>
      </c>
      <c r="V24" s="220">
        <v>15595.395</v>
      </c>
      <c r="W24" s="220">
        <v>18070.669999999998</v>
      </c>
      <c r="X24" s="220">
        <v>1898.7650000000001</v>
      </c>
      <c r="Y24" s="220">
        <v>109.37</v>
      </c>
      <c r="Z24" s="220">
        <v>3380.8</v>
      </c>
      <c r="AA24" s="220">
        <v>9271.4599999999991</v>
      </c>
      <c r="AB24" s="220">
        <v>10711.075000000001</v>
      </c>
      <c r="AC24" s="220">
        <v>3970.5</v>
      </c>
      <c r="AD24" s="220">
        <v>422.02550000000002</v>
      </c>
      <c r="AE24" s="220">
        <v>1455.7150000000001</v>
      </c>
      <c r="AF24" s="220">
        <v>2225.02</v>
      </c>
      <c r="AG24" s="220">
        <v>11.475000000000001</v>
      </c>
      <c r="AH24" s="220">
        <v>188.7</v>
      </c>
      <c r="AI24" s="220">
        <v>2225.5</v>
      </c>
    </row>
    <row r="25" spans="1:35">
      <c r="A25" s="223">
        <v>44743</v>
      </c>
      <c r="B25" s="228">
        <v>1.0445998326359831</v>
      </c>
      <c r="C25" s="227">
        <v>0.67989991631799174</v>
      </c>
      <c r="D25" s="227">
        <v>1.2927002138418229</v>
      </c>
      <c r="E25" s="227">
        <v>0.95829991980753804</v>
      </c>
      <c r="F25" s="227">
        <v>1.2110001673640169</v>
      </c>
      <c r="G25" s="227">
        <v>7.8474482331092705</v>
      </c>
      <c r="H25" s="227">
        <v>135.31569888576863</v>
      </c>
      <c r="I25" s="227">
        <v>4.4099976676832418</v>
      </c>
      <c r="J25" s="227">
        <v>0.61715012552301263</v>
      </c>
      <c r="K25" s="227">
        <v>1.394199941571939</v>
      </c>
      <c r="L25" s="227">
        <v>3.7526692626554454</v>
      </c>
      <c r="M25" s="227">
        <v>35.63500687651262</v>
      </c>
      <c r="N25" s="227">
        <v>10.293028303674483</v>
      </c>
      <c r="O25" s="227">
        <v>6.70450363109184</v>
      </c>
      <c r="P25" s="227">
        <v>6.711974837115255</v>
      </c>
      <c r="Q25" s="227"/>
      <c r="R25" s="224">
        <v>14937.5</v>
      </c>
      <c r="S25" s="225">
        <v>15603.71</v>
      </c>
      <c r="T25" s="226">
        <v>10156.005000000001</v>
      </c>
      <c r="U25" s="226">
        <v>11555.27</v>
      </c>
      <c r="V25" s="226">
        <v>15587.5</v>
      </c>
      <c r="W25" s="226">
        <v>18089.315000000002</v>
      </c>
      <c r="X25" s="226">
        <v>1903.4850000000001</v>
      </c>
      <c r="Y25" s="226">
        <v>110.39</v>
      </c>
      <c r="Z25" s="226">
        <v>3387.19</v>
      </c>
      <c r="AA25" s="226">
        <v>9218.68</v>
      </c>
      <c r="AB25" s="226">
        <v>10714.029999999999</v>
      </c>
      <c r="AC25" s="226">
        <v>3980.5</v>
      </c>
      <c r="AD25" s="226">
        <v>419.18050000000005</v>
      </c>
      <c r="AE25" s="226">
        <v>1451.2249999999999</v>
      </c>
      <c r="AF25" s="226">
        <v>2227.9800000000005</v>
      </c>
      <c r="AG25" s="226">
        <v>11.504999999999999</v>
      </c>
      <c r="AH25" s="226">
        <v>188.82999999999998</v>
      </c>
      <c r="AI25" s="226">
        <v>2225.5</v>
      </c>
    </row>
    <row r="26" spans="1:35">
      <c r="A26" s="230">
        <v>44746</v>
      </c>
      <c r="B26" s="235">
        <v>1.0431000501085685</v>
      </c>
      <c r="C26" s="234">
        <v>0.68609988308000669</v>
      </c>
      <c r="D26" s="234">
        <v>1.2864998951374729</v>
      </c>
      <c r="E26" s="234">
        <v>0.95930016433242837</v>
      </c>
      <c r="F26" s="234">
        <v>1.2123998663771505</v>
      </c>
      <c r="G26" s="234">
        <v>7.8464522555109948</v>
      </c>
      <c r="H26" s="234">
        <v>135.44023165324404</v>
      </c>
      <c r="I26" s="234">
        <v>4.4129982589774697</v>
      </c>
      <c r="J26" s="234">
        <v>0.6236001336228495</v>
      </c>
      <c r="K26" s="234">
        <v>1.3964499801740022</v>
      </c>
      <c r="L26" s="234">
        <v>3.753134403209629</v>
      </c>
      <c r="M26" s="234">
        <v>35.6849945402614</v>
      </c>
      <c r="N26" s="234">
        <v>10.316081853207342</v>
      </c>
      <c r="O26" s="234">
        <v>6.6959542433806565</v>
      </c>
      <c r="P26" s="234">
        <v>6.6953701632744353</v>
      </c>
      <c r="Q26" s="234"/>
      <c r="R26" s="231">
        <v>14967.5</v>
      </c>
      <c r="S26" s="232">
        <v>15612.6</v>
      </c>
      <c r="T26" s="233">
        <v>10269.200000000001</v>
      </c>
      <c r="U26" s="233">
        <v>11634.28</v>
      </c>
      <c r="V26" s="233">
        <v>15602.52</v>
      </c>
      <c r="W26" s="233">
        <v>18146.595000000001</v>
      </c>
      <c r="X26" s="233">
        <v>1907.5500000000002</v>
      </c>
      <c r="Y26" s="233">
        <v>110.51</v>
      </c>
      <c r="Z26" s="233">
        <v>3391.6849999999999</v>
      </c>
      <c r="AA26" s="233">
        <v>9333.7350000000006</v>
      </c>
      <c r="AB26" s="233">
        <v>10718.25</v>
      </c>
      <c r="AC26" s="233">
        <v>3988</v>
      </c>
      <c r="AD26" s="233">
        <v>419.43399999999997</v>
      </c>
      <c r="AE26" s="233">
        <v>1450.8899999999999</v>
      </c>
      <c r="AF26" s="233">
        <v>2235.3050000000003</v>
      </c>
      <c r="AG26" s="233">
        <v>11.524999999999999</v>
      </c>
      <c r="AH26" s="233">
        <v>189.45</v>
      </c>
      <c r="AI26" s="233">
        <v>2235.5</v>
      </c>
    </row>
    <row r="27" spans="1:35">
      <c r="A27" s="236">
        <v>44747</v>
      </c>
      <c r="B27" s="241">
        <v>1.0374999165971643</v>
      </c>
      <c r="C27" s="240">
        <v>0.68174979149291082</v>
      </c>
      <c r="D27" s="240">
        <v>1.2871999718297522</v>
      </c>
      <c r="E27" s="240">
        <v>0.9610997482062944</v>
      </c>
      <c r="F27" s="240">
        <v>1.2081000834028357</v>
      </c>
      <c r="G27" s="240">
        <v>7.8468586387434556</v>
      </c>
      <c r="H27" s="240">
        <v>136.07681133103324</v>
      </c>
      <c r="I27" s="240">
        <v>4.4184976960427367</v>
      </c>
      <c r="J27" s="240">
        <v>0.61840033361134272</v>
      </c>
      <c r="K27" s="240">
        <v>1.3986500169377802</v>
      </c>
      <c r="L27" s="240">
        <v>3.7529735820708652</v>
      </c>
      <c r="M27" s="240">
        <v>35.790019151689982</v>
      </c>
      <c r="N27" s="240">
        <v>10.398995313080011</v>
      </c>
      <c r="O27" s="240">
        <v>6.6976056199558487</v>
      </c>
      <c r="P27" s="240">
        <v>6.6983240223463687</v>
      </c>
      <c r="Q27" s="240"/>
      <c r="R27" s="237">
        <v>14987.5</v>
      </c>
      <c r="S27" s="238">
        <v>15549.53</v>
      </c>
      <c r="T27" s="239">
        <v>10217.725</v>
      </c>
      <c r="U27" s="239">
        <v>11643.49</v>
      </c>
      <c r="V27" s="239">
        <v>15594.115000000002</v>
      </c>
      <c r="W27" s="239">
        <v>18106.400000000001</v>
      </c>
      <c r="X27" s="239">
        <v>1910</v>
      </c>
      <c r="Y27" s="239">
        <v>110.14</v>
      </c>
      <c r="Z27" s="239">
        <v>3391.99</v>
      </c>
      <c r="AA27" s="239">
        <v>9268.2749999999996</v>
      </c>
      <c r="AB27" s="239">
        <v>10715.689999999999</v>
      </c>
      <c r="AC27" s="239">
        <v>3993.5</v>
      </c>
      <c r="AD27" s="239">
        <v>418.762</v>
      </c>
      <c r="AE27" s="239">
        <v>1441.2449999999999</v>
      </c>
      <c r="AF27" s="239">
        <v>2237.7399999999998</v>
      </c>
      <c r="AG27" s="239">
        <v>11.48</v>
      </c>
      <c r="AH27" s="239">
        <v>189.52</v>
      </c>
      <c r="AI27" s="239">
        <v>2237.5</v>
      </c>
    </row>
    <row r="28" spans="1:35">
      <c r="A28" s="242">
        <v>44748</v>
      </c>
      <c r="B28" s="247">
        <v>1.0258998466359941</v>
      </c>
      <c r="C28" s="246">
        <v>0.68110022004400872</v>
      </c>
      <c r="D28" s="246">
        <v>1.3023497352227551</v>
      </c>
      <c r="E28" s="246">
        <v>0.96850001646779382</v>
      </c>
      <c r="F28" s="246">
        <v>1.1967500166700007</v>
      </c>
      <c r="G28" s="246">
        <v>7.8475594440723375</v>
      </c>
      <c r="H28" s="246">
        <v>135.42532057070613</v>
      </c>
      <c r="I28" s="246">
        <v>4.4230000722567855</v>
      </c>
      <c r="J28" s="246">
        <v>0.61789991331599659</v>
      </c>
      <c r="K28" s="246">
        <v>1.4020500201935591</v>
      </c>
      <c r="L28" s="246">
        <v>3.7539424280350437</v>
      </c>
      <c r="M28" s="246">
        <v>36.055030983477486</v>
      </c>
      <c r="N28" s="246">
        <v>10.487705949816778</v>
      </c>
      <c r="O28" s="246">
        <v>6.7066012865834432</v>
      </c>
      <c r="P28" s="246">
        <v>6.7085663162603444</v>
      </c>
      <c r="Q28" s="246"/>
      <c r="R28" s="243">
        <v>14997</v>
      </c>
      <c r="S28" s="244">
        <v>15385.420000000002</v>
      </c>
      <c r="T28" s="245">
        <v>10214.459999999999</v>
      </c>
      <c r="U28" s="245">
        <v>11515.34</v>
      </c>
      <c r="V28" s="245">
        <v>15484.77</v>
      </c>
      <c r="W28" s="245">
        <v>17947.66</v>
      </c>
      <c r="X28" s="245">
        <v>1911.04</v>
      </c>
      <c r="Y28" s="245">
        <v>110.74000000000001</v>
      </c>
      <c r="Z28" s="245">
        <v>3390.6850000000004</v>
      </c>
      <c r="AA28" s="245">
        <v>9266.6450000000004</v>
      </c>
      <c r="AB28" s="245">
        <v>10696.48</v>
      </c>
      <c r="AC28" s="245">
        <v>3995</v>
      </c>
      <c r="AD28" s="245">
        <v>415.94749999999999</v>
      </c>
      <c r="AE28" s="245">
        <v>1429.96</v>
      </c>
      <c r="AF28" s="245">
        <v>2236.1550000000002</v>
      </c>
      <c r="AG28" s="245">
        <v>11.49</v>
      </c>
      <c r="AH28" s="245">
        <v>189.07499999999999</v>
      </c>
      <c r="AI28" s="245">
        <v>2235.5</v>
      </c>
    </row>
    <row r="29" spans="1:35">
      <c r="A29" s="248">
        <v>44749</v>
      </c>
      <c r="B29" s="253">
        <v>1.0191997866097626</v>
      </c>
      <c r="C29" s="252">
        <v>0.68174979994665252</v>
      </c>
      <c r="D29" s="252">
        <v>1.3006996161045279</v>
      </c>
      <c r="E29" s="252">
        <v>0.97100014439385984</v>
      </c>
      <c r="F29" s="252">
        <v>1.1938500266737795</v>
      </c>
      <c r="G29" s="252">
        <v>7.848350360073689</v>
      </c>
      <c r="H29" s="252">
        <v>136.13544550860152</v>
      </c>
      <c r="I29" s="252">
        <v>4.4279941593942063</v>
      </c>
      <c r="J29" s="252">
        <v>0.61739997332622021</v>
      </c>
      <c r="K29" s="252">
        <v>1.4019499781704907</v>
      </c>
      <c r="L29" s="252">
        <v>3.7541619727124798</v>
      </c>
      <c r="M29" s="252">
        <v>36.254974300455004</v>
      </c>
      <c r="N29" s="252">
        <v>10.539854792344618</v>
      </c>
      <c r="O29" s="252">
        <v>6.7088992680875439</v>
      </c>
      <c r="P29" s="252">
        <v>6.7111210561646901</v>
      </c>
      <c r="Q29" s="252"/>
      <c r="R29" s="249">
        <v>14996</v>
      </c>
      <c r="S29" s="250">
        <v>15283.92</v>
      </c>
      <c r="T29" s="251">
        <v>10223.52</v>
      </c>
      <c r="U29" s="251">
        <v>11529.18</v>
      </c>
      <c r="V29" s="251">
        <v>15443.869999999999</v>
      </c>
      <c r="W29" s="251">
        <v>17902.974999999999</v>
      </c>
      <c r="X29" s="251">
        <v>1910.72</v>
      </c>
      <c r="Y29" s="251">
        <v>110.155</v>
      </c>
      <c r="Z29" s="251">
        <v>3386.6350000000002</v>
      </c>
      <c r="AA29" s="251">
        <v>9258.5299999999988</v>
      </c>
      <c r="AB29" s="251">
        <v>10696.53</v>
      </c>
      <c r="AC29" s="251">
        <v>3994.5</v>
      </c>
      <c r="AD29" s="251">
        <v>413.62599999999998</v>
      </c>
      <c r="AE29" s="251">
        <v>1422.79</v>
      </c>
      <c r="AF29" s="251">
        <v>2235.2399999999998</v>
      </c>
      <c r="AG29" s="251">
        <v>11.53</v>
      </c>
      <c r="AH29" s="251">
        <v>189.49</v>
      </c>
      <c r="AI29" s="251">
        <v>2234.5</v>
      </c>
    </row>
    <row r="30" spans="1:35">
      <c r="A30" s="254">
        <v>44750</v>
      </c>
      <c r="B30" s="259">
        <v>1.010900046738332</v>
      </c>
      <c r="C30" s="258">
        <v>0.68185017026106698</v>
      </c>
      <c r="D30" s="258">
        <v>1.3006998958710574</v>
      </c>
      <c r="E30" s="258">
        <v>0.97764989337042796</v>
      </c>
      <c r="F30" s="258">
        <v>1.1943500033384522</v>
      </c>
      <c r="G30" s="258">
        <v>7.8494984329304724</v>
      </c>
      <c r="H30" s="258">
        <v>135.8334844912026</v>
      </c>
      <c r="I30" s="258">
        <v>4.4259974526208161</v>
      </c>
      <c r="J30" s="258">
        <v>0.61570007344595046</v>
      </c>
      <c r="K30" s="258">
        <v>1.403949845140873</v>
      </c>
      <c r="L30" s="258">
        <v>3.7541045243764883</v>
      </c>
      <c r="M30" s="258">
        <v>36.040003272645016</v>
      </c>
      <c r="N30" s="258">
        <v>10.592836732961779</v>
      </c>
      <c r="O30" s="258">
        <v>6.7045083196425939</v>
      </c>
      <c r="P30" s="258">
        <v>6.7041181736794986</v>
      </c>
      <c r="Q30" s="258"/>
      <c r="R30" s="255">
        <v>14977</v>
      </c>
      <c r="S30" s="256">
        <v>15140.25</v>
      </c>
      <c r="T30" s="257">
        <v>10212.07</v>
      </c>
      <c r="U30" s="257">
        <v>11514.57</v>
      </c>
      <c r="V30" s="257">
        <v>15319.39</v>
      </c>
      <c r="W30" s="257">
        <v>17887.78</v>
      </c>
      <c r="X30" s="257">
        <v>1908.02</v>
      </c>
      <c r="Y30" s="257">
        <v>110.26</v>
      </c>
      <c r="Z30" s="257">
        <v>3383.87</v>
      </c>
      <c r="AA30" s="257">
        <v>9221.34</v>
      </c>
      <c r="AB30" s="257">
        <v>10667.76</v>
      </c>
      <c r="AC30" s="257">
        <v>3989.5</v>
      </c>
      <c r="AD30" s="257">
        <v>415.56600000000003</v>
      </c>
      <c r="AE30" s="257">
        <v>1413.88</v>
      </c>
      <c r="AF30" s="257">
        <v>2233.87</v>
      </c>
      <c r="AG30" s="257">
        <v>11.504999999999999</v>
      </c>
      <c r="AH30" s="257">
        <v>188.87</v>
      </c>
      <c r="AI30" s="257">
        <v>2234</v>
      </c>
    </row>
    <row r="31" spans="1:35">
      <c r="A31" s="260">
        <v>44753</v>
      </c>
      <c r="B31" s="265">
        <v>1.0111000166972783</v>
      </c>
      <c r="C31" s="264">
        <v>0.68045015862414437</v>
      </c>
      <c r="D31" s="264">
        <v>1.2994497137478698</v>
      </c>
      <c r="E31" s="264">
        <v>0.97929980309353426</v>
      </c>
      <c r="F31" s="264">
        <v>1.1959502421105361</v>
      </c>
      <c r="G31" s="264">
        <v>7.8494437629098384</v>
      </c>
      <c r="H31" s="264">
        <v>136.81637501713345</v>
      </c>
      <c r="I31" s="264">
        <v>4.4269963247577682</v>
      </c>
      <c r="J31" s="264">
        <v>0.61624979128402069</v>
      </c>
      <c r="K31" s="264">
        <v>1.4020500973639396</v>
      </c>
      <c r="L31" s="264">
        <v>3.753917512849442</v>
      </c>
      <c r="M31" s="264">
        <v>36.1049787373084</v>
      </c>
      <c r="N31" s="264">
        <v>10.596211619916419</v>
      </c>
      <c r="O31" s="264">
        <v>6.7095371998969311</v>
      </c>
      <c r="P31" s="264">
        <v>6.711116091438817</v>
      </c>
      <c r="Q31" s="264"/>
      <c r="R31" s="261">
        <v>14972.5</v>
      </c>
      <c r="S31" s="262">
        <v>15138.695</v>
      </c>
      <c r="T31" s="263">
        <v>10188.040000000001</v>
      </c>
      <c r="U31" s="263">
        <v>11522.185000000001</v>
      </c>
      <c r="V31" s="263">
        <v>15288.985000000001</v>
      </c>
      <c r="W31" s="263">
        <v>17906.365000000002</v>
      </c>
      <c r="X31" s="263">
        <v>1907.46</v>
      </c>
      <c r="Y31" s="263">
        <v>109.435</v>
      </c>
      <c r="Z31" s="263">
        <v>3382.09</v>
      </c>
      <c r="AA31" s="263">
        <v>9226.7999999999993</v>
      </c>
      <c r="AB31" s="263">
        <v>10679.005000000001</v>
      </c>
      <c r="AC31" s="263">
        <v>3988.5</v>
      </c>
      <c r="AD31" s="263">
        <v>414.69349999999997</v>
      </c>
      <c r="AE31" s="263">
        <v>1413.0050000000001</v>
      </c>
      <c r="AF31" s="263">
        <v>2231.5250000000001</v>
      </c>
      <c r="AG31" s="263">
        <v>11.475000000000001</v>
      </c>
      <c r="AH31" s="263">
        <v>188.54000000000002</v>
      </c>
      <c r="AI31" s="263">
        <v>2231</v>
      </c>
    </row>
    <row r="32" spans="1:35">
      <c r="A32" s="266">
        <v>44754</v>
      </c>
      <c r="B32" s="271">
        <v>1.0009000834028356</v>
      </c>
      <c r="C32" s="270">
        <v>0.67220016680567141</v>
      </c>
      <c r="D32" s="270">
        <v>1.3035499175904222</v>
      </c>
      <c r="E32" s="270">
        <v>0.98415017524275428</v>
      </c>
      <c r="F32" s="270">
        <v>1.1839999999999999</v>
      </c>
      <c r="G32" s="270">
        <v>7.8498588465748691</v>
      </c>
      <c r="H32" s="270">
        <v>137.34879032258064</v>
      </c>
      <c r="I32" s="270">
        <v>4.4370005136410935</v>
      </c>
      <c r="J32" s="270">
        <v>0.61085004170141788</v>
      </c>
      <c r="K32" s="270">
        <v>1.4077495497314827</v>
      </c>
      <c r="L32" s="270">
        <v>3.7534435261707988</v>
      </c>
      <c r="M32" s="270">
        <v>36.339984651736252</v>
      </c>
      <c r="N32" s="270">
        <v>10.647593945701711</v>
      </c>
      <c r="O32" s="270">
        <v>6.7364546134881911</v>
      </c>
      <c r="P32" s="270">
        <v>6.7480864475461502</v>
      </c>
      <c r="Q32" s="270"/>
      <c r="R32" s="267">
        <v>14987.5</v>
      </c>
      <c r="S32" s="268">
        <v>15000.99</v>
      </c>
      <c r="T32" s="269">
        <v>10074.6</v>
      </c>
      <c r="U32" s="269">
        <v>11497.45</v>
      </c>
      <c r="V32" s="269">
        <v>15228.875</v>
      </c>
      <c r="W32" s="269">
        <v>17745.2</v>
      </c>
      <c r="X32" s="269">
        <v>1909.27</v>
      </c>
      <c r="Y32" s="269">
        <v>109.12</v>
      </c>
      <c r="Z32" s="269">
        <v>3377.8450000000003</v>
      </c>
      <c r="AA32" s="269">
        <v>9155.1149999999998</v>
      </c>
      <c r="AB32" s="269">
        <v>10646.424999999999</v>
      </c>
      <c r="AC32" s="269">
        <v>3993</v>
      </c>
      <c r="AD32" s="269">
        <v>412.42450000000002</v>
      </c>
      <c r="AE32" s="269">
        <v>1407.595</v>
      </c>
      <c r="AF32" s="269">
        <v>2224.835</v>
      </c>
      <c r="AG32" s="269">
        <v>11.405000000000001</v>
      </c>
      <c r="AH32" s="269">
        <v>188.22499999999999</v>
      </c>
      <c r="AI32" s="269">
        <v>2221</v>
      </c>
    </row>
    <row r="33" spans="1:35">
      <c r="A33" s="272">
        <v>44755</v>
      </c>
      <c r="B33" s="277">
        <v>1.0033000834028358</v>
      </c>
      <c r="C33" s="276">
        <v>0.67730008340283565</v>
      </c>
      <c r="D33" s="276">
        <v>1.3019498626600345</v>
      </c>
      <c r="E33" s="276">
        <v>0.97889985046263839</v>
      </c>
      <c r="F33" s="276">
        <v>1.1904500417014181</v>
      </c>
      <c r="G33" s="276">
        <v>7.8499410763388768</v>
      </c>
      <c r="H33" s="276">
        <v>137.05989940557842</v>
      </c>
      <c r="I33" s="276">
        <v>4.4335026371760469</v>
      </c>
      <c r="J33" s="276">
        <v>0.61349991659716441</v>
      </c>
      <c r="K33" s="276">
        <v>1.4059502535166346</v>
      </c>
      <c r="L33" s="276">
        <v>3.7534435261707988</v>
      </c>
      <c r="M33" s="276">
        <v>36.260022161254575</v>
      </c>
      <c r="N33" s="276">
        <v>10.585663533051285</v>
      </c>
      <c r="O33" s="276">
        <v>6.7194960658163154</v>
      </c>
      <c r="P33" s="276">
        <v>6.72537581332735</v>
      </c>
      <c r="Q33" s="276"/>
      <c r="R33" s="273">
        <v>14987.5</v>
      </c>
      <c r="S33" s="274">
        <v>15036.960000000001</v>
      </c>
      <c r="T33" s="275">
        <v>10151.035</v>
      </c>
      <c r="U33" s="275">
        <v>11511.58</v>
      </c>
      <c r="V33" s="275">
        <v>15310.555</v>
      </c>
      <c r="W33" s="275">
        <v>17841.870000000003</v>
      </c>
      <c r="X33" s="275">
        <v>1909.25</v>
      </c>
      <c r="Y33" s="275">
        <v>109.35</v>
      </c>
      <c r="Z33" s="275">
        <v>3380.51</v>
      </c>
      <c r="AA33" s="275">
        <v>9194.8300000000017</v>
      </c>
      <c r="AB33" s="275">
        <v>10660.05</v>
      </c>
      <c r="AC33" s="275">
        <v>3993</v>
      </c>
      <c r="AD33" s="275">
        <v>413.334</v>
      </c>
      <c r="AE33" s="275">
        <v>1415.83</v>
      </c>
      <c r="AF33" s="275">
        <v>2230.4499999999998</v>
      </c>
      <c r="AG33" s="275">
        <v>11.484999999999999</v>
      </c>
      <c r="AH33" s="275">
        <v>188.15500000000003</v>
      </c>
      <c r="AI33" s="275">
        <v>2228.5</v>
      </c>
    </row>
    <row r="34" spans="1:35">
      <c r="A34" s="278">
        <v>44756</v>
      </c>
      <c r="B34" s="283">
        <v>1.0037001834250459</v>
      </c>
      <c r="C34" s="282">
        <v>0.67690011672502914</v>
      </c>
      <c r="D34" s="282">
        <v>1.3018498554875022</v>
      </c>
      <c r="E34" s="282">
        <v>0.9843999608669417</v>
      </c>
      <c r="F34" s="282">
        <v>1.1864502251125562</v>
      </c>
      <c r="G34" s="282">
        <v>7.8499490807038121</v>
      </c>
      <c r="H34" s="282">
        <v>139.10280200408238</v>
      </c>
      <c r="I34" s="282">
        <v>4.442998924256389</v>
      </c>
      <c r="J34" s="282">
        <v>0.61189994997498753</v>
      </c>
      <c r="K34" s="282">
        <v>1.3998494875855267</v>
      </c>
      <c r="L34" s="282">
        <v>3.7537556334501754</v>
      </c>
      <c r="M34" s="282">
        <v>36.450033003781755</v>
      </c>
      <c r="N34" s="282">
        <v>10.5863163432106</v>
      </c>
      <c r="O34" s="282">
        <v>6.7383082430510139</v>
      </c>
      <c r="P34" s="282">
        <v>6.7503376857271498</v>
      </c>
      <c r="Q34" s="282"/>
      <c r="R34" s="279">
        <v>14992.5</v>
      </c>
      <c r="S34" s="280">
        <v>15047.975</v>
      </c>
      <c r="T34" s="281">
        <v>10148.424999999999</v>
      </c>
      <c r="U34" s="281">
        <v>11516.305</v>
      </c>
      <c r="V34" s="281">
        <v>15230.09</v>
      </c>
      <c r="W34" s="281">
        <v>17787.855</v>
      </c>
      <c r="X34" s="281">
        <v>1909.885</v>
      </c>
      <c r="Y34" s="281">
        <v>107.78</v>
      </c>
      <c r="Z34" s="281">
        <v>3374.41</v>
      </c>
      <c r="AA34" s="281">
        <v>9173.91</v>
      </c>
      <c r="AB34" s="281">
        <v>10710.080000000002</v>
      </c>
      <c r="AC34" s="281">
        <v>3994</v>
      </c>
      <c r="AD34" s="281">
        <v>411.31650000000002</v>
      </c>
      <c r="AE34" s="281">
        <v>1416.2150000000001</v>
      </c>
      <c r="AF34" s="281">
        <v>2224.9650000000001</v>
      </c>
      <c r="AG34" s="281">
        <v>11.414999999999999</v>
      </c>
      <c r="AH34" s="281">
        <v>187.67000000000002</v>
      </c>
      <c r="AI34" s="281">
        <v>2221</v>
      </c>
    </row>
    <row r="35" spans="1:35">
      <c r="A35" s="284">
        <v>44757</v>
      </c>
      <c r="B35" s="289">
        <v>1.0028000667000168</v>
      </c>
      <c r="C35" s="288">
        <v>0.67285009171252297</v>
      </c>
      <c r="D35" s="288">
        <v>1.311649953719338</v>
      </c>
      <c r="E35" s="288">
        <v>0.98064994672406991</v>
      </c>
      <c r="F35" s="288">
        <v>1.1830998832749708</v>
      </c>
      <c r="G35" s="288">
        <v>7.8499490807038121</v>
      </c>
      <c r="H35" s="288">
        <v>138.91591382904792</v>
      </c>
      <c r="I35" s="288">
        <v>4.4499948799458604</v>
      </c>
      <c r="J35" s="288">
        <v>0.61250025012506248</v>
      </c>
      <c r="K35" s="288">
        <v>1.4046496550328478</v>
      </c>
      <c r="L35" s="288">
        <v>3.7537556334501754</v>
      </c>
      <c r="M35" s="288">
        <v>36.68002079574299</v>
      </c>
      <c r="N35" s="288">
        <v>10.5624872306099</v>
      </c>
      <c r="O35" s="288">
        <v>6.7655991227397232</v>
      </c>
      <c r="P35" s="288">
        <v>6.7793352927877004</v>
      </c>
      <c r="Q35" s="288"/>
      <c r="R35" s="285">
        <v>14992.5</v>
      </c>
      <c r="S35" s="286">
        <v>15034.48</v>
      </c>
      <c r="T35" s="287">
        <v>10087.705</v>
      </c>
      <c r="U35" s="287">
        <v>11430.26</v>
      </c>
      <c r="V35" s="287">
        <v>15288.33</v>
      </c>
      <c r="W35" s="287">
        <v>17737.625</v>
      </c>
      <c r="X35" s="287">
        <v>1909.885</v>
      </c>
      <c r="Y35" s="287">
        <v>107.92500000000001</v>
      </c>
      <c r="Z35" s="287">
        <v>3369.1050000000005</v>
      </c>
      <c r="AA35" s="287">
        <v>9182.91</v>
      </c>
      <c r="AB35" s="287">
        <v>10673.48</v>
      </c>
      <c r="AC35" s="287">
        <v>3994</v>
      </c>
      <c r="AD35" s="287">
        <v>408.73750000000001</v>
      </c>
      <c r="AE35" s="287">
        <v>1419.41</v>
      </c>
      <c r="AF35" s="287">
        <v>2215.9900000000002</v>
      </c>
      <c r="AG35" s="287">
        <v>11.290000000000001</v>
      </c>
      <c r="AH35" s="287">
        <v>187.61500000000001</v>
      </c>
      <c r="AI35" s="287">
        <v>2211.5</v>
      </c>
    </row>
    <row r="36" spans="1:35">
      <c r="A36" s="290">
        <v>44760</v>
      </c>
      <c r="B36" s="295">
        <v>1.0146000600660727</v>
      </c>
      <c r="C36" s="294">
        <v>0.68310007675109286</v>
      </c>
      <c r="D36" s="294">
        <v>1.2978002746571009</v>
      </c>
      <c r="E36" s="294">
        <v>0.97489991391913866</v>
      </c>
      <c r="F36" s="294">
        <v>1.1949000567290686</v>
      </c>
      <c r="G36" s="294">
        <v>7.8499428942653271</v>
      </c>
      <c r="H36" s="294">
        <v>138.0840475532209</v>
      </c>
      <c r="I36" s="294">
        <v>4.4519947586887207</v>
      </c>
      <c r="J36" s="294">
        <v>0.61790002335902827</v>
      </c>
      <c r="K36" s="294">
        <v>1.3966995998243812</v>
      </c>
      <c r="L36" s="294">
        <v>3.7552631578947366</v>
      </c>
      <c r="M36" s="294">
        <v>36.604984492932957</v>
      </c>
      <c r="N36" s="294">
        <v>10.402788240235779</v>
      </c>
      <c r="O36" s="294">
        <v>6.742096311161907</v>
      </c>
      <c r="P36" s="294">
        <v>6.7493243243243244</v>
      </c>
      <c r="Q36" s="294"/>
      <c r="R36" s="291">
        <v>14983.5</v>
      </c>
      <c r="S36" s="292">
        <v>15202.26</v>
      </c>
      <c r="T36" s="293">
        <v>10235.23</v>
      </c>
      <c r="U36" s="293">
        <v>11545.305</v>
      </c>
      <c r="V36" s="293">
        <v>15369.27</v>
      </c>
      <c r="W36" s="293">
        <v>17903.785</v>
      </c>
      <c r="X36" s="293">
        <v>1908.74</v>
      </c>
      <c r="Y36" s="293">
        <v>108.51</v>
      </c>
      <c r="Z36" s="293">
        <v>3365.57</v>
      </c>
      <c r="AA36" s="293">
        <v>9258.3050000000003</v>
      </c>
      <c r="AB36" s="293">
        <v>10727.79</v>
      </c>
      <c r="AC36" s="293">
        <v>3990</v>
      </c>
      <c r="AD36" s="293">
        <v>409.3295</v>
      </c>
      <c r="AE36" s="293">
        <v>1440.335</v>
      </c>
      <c r="AF36" s="293">
        <v>2222.38</v>
      </c>
      <c r="AG36" s="293">
        <v>11.395</v>
      </c>
      <c r="AH36" s="293">
        <v>187.51499999999999</v>
      </c>
      <c r="AI36" s="293">
        <v>2220</v>
      </c>
    </row>
    <row r="37" spans="1:35">
      <c r="A37" s="290">
        <v>44761</v>
      </c>
      <c r="B37" s="300">
        <v>1.0241999666165915</v>
      </c>
      <c r="C37" s="299">
        <v>0.68790018360874639</v>
      </c>
      <c r="D37" s="299">
        <v>1.2950500597050287</v>
      </c>
      <c r="E37" s="299">
        <v>0.97039980925674918</v>
      </c>
      <c r="F37" s="299">
        <v>1.2010502420297111</v>
      </c>
      <c r="G37" s="299">
        <v>7.8499661944370196</v>
      </c>
      <c r="H37" s="299">
        <v>137.73680338421923</v>
      </c>
      <c r="I37" s="299">
        <v>4.4490024461716011</v>
      </c>
      <c r="J37" s="299">
        <v>0.62169988315807045</v>
      </c>
      <c r="K37" s="299">
        <v>1.3921000471701401</v>
      </c>
      <c r="L37" s="299">
        <v>3.7551711169612636</v>
      </c>
      <c r="M37" s="299">
        <v>36.565001599070335</v>
      </c>
      <c r="N37" s="299">
        <v>10.270414828072123</v>
      </c>
      <c r="O37" s="299">
        <v>6.7442064666031758</v>
      </c>
      <c r="P37" s="299">
        <v>6.7511832319134548</v>
      </c>
      <c r="Q37" s="299"/>
      <c r="R37" s="296">
        <v>14977.5</v>
      </c>
      <c r="S37" s="297">
        <v>15339.955</v>
      </c>
      <c r="T37" s="298">
        <v>10303.025</v>
      </c>
      <c r="U37" s="298">
        <v>11565.189999999999</v>
      </c>
      <c r="V37" s="298">
        <v>15434.36</v>
      </c>
      <c r="W37" s="298">
        <v>17988.73</v>
      </c>
      <c r="X37" s="298">
        <v>1907.97</v>
      </c>
      <c r="Y37" s="298">
        <v>108.74000000000001</v>
      </c>
      <c r="Z37" s="298">
        <v>3366.4849999999997</v>
      </c>
      <c r="AA37" s="298">
        <v>9311.51</v>
      </c>
      <c r="AB37" s="298">
        <v>10758.924999999999</v>
      </c>
      <c r="AC37" s="298">
        <v>3988.5</v>
      </c>
      <c r="AD37" s="298">
        <v>409.61300000000006</v>
      </c>
      <c r="AE37" s="298">
        <v>1458.3150000000001</v>
      </c>
      <c r="AF37" s="298">
        <v>2220.7950000000001</v>
      </c>
      <c r="AG37" s="298">
        <v>11.43</v>
      </c>
      <c r="AH37" s="298">
        <v>187.41000000000003</v>
      </c>
      <c r="AI37" s="298">
        <v>2218.5</v>
      </c>
    </row>
    <row r="38" spans="1:35">
      <c r="A38" s="301">
        <v>44762</v>
      </c>
      <c r="B38" s="306">
        <v>1.0226999165971644</v>
      </c>
      <c r="C38" s="305">
        <v>0.6907499582985821</v>
      </c>
      <c r="D38" s="305">
        <v>1.2878503404049457</v>
      </c>
      <c r="E38" s="305">
        <v>0.96989993609500003</v>
      </c>
      <c r="F38" s="305">
        <v>1.1991502919099248</v>
      </c>
      <c r="G38" s="305">
        <v>7.8499410763388768</v>
      </c>
      <c r="H38" s="305">
        <v>138.13364055299539</v>
      </c>
      <c r="I38" s="305">
        <v>4.4519993524364576</v>
      </c>
      <c r="J38" s="305">
        <v>0.62485004170141789</v>
      </c>
      <c r="K38" s="305">
        <v>1.3929498844746149</v>
      </c>
      <c r="L38" s="305">
        <v>3.7572073201303584</v>
      </c>
      <c r="M38" s="305">
        <v>36.689959742025827</v>
      </c>
      <c r="N38" s="305">
        <v>10.243730734267885</v>
      </c>
      <c r="O38" s="305">
        <v>6.752555721256301</v>
      </c>
      <c r="P38" s="305">
        <v>6.7587373167981966</v>
      </c>
      <c r="Q38" s="305"/>
      <c r="R38" s="302">
        <v>14987.5</v>
      </c>
      <c r="S38" s="303">
        <v>15327.715</v>
      </c>
      <c r="T38" s="304">
        <v>10352.615</v>
      </c>
      <c r="U38" s="304">
        <v>11637.61</v>
      </c>
      <c r="V38" s="304">
        <v>15452.625</v>
      </c>
      <c r="W38" s="304">
        <v>17972.264999999999</v>
      </c>
      <c r="X38" s="304">
        <v>1909.25</v>
      </c>
      <c r="Y38" s="304">
        <v>108.5</v>
      </c>
      <c r="Z38" s="304">
        <v>3366.4650000000001</v>
      </c>
      <c r="AA38" s="304">
        <v>9364.94</v>
      </c>
      <c r="AB38" s="304">
        <v>10759.54</v>
      </c>
      <c r="AC38" s="304">
        <v>3989</v>
      </c>
      <c r="AD38" s="304">
        <v>408.4905</v>
      </c>
      <c r="AE38" s="304">
        <v>1463.0900000000001</v>
      </c>
      <c r="AF38" s="304">
        <v>2219.5300000000002</v>
      </c>
      <c r="AG38" s="304">
        <v>11.425000000000001</v>
      </c>
      <c r="AH38" s="304">
        <v>187.42500000000001</v>
      </c>
      <c r="AI38" s="304">
        <v>2217.5</v>
      </c>
    </row>
    <row r="39" spans="1:35">
      <c r="A39" s="307">
        <v>44763</v>
      </c>
      <c r="B39" s="312">
        <v>1.0195998669549311</v>
      </c>
      <c r="C39" s="311">
        <v>0.68755030766672209</v>
      </c>
      <c r="D39" s="311">
        <v>1.2898999099451218</v>
      </c>
      <c r="E39" s="311">
        <v>0.97340009803610494</v>
      </c>
      <c r="F39" s="311">
        <v>1.194199900216198</v>
      </c>
      <c r="G39" s="311">
        <v>7.8489882336969998</v>
      </c>
      <c r="H39" s="311">
        <v>138.59948368061958</v>
      </c>
      <c r="I39" s="311">
        <v>4.4559951030740663</v>
      </c>
      <c r="J39" s="311">
        <v>0.62040013304506902</v>
      </c>
      <c r="K39" s="311">
        <v>1.3940498899690541</v>
      </c>
      <c r="L39" s="311">
        <v>3.7581250000000002</v>
      </c>
      <c r="M39" s="311">
        <v>36.855021795519292</v>
      </c>
      <c r="N39" s="311">
        <v>10.238134966985292</v>
      </c>
      <c r="O39" s="311">
        <v>6.764449124322768</v>
      </c>
      <c r="P39" s="311">
        <v>6.7729218292408202</v>
      </c>
      <c r="Q39" s="311"/>
      <c r="R39" s="308">
        <v>15032.5</v>
      </c>
      <c r="S39" s="309">
        <v>15327.135</v>
      </c>
      <c r="T39" s="310">
        <v>10335.6</v>
      </c>
      <c r="U39" s="310">
        <v>11654.005000000001</v>
      </c>
      <c r="V39" s="310">
        <v>15443.29</v>
      </c>
      <c r="W39" s="310">
        <v>17951.809999999998</v>
      </c>
      <c r="X39" s="310">
        <v>1915.2150000000001</v>
      </c>
      <c r="Y39" s="310">
        <v>108.46000000000001</v>
      </c>
      <c r="Z39" s="310">
        <v>3373.5450000000001</v>
      </c>
      <c r="AA39" s="310">
        <v>9326.1650000000009</v>
      </c>
      <c r="AB39" s="310">
        <v>10783.33</v>
      </c>
      <c r="AC39" s="310">
        <v>4000</v>
      </c>
      <c r="AD39" s="310">
        <v>407.88200000000001</v>
      </c>
      <c r="AE39" s="310">
        <v>1468.2850000000001</v>
      </c>
      <c r="AF39" s="310">
        <v>2222.2799999999997</v>
      </c>
      <c r="AG39" s="310">
        <v>11.48</v>
      </c>
      <c r="AH39" s="310">
        <v>187.97500000000002</v>
      </c>
      <c r="AI39" s="310">
        <v>2219.5</v>
      </c>
    </row>
    <row r="40" spans="1:35">
      <c r="A40" s="313">
        <v>44764</v>
      </c>
      <c r="B40" s="318">
        <v>1.0137999001165308</v>
      </c>
      <c r="C40" s="317">
        <v>0.69070018311969372</v>
      </c>
      <c r="D40" s="317">
        <v>1.2881999426990138</v>
      </c>
      <c r="E40" s="317">
        <v>0.96889972218530351</v>
      </c>
      <c r="F40" s="317">
        <v>1.1928000665889795</v>
      </c>
      <c r="G40" s="317">
        <v>7.8497428284686803</v>
      </c>
      <c r="H40" s="317">
        <v>137.58589097572147</v>
      </c>
      <c r="I40" s="317">
        <v>4.4554976850993375</v>
      </c>
      <c r="J40" s="317">
        <v>0.62289995005826548</v>
      </c>
      <c r="K40" s="317">
        <v>1.3912499710494013</v>
      </c>
      <c r="L40" s="317">
        <v>3.7576629550857001</v>
      </c>
      <c r="M40" s="317">
        <v>36.800021564187759</v>
      </c>
      <c r="N40" s="317">
        <v>10.265884178541278</v>
      </c>
      <c r="O40" s="317">
        <v>6.769991592452592</v>
      </c>
      <c r="P40" s="317">
        <v>6.7783795982848112</v>
      </c>
      <c r="Q40" s="317"/>
      <c r="R40" s="314">
        <v>15017.5</v>
      </c>
      <c r="S40" s="315">
        <v>15224.740000000002</v>
      </c>
      <c r="T40" s="316">
        <v>10372.59</v>
      </c>
      <c r="U40" s="316">
        <v>11657.74</v>
      </c>
      <c r="V40" s="316">
        <v>15499.54</v>
      </c>
      <c r="W40" s="316">
        <v>17912.875</v>
      </c>
      <c r="X40" s="316">
        <v>1913.12</v>
      </c>
      <c r="Y40" s="316">
        <v>109.15</v>
      </c>
      <c r="Z40" s="316">
        <v>3370.5550000000003</v>
      </c>
      <c r="AA40" s="316">
        <v>9354.4000000000015</v>
      </c>
      <c r="AB40" s="316">
        <v>10794.25</v>
      </c>
      <c r="AC40" s="316">
        <v>3996.5</v>
      </c>
      <c r="AD40" s="316">
        <v>408.08400000000006</v>
      </c>
      <c r="AE40" s="316">
        <v>1462.855</v>
      </c>
      <c r="AF40" s="316">
        <v>2218.2449999999999</v>
      </c>
      <c r="AG40" s="316">
        <v>11.42</v>
      </c>
      <c r="AH40" s="316">
        <v>187.97499999999999</v>
      </c>
      <c r="AI40" s="316">
        <v>2215.5</v>
      </c>
    </row>
    <row r="41" spans="1:35">
      <c r="A41" s="319">
        <v>44767</v>
      </c>
      <c r="B41" s="324">
        <v>1.0192498749791632</v>
      </c>
      <c r="C41" s="323">
        <v>0.69200000000000006</v>
      </c>
      <c r="D41" s="323">
        <v>1.2916997899346032</v>
      </c>
      <c r="E41" s="323">
        <v>0.96540008664300825</v>
      </c>
      <c r="F41" s="323">
        <v>1.1992998833138857</v>
      </c>
      <c r="G41" s="323">
        <v>7.8492586447827746</v>
      </c>
      <c r="H41" s="323">
        <v>136.40291041382446</v>
      </c>
      <c r="I41" s="323">
        <v>4.4545000920750146</v>
      </c>
      <c r="J41" s="323">
        <v>0.624</v>
      </c>
      <c r="K41" s="323">
        <v>1.3865499798223346</v>
      </c>
      <c r="L41" s="323">
        <v>3.7578301177649713</v>
      </c>
      <c r="M41" s="323">
        <v>36.709991677681501</v>
      </c>
      <c r="N41" s="323">
        <v>10.213706354665378</v>
      </c>
      <c r="O41" s="323">
        <v>6.7547026196851325</v>
      </c>
      <c r="P41" s="323">
        <v>6.7571525118269884</v>
      </c>
      <c r="Q41" s="323"/>
      <c r="R41" s="320">
        <v>14997.5</v>
      </c>
      <c r="S41" s="321">
        <v>15286.2</v>
      </c>
      <c r="T41" s="322">
        <v>10378.27</v>
      </c>
      <c r="U41" s="322">
        <v>11610.67</v>
      </c>
      <c r="V41" s="322">
        <v>15535.01</v>
      </c>
      <c r="W41" s="322">
        <v>17986.5</v>
      </c>
      <c r="X41" s="322">
        <v>1910.69</v>
      </c>
      <c r="Y41" s="322">
        <v>109.95</v>
      </c>
      <c r="Z41" s="322">
        <v>3366.8199999999997</v>
      </c>
      <c r="AA41" s="322">
        <v>9358.44</v>
      </c>
      <c r="AB41" s="322">
        <v>10816.415000000001</v>
      </c>
      <c r="AC41" s="322">
        <v>3991</v>
      </c>
      <c r="AD41" s="322">
        <v>408.53999999999996</v>
      </c>
      <c r="AE41" s="322">
        <v>1468.37</v>
      </c>
      <c r="AF41" s="322">
        <v>2220.3050000000003</v>
      </c>
      <c r="AG41" s="322">
        <v>11.42</v>
      </c>
      <c r="AH41" s="322">
        <v>187.85500000000002</v>
      </c>
      <c r="AI41" s="322">
        <v>2219.5</v>
      </c>
    </row>
    <row r="42" spans="1:35">
      <c r="A42" s="325">
        <v>44768</v>
      </c>
      <c r="B42" s="330">
        <v>1.0219000466760018</v>
      </c>
      <c r="C42" s="329">
        <v>0.6963999466559978</v>
      </c>
      <c r="D42" s="329">
        <v>1.282399901491986</v>
      </c>
      <c r="E42" s="329">
        <v>0.96479995213634961</v>
      </c>
      <c r="F42" s="329">
        <v>1.2045002333800092</v>
      </c>
      <c r="G42" s="329">
        <v>7.8489558800439632</v>
      </c>
      <c r="H42" s="329">
        <v>136.65315048521572</v>
      </c>
      <c r="I42" s="329">
        <v>4.4559993463226943</v>
      </c>
      <c r="J42" s="329">
        <v>0.62589984663599396</v>
      </c>
      <c r="K42" s="329">
        <v>1.3855500717858509</v>
      </c>
      <c r="L42" s="329">
        <v>3.7577048358807317</v>
      </c>
      <c r="M42" s="329">
        <v>36.644992926101587</v>
      </c>
      <c r="N42" s="329">
        <v>10.21030630238084</v>
      </c>
      <c r="O42" s="329">
        <v>6.7572012381669007</v>
      </c>
      <c r="P42" s="329">
        <v>6.7584497521406037</v>
      </c>
      <c r="Q42" s="329"/>
      <c r="R42" s="326">
        <v>14997</v>
      </c>
      <c r="S42" s="327">
        <v>15325.434999999999</v>
      </c>
      <c r="T42" s="328">
        <v>10443.91</v>
      </c>
      <c r="U42" s="328">
        <v>11694.48</v>
      </c>
      <c r="V42" s="328">
        <v>15544.155000000001</v>
      </c>
      <c r="W42" s="328">
        <v>18063.89</v>
      </c>
      <c r="X42" s="328">
        <v>1910.7</v>
      </c>
      <c r="Y42" s="328">
        <v>109.745</v>
      </c>
      <c r="Z42" s="328">
        <v>3365.5749999999998</v>
      </c>
      <c r="AA42" s="328">
        <v>9386.6200000000008</v>
      </c>
      <c r="AB42" s="328">
        <v>10823.86</v>
      </c>
      <c r="AC42" s="328">
        <v>3991</v>
      </c>
      <c r="AD42" s="328">
        <v>409.25099999999998</v>
      </c>
      <c r="AE42" s="328">
        <v>1468.81</v>
      </c>
      <c r="AF42" s="328">
        <v>2219.41</v>
      </c>
      <c r="AG42" s="328">
        <v>11.47</v>
      </c>
      <c r="AH42" s="328">
        <v>188.035</v>
      </c>
      <c r="AI42" s="328">
        <v>2219</v>
      </c>
    </row>
    <row r="43" spans="1:35">
      <c r="A43" s="331">
        <v>44769</v>
      </c>
      <c r="B43" s="336">
        <v>1.0139501731947775</v>
      </c>
      <c r="C43" s="335">
        <v>0.69365007993605121</v>
      </c>
      <c r="D43" s="335">
        <v>1.2859499771283875</v>
      </c>
      <c r="E43" s="335">
        <v>0.9622497105943616</v>
      </c>
      <c r="F43" s="335">
        <v>1.2051498800959233</v>
      </c>
      <c r="G43" s="335">
        <v>7.848960321236425</v>
      </c>
      <c r="H43" s="335">
        <v>136.98955148971118</v>
      </c>
      <c r="I43" s="335">
        <v>4.4609996835222043</v>
      </c>
      <c r="J43" s="335">
        <v>0.62280009325872621</v>
      </c>
      <c r="K43" s="335">
        <v>1.3883500488077365</v>
      </c>
      <c r="L43" s="335">
        <v>3.7558168626469852</v>
      </c>
      <c r="M43" s="335">
        <v>36.824985649735808</v>
      </c>
      <c r="N43" s="335">
        <v>10.295378327035312</v>
      </c>
      <c r="O43" s="335">
        <v>6.7596501300192502</v>
      </c>
      <c r="P43" s="335">
        <v>6.7621621621621619</v>
      </c>
      <c r="Q43" s="335"/>
      <c r="R43" s="332">
        <v>15012</v>
      </c>
      <c r="S43" s="333">
        <v>15221.42</v>
      </c>
      <c r="T43" s="334">
        <v>10413.075000000001</v>
      </c>
      <c r="U43" s="334">
        <v>11673.86</v>
      </c>
      <c r="V43" s="334">
        <v>15600.94</v>
      </c>
      <c r="W43" s="334">
        <v>18091.71</v>
      </c>
      <c r="X43" s="334">
        <v>1912.6100000000001</v>
      </c>
      <c r="Y43" s="334">
        <v>109.58500000000001</v>
      </c>
      <c r="Z43" s="334">
        <v>3365.165</v>
      </c>
      <c r="AA43" s="334">
        <v>9349.4749999999985</v>
      </c>
      <c r="AB43" s="334">
        <v>10812.834999999999</v>
      </c>
      <c r="AC43" s="334">
        <v>3997</v>
      </c>
      <c r="AD43" s="334">
        <v>407.65800000000002</v>
      </c>
      <c r="AE43" s="334">
        <v>1458.13</v>
      </c>
      <c r="AF43" s="334">
        <v>2220.8249999999998</v>
      </c>
      <c r="AG43" s="334">
        <v>11.43</v>
      </c>
      <c r="AH43" s="334">
        <v>187.91</v>
      </c>
      <c r="AI43" s="334">
        <v>2220</v>
      </c>
    </row>
    <row r="44" spans="1:35">
      <c r="A44" s="337">
        <v>44770</v>
      </c>
      <c r="B44" s="342">
        <v>1.0209998325799432</v>
      </c>
      <c r="C44" s="341">
        <v>0.69989988280596027</v>
      </c>
      <c r="D44" s="341">
        <v>1.2805500040519662</v>
      </c>
      <c r="E44" s="341">
        <v>0.95894994258823041</v>
      </c>
      <c r="F44" s="341">
        <v>1.2183000167420057</v>
      </c>
      <c r="G44" s="341">
        <v>7.8497495124297556</v>
      </c>
      <c r="H44" s="341">
        <v>135.58360194306988</v>
      </c>
      <c r="I44" s="341">
        <v>4.4495000737486201</v>
      </c>
      <c r="J44" s="341">
        <v>0.62860003348401139</v>
      </c>
      <c r="K44" s="341">
        <v>1.3811496770380456</v>
      </c>
      <c r="L44" s="341">
        <v>3.7556589537223339</v>
      </c>
      <c r="M44" s="341">
        <v>36.555004479869957</v>
      </c>
      <c r="N44" s="341">
        <v>10.205894916702263</v>
      </c>
      <c r="O44" s="341">
        <v>6.7436966251033059</v>
      </c>
      <c r="P44" s="341">
        <v>6.7461034560650557</v>
      </c>
      <c r="Q44" s="341"/>
      <c r="R44" s="338">
        <v>14932.5</v>
      </c>
      <c r="S44" s="339">
        <v>15246.080000000002</v>
      </c>
      <c r="T44" s="340">
        <v>10451.255000000001</v>
      </c>
      <c r="U44" s="340">
        <v>11661.005000000001</v>
      </c>
      <c r="V44" s="340">
        <v>15571.720000000001</v>
      </c>
      <c r="W44" s="340">
        <v>18192.264999999999</v>
      </c>
      <c r="X44" s="340">
        <v>1902.29</v>
      </c>
      <c r="Y44" s="340">
        <v>110.13499999999999</v>
      </c>
      <c r="Z44" s="340">
        <v>3355.9949999999999</v>
      </c>
      <c r="AA44" s="340">
        <v>9386.57</v>
      </c>
      <c r="AB44" s="340">
        <v>10811.645</v>
      </c>
      <c r="AC44" s="340">
        <v>3976</v>
      </c>
      <c r="AD44" s="340">
        <v>408.49400000000003</v>
      </c>
      <c r="AE44" s="340">
        <v>1463.125</v>
      </c>
      <c r="AF44" s="340">
        <v>2214.29</v>
      </c>
      <c r="AG44" s="340">
        <v>11.47</v>
      </c>
      <c r="AH44" s="340">
        <v>187.08500000000001</v>
      </c>
      <c r="AI44" s="340">
        <v>2213.5</v>
      </c>
    </row>
    <row r="45" spans="1:35">
      <c r="A45" s="343">
        <v>44771</v>
      </c>
      <c r="B45" s="348">
        <v>1.0235998651609641</v>
      </c>
      <c r="C45" s="347">
        <v>0.70240013483903596</v>
      </c>
      <c r="D45" s="347">
        <v>1.2795495502490084</v>
      </c>
      <c r="E45" s="347">
        <v>0.95195002944258056</v>
      </c>
      <c r="F45" s="347">
        <v>1.2214498567335244</v>
      </c>
      <c r="G45" s="347">
        <v>7.8499603069595132</v>
      </c>
      <c r="H45" s="347">
        <v>132.77683287082624</v>
      </c>
      <c r="I45" s="347">
        <v>4.4484933006425686</v>
      </c>
      <c r="J45" s="347">
        <v>0.63174987358840384</v>
      </c>
      <c r="K45" s="347">
        <v>1.3777501593016366</v>
      </c>
      <c r="L45" s="347">
        <v>3.7560141808052672</v>
      </c>
      <c r="M45" s="347">
        <v>36.124976710258565</v>
      </c>
      <c r="N45" s="347">
        <v>10.151285464481623</v>
      </c>
      <c r="O45" s="347">
        <v>6.7290919525368205</v>
      </c>
      <c r="P45" s="347">
        <v>6.7282830573826269</v>
      </c>
      <c r="Q45" s="347"/>
      <c r="R45" s="344">
        <v>14832.5</v>
      </c>
      <c r="S45" s="345">
        <v>15182.545</v>
      </c>
      <c r="T45" s="346">
        <v>10418.35</v>
      </c>
      <c r="U45" s="346">
        <v>11591.970000000001</v>
      </c>
      <c r="V45" s="346">
        <v>15581.174999999999</v>
      </c>
      <c r="W45" s="346">
        <v>18117.154999999999</v>
      </c>
      <c r="X45" s="346">
        <v>1889.5</v>
      </c>
      <c r="Y45" s="346">
        <v>111.71000000000001</v>
      </c>
      <c r="Z45" s="346">
        <v>3334.2750000000001</v>
      </c>
      <c r="AA45" s="346">
        <v>9370.43</v>
      </c>
      <c r="AB45" s="346">
        <v>10765.74</v>
      </c>
      <c r="AC45" s="346">
        <v>3949</v>
      </c>
      <c r="AD45" s="346">
        <v>410.58850000000001</v>
      </c>
      <c r="AE45" s="346">
        <v>1461.145</v>
      </c>
      <c r="AF45" s="346">
        <v>2204.2350000000001</v>
      </c>
      <c r="AG45" s="346">
        <v>11.43</v>
      </c>
      <c r="AH45" s="346">
        <v>187.22499999999999</v>
      </c>
      <c r="AI45" s="346">
        <v>2204.5</v>
      </c>
    </row>
    <row r="46" spans="1:35">
      <c r="A46" s="349">
        <v>44774</v>
      </c>
      <c r="B46" s="354">
        <v>1.0230001680954781</v>
      </c>
      <c r="C46" s="353">
        <v>0.70175021011934779</v>
      </c>
      <c r="D46" s="353">
        <v>1.2783997503800386</v>
      </c>
      <c r="E46" s="353">
        <v>0.95100007673223008</v>
      </c>
      <c r="F46" s="353">
        <v>1.2197001176668349</v>
      </c>
      <c r="G46" s="353">
        <v>7.8499419402512407</v>
      </c>
      <c r="H46" s="353">
        <v>132.55347593582889</v>
      </c>
      <c r="I46" s="353">
        <v>4.4529976331520391</v>
      </c>
      <c r="J46" s="353">
        <v>0.63139989914271311</v>
      </c>
      <c r="K46" s="353">
        <v>1.3779496553851913</v>
      </c>
      <c r="L46" s="353">
        <v>3.7556818181818183</v>
      </c>
      <c r="M46" s="353">
        <v>36.114999775381577</v>
      </c>
      <c r="N46" s="353">
        <v>10.166519697311486</v>
      </c>
      <c r="O46" s="353">
        <v>6.7518948207098965</v>
      </c>
      <c r="P46" s="353">
        <v>6.7586912065439675</v>
      </c>
      <c r="Q46" s="353"/>
      <c r="R46" s="350">
        <v>14872.5</v>
      </c>
      <c r="S46" s="351">
        <v>15214.57</v>
      </c>
      <c r="T46" s="352">
        <v>10436.780000000001</v>
      </c>
      <c r="U46" s="352">
        <v>11633.685000000001</v>
      </c>
      <c r="V46" s="352">
        <v>15638.800000000001</v>
      </c>
      <c r="W46" s="352">
        <v>18139.990000000002</v>
      </c>
      <c r="X46" s="352">
        <v>1894.6</v>
      </c>
      <c r="Y46" s="352">
        <v>112.2</v>
      </c>
      <c r="Z46" s="352">
        <v>3339.8850000000002</v>
      </c>
      <c r="AA46" s="352">
        <v>9390.4950000000008</v>
      </c>
      <c r="AB46" s="352">
        <v>10793.21</v>
      </c>
      <c r="AC46" s="352">
        <v>3960</v>
      </c>
      <c r="AD46" s="352">
        <v>411.80950000000001</v>
      </c>
      <c r="AE46" s="352">
        <v>1462.89</v>
      </c>
      <c r="AF46" s="352">
        <v>2202.7150000000001</v>
      </c>
      <c r="AG46" s="352">
        <v>11.414999999999999</v>
      </c>
      <c r="AH46" s="352">
        <v>187.98500000000001</v>
      </c>
      <c r="AI46" s="352">
        <v>2200.5</v>
      </c>
    </row>
    <row r="47" spans="1:35">
      <c r="A47" s="355">
        <v>44775</v>
      </c>
      <c r="B47" s="360">
        <v>1.0225002518045998</v>
      </c>
      <c r="C47" s="359">
        <v>0.69270001678697335</v>
      </c>
      <c r="D47" s="359">
        <v>1.2863995798524388</v>
      </c>
      <c r="E47" s="359">
        <v>0.95225002437772843</v>
      </c>
      <c r="F47" s="359">
        <v>1.2202001007218399</v>
      </c>
      <c r="G47" s="359">
        <v>7.8497672874092732</v>
      </c>
      <c r="H47" s="359">
        <v>130.83681089391609</v>
      </c>
      <c r="I47" s="359">
        <v>4.4554973821989527</v>
      </c>
      <c r="J47" s="359">
        <v>0.62840020144367981</v>
      </c>
      <c r="K47" s="359">
        <v>1.3799497037636927</v>
      </c>
      <c r="L47" s="359">
        <v>3.7569374369323913</v>
      </c>
      <c r="M47" s="359">
        <v>36.109989682860089</v>
      </c>
      <c r="N47" s="359">
        <v>10.178173567161934</v>
      </c>
      <c r="O47" s="359">
        <v>6.7608057128070556</v>
      </c>
      <c r="P47" s="359">
        <v>6.7708570129574905</v>
      </c>
      <c r="Q47" s="359"/>
      <c r="R47" s="356">
        <v>14892.5</v>
      </c>
      <c r="S47" s="357">
        <v>15227.585000000001</v>
      </c>
      <c r="T47" s="358">
        <v>10316.035</v>
      </c>
      <c r="U47" s="358">
        <v>11576.885</v>
      </c>
      <c r="V47" s="358">
        <v>15639.275000000001</v>
      </c>
      <c r="W47" s="358">
        <v>18171.830000000002</v>
      </c>
      <c r="X47" s="358">
        <v>1897.19</v>
      </c>
      <c r="Y47" s="358">
        <v>113.825</v>
      </c>
      <c r="Z47" s="358">
        <v>3342.5</v>
      </c>
      <c r="AA47" s="358">
        <v>9358.4500000000007</v>
      </c>
      <c r="AB47" s="358">
        <v>10792.060000000001</v>
      </c>
      <c r="AC47" s="358">
        <v>3964</v>
      </c>
      <c r="AD47" s="358">
        <v>412.4205</v>
      </c>
      <c r="AE47" s="358">
        <v>1463.18</v>
      </c>
      <c r="AF47" s="358">
        <v>2202.7700000000004</v>
      </c>
      <c r="AG47" s="358">
        <v>11.395</v>
      </c>
      <c r="AH47" s="358">
        <v>189.505</v>
      </c>
      <c r="AI47" s="358">
        <v>2199.5</v>
      </c>
    </row>
    <row r="48" spans="1:35">
      <c r="A48" s="361">
        <v>44776</v>
      </c>
      <c r="B48" s="366">
        <v>1.0177002514668902</v>
      </c>
      <c r="C48" s="365">
        <v>0.69295020955574171</v>
      </c>
      <c r="D48" s="365">
        <v>1.2865502121244146</v>
      </c>
      <c r="E48" s="365">
        <v>0.95829974330740486</v>
      </c>
      <c r="F48" s="365">
        <v>1.219050125733445</v>
      </c>
      <c r="G48" s="365">
        <v>7.8498410292043035</v>
      </c>
      <c r="H48" s="365">
        <v>133.21868858316955</v>
      </c>
      <c r="I48" s="365">
        <v>4.4570005917761053</v>
      </c>
      <c r="J48" s="365">
        <v>0.62565029337803857</v>
      </c>
      <c r="K48" s="365">
        <v>1.3810498201278114</v>
      </c>
      <c r="L48" s="365">
        <v>3.7591378875724728</v>
      </c>
      <c r="M48" s="365">
        <v>36.255006716141231</v>
      </c>
      <c r="N48" s="365">
        <v>10.235212562972725</v>
      </c>
      <c r="O48" s="365">
        <v>6.753344971956353</v>
      </c>
      <c r="P48" s="365">
        <v>6.7645724654116579</v>
      </c>
      <c r="Q48" s="365"/>
      <c r="R48" s="362">
        <v>14912.5</v>
      </c>
      <c r="S48" s="363">
        <v>15176.455</v>
      </c>
      <c r="T48" s="364">
        <v>10333.619999999999</v>
      </c>
      <c r="U48" s="364">
        <v>11591.075000000001</v>
      </c>
      <c r="V48" s="364">
        <v>15561.415000000001</v>
      </c>
      <c r="W48" s="364">
        <v>18179.084999999999</v>
      </c>
      <c r="X48" s="364">
        <v>1899.72</v>
      </c>
      <c r="Y48" s="364">
        <v>111.94</v>
      </c>
      <c r="Z48" s="364">
        <v>3345.86</v>
      </c>
      <c r="AA48" s="364">
        <v>9330.01</v>
      </c>
      <c r="AB48" s="364">
        <v>10797.945</v>
      </c>
      <c r="AC48" s="364">
        <v>3967</v>
      </c>
      <c r="AD48" s="364">
        <v>411.32249999999999</v>
      </c>
      <c r="AE48" s="364">
        <v>1456.98</v>
      </c>
      <c r="AF48" s="364">
        <v>2208.165</v>
      </c>
      <c r="AG48" s="364">
        <v>11.365</v>
      </c>
      <c r="AH48" s="364">
        <v>188.685</v>
      </c>
      <c r="AI48" s="364">
        <v>2204.5</v>
      </c>
    </row>
    <row r="49" spans="1:35">
      <c r="A49" s="361">
        <v>44777</v>
      </c>
      <c r="B49" s="371">
        <v>1.0178998828059602</v>
      </c>
      <c r="C49" s="370">
        <v>0.69670015067805124</v>
      </c>
      <c r="D49" s="370">
        <v>1.2845001073104894</v>
      </c>
      <c r="E49" s="370">
        <v>0.96134996518667371</v>
      </c>
      <c r="F49" s="370">
        <v>1.2164500251130086</v>
      </c>
      <c r="G49" s="370">
        <v>7.8497495124297556</v>
      </c>
      <c r="H49" s="370">
        <v>134.15236726259994</v>
      </c>
      <c r="I49" s="370">
        <v>4.4559928739923098</v>
      </c>
      <c r="J49" s="370">
        <v>0.63010011719403991</v>
      </c>
      <c r="K49" s="370">
        <v>1.3798498035914444</v>
      </c>
      <c r="L49" s="370">
        <v>3.7575490689481632</v>
      </c>
      <c r="M49" s="370">
        <v>36.0249840773551</v>
      </c>
      <c r="N49" s="370">
        <v>10.203140373893079</v>
      </c>
      <c r="O49" s="370">
        <v>6.755595166463837</v>
      </c>
      <c r="P49" s="370">
        <v>6.764439411098528</v>
      </c>
      <c r="Q49" s="370"/>
      <c r="R49" s="367">
        <v>14932.5</v>
      </c>
      <c r="S49" s="368">
        <v>15199.79</v>
      </c>
      <c r="T49" s="369">
        <v>10403.475</v>
      </c>
      <c r="U49" s="369">
        <v>11625.145</v>
      </c>
      <c r="V49" s="369">
        <v>15532.845000000001</v>
      </c>
      <c r="W49" s="369">
        <v>18164.64</v>
      </c>
      <c r="X49" s="369">
        <v>1902.29</v>
      </c>
      <c r="Y49" s="369">
        <v>111.31</v>
      </c>
      <c r="Z49" s="369">
        <v>3351.105</v>
      </c>
      <c r="AA49" s="369">
        <v>9408.9700000000012</v>
      </c>
      <c r="AB49" s="369">
        <v>10821.83</v>
      </c>
      <c r="AC49" s="369">
        <v>3974</v>
      </c>
      <c r="AD49" s="369">
        <v>414.50400000000002</v>
      </c>
      <c r="AE49" s="369">
        <v>1463.52</v>
      </c>
      <c r="AF49" s="369">
        <v>2210.39</v>
      </c>
      <c r="AG49" s="369">
        <v>11.395</v>
      </c>
      <c r="AH49" s="369">
        <v>187.255</v>
      </c>
      <c r="AI49" s="369">
        <v>2207.5</v>
      </c>
    </row>
    <row r="50" spans="1:35">
      <c r="A50" s="361">
        <v>44778</v>
      </c>
      <c r="B50" s="376">
        <v>1.0233500083934868</v>
      </c>
      <c r="C50" s="375">
        <v>0.69650025180459973</v>
      </c>
      <c r="D50" s="375">
        <v>1.286800284793939</v>
      </c>
      <c r="E50" s="375">
        <v>0.95639991612836717</v>
      </c>
      <c r="F50" s="375">
        <v>1.2155000839348664</v>
      </c>
      <c r="G50" s="375">
        <v>7.8498914166438265</v>
      </c>
      <c r="H50" s="375">
        <v>133.30797117665489</v>
      </c>
      <c r="I50" s="375">
        <v>4.4559973071025167</v>
      </c>
      <c r="J50" s="375">
        <v>0.62979989927816016</v>
      </c>
      <c r="K50" s="375">
        <v>1.3758497148062401</v>
      </c>
      <c r="L50" s="375">
        <v>3.7578854403229878</v>
      </c>
      <c r="M50" s="375">
        <v>35.5649859519201</v>
      </c>
      <c r="N50" s="375">
        <v>10.129815360860857</v>
      </c>
      <c r="O50" s="375">
        <v>6.7471446111189133</v>
      </c>
      <c r="P50" s="375">
        <v>6.7524370890954435</v>
      </c>
      <c r="Q50" s="375"/>
      <c r="R50" s="372">
        <v>14892.5</v>
      </c>
      <c r="S50" s="373">
        <v>15240.240000000002</v>
      </c>
      <c r="T50" s="374">
        <v>10372.630000000001</v>
      </c>
      <c r="U50" s="374">
        <v>11573.28</v>
      </c>
      <c r="V50" s="374">
        <v>15571.415000000001</v>
      </c>
      <c r="W50" s="374">
        <v>18101.834999999999</v>
      </c>
      <c r="X50" s="374">
        <v>1897.1599999999999</v>
      </c>
      <c r="Y50" s="374">
        <v>111.715</v>
      </c>
      <c r="Z50" s="374">
        <v>3342.125</v>
      </c>
      <c r="AA50" s="374">
        <v>9379.2950000000001</v>
      </c>
      <c r="AB50" s="374">
        <v>10824.22</v>
      </c>
      <c r="AC50" s="374">
        <v>3963</v>
      </c>
      <c r="AD50" s="374">
        <v>418.7405</v>
      </c>
      <c r="AE50" s="374">
        <v>1470.165</v>
      </c>
      <c r="AF50" s="374">
        <v>2207.23</v>
      </c>
      <c r="AG50" s="374">
        <v>11.48</v>
      </c>
      <c r="AH50" s="374">
        <v>187.97</v>
      </c>
      <c r="AI50" s="374">
        <v>2205.5</v>
      </c>
    </row>
    <row r="51" spans="1:35">
      <c r="A51" s="377">
        <v>44781</v>
      </c>
      <c r="B51" s="382">
        <v>1.0209000168038986</v>
      </c>
      <c r="C51" s="381">
        <v>0.69700016803898501</v>
      </c>
      <c r="D51" s="381">
        <v>1.2894002674568459</v>
      </c>
      <c r="E51" s="381">
        <v>0.95730001180739721</v>
      </c>
      <c r="F51" s="381">
        <v>1.2116998823727105</v>
      </c>
      <c r="G51" s="381">
        <v>7.8498464590610251</v>
      </c>
      <c r="H51" s="381">
        <v>134.99228745122946</v>
      </c>
      <c r="I51" s="381">
        <v>4.4599964326024164</v>
      </c>
      <c r="J51" s="381">
        <v>0.62690001680389851</v>
      </c>
      <c r="K51" s="381">
        <v>1.378550212724359</v>
      </c>
      <c r="L51" s="381">
        <v>3.7578934074261179</v>
      </c>
      <c r="M51" s="381">
        <v>35.775002825449725</v>
      </c>
      <c r="N51" s="381">
        <v>10.16479574755915</v>
      </c>
      <c r="O51" s="381">
        <v>6.7575546986069286</v>
      </c>
      <c r="P51" s="381">
        <v>6.7609634174051356</v>
      </c>
      <c r="Q51" s="381"/>
      <c r="R51" s="378">
        <v>14877.5</v>
      </c>
      <c r="S51" s="379">
        <v>15188.44</v>
      </c>
      <c r="T51" s="380">
        <v>10369.619999999999</v>
      </c>
      <c r="U51" s="380">
        <v>11538.310000000001</v>
      </c>
      <c r="V51" s="380">
        <v>15541.105</v>
      </c>
      <c r="W51" s="380">
        <v>18027.065000000002</v>
      </c>
      <c r="X51" s="380">
        <v>1895.2600000000002</v>
      </c>
      <c r="Y51" s="380">
        <v>110.21000000000001</v>
      </c>
      <c r="Z51" s="380">
        <v>3335.7650000000003</v>
      </c>
      <c r="AA51" s="380">
        <v>9326.7049999999999</v>
      </c>
      <c r="AB51" s="380">
        <v>10792.135</v>
      </c>
      <c r="AC51" s="380">
        <v>3959</v>
      </c>
      <c r="AD51" s="380">
        <v>415.863</v>
      </c>
      <c r="AE51" s="380">
        <v>1463.63</v>
      </c>
      <c r="AF51" s="380">
        <v>2201.61</v>
      </c>
      <c r="AG51" s="380">
        <v>11.41</v>
      </c>
      <c r="AH51" s="380">
        <v>187.01999999999998</v>
      </c>
      <c r="AI51" s="380">
        <v>2200.5</v>
      </c>
    </row>
    <row r="52" spans="1:35">
      <c r="A52" s="383">
        <v>44782</v>
      </c>
      <c r="B52" s="388">
        <v>1.021449924255176</v>
      </c>
      <c r="C52" s="387">
        <v>0.69784985692644341</v>
      </c>
      <c r="D52" s="387">
        <v>1.2863996313807888</v>
      </c>
      <c r="E52" s="387">
        <v>0.95355002775101827</v>
      </c>
      <c r="F52" s="387">
        <v>1.2088503618919375</v>
      </c>
      <c r="G52" s="387">
        <v>7.8497436710533277</v>
      </c>
      <c r="H52" s="387">
        <v>134.88783943329398</v>
      </c>
      <c r="I52" s="387">
        <v>4.4574995685806682</v>
      </c>
      <c r="J52" s="387">
        <v>0.62835010940919034</v>
      </c>
      <c r="K52" s="387">
        <v>1.3786001163955257</v>
      </c>
      <c r="L52" s="387">
        <v>3.7582236842105261</v>
      </c>
      <c r="M52" s="387">
        <v>35.444998502492069</v>
      </c>
      <c r="N52" s="387">
        <v>10.148651003249073</v>
      </c>
      <c r="O52" s="387">
        <v>6.7554506400678607</v>
      </c>
      <c r="P52" s="387">
        <v>6.7603550295857993</v>
      </c>
      <c r="Q52" s="387"/>
      <c r="R52" s="384">
        <v>14852.5</v>
      </c>
      <c r="S52" s="385">
        <v>15171.085000000001</v>
      </c>
      <c r="T52" s="386">
        <v>10364.815000000001</v>
      </c>
      <c r="U52" s="386">
        <v>11545.79</v>
      </c>
      <c r="V52" s="386">
        <v>15576.005000000001</v>
      </c>
      <c r="W52" s="386">
        <v>17954.45</v>
      </c>
      <c r="X52" s="386">
        <v>1892.1</v>
      </c>
      <c r="Y52" s="386">
        <v>110.11</v>
      </c>
      <c r="Z52" s="386">
        <v>3332.0250000000001</v>
      </c>
      <c r="AA52" s="386">
        <v>9332.57</v>
      </c>
      <c r="AB52" s="386">
        <v>10773.61</v>
      </c>
      <c r="AC52" s="386">
        <v>3952</v>
      </c>
      <c r="AD52" s="386">
        <v>419.02949999999998</v>
      </c>
      <c r="AE52" s="386">
        <v>1463.4949999999999</v>
      </c>
      <c r="AF52" s="386">
        <v>2198.5950000000003</v>
      </c>
      <c r="AG52" s="386">
        <v>11.365</v>
      </c>
      <c r="AH52" s="386">
        <v>186.54500000000002</v>
      </c>
      <c r="AI52" s="386">
        <v>2197</v>
      </c>
    </row>
    <row r="53" spans="1:35">
      <c r="A53" s="389">
        <v>44783</v>
      </c>
      <c r="B53" s="394">
        <v>1.0211000537923614</v>
      </c>
      <c r="C53" s="393">
        <v>0.69650013448090364</v>
      </c>
      <c r="D53" s="393">
        <v>1.2877500524945178</v>
      </c>
      <c r="E53" s="393">
        <v>0.95129992973352784</v>
      </c>
      <c r="F53" s="393">
        <v>1.2088000941366326</v>
      </c>
      <c r="G53" s="393">
        <v>7.8477519240764826</v>
      </c>
      <c r="H53" s="393">
        <v>134.9546279491833</v>
      </c>
      <c r="I53" s="393">
        <v>4.4569981494107331</v>
      </c>
      <c r="J53" s="393">
        <v>0.62970010758472306</v>
      </c>
      <c r="K53" s="393">
        <v>1.3777501503092804</v>
      </c>
      <c r="L53" s="393">
        <v>3.7593528816986854</v>
      </c>
      <c r="M53" s="393">
        <v>35.534996188924225</v>
      </c>
      <c r="N53" s="393">
        <v>10.173201630776807</v>
      </c>
      <c r="O53" s="393">
        <v>6.7576501807326075</v>
      </c>
      <c r="P53" s="393">
        <v>6.7615367128892929</v>
      </c>
      <c r="Q53" s="393"/>
      <c r="R53" s="390">
        <v>14872</v>
      </c>
      <c r="S53" s="391">
        <v>15185.8</v>
      </c>
      <c r="T53" s="392">
        <v>10358.349999999999</v>
      </c>
      <c r="U53" s="392">
        <v>11548.825000000001</v>
      </c>
      <c r="V53" s="392">
        <v>15633.345000000001</v>
      </c>
      <c r="W53" s="392">
        <v>17977.275000000001</v>
      </c>
      <c r="X53" s="392">
        <v>1895.0650000000001</v>
      </c>
      <c r="Y53" s="392">
        <v>110.2</v>
      </c>
      <c r="Z53" s="392">
        <v>3336.7750000000001</v>
      </c>
      <c r="AA53" s="392">
        <v>9364.9000000000015</v>
      </c>
      <c r="AB53" s="392">
        <v>10794.41</v>
      </c>
      <c r="AC53" s="392">
        <v>3956</v>
      </c>
      <c r="AD53" s="392">
        <v>418.517</v>
      </c>
      <c r="AE53" s="392">
        <v>1461.88</v>
      </c>
      <c r="AF53" s="392">
        <v>2200.7650000000003</v>
      </c>
      <c r="AG53" s="392">
        <v>11.344999999999999</v>
      </c>
      <c r="AH53" s="392">
        <v>187.13</v>
      </c>
      <c r="AI53" s="392">
        <v>2199.5</v>
      </c>
    </row>
    <row r="54" spans="1:35">
      <c r="A54" s="395">
        <v>44784</v>
      </c>
      <c r="B54" s="400">
        <v>1.032500084645336</v>
      </c>
      <c r="C54" s="399">
        <v>0.70990011850347046</v>
      </c>
      <c r="D54" s="399">
        <v>1.2765002930310474</v>
      </c>
      <c r="E54" s="399">
        <v>0.94029994724641897</v>
      </c>
      <c r="F54" s="399">
        <v>1.222550194684273</v>
      </c>
      <c r="G54" s="399">
        <v>7.8461636550078895</v>
      </c>
      <c r="H54" s="399">
        <v>132.44394618834082</v>
      </c>
      <c r="I54" s="399">
        <v>4.4445012933972778</v>
      </c>
      <c r="J54" s="399">
        <v>0.64240020314880653</v>
      </c>
      <c r="K54" s="399">
        <v>1.3694501566046353</v>
      </c>
      <c r="L54" s="399">
        <v>3.7552447552447599</v>
      </c>
      <c r="M54" s="399">
        <v>35.180021416515494</v>
      </c>
      <c r="N54" s="399">
        <v>10.029611719720997</v>
      </c>
      <c r="O54" s="399">
        <v>6.7385967474035793</v>
      </c>
      <c r="P54" s="399">
        <v>6.7385352498288844</v>
      </c>
      <c r="Q54" s="399"/>
      <c r="R54" s="396">
        <v>14767.5</v>
      </c>
      <c r="S54" s="397">
        <v>15247.445</v>
      </c>
      <c r="T54" s="398">
        <v>10483.450000000001</v>
      </c>
      <c r="U54" s="398">
        <v>11568.74</v>
      </c>
      <c r="V54" s="398">
        <v>15705.095000000001</v>
      </c>
      <c r="W54" s="398">
        <v>18054.010000000002</v>
      </c>
      <c r="X54" s="398">
        <v>1882.13</v>
      </c>
      <c r="Y54" s="398">
        <v>111.5</v>
      </c>
      <c r="Z54" s="398">
        <v>3322.6450000000004</v>
      </c>
      <c r="AA54" s="398">
        <v>9486.6450000000004</v>
      </c>
      <c r="AB54" s="398">
        <v>10783.525</v>
      </c>
      <c r="AC54" s="398">
        <v>3932.5</v>
      </c>
      <c r="AD54" s="398">
        <v>419.76949999999999</v>
      </c>
      <c r="AE54" s="398">
        <v>1472.39</v>
      </c>
      <c r="AF54" s="398">
        <v>2191.4800000000005</v>
      </c>
      <c r="AG54" s="398">
        <v>11.344999999999999</v>
      </c>
      <c r="AH54" s="398">
        <v>185.88499999999999</v>
      </c>
      <c r="AI54" s="398">
        <v>2191.5</v>
      </c>
    </row>
    <row r="55" spans="1:35">
      <c r="A55" s="395">
        <v>44785</v>
      </c>
      <c r="B55" s="405">
        <v>1.0297501278336458</v>
      </c>
      <c r="C55" s="404">
        <v>0.71270018748934727</v>
      </c>
      <c r="D55" s="404">
        <v>1.2741495534938669</v>
      </c>
      <c r="E55" s="404">
        <v>0.94199996853042534</v>
      </c>
      <c r="F55" s="404">
        <v>1.2180998806885974</v>
      </c>
      <c r="G55" s="404">
        <v>7.8354541278032412</v>
      </c>
      <c r="H55" s="404">
        <v>133.2621632671603</v>
      </c>
      <c r="I55" s="404">
        <v>4.4434985715973569</v>
      </c>
      <c r="J55" s="404">
        <v>0.64549991477756941</v>
      </c>
      <c r="K55" s="404">
        <v>1.3701496538778248</v>
      </c>
      <c r="L55" s="404">
        <v>3.7560819462227912</v>
      </c>
      <c r="M55" s="404">
        <v>35.320011221493253</v>
      </c>
      <c r="N55" s="404">
        <v>10.107884046185811</v>
      </c>
      <c r="O55" s="404">
        <v>6.7350541949733334</v>
      </c>
      <c r="P55" s="404">
        <v>6.7343893480257115</v>
      </c>
      <c r="Q55" s="404"/>
      <c r="R55" s="401">
        <v>14667.5</v>
      </c>
      <c r="S55" s="402">
        <v>15103.86</v>
      </c>
      <c r="T55" s="403">
        <v>10453.530000000001</v>
      </c>
      <c r="U55" s="403">
        <v>11511.6</v>
      </c>
      <c r="V55" s="403">
        <v>15570.595000000001</v>
      </c>
      <c r="W55" s="403">
        <v>17866.480000000003</v>
      </c>
      <c r="X55" s="403">
        <v>1871.94</v>
      </c>
      <c r="Y55" s="403">
        <v>110.065</v>
      </c>
      <c r="Z55" s="403">
        <v>3300.8900000000003</v>
      </c>
      <c r="AA55" s="403">
        <v>9467.869999999999</v>
      </c>
      <c r="AB55" s="403">
        <v>10705.035</v>
      </c>
      <c r="AC55" s="403">
        <v>3905</v>
      </c>
      <c r="AD55" s="403">
        <v>415.27449999999999</v>
      </c>
      <c r="AE55" s="403">
        <v>1451.095</v>
      </c>
      <c r="AF55" s="403">
        <v>2177.7849999999999</v>
      </c>
      <c r="AG55" s="403">
        <v>11.254999999999999</v>
      </c>
      <c r="AH55" s="403">
        <v>184.04000000000002</v>
      </c>
      <c r="AI55" s="403">
        <v>2178</v>
      </c>
    </row>
    <row r="56" spans="1:35">
      <c r="A56" s="406">
        <v>44788</v>
      </c>
      <c r="B56" s="411">
        <v>1.0234000339155502</v>
      </c>
      <c r="C56" s="410">
        <v>0.70630015261997636</v>
      </c>
      <c r="D56" s="410">
        <v>1.2844998314053131</v>
      </c>
      <c r="E56" s="410">
        <v>0.94389997637448941</v>
      </c>
      <c r="F56" s="410">
        <v>1.2104002034933017</v>
      </c>
      <c r="G56" s="410">
        <v>7.8358367615949653</v>
      </c>
      <c r="H56" s="410">
        <v>133.51295055243614</v>
      </c>
      <c r="I56" s="410">
        <v>4.4559939428103359</v>
      </c>
      <c r="J56" s="410">
        <v>0.63890011870442598</v>
      </c>
      <c r="K56" s="410">
        <v>1.3748997444649618</v>
      </c>
      <c r="L56" s="410">
        <v>3.7550942435048396</v>
      </c>
      <c r="M56" s="410">
        <v>35.47498703601881</v>
      </c>
      <c r="N56" s="410">
        <v>10.24257730132318</v>
      </c>
      <c r="O56" s="410">
        <v>6.7679079279895511</v>
      </c>
      <c r="P56" s="410">
        <v>6.7781609195402295</v>
      </c>
      <c r="Q56" s="410"/>
      <c r="R56" s="407">
        <v>14742.5</v>
      </c>
      <c r="S56" s="408">
        <v>15087.475</v>
      </c>
      <c r="T56" s="409">
        <v>10412.630000000001</v>
      </c>
      <c r="U56" s="409">
        <v>11477.23</v>
      </c>
      <c r="V56" s="409">
        <v>15618.71</v>
      </c>
      <c r="W56" s="409">
        <v>17844.325000000001</v>
      </c>
      <c r="X56" s="409">
        <v>1881.42</v>
      </c>
      <c r="Y56" s="409">
        <v>110.42</v>
      </c>
      <c r="Z56" s="409">
        <v>3308.4650000000001</v>
      </c>
      <c r="AA56" s="409">
        <v>9418.9850000000006</v>
      </c>
      <c r="AB56" s="409">
        <v>10722.6</v>
      </c>
      <c r="AC56" s="409">
        <v>3926</v>
      </c>
      <c r="AD56" s="409">
        <v>415.57450000000006</v>
      </c>
      <c r="AE56" s="409">
        <v>1439.335</v>
      </c>
      <c r="AF56" s="409">
        <v>2178.2950000000001</v>
      </c>
      <c r="AG56" s="409">
        <v>11.254999999999999</v>
      </c>
      <c r="AH56" s="409">
        <v>185.20500000000001</v>
      </c>
      <c r="AI56" s="409">
        <v>2175</v>
      </c>
    </row>
    <row r="57" spans="1:35" s="31" customFormat="1">
      <c r="A57" s="412">
        <v>44789</v>
      </c>
      <c r="B57" s="417">
        <v>1.016</v>
      </c>
      <c r="C57" s="416">
        <v>0.70145014389707128</v>
      </c>
      <c r="D57" s="416">
        <v>1.2906995342381704</v>
      </c>
      <c r="E57" s="416">
        <v>0.94654997197365998</v>
      </c>
      <c r="F57" s="416">
        <v>1.2056001354325376</v>
      </c>
      <c r="G57" s="416">
        <v>7.84189299340734</v>
      </c>
      <c r="H57" s="416">
        <v>133.67277664630006</v>
      </c>
      <c r="I57" s="416">
        <v>4.4670000090746571</v>
      </c>
      <c r="J57" s="416">
        <v>0.63435009310986956</v>
      </c>
      <c r="K57" s="416">
        <v>1.3789500370474641</v>
      </c>
      <c r="L57" s="416">
        <v>3.7542900724545571</v>
      </c>
      <c r="M57" s="416">
        <v>35.404966405140222</v>
      </c>
      <c r="N57" s="416">
        <v>10.357706470278801</v>
      </c>
      <c r="O57" s="416">
        <v>6.789701997944813</v>
      </c>
      <c r="P57" s="416">
        <v>6.8052995391705071</v>
      </c>
      <c r="Q57" s="416"/>
      <c r="R57" s="413">
        <v>14767.5</v>
      </c>
      <c r="S57" s="414">
        <v>15003.78</v>
      </c>
      <c r="T57" s="415">
        <v>10358.665000000001</v>
      </c>
      <c r="U57" s="415">
        <v>11441.470000000001</v>
      </c>
      <c r="V57" s="415">
        <v>15601.395</v>
      </c>
      <c r="W57" s="415">
        <v>17803.7</v>
      </c>
      <c r="X57" s="415">
        <v>1883.155</v>
      </c>
      <c r="Y57" s="415">
        <v>110.47499999999999</v>
      </c>
      <c r="Z57" s="415">
        <v>3305.91</v>
      </c>
      <c r="AA57" s="415">
        <v>9367.7649999999994</v>
      </c>
      <c r="AB57" s="415">
        <v>10709.235000000001</v>
      </c>
      <c r="AC57" s="415">
        <v>3933.5</v>
      </c>
      <c r="AD57" s="415">
        <v>417.10250000000002</v>
      </c>
      <c r="AE57" s="415">
        <v>1425.75</v>
      </c>
      <c r="AF57" s="415">
        <v>2174.9850000000001</v>
      </c>
      <c r="AG57" s="415">
        <v>11.27</v>
      </c>
      <c r="AH57" s="415">
        <v>186.11500000000001</v>
      </c>
      <c r="AI57" s="415">
        <v>2170</v>
      </c>
    </row>
    <row r="58" spans="1:35">
      <c r="A58" s="418">
        <v>44791</v>
      </c>
      <c r="B58" s="423">
        <v>1.0161001179841564</v>
      </c>
      <c r="C58" s="422">
        <v>0.69219989887072308</v>
      </c>
      <c r="D58" s="422">
        <v>1.2926996134756255</v>
      </c>
      <c r="E58" s="422">
        <v>0.95360003703176277</v>
      </c>
      <c r="F58" s="422">
        <v>1.2027001516939155</v>
      </c>
      <c r="G58" s="422">
        <v>7.8439616170750597</v>
      </c>
      <c r="H58" s="422">
        <v>135.29599562163642</v>
      </c>
      <c r="I58" s="422">
        <v>4.4739945766106528</v>
      </c>
      <c r="J58" s="422">
        <v>0.625599865160964</v>
      </c>
      <c r="K58" s="422">
        <v>1.3837500676365277</v>
      </c>
      <c r="L58" s="422">
        <v>3.7550632911392405</v>
      </c>
      <c r="M58" s="422">
        <v>35.699973404031276</v>
      </c>
      <c r="N58" s="422">
        <v>10.426588591733944</v>
      </c>
      <c r="O58" s="422">
        <v>6.7933506917011881</v>
      </c>
      <c r="P58" s="422">
        <v>6.8085838879963276</v>
      </c>
      <c r="Q58" s="422"/>
      <c r="R58" s="419">
        <v>14832.5</v>
      </c>
      <c r="S58" s="420">
        <v>15071.305</v>
      </c>
      <c r="T58" s="421">
        <v>10267.055</v>
      </c>
      <c r="U58" s="421">
        <v>11474.05</v>
      </c>
      <c r="V58" s="421">
        <v>15554.215</v>
      </c>
      <c r="W58" s="421">
        <v>17839.050000000003</v>
      </c>
      <c r="X58" s="421">
        <v>1890.9450000000002</v>
      </c>
      <c r="Y58" s="421">
        <v>109.63</v>
      </c>
      <c r="Z58" s="421">
        <v>3315.27</v>
      </c>
      <c r="AA58" s="421">
        <v>9279.2099999999991</v>
      </c>
      <c r="AB58" s="421">
        <v>10719.060000000001</v>
      </c>
      <c r="AC58" s="421">
        <v>3950</v>
      </c>
      <c r="AD58" s="421">
        <v>415.47649999999999</v>
      </c>
      <c r="AE58" s="421">
        <v>1422.5650000000001</v>
      </c>
      <c r="AF58" s="421">
        <v>2183.3850000000002</v>
      </c>
      <c r="AG58" s="421">
        <v>11.200000000000001</v>
      </c>
      <c r="AH58" s="421">
        <v>186.18</v>
      </c>
      <c r="AI58" s="421">
        <v>2178.5</v>
      </c>
    </row>
    <row r="59" spans="1:35">
      <c r="A59" s="424">
        <v>44792</v>
      </c>
      <c r="B59" s="429">
        <v>1.0090001684919967</v>
      </c>
      <c r="C59" s="428">
        <v>0.69099983150800326</v>
      </c>
      <c r="D59" s="428">
        <v>1.2966000459654001</v>
      </c>
      <c r="E59" s="428">
        <v>0.9566997839002982</v>
      </c>
      <c r="F59" s="428">
        <v>1.1911501263689976</v>
      </c>
      <c r="G59" s="428">
        <v>7.8461078810088489</v>
      </c>
      <c r="H59" s="428">
        <v>136.66298240766326</v>
      </c>
      <c r="I59" s="428">
        <v>4.4765019474857679</v>
      </c>
      <c r="J59" s="428">
        <v>0.62300016849199658</v>
      </c>
      <c r="K59" s="428">
        <v>1.3881001808389317</v>
      </c>
      <c r="L59" s="428">
        <v>3.7553783852189317</v>
      </c>
      <c r="M59" s="428">
        <v>35.684995586725059</v>
      </c>
      <c r="N59" s="428">
        <v>10.516337089800835</v>
      </c>
      <c r="O59" s="428">
        <v>6.8119578266927752</v>
      </c>
      <c r="P59" s="428">
        <v>6.8234076799264196</v>
      </c>
      <c r="Q59" s="428"/>
      <c r="R59" s="425">
        <v>14837.5</v>
      </c>
      <c r="S59" s="426">
        <v>14971.04</v>
      </c>
      <c r="T59" s="427">
        <v>10252.709999999999</v>
      </c>
      <c r="U59" s="427">
        <v>11443.39</v>
      </c>
      <c r="V59" s="427">
        <v>15509.045</v>
      </c>
      <c r="W59" s="427">
        <v>17673.690000000002</v>
      </c>
      <c r="X59" s="427">
        <v>1891.0650000000001</v>
      </c>
      <c r="Y59" s="427">
        <v>108.57</v>
      </c>
      <c r="Z59" s="427">
        <v>3314.5299999999997</v>
      </c>
      <c r="AA59" s="427">
        <v>9243.7649999999994</v>
      </c>
      <c r="AB59" s="427">
        <v>10689.07</v>
      </c>
      <c r="AC59" s="427">
        <v>3951</v>
      </c>
      <c r="AD59" s="427">
        <v>415.791</v>
      </c>
      <c r="AE59" s="427">
        <v>1410.9</v>
      </c>
      <c r="AF59" s="427">
        <v>2178.1549999999997</v>
      </c>
      <c r="AG59" s="427">
        <v>11.17</v>
      </c>
      <c r="AH59" s="427">
        <v>185.95500000000001</v>
      </c>
      <c r="AI59" s="427">
        <v>2174.5</v>
      </c>
    </row>
    <row r="60" spans="1:35">
      <c r="A60" s="430">
        <v>44795</v>
      </c>
      <c r="B60" s="435">
        <v>1.0004</v>
      </c>
      <c r="C60" s="434">
        <v>0.68879999999999997</v>
      </c>
      <c r="D60" s="434">
        <v>1.3009500540041734</v>
      </c>
      <c r="E60" s="434">
        <v>0.95970001276376848</v>
      </c>
      <c r="F60" s="434">
        <v>1.1793998320738877</v>
      </c>
      <c r="G60" s="434">
        <v>7.8466354997338339</v>
      </c>
      <c r="H60" s="434">
        <v>136.84621748322456</v>
      </c>
      <c r="I60" s="434">
        <v>4.4849972886666265</v>
      </c>
      <c r="J60" s="434">
        <v>0.61900016792611245</v>
      </c>
      <c r="K60" s="434">
        <v>1.3952494509207241</v>
      </c>
      <c r="L60" s="434">
        <v>3.7556760847628659</v>
      </c>
      <c r="M60" s="434">
        <v>36.085004272028215</v>
      </c>
      <c r="N60" s="434">
        <v>10.642708806193681</v>
      </c>
      <c r="O60" s="434">
        <v>6.8356034500570493</v>
      </c>
      <c r="P60" s="434">
        <v>6.8558600046051117</v>
      </c>
      <c r="Q60" s="434"/>
      <c r="R60" s="431">
        <v>14887.5</v>
      </c>
      <c r="S60" s="432">
        <v>14893.455</v>
      </c>
      <c r="T60" s="433">
        <v>10254.51</v>
      </c>
      <c r="U60" s="433">
        <v>11443.560000000001</v>
      </c>
      <c r="V60" s="433">
        <v>15512.66</v>
      </c>
      <c r="W60" s="433">
        <v>17558.315000000002</v>
      </c>
      <c r="X60" s="433">
        <v>1897.31</v>
      </c>
      <c r="Y60" s="433">
        <v>108.79</v>
      </c>
      <c r="Z60" s="433">
        <v>3319.4</v>
      </c>
      <c r="AA60" s="433">
        <v>9215.3649999999998</v>
      </c>
      <c r="AB60" s="433">
        <v>10670.135</v>
      </c>
      <c r="AC60" s="433">
        <v>3964</v>
      </c>
      <c r="AD60" s="433">
        <v>412.5675</v>
      </c>
      <c r="AE60" s="433">
        <v>1398.845</v>
      </c>
      <c r="AF60" s="433">
        <v>2177.9349999999999</v>
      </c>
      <c r="AG60" s="433">
        <v>11.065000000000001</v>
      </c>
      <c r="AH60" s="433">
        <v>186.36500000000001</v>
      </c>
      <c r="AI60" s="433">
        <v>2171.5</v>
      </c>
    </row>
    <row r="61" spans="1:35">
      <c r="A61" s="436">
        <v>44796</v>
      </c>
      <c r="B61" s="441">
        <v>0.99330008424599836</v>
      </c>
      <c r="C61" s="440">
        <v>0.68819983150800346</v>
      </c>
      <c r="D61" s="440">
        <v>1.3018502725221193</v>
      </c>
      <c r="E61" s="440">
        <v>0.96519979066467221</v>
      </c>
      <c r="F61" s="440">
        <v>1.1765000842459983</v>
      </c>
      <c r="G61" s="440">
        <v>7.84664729353468</v>
      </c>
      <c r="H61" s="440">
        <v>137.26986770284023</v>
      </c>
      <c r="I61" s="440">
        <v>4.4874955011628925</v>
      </c>
      <c r="J61" s="440">
        <v>0.61820016849199666</v>
      </c>
      <c r="K61" s="440">
        <v>1.3966999756665917</v>
      </c>
      <c r="L61" s="440">
        <v>3.7553783852189317</v>
      </c>
      <c r="M61" s="440">
        <v>36.179979395395051</v>
      </c>
      <c r="N61" s="440">
        <v>10.698011449666172</v>
      </c>
      <c r="O61" s="440">
        <v>6.8591940938120484</v>
      </c>
      <c r="P61" s="440">
        <v>6.873986564744035</v>
      </c>
      <c r="Q61" s="440"/>
      <c r="R61" s="437">
        <v>14837.5</v>
      </c>
      <c r="S61" s="438">
        <v>14738.09</v>
      </c>
      <c r="T61" s="439">
        <v>10211.165000000001</v>
      </c>
      <c r="U61" s="439">
        <v>11397.240000000002</v>
      </c>
      <c r="V61" s="439">
        <v>15372.465</v>
      </c>
      <c r="W61" s="439">
        <v>17456.32</v>
      </c>
      <c r="X61" s="439">
        <v>1890.9349999999999</v>
      </c>
      <c r="Y61" s="439">
        <v>108.09</v>
      </c>
      <c r="Z61" s="439">
        <v>3306.41</v>
      </c>
      <c r="AA61" s="439">
        <v>9172.5450000000001</v>
      </c>
      <c r="AB61" s="439">
        <v>10623.255000000001</v>
      </c>
      <c r="AC61" s="439">
        <v>3951</v>
      </c>
      <c r="AD61" s="439">
        <v>410.10250000000002</v>
      </c>
      <c r="AE61" s="439">
        <v>1386.94</v>
      </c>
      <c r="AF61" s="439">
        <v>2163.1549999999997</v>
      </c>
      <c r="AG61" s="439">
        <v>11.040000000000001</v>
      </c>
      <c r="AH61" s="439">
        <v>185.8</v>
      </c>
      <c r="AI61" s="439">
        <v>2158.5</v>
      </c>
    </row>
    <row r="62" spans="1:35">
      <c r="A62" s="442">
        <v>44797</v>
      </c>
      <c r="B62" s="447">
        <v>0.99535005893248019</v>
      </c>
      <c r="C62" s="446">
        <v>0.69230005051355448</v>
      </c>
      <c r="D62" s="446">
        <v>1.2973503383290461</v>
      </c>
      <c r="E62" s="446">
        <v>0.96289974363746855</v>
      </c>
      <c r="F62" s="446">
        <v>1.1827001178649603</v>
      </c>
      <c r="G62" s="446">
        <v>7.8455461763035181</v>
      </c>
      <c r="H62" s="446">
        <v>136.54129115320947</v>
      </c>
      <c r="I62" s="446">
        <v>4.4854937064120124</v>
      </c>
      <c r="J62" s="446">
        <v>0.61990031991917838</v>
      </c>
      <c r="K62" s="446">
        <v>1.3937499735987755</v>
      </c>
      <c r="L62" s="446">
        <v>3.7564832384566729</v>
      </c>
      <c r="M62" s="446">
        <v>36.124996502462871</v>
      </c>
      <c r="N62" s="446">
        <v>10.658497365436247</v>
      </c>
      <c r="O62" s="446">
        <v>6.8626431402456634</v>
      </c>
      <c r="P62" s="446">
        <v>6.8754341282704328</v>
      </c>
      <c r="Q62" s="446"/>
      <c r="R62" s="443">
        <v>14847.5</v>
      </c>
      <c r="S62" s="444">
        <v>14778.46</v>
      </c>
      <c r="T62" s="445">
        <v>10278.924999999999</v>
      </c>
      <c r="U62" s="445">
        <v>11444.48</v>
      </c>
      <c r="V62" s="445">
        <v>15419.57</v>
      </c>
      <c r="W62" s="445">
        <v>17560.14</v>
      </c>
      <c r="X62" s="445">
        <v>1892.4749999999999</v>
      </c>
      <c r="Y62" s="445">
        <v>108.74000000000001</v>
      </c>
      <c r="Z62" s="445">
        <v>3310.1150000000002</v>
      </c>
      <c r="AA62" s="445">
        <v>9203.9700000000012</v>
      </c>
      <c r="AB62" s="445">
        <v>10652.915000000001</v>
      </c>
      <c r="AC62" s="445">
        <v>3952.5</v>
      </c>
      <c r="AD62" s="445">
        <v>411.00350000000003</v>
      </c>
      <c r="AE62" s="445">
        <v>1393.02</v>
      </c>
      <c r="AF62" s="445">
        <v>2163.5250000000001</v>
      </c>
      <c r="AG62" s="445">
        <v>11.055</v>
      </c>
      <c r="AH62" s="445">
        <v>186.11500000000001</v>
      </c>
      <c r="AI62" s="445">
        <v>2159.5</v>
      </c>
    </row>
    <row r="63" spans="1:35">
      <c r="A63" s="448">
        <v>44798</v>
      </c>
      <c r="B63" s="453">
        <v>1.0000003373250128</v>
      </c>
      <c r="C63" s="452">
        <v>0.69795007589812796</v>
      </c>
      <c r="D63" s="452">
        <v>1.2906998209695506</v>
      </c>
      <c r="E63" s="452">
        <v>0.96240001038853107</v>
      </c>
      <c r="F63" s="452">
        <v>1.1842000337325014</v>
      </c>
      <c r="G63" s="452">
        <v>7.8457682606981125</v>
      </c>
      <c r="H63" s="452">
        <v>136.48710865561694</v>
      </c>
      <c r="I63" s="452">
        <v>4.4730020490257321</v>
      </c>
      <c r="J63" s="452">
        <v>0.62339989880249624</v>
      </c>
      <c r="K63" s="452">
        <v>1.3897998210067224</v>
      </c>
      <c r="L63" s="452">
        <v>3.759193507481613</v>
      </c>
      <c r="M63" s="452">
        <v>35.870028168468735</v>
      </c>
      <c r="N63" s="452">
        <v>10.572886760085169</v>
      </c>
      <c r="O63" s="452">
        <v>6.8513412635865478</v>
      </c>
      <c r="P63" s="452">
        <v>6.8575063613231553</v>
      </c>
      <c r="Q63" s="452"/>
      <c r="R63" s="449">
        <v>14822.5</v>
      </c>
      <c r="S63" s="450">
        <v>14822.505000000001</v>
      </c>
      <c r="T63" s="451">
        <v>10345.365000000002</v>
      </c>
      <c r="U63" s="451">
        <v>11484.080000000002</v>
      </c>
      <c r="V63" s="451">
        <v>15401.6</v>
      </c>
      <c r="W63" s="451">
        <v>17552.805</v>
      </c>
      <c r="X63" s="451">
        <v>1889.2350000000001</v>
      </c>
      <c r="Y63" s="451">
        <v>108.6</v>
      </c>
      <c r="Z63" s="451">
        <v>3313.77</v>
      </c>
      <c r="AA63" s="451">
        <v>9240.3450000000012</v>
      </c>
      <c r="AB63" s="451">
        <v>10665.205</v>
      </c>
      <c r="AC63" s="451">
        <v>3943</v>
      </c>
      <c r="AD63" s="451">
        <v>413.22800000000001</v>
      </c>
      <c r="AE63" s="451">
        <v>1401.9349999999999</v>
      </c>
      <c r="AF63" s="451">
        <v>2163.4450000000002</v>
      </c>
      <c r="AG63" s="451">
        <v>11.1</v>
      </c>
      <c r="AH63" s="451">
        <v>185.595</v>
      </c>
      <c r="AI63" s="451">
        <v>2161.5</v>
      </c>
    </row>
    <row r="64" spans="1:35">
      <c r="A64" s="454">
        <v>44799</v>
      </c>
      <c r="B64" s="459">
        <v>0.99740003374388397</v>
      </c>
      <c r="C64" s="458">
        <v>0.69609988189640626</v>
      </c>
      <c r="D64" s="458">
        <v>1.2946995737779974</v>
      </c>
      <c r="E64" s="458">
        <v>0.96459997825703436</v>
      </c>
      <c r="F64" s="458">
        <v>1.1793500927956808</v>
      </c>
      <c r="G64" s="458">
        <v>7.8466520333512495</v>
      </c>
      <c r="H64" s="458">
        <v>137.021453671167</v>
      </c>
      <c r="I64" s="458">
        <v>4.4745043091733754</v>
      </c>
      <c r="J64" s="458">
        <v>0.61949991564029028</v>
      </c>
      <c r="K64" s="458">
        <v>1.3912498902633164</v>
      </c>
      <c r="L64" s="458">
        <v>3.7555442909643899</v>
      </c>
      <c r="M64" s="458">
        <v>36.009993122437614</v>
      </c>
      <c r="N64" s="458">
        <v>10.602824319054314</v>
      </c>
      <c r="O64" s="458">
        <v>6.8614467036808939</v>
      </c>
      <c r="P64" s="458">
        <v>6.8679026651216688</v>
      </c>
      <c r="Q64" s="458"/>
      <c r="R64" s="455">
        <v>14817.5</v>
      </c>
      <c r="S64" s="456">
        <v>14778.975</v>
      </c>
      <c r="T64" s="457">
        <v>10314.459999999999</v>
      </c>
      <c r="U64" s="457">
        <v>11444.740000000002</v>
      </c>
      <c r="V64" s="457">
        <v>15361.29</v>
      </c>
      <c r="W64" s="457">
        <v>17475.02</v>
      </c>
      <c r="X64" s="457">
        <v>1888.385</v>
      </c>
      <c r="Y64" s="457">
        <v>108.14</v>
      </c>
      <c r="Z64" s="457">
        <v>3311.54</v>
      </c>
      <c r="AA64" s="457">
        <v>9179.44</v>
      </c>
      <c r="AB64" s="457">
        <v>10650.495000000001</v>
      </c>
      <c r="AC64" s="457">
        <v>3945.5</v>
      </c>
      <c r="AD64" s="457">
        <v>411.48300000000006</v>
      </c>
      <c r="AE64" s="457">
        <v>1397.5050000000001</v>
      </c>
      <c r="AF64" s="457">
        <v>2159.5299999999997</v>
      </c>
      <c r="AG64" s="457">
        <v>11.125</v>
      </c>
      <c r="AH64" s="457">
        <v>185.40500000000003</v>
      </c>
      <c r="AI64" s="457">
        <v>2157.5</v>
      </c>
    </row>
    <row r="65" spans="1:35">
      <c r="A65" s="460">
        <v>44802</v>
      </c>
      <c r="B65" s="465">
        <v>0.99430019467006781</v>
      </c>
      <c r="C65" s="464">
        <v>0.68559978519164944</v>
      </c>
      <c r="D65" s="464">
        <v>1.3066999401340733</v>
      </c>
      <c r="E65" s="464">
        <v>0.96935000777588287</v>
      </c>
      <c r="F65" s="464">
        <v>1.1673001275424582</v>
      </c>
      <c r="G65" s="464">
        <v>7.8485400883006866</v>
      </c>
      <c r="H65" s="464">
        <v>138.70577281191805</v>
      </c>
      <c r="I65" s="464">
        <v>4.490003209943894</v>
      </c>
      <c r="J65" s="464">
        <v>0.61100020138282873</v>
      </c>
      <c r="K65" s="464">
        <v>1.3988502703423462</v>
      </c>
      <c r="L65" s="464">
        <v>3.7552306528863122</v>
      </c>
      <c r="M65" s="464">
        <v>36.43500911058662</v>
      </c>
      <c r="N65" s="464">
        <v>10.701214365502107</v>
      </c>
      <c r="O65" s="464">
        <v>6.9194557146937994</v>
      </c>
      <c r="P65" s="464">
        <v>6.9272262264589628</v>
      </c>
      <c r="Q65" s="464"/>
      <c r="R65" s="461">
        <v>14897</v>
      </c>
      <c r="S65" s="462">
        <v>14812.09</v>
      </c>
      <c r="T65" s="463">
        <v>10213.380000000001</v>
      </c>
      <c r="U65" s="463">
        <v>11400.475</v>
      </c>
      <c r="V65" s="463">
        <v>15368.029999999999</v>
      </c>
      <c r="W65" s="463">
        <v>17389.27</v>
      </c>
      <c r="X65" s="463">
        <v>1898.06</v>
      </c>
      <c r="Y65" s="463">
        <v>107.4</v>
      </c>
      <c r="Z65" s="463">
        <v>3317.8150000000001</v>
      </c>
      <c r="AA65" s="463">
        <v>9102.07</v>
      </c>
      <c r="AB65" s="463">
        <v>10649.46</v>
      </c>
      <c r="AC65" s="463">
        <v>3967</v>
      </c>
      <c r="AD65" s="463">
        <v>408.86500000000001</v>
      </c>
      <c r="AE65" s="463">
        <v>1392.085</v>
      </c>
      <c r="AF65" s="463">
        <v>2152.915</v>
      </c>
      <c r="AG65" s="463">
        <v>11.045000000000002</v>
      </c>
      <c r="AH65" s="463">
        <v>186.11</v>
      </c>
      <c r="AI65" s="463">
        <v>2150.5</v>
      </c>
    </row>
    <row r="66" spans="1:35">
      <c r="A66" s="466">
        <v>44803</v>
      </c>
      <c r="B66" s="471">
        <v>1.0029001179046657</v>
      </c>
      <c r="C66" s="470">
        <v>0.69255010948290374</v>
      </c>
      <c r="D66" s="470">
        <v>1.2989001901203074</v>
      </c>
      <c r="E66" s="470">
        <v>0.97030002650878633</v>
      </c>
      <c r="F66" s="470">
        <v>1.1736503284487114</v>
      </c>
      <c r="G66" s="470">
        <v>7.8480048856705498</v>
      </c>
      <c r="H66" s="470">
        <v>138.46261486076776</v>
      </c>
      <c r="I66" s="470">
        <v>4.4814988148975683</v>
      </c>
      <c r="J66" s="470">
        <v>0.61640020212228397</v>
      </c>
      <c r="K66" s="470">
        <v>1.395949887820837</v>
      </c>
      <c r="L66" s="470">
        <v>3.7561685435910412</v>
      </c>
      <c r="M66" s="470">
        <v>36.404998712304234</v>
      </c>
      <c r="N66" s="470">
        <v>10.63909855278154</v>
      </c>
      <c r="O66" s="470">
        <v>6.9131990051141585</v>
      </c>
      <c r="P66" s="470">
        <v>6.9179678396644135</v>
      </c>
      <c r="Q66" s="470"/>
      <c r="R66" s="467">
        <v>14842.5</v>
      </c>
      <c r="S66" s="468">
        <v>14885.545000000002</v>
      </c>
      <c r="T66" s="469">
        <v>10279.174999999999</v>
      </c>
      <c r="U66" s="469">
        <v>11426.975</v>
      </c>
      <c r="V66" s="469">
        <v>15296.815000000001</v>
      </c>
      <c r="W66" s="469">
        <v>17419.904999999999</v>
      </c>
      <c r="X66" s="469">
        <v>1891.2450000000001</v>
      </c>
      <c r="Y66" s="469">
        <v>107.19499999999999</v>
      </c>
      <c r="Z66" s="469">
        <v>3311.95</v>
      </c>
      <c r="AA66" s="469">
        <v>9148.92</v>
      </c>
      <c r="AB66" s="469">
        <v>10632.545</v>
      </c>
      <c r="AC66" s="469">
        <v>3951.5</v>
      </c>
      <c r="AD66" s="469">
        <v>407.70500000000004</v>
      </c>
      <c r="AE66" s="469">
        <v>1395.0900000000001</v>
      </c>
      <c r="AF66" s="469">
        <v>2146.9800000000005</v>
      </c>
      <c r="AG66" s="469">
        <v>11.015000000000001</v>
      </c>
      <c r="AH66" s="469">
        <v>186.60000000000002</v>
      </c>
      <c r="AI66" s="469">
        <v>2145.5</v>
      </c>
    </row>
    <row r="67" spans="1:35">
      <c r="A67" s="472">
        <v>44804</v>
      </c>
      <c r="B67" s="477">
        <v>1.0001499073606199</v>
      </c>
      <c r="C67" s="476">
        <v>0.68789994946942901</v>
      </c>
      <c r="D67" s="476">
        <v>1.3089997980387711</v>
      </c>
      <c r="E67" s="476">
        <v>0.97639996710796806</v>
      </c>
      <c r="F67" s="476">
        <v>1.1642998147212398</v>
      </c>
      <c r="G67" s="476">
        <v>7.8478596506069955</v>
      </c>
      <c r="H67" s="476">
        <v>138.61131864026896</v>
      </c>
      <c r="I67" s="476">
        <v>4.4754989612198806</v>
      </c>
      <c r="J67" s="476">
        <v>0.61379989893885811</v>
      </c>
      <c r="K67" s="476">
        <v>1.3977502271903266</v>
      </c>
      <c r="L67" s="476">
        <v>3.7571193519807617</v>
      </c>
      <c r="M67" s="476">
        <v>36.45999656095703</v>
      </c>
      <c r="N67" s="476">
        <v>10.687322462998498</v>
      </c>
      <c r="O67" s="476">
        <v>6.8931966691590691</v>
      </c>
      <c r="P67" s="476">
        <v>6.9018832829574519</v>
      </c>
      <c r="Q67" s="476"/>
      <c r="R67" s="473">
        <v>14842.5</v>
      </c>
      <c r="S67" s="474">
        <v>14844.725</v>
      </c>
      <c r="T67" s="475">
        <v>10210.155000000001</v>
      </c>
      <c r="U67" s="475">
        <v>11338.810000000001</v>
      </c>
      <c r="V67" s="475">
        <v>15201.25</v>
      </c>
      <c r="W67" s="475">
        <v>17281.120000000003</v>
      </c>
      <c r="X67" s="475">
        <v>1891.2800000000002</v>
      </c>
      <c r="Y67" s="475">
        <v>107.08</v>
      </c>
      <c r="Z67" s="475">
        <v>3316.3900000000003</v>
      </c>
      <c r="AA67" s="475">
        <v>9110.3250000000007</v>
      </c>
      <c r="AB67" s="475">
        <v>10618.85</v>
      </c>
      <c r="AC67" s="475">
        <v>3950.5</v>
      </c>
      <c r="AD67" s="475">
        <v>407.09000000000003</v>
      </c>
      <c r="AE67" s="475">
        <v>1388.7950000000001</v>
      </c>
      <c r="AF67" s="475">
        <v>2153.21</v>
      </c>
      <c r="AG67" s="475">
        <v>11.07</v>
      </c>
      <c r="AH67" s="475">
        <v>186.595</v>
      </c>
      <c r="AI67" s="475">
        <v>2150.5</v>
      </c>
    </row>
    <row r="68" spans="1:35">
      <c r="A68" s="478">
        <v>44805</v>
      </c>
      <c r="B68" s="483">
        <v>1.0029998320174702</v>
      </c>
      <c r="C68" s="482">
        <v>0.6833999664034941</v>
      </c>
      <c r="D68" s="482">
        <v>1.3169998508889804</v>
      </c>
      <c r="E68" s="482">
        <v>0.9761999404408167</v>
      </c>
      <c r="F68" s="482">
        <v>1.160499916008735</v>
      </c>
      <c r="G68" s="482">
        <v>7.8489644588130432</v>
      </c>
      <c r="H68" s="482">
        <v>139.28404305100608</v>
      </c>
      <c r="I68" s="482">
        <v>4.4827482341601526</v>
      </c>
      <c r="J68" s="482">
        <v>0.61080026877204774</v>
      </c>
      <c r="K68" s="482">
        <v>1.3998501621832113</v>
      </c>
      <c r="L68" s="482">
        <v>3.7582070707070705</v>
      </c>
      <c r="M68" s="482">
        <v>36.669997129477792</v>
      </c>
      <c r="N68" s="482">
        <v>10.681322309304393</v>
      </c>
      <c r="O68" s="482">
        <v>6.9023010762163377</v>
      </c>
      <c r="P68" s="482">
        <v>6.9108428140236819</v>
      </c>
      <c r="Q68" s="482"/>
      <c r="R68" s="479">
        <v>14882.5</v>
      </c>
      <c r="S68" s="480">
        <v>14927.145</v>
      </c>
      <c r="T68" s="481">
        <v>10170.700000000001</v>
      </c>
      <c r="U68" s="481">
        <v>11300.305</v>
      </c>
      <c r="V68" s="481">
        <v>15245.34</v>
      </c>
      <c r="W68" s="481">
        <v>17271.14</v>
      </c>
      <c r="X68" s="481">
        <v>1896.1100000000001</v>
      </c>
      <c r="Y68" s="481">
        <v>106.85</v>
      </c>
      <c r="Z68" s="481">
        <v>3319.9500000000003</v>
      </c>
      <c r="AA68" s="481">
        <v>9090.2350000000006</v>
      </c>
      <c r="AB68" s="481">
        <v>10631.494999999999</v>
      </c>
      <c r="AC68" s="481">
        <v>3960</v>
      </c>
      <c r="AD68" s="481">
        <v>405.84950000000003</v>
      </c>
      <c r="AE68" s="481">
        <v>1393.3200000000002</v>
      </c>
      <c r="AF68" s="481">
        <v>2156.165</v>
      </c>
      <c r="AG68" s="481">
        <v>10.984999999999999</v>
      </c>
      <c r="AH68" s="481">
        <v>187.05</v>
      </c>
      <c r="AI68" s="481">
        <v>2153.5</v>
      </c>
    </row>
    <row r="69" spans="1:35">
      <c r="A69" s="484">
        <v>44806</v>
      </c>
      <c r="B69" s="489">
        <v>0.99890011411693624</v>
      </c>
      <c r="C69" s="488">
        <v>0.67949989930858568</v>
      </c>
      <c r="D69" s="488">
        <v>1.3146996696262192</v>
      </c>
      <c r="E69" s="488">
        <v>0.97919997055235364</v>
      </c>
      <c r="F69" s="488">
        <v>1.1557998254682151</v>
      </c>
      <c r="G69" s="488">
        <v>7.848788198103267</v>
      </c>
      <c r="H69" s="488">
        <v>140.24005648387856</v>
      </c>
      <c r="I69" s="488">
        <v>4.4839958341610826</v>
      </c>
      <c r="J69" s="488">
        <v>0.60769987245754187</v>
      </c>
      <c r="K69" s="488">
        <v>1.402549765237441</v>
      </c>
      <c r="L69" s="488">
        <v>3.758546738993314</v>
      </c>
      <c r="M69" s="488">
        <v>36.739988803144982</v>
      </c>
      <c r="N69" s="488">
        <v>10.76232859888165</v>
      </c>
      <c r="O69" s="488">
        <v>6.9017598398839901</v>
      </c>
      <c r="P69" s="488">
        <v>6.9095547309833023</v>
      </c>
      <c r="Q69" s="488"/>
      <c r="R69" s="485">
        <v>14897</v>
      </c>
      <c r="S69" s="486">
        <v>14880.615</v>
      </c>
      <c r="T69" s="487">
        <v>10122.51</v>
      </c>
      <c r="U69" s="487">
        <v>11331.105</v>
      </c>
      <c r="V69" s="487">
        <v>15213.44</v>
      </c>
      <c r="W69" s="487">
        <v>17217.95</v>
      </c>
      <c r="X69" s="487">
        <v>1898</v>
      </c>
      <c r="Y69" s="487">
        <v>106.22499999999999</v>
      </c>
      <c r="Z69" s="487">
        <v>3322.26</v>
      </c>
      <c r="AA69" s="487">
        <v>9052.9050000000007</v>
      </c>
      <c r="AB69" s="487">
        <v>10621.37</v>
      </c>
      <c r="AC69" s="487">
        <v>3963.5</v>
      </c>
      <c r="AD69" s="487">
        <v>405.471</v>
      </c>
      <c r="AE69" s="487">
        <v>1384.1799999999998</v>
      </c>
      <c r="AF69" s="487">
        <v>2158.4349999999999</v>
      </c>
      <c r="AG69" s="487">
        <v>10.934999999999999</v>
      </c>
      <c r="AH69" s="487">
        <v>186.69</v>
      </c>
      <c r="AI69" s="487">
        <v>2156</v>
      </c>
    </row>
    <row r="70" spans="1:35">
      <c r="A70" s="490">
        <v>44809</v>
      </c>
      <c r="B70" s="495">
        <v>0.99120013420567021</v>
      </c>
      <c r="C70" s="494">
        <v>0.67750008387854388</v>
      </c>
      <c r="D70" s="494">
        <v>1.3171501299252266</v>
      </c>
      <c r="E70" s="494">
        <v>0.98279992956682927</v>
      </c>
      <c r="F70" s="494">
        <v>1.147850025163563</v>
      </c>
      <c r="G70" s="494">
        <v>7.8490393123498929</v>
      </c>
      <c r="H70" s="494">
        <v>140.57636072068672</v>
      </c>
      <c r="I70" s="494">
        <v>4.4889955223003906</v>
      </c>
      <c r="J70" s="494">
        <v>0.60824995806072801</v>
      </c>
      <c r="K70" s="494">
        <v>1.4059499443139098</v>
      </c>
      <c r="L70" s="494">
        <v>3.7585119798234552</v>
      </c>
      <c r="M70" s="494">
        <v>36.669988557930097</v>
      </c>
      <c r="N70" s="494">
        <v>10.848201611670415</v>
      </c>
      <c r="O70" s="494">
        <v>6.9425033542039341</v>
      </c>
      <c r="P70" s="494">
        <v>6.9524142757172847</v>
      </c>
      <c r="Q70" s="494"/>
      <c r="R70" s="491">
        <v>14902.5</v>
      </c>
      <c r="S70" s="492">
        <v>14771.36</v>
      </c>
      <c r="T70" s="493">
        <v>10096.445</v>
      </c>
      <c r="U70" s="493">
        <v>11314.2</v>
      </c>
      <c r="V70" s="493">
        <v>15163.310000000001</v>
      </c>
      <c r="W70" s="493">
        <v>17105.834999999999</v>
      </c>
      <c r="X70" s="493">
        <v>1898.6399999999999</v>
      </c>
      <c r="Y70" s="493">
        <v>106.01</v>
      </c>
      <c r="Z70" s="493">
        <v>3319.7849999999999</v>
      </c>
      <c r="AA70" s="493">
        <v>9064.4449999999997</v>
      </c>
      <c r="AB70" s="493">
        <v>10599.595000000001</v>
      </c>
      <c r="AC70" s="493">
        <v>3965</v>
      </c>
      <c r="AD70" s="493">
        <v>406.39499999999998</v>
      </c>
      <c r="AE70" s="493">
        <v>1373.73</v>
      </c>
      <c r="AF70" s="493">
        <v>2146.5600000000004</v>
      </c>
      <c r="AG70" s="493">
        <v>10.855</v>
      </c>
      <c r="AH70" s="493">
        <v>186.51999999999998</v>
      </c>
      <c r="AI70" s="493">
        <v>2143.5</v>
      </c>
    </row>
    <row r="71" spans="1:35">
      <c r="A71" s="496">
        <v>44810</v>
      </c>
      <c r="B71" s="501">
        <v>0.99760017465488859</v>
      </c>
      <c r="C71" s="500">
        <v>0.67910019144862788</v>
      </c>
      <c r="D71" s="500">
        <v>1.3105997777883425</v>
      </c>
      <c r="E71" s="500">
        <v>0.97920009682481057</v>
      </c>
      <c r="F71" s="500">
        <v>1.1584502737379505</v>
      </c>
      <c r="G71" s="500">
        <v>7.8492525902296277</v>
      </c>
      <c r="H71" s="500">
        <v>141.53356151359574</v>
      </c>
      <c r="I71" s="500">
        <v>4.4987503890868323</v>
      </c>
      <c r="J71" s="500">
        <v>0.60910019144862793</v>
      </c>
      <c r="K71" s="500">
        <v>1.4037504697163219</v>
      </c>
      <c r="L71" s="500">
        <v>3.7582681141125978</v>
      </c>
      <c r="M71" s="500">
        <v>36.449980289366785</v>
      </c>
      <c r="N71" s="500">
        <v>10.725028187735724</v>
      </c>
      <c r="O71" s="500">
        <v>6.9434435730060891</v>
      </c>
      <c r="P71" s="500">
        <v>6.954683485167017</v>
      </c>
      <c r="Q71" s="500"/>
      <c r="R71" s="497">
        <v>14886.5</v>
      </c>
      <c r="S71" s="498">
        <v>14850.775</v>
      </c>
      <c r="T71" s="499">
        <v>10109.424999999999</v>
      </c>
      <c r="U71" s="499">
        <v>11358.54</v>
      </c>
      <c r="V71" s="499">
        <v>15202.715</v>
      </c>
      <c r="W71" s="499">
        <v>17245.27</v>
      </c>
      <c r="X71" s="499">
        <v>1896.55</v>
      </c>
      <c r="Y71" s="499">
        <v>105.18</v>
      </c>
      <c r="Z71" s="499">
        <v>3309.0299999999997</v>
      </c>
      <c r="AA71" s="499">
        <v>9067.369999999999</v>
      </c>
      <c r="AB71" s="499">
        <v>10604.805</v>
      </c>
      <c r="AC71" s="499">
        <v>3961</v>
      </c>
      <c r="AD71" s="499">
        <v>408.40899999999999</v>
      </c>
      <c r="AE71" s="499">
        <v>1388.0149999999999</v>
      </c>
      <c r="AF71" s="499">
        <v>2143.9650000000001</v>
      </c>
      <c r="AG71" s="499">
        <v>10.84</v>
      </c>
      <c r="AH71" s="499">
        <v>186.37</v>
      </c>
      <c r="AI71" s="499">
        <v>2140.5</v>
      </c>
    </row>
    <row r="72" spans="1:35">
      <c r="A72" s="502">
        <v>44811</v>
      </c>
      <c r="B72" s="507">
        <v>0.99239986592927765</v>
      </c>
      <c r="C72" s="506">
        <v>0.67314999162057987</v>
      </c>
      <c r="D72" s="506">
        <v>1.3174000127169836</v>
      </c>
      <c r="E72" s="506">
        <v>0.98219991052055111</v>
      </c>
      <c r="F72" s="506">
        <v>1.1514000335176806</v>
      </c>
      <c r="G72" s="506">
        <v>7.8496632287939381</v>
      </c>
      <c r="H72" s="506">
        <v>143.90796835809377</v>
      </c>
      <c r="I72" s="506">
        <v>4.5029952049553321</v>
      </c>
      <c r="J72" s="506">
        <v>0.60299983241159716</v>
      </c>
      <c r="K72" s="506">
        <v>1.4071493658277066</v>
      </c>
      <c r="L72" s="506">
        <v>3.7575566750629723</v>
      </c>
      <c r="M72" s="506">
        <v>36.669993412060848</v>
      </c>
      <c r="N72" s="506">
        <v>10.777800656746827</v>
      </c>
      <c r="O72" s="506">
        <v>6.9669039951989422</v>
      </c>
      <c r="P72" s="506">
        <v>6.9789473684210526</v>
      </c>
      <c r="Q72" s="506"/>
      <c r="R72" s="503">
        <v>14917.5</v>
      </c>
      <c r="S72" s="504">
        <v>14804.125</v>
      </c>
      <c r="T72" s="505">
        <v>10041.715</v>
      </c>
      <c r="U72" s="505">
        <v>11323.439999999999</v>
      </c>
      <c r="V72" s="505">
        <v>15187.845000000001</v>
      </c>
      <c r="W72" s="505">
        <v>17176.010000000002</v>
      </c>
      <c r="X72" s="505">
        <v>1900.4</v>
      </c>
      <c r="Y72" s="505">
        <v>103.66</v>
      </c>
      <c r="Z72" s="505">
        <v>3312.7950000000001</v>
      </c>
      <c r="AA72" s="505">
        <v>8995.25</v>
      </c>
      <c r="AB72" s="505">
        <v>10601.220000000001</v>
      </c>
      <c r="AC72" s="505">
        <v>3970</v>
      </c>
      <c r="AD72" s="505">
        <v>406.80399999999997</v>
      </c>
      <c r="AE72" s="505">
        <v>1384.095</v>
      </c>
      <c r="AF72" s="505">
        <v>2141.1950000000002</v>
      </c>
      <c r="AG72" s="505">
        <v>10.765000000000001</v>
      </c>
      <c r="AH72" s="505">
        <v>186.815</v>
      </c>
      <c r="AI72" s="505">
        <v>2137.5</v>
      </c>
    </row>
    <row r="73" spans="1:35">
      <c r="A73" s="508">
        <v>44812</v>
      </c>
      <c r="B73" s="513">
        <v>0.99820003356267839</v>
      </c>
      <c r="C73" s="512">
        <v>0.673299882530626</v>
      </c>
      <c r="D73" s="512">
        <v>1.313200096082437</v>
      </c>
      <c r="E73" s="512">
        <v>0.97659995063737115</v>
      </c>
      <c r="F73" s="512">
        <v>1.1487001174693743</v>
      </c>
      <c r="G73" s="512">
        <v>7.8496513168814266</v>
      </c>
      <c r="H73" s="512">
        <v>143.83297127685253</v>
      </c>
      <c r="I73" s="512">
        <v>4.5010000543836224</v>
      </c>
      <c r="J73" s="512">
        <v>0.60420003356267826</v>
      </c>
      <c r="K73" s="512">
        <v>1.4058495988645621</v>
      </c>
      <c r="L73" s="512">
        <v>3.7586728901223667</v>
      </c>
      <c r="M73" s="512">
        <v>36.444967426431191</v>
      </c>
      <c r="N73" s="512">
        <v>10.725110328790594</v>
      </c>
      <c r="O73" s="512">
        <v>6.9632056687201445</v>
      </c>
      <c r="P73" s="512">
        <v>6.969590643274854</v>
      </c>
      <c r="Q73" s="512"/>
      <c r="R73" s="509">
        <v>14897.5</v>
      </c>
      <c r="S73" s="510">
        <v>14870.685000000001</v>
      </c>
      <c r="T73" s="511">
        <v>10030.485000000001</v>
      </c>
      <c r="U73" s="511">
        <v>11344.424999999999</v>
      </c>
      <c r="V73" s="511">
        <v>15254.455</v>
      </c>
      <c r="W73" s="511">
        <v>17112.760000000002</v>
      </c>
      <c r="X73" s="511">
        <v>1897.855</v>
      </c>
      <c r="Y73" s="511">
        <v>103.575</v>
      </c>
      <c r="Z73" s="511">
        <v>3309.8199999999997</v>
      </c>
      <c r="AA73" s="511">
        <v>9001.07</v>
      </c>
      <c r="AB73" s="511">
        <v>10596.795000000002</v>
      </c>
      <c r="AC73" s="511">
        <v>3963.5</v>
      </c>
      <c r="AD73" s="511">
        <v>408.76700000000005</v>
      </c>
      <c r="AE73" s="511">
        <v>1389.0300000000002</v>
      </c>
      <c r="AF73" s="511">
        <v>2139.46</v>
      </c>
      <c r="AG73" s="511">
        <v>10.77</v>
      </c>
      <c r="AH73" s="511">
        <v>186.80500000000001</v>
      </c>
      <c r="AI73" s="511">
        <v>2137.5</v>
      </c>
    </row>
    <row r="74" spans="1:35">
      <c r="A74" s="514">
        <v>44813</v>
      </c>
      <c r="B74" s="519">
        <v>1.0096999325691167</v>
      </c>
      <c r="C74" s="518">
        <v>0.68615003371544159</v>
      </c>
      <c r="D74" s="518">
        <v>1.2999501232892681</v>
      </c>
      <c r="E74" s="518">
        <v>0.95950010238765415</v>
      </c>
      <c r="F74" s="518">
        <v>1.1631999325691165</v>
      </c>
      <c r="G74" s="518">
        <v>7.8484918247081952</v>
      </c>
      <c r="H74" s="518">
        <v>142.36344436978015</v>
      </c>
      <c r="I74" s="518">
        <v>4.4969987157930165</v>
      </c>
      <c r="J74" s="518">
        <v>0.61295010114632498</v>
      </c>
      <c r="K74" s="518">
        <v>1.3972494066636454</v>
      </c>
      <c r="L74" s="518">
        <v>3.7577600405422524</v>
      </c>
      <c r="M74" s="518">
        <v>36.294975605517912</v>
      </c>
      <c r="N74" s="518">
        <v>10.558429122183735</v>
      </c>
      <c r="O74" s="518">
        <v>6.9209481185568213</v>
      </c>
      <c r="P74" s="518">
        <v>6.921820303383897</v>
      </c>
      <c r="Q74" s="518"/>
      <c r="R74" s="515">
        <v>14830</v>
      </c>
      <c r="S74" s="516">
        <v>14973.85</v>
      </c>
      <c r="T74" s="517">
        <v>10175.605</v>
      </c>
      <c r="U74" s="517">
        <v>11408.130000000001</v>
      </c>
      <c r="V74" s="517">
        <v>15455.965</v>
      </c>
      <c r="W74" s="517">
        <v>17250.254999999997</v>
      </c>
      <c r="X74" s="517">
        <v>1889.5350000000001</v>
      </c>
      <c r="Y74" s="517">
        <v>104.17</v>
      </c>
      <c r="Z74" s="517">
        <v>3297.7550000000001</v>
      </c>
      <c r="AA74" s="517">
        <v>9090.0499999999993</v>
      </c>
      <c r="AB74" s="517">
        <v>10613.710000000001</v>
      </c>
      <c r="AC74" s="517">
        <v>3946.5</v>
      </c>
      <c r="AD74" s="517">
        <v>408.59649999999999</v>
      </c>
      <c r="AE74" s="517">
        <v>1404.5650000000001</v>
      </c>
      <c r="AF74" s="517">
        <v>2142.77</v>
      </c>
      <c r="AG74" s="517">
        <v>10.785</v>
      </c>
      <c r="AH74" s="517">
        <v>186.495</v>
      </c>
      <c r="AI74" s="517">
        <v>2142.5</v>
      </c>
    </row>
    <row r="75" spans="1:35">
      <c r="A75" s="520">
        <v>44816</v>
      </c>
      <c r="B75" s="525">
        <v>1.0175000000000001</v>
      </c>
      <c r="C75" s="524">
        <v>0.68785002021290931</v>
      </c>
      <c r="D75" s="524">
        <v>1.2990002371843852</v>
      </c>
      <c r="E75" s="524">
        <v>0.95504985344791538</v>
      </c>
      <c r="F75" s="524">
        <v>1.1686002560301847</v>
      </c>
      <c r="G75" s="524">
        <v>7.8487572712850344</v>
      </c>
      <c r="H75" s="524">
        <v>142.77331537684574</v>
      </c>
      <c r="I75" s="524">
        <v>4.5029998255474393</v>
      </c>
      <c r="J75" s="524">
        <v>0.61470017517854747</v>
      </c>
      <c r="K75" s="524">
        <v>1.3961497234650888</v>
      </c>
      <c r="L75" s="524">
        <v>3.75746835443038</v>
      </c>
      <c r="M75" s="524">
        <v>36.365017353135386</v>
      </c>
      <c r="N75" s="524">
        <v>10.476866116775904</v>
      </c>
      <c r="O75" s="524">
        <v>6.9264998588285813</v>
      </c>
      <c r="P75" s="524">
        <v>6.9258049463369105</v>
      </c>
      <c r="Q75" s="524"/>
      <c r="R75" s="521">
        <v>14842</v>
      </c>
      <c r="S75" s="522">
        <v>15101.735000000001</v>
      </c>
      <c r="T75" s="523">
        <v>10209.07</v>
      </c>
      <c r="U75" s="523">
        <v>11425.71</v>
      </c>
      <c r="V75" s="523">
        <v>15540.55</v>
      </c>
      <c r="W75" s="523">
        <v>17344.365000000002</v>
      </c>
      <c r="X75" s="523">
        <v>1891</v>
      </c>
      <c r="Y75" s="523">
        <v>103.955</v>
      </c>
      <c r="Z75" s="523">
        <v>3296.0250000000001</v>
      </c>
      <c r="AA75" s="523">
        <v>9123.380000000001</v>
      </c>
      <c r="AB75" s="523">
        <v>10630.665000000001</v>
      </c>
      <c r="AC75" s="523">
        <v>3950</v>
      </c>
      <c r="AD75" s="523">
        <v>408.1395</v>
      </c>
      <c r="AE75" s="523">
        <v>1416.645</v>
      </c>
      <c r="AF75" s="523">
        <v>2142.7849999999999</v>
      </c>
      <c r="AG75" s="523">
        <v>10.765000000000001</v>
      </c>
      <c r="AH75" s="523">
        <v>186.51</v>
      </c>
      <c r="AI75" s="523">
        <v>2143</v>
      </c>
    </row>
    <row r="76" spans="1:35">
      <c r="A76" s="526">
        <v>44817</v>
      </c>
      <c r="B76" s="531">
        <v>1.0147001986331348</v>
      </c>
      <c r="C76" s="530">
        <v>0.68890011109988891</v>
      </c>
      <c r="D76" s="530">
        <v>1.2971501389164257</v>
      </c>
      <c r="E76" s="530">
        <v>0.95029985810928619</v>
      </c>
      <c r="F76" s="530">
        <v>1.1726000740665925</v>
      </c>
      <c r="G76" s="530">
        <v>7.8484477761013807</v>
      </c>
      <c r="H76" s="530">
        <v>142.25574712643677</v>
      </c>
      <c r="I76" s="530">
        <v>4.5070033579094471</v>
      </c>
      <c r="J76" s="530">
        <v>0.61390027943305392</v>
      </c>
      <c r="K76" s="530">
        <v>1.3941503230394101</v>
      </c>
      <c r="L76" s="530">
        <v>3.7589217919514049</v>
      </c>
      <c r="M76" s="530">
        <v>36.275017463985108</v>
      </c>
      <c r="N76" s="530">
        <v>10.457992690707057</v>
      </c>
      <c r="O76" s="530">
        <v>6.9241958720108912</v>
      </c>
      <c r="P76" s="530">
        <v>6.9270055970149258</v>
      </c>
      <c r="Q76" s="530"/>
      <c r="R76" s="527">
        <v>14851.5</v>
      </c>
      <c r="S76" s="528">
        <v>15069.82</v>
      </c>
      <c r="T76" s="529">
        <v>10231.200000000001</v>
      </c>
      <c r="U76" s="529">
        <v>11449.33</v>
      </c>
      <c r="V76" s="529">
        <v>15628.225</v>
      </c>
      <c r="W76" s="529">
        <v>17414.87</v>
      </c>
      <c r="X76" s="529">
        <v>1892.2849999999999</v>
      </c>
      <c r="Y76" s="529">
        <v>104.4</v>
      </c>
      <c r="Z76" s="529">
        <v>3295.2049999999999</v>
      </c>
      <c r="AA76" s="529">
        <v>9117.34</v>
      </c>
      <c r="AB76" s="529">
        <v>10652.725</v>
      </c>
      <c r="AC76" s="529">
        <v>3951</v>
      </c>
      <c r="AD76" s="529">
        <v>409.41399999999999</v>
      </c>
      <c r="AE76" s="529">
        <v>1420.1100000000001</v>
      </c>
      <c r="AF76" s="529">
        <v>2144.87</v>
      </c>
      <c r="AG76" s="529">
        <v>10.795000000000002</v>
      </c>
      <c r="AH76" s="529">
        <v>187.685</v>
      </c>
      <c r="AI76" s="529">
        <v>2144</v>
      </c>
    </row>
    <row r="77" spans="1:35">
      <c r="A77" s="533">
        <v>44818</v>
      </c>
      <c r="B77" s="538">
        <v>0.9987999329196714</v>
      </c>
      <c r="C77" s="537">
        <v>0.67265000838504108</v>
      </c>
      <c r="D77" s="537">
        <v>1.3169501175603802</v>
      </c>
      <c r="E77" s="537">
        <v>0.96029997819476476</v>
      </c>
      <c r="F77" s="537">
        <v>1.1526999832299178</v>
      </c>
      <c r="G77" s="537">
        <v>7.8487377260641802</v>
      </c>
      <c r="H77" s="537">
        <v>143.32067490265828</v>
      </c>
      <c r="I77" s="537">
        <v>4.5264978130403826</v>
      </c>
      <c r="J77" s="537">
        <v>0.59975012577561637</v>
      </c>
      <c r="K77" s="537">
        <v>1.404149765300005</v>
      </c>
      <c r="L77" s="537">
        <v>3.7592989534737109</v>
      </c>
      <c r="M77" s="537">
        <v>36.68996578966798</v>
      </c>
      <c r="N77" s="537">
        <v>10.662685072598528</v>
      </c>
      <c r="O77" s="537">
        <v>6.9652101594183948</v>
      </c>
      <c r="P77" s="537">
        <v>6.9742690058479528</v>
      </c>
      <c r="Q77" s="537"/>
      <c r="R77" s="534">
        <v>14907.5</v>
      </c>
      <c r="S77" s="535">
        <v>14889.61</v>
      </c>
      <c r="T77" s="536">
        <v>10027.530000000001</v>
      </c>
      <c r="U77" s="536">
        <v>11319.715</v>
      </c>
      <c r="V77" s="536">
        <v>15523.795000000002</v>
      </c>
      <c r="W77" s="536">
        <v>17183.875</v>
      </c>
      <c r="X77" s="536">
        <v>1899.35</v>
      </c>
      <c r="Y77" s="536">
        <v>104.015</v>
      </c>
      <c r="Z77" s="536">
        <v>3293.3850000000002</v>
      </c>
      <c r="AA77" s="536">
        <v>8940.7750000000015</v>
      </c>
      <c r="AB77" s="536">
        <v>10616.744999999999</v>
      </c>
      <c r="AC77" s="536">
        <v>3965.5</v>
      </c>
      <c r="AD77" s="536">
        <v>406.31000000000006</v>
      </c>
      <c r="AE77" s="536">
        <v>1398.1</v>
      </c>
      <c r="AF77" s="536">
        <v>2140.2799999999997</v>
      </c>
      <c r="AG77" s="536">
        <v>10.69</v>
      </c>
      <c r="AH77" s="536">
        <v>187.51499999999999</v>
      </c>
      <c r="AI77" s="536">
        <v>2137.5</v>
      </c>
    </row>
    <row r="78" spans="1:35">
      <c r="A78" s="539">
        <v>44819</v>
      </c>
      <c r="B78" s="544">
        <v>0.99779996643732172</v>
      </c>
      <c r="C78" s="543">
        <v>0.67610001678133924</v>
      </c>
      <c r="D78" s="543">
        <v>1.3160498451394274</v>
      </c>
      <c r="E78" s="543">
        <v>0.96249981828959641</v>
      </c>
      <c r="F78" s="543">
        <v>1.1534999160933042</v>
      </c>
      <c r="G78" s="543">
        <v>7.8468398001617032</v>
      </c>
      <c r="H78" s="543">
        <v>143.57652274479568</v>
      </c>
      <c r="I78" s="543">
        <v>4.5340000547823465</v>
      </c>
      <c r="J78" s="543">
        <v>0.60100016781339161</v>
      </c>
      <c r="K78" s="543">
        <v>1.4059497699140433</v>
      </c>
      <c r="L78" s="543">
        <v>3.7596214511041008</v>
      </c>
      <c r="M78" s="543">
        <v>36.754955041639988</v>
      </c>
      <c r="N78" s="543">
        <v>10.716700716484908</v>
      </c>
      <c r="O78" s="543">
        <v>6.9714986323742405</v>
      </c>
      <c r="P78" s="543">
        <v>6.9793862731318814</v>
      </c>
      <c r="Q78" s="543"/>
      <c r="R78" s="540">
        <v>14897.5</v>
      </c>
      <c r="S78" s="541">
        <v>14864.725</v>
      </c>
      <c r="T78" s="542">
        <v>10072.200000000001</v>
      </c>
      <c r="U78" s="542">
        <v>11319.86</v>
      </c>
      <c r="V78" s="542">
        <v>15477.924999999999</v>
      </c>
      <c r="W78" s="542">
        <v>17184.264999999999</v>
      </c>
      <c r="X78" s="542">
        <v>1898.5350000000001</v>
      </c>
      <c r="Y78" s="542">
        <v>103.76</v>
      </c>
      <c r="Z78" s="542">
        <v>3285.73</v>
      </c>
      <c r="AA78" s="542">
        <v>8953.4000000000015</v>
      </c>
      <c r="AB78" s="542">
        <v>10596.04</v>
      </c>
      <c r="AC78" s="542">
        <v>3962.5</v>
      </c>
      <c r="AD78" s="542">
        <v>405.31950000000001</v>
      </c>
      <c r="AE78" s="542">
        <v>1390.12</v>
      </c>
      <c r="AF78" s="542">
        <v>2136.915</v>
      </c>
      <c r="AG78" s="542">
        <v>10.69</v>
      </c>
      <c r="AH78" s="542">
        <v>187.16000000000003</v>
      </c>
      <c r="AI78" s="542">
        <v>2134.5</v>
      </c>
    </row>
    <row r="79" spans="1:35">
      <c r="A79" s="545">
        <v>44820</v>
      </c>
      <c r="B79" s="550">
        <v>0.99564989132252146</v>
      </c>
      <c r="C79" s="549">
        <v>0.66764989132252128</v>
      </c>
      <c r="D79" s="549">
        <v>1.3283996792828727</v>
      </c>
      <c r="E79" s="549">
        <v>0.96395010345420018</v>
      </c>
      <c r="F79" s="549">
        <v>1.1373502758735996</v>
      </c>
      <c r="G79" s="549">
        <v>7.8491637707482491</v>
      </c>
      <c r="H79" s="549">
        <v>143.45677827880647</v>
      </c>
      <c r="I79" s="549">
        <v>4.5349978087036167</v>
      </c>
      <c r="J79" s="549">
        <v>0.59510015047650899</v>
      </c>
      <c r="K79" s="549">
        <v>1.4108501238887283</v>
      </c>
      <c r="L79" s="549">
        <v>3.7578537320934906</v>
      </c>
      <c r="M79" s="549">
        <v>37.070001004069574</v>
      </c>
      <c r="N79" s="549">
        <v>10.78644957907418</v>
      </c>
      <c r="O79" s="549">
        <v>7.0204474493508924</v>
      </c>
      <c r="P79" s="549">
        <v>7.0315071714084176</v>
      </c>
      <c r="Q79" s="549"/>
      <c r="R79" s="546">
        <v>14952.5</v>
      </c>
      <c r="S79" s="547">
        <v>14887.455000000002</v>
      </c>
      <c r="T79" s="548">
        <v>9983.0349999999999</v>
      </c>
      <c r="U79" s="548">
        <v>11256.025000000001</v>
      </c>
      <c r="V79" s="548">
        <v>15511.695</v>
      </c>
      <c r="W79" s="548">
        <v>17006.23</v>
      </c>
      <c r="X79" s="548">
        <v>1904.98</v>
      </c>
      <c r="Y79" s="548">
        <v>104.23</v>
      </c>
      <c r="Z79" s="548">
        <v>3297.1350000000002</v>
      </c>
      <c r="AA79" s="548">
        <v>8898.2350000000006</v>
      </c>
      <c r="AB79" s="548">
        <v>10598.220000000001</v>
      </c>
      <c r="AC79" s="548">
        <v>3979</v>
      </c>
      <c r="AD79" s="548">
        <v>403.35850000000005</v>
      </c>
      <c r="AE79" s="548">
        <v>1386.23</v>
      </c>
      <c r="AF79" s="548">
        <v>2129.8500000000004</v>
      </c>
      <c r="AG79" s="548">
        <v>10.72</v>
      </c>
      <c r="AH79" s="548">
        <v>187.31</v>
      </c>
      <c r="AI79" s="548">
        <v>2126.5</v>
      </c>
    </row>
    <row r="80" spans="1:35">
      <c r="A80" s="551">
        <v>44823</v>
      </c>
      <c r="B80" s="556">
        <v>0.99800033383408437</v>
      </c>
      <c r="C80" s="555">
        <v>0.66840026706726763</v>
      </c>
      <c r="D80" s="555">
        <v>1.3313001987506088</v>
      </c>
      <c r="E80" s="555">
        <v>0.96890010188734166</v>
      </c>
      <c r="F80" s="555">
        <v>1.1379001836087466</v>
      </c>
      <c r="G80" s="555">
        <v>7.8493490975410358</v>
      </c>
      <c r="H80" s="555">
        <v>143.5176312763511</v>
      </c>
      <c r="I80" s="555">
        <v>4.5495000182253387</v>
      </c>
      <c r="J80" s="555">
        <v>0.59524987481221825</v>
      </c>
      <c r="K80" s="555">
        <v>1.4096497122818115</v>
      </c>
      <c r="L80" s="555">
        <v>3.7584692597239648</v>
      </c>
      <c r="M80" s="555">
        <v>36.989975475850009</v>
      </c>
      <c r="N80" s="555">
        <v>10.817047276509079</v>
      </c>
      <c r="O80" s="555">
        <v>7.0185098406747892</v>
      </c>
      <c r="P80" s="555">
        <v>7.023446658851114</v>
      </c>
      <c r="Q80" s="555"/>
      <c r="R80" s="552">
        <v>14977.5</v>
      </c>
      <c r="S80" s="553">
        <v>14947.55</v>
      </c>
      <c r="T80" s="554">
        <v>10010.965</v>
      </c>
      <c r="U80" s="554">
        <v>11250.28</v>
      </c>
      <c r="V80" s="554">
        <v>15458.25</v>
      </c>
      <c r="W80" s="554">
        <v>17042.900000000001</v>
      </c>
      <c r="X80" s="554">
        <v>1908.12</v>
      </c>
      <c r="Y80" s="554">
        <v>104.36</v>
      </c>
      <c r="Z80" s="554">
        <v>3292.12</v>
      </c>
      <c r="AA80" s="554">
        <v>8915.3549999999996</v>
      </c>
      <c r="AB80" s="554">
        <v>10624.98</v>
      </c>
      <c r="AC80" s="554">
        <v>3985</v>
      </c>
      <c r="AD80" s="554">
        <v>404.90700000000004</v>
      </c>
      <c r="AE80" s="554">
        <v>1384.62</v>
      </c>
      <c r="AF80" s="554">
        <v>2134</v>
      </c>
      <c r="AG80" s="554">
        <v>10.734999999999999</v>
      </c>
      <c r="AH80" s="554">
        <v>187.875</v>
      </c>
      <c r="AI80" s="554">
        <v>2132.5</v>
      </c>
    </row>
    <row r="81" spans="1:35">
      <c r="A81" s="557">
        <v>44824</v>
      </c>
      <c r="B81" s="562">
        <v>1.0035998665109296</v>
      </c>
      <c r="C81" s="561">
        <v>0.67180010011680291</v>
      </c>
      <c r="D81" s="561">
        <v>1.3262998646036614</v>
      </c>
      <c r="E81" s="561">
        <v>0.96259979363453774</v>
      </c>
      <c r="F81" s="561">
        <v>1.1459499415985317</v>
      </c>
      <c r="G81" s="561">
        <v>7.8494601122212151</v>
      </c>
      <c r="H81" s="561">
        <v>143.46930958536819</v>
      </c>
      <c r="I81" s="561">
        <v>4.5569986008881314</v>
      </c>
      <c r="J81" s="561">
        <v>0.59394994159853154</v>
      </c>
      <c r="K81" s="561">
        <v>1.4077499772147926</v>
      </c>
      <c r="L81" s="561">
        <v>3.760195758564437</v>
      </c>
      <c r="M81" s="561">
        <v>36.93500474552873</v>
      </c>
      <c r="N81" s="561">
        <v>10.776179841548979</v>
      </c>
      <c r="O81" s="561">
        <v>7.0089960282745691</v>
      </c>
      <c r="P81" s="561">
        <v>7.0159213298993208</v>
      </c>
      <c r="Q81" s="561"/>
      <c r="R81" s="558">
        <v>14982.5</v>
      </c>
      <c r="S81" s="559">
        <v>15036.435000000001</v>
      </c>
      <c r="T81" s="560">
        <v>10065.244999999999</v>
      </c>
      <c r="U81" s="560">
        <v>11296.465</v>
      </c>
      <c r="V81" s="560">
        <v>15564.62</v>
      </c>
      <c r="W81" s="560">
        <v>17169.195</v>
      </c>
      <c r="X81" s="560">
        <v>1908.73</v>
      </c>
      <c r="Y81" s="560">
        <v>104.43</v>
      </c>
      <c r="Z81" s="560">
        <v>3287.8</v>
      </c>
      <c r="AA81" s="560">
        <v>8898.8549999999996</v>
      </c>
      <c r="AB81" s="560">
        <v>10642.87</v>
      </c>
      <c r="AC81" s="560">
        <v>3984.5</v>
      </c>
      <c r="AD81" s="560">
        <v>405.64499999999998</v>
      </c>
      <c r="AE81" s="560">
        <v>1390.335</v>
      </c>
      <c r="AF81" s="560">
        <v>2137.6099999999997</v>
      </c>
      <c r="AG81" s="560">
        <v>10.765000000000001</v>
      </c>
      <c r="AH81" s="560">
        <v>188.005</v>
      </c>
      <c r="AI81" s="560">
        <v>2135.5</v>
      </c>
    </row>
    <row r="82" spans="1:35">
      <c r="A82" s="563">
        <v>44825</v>
      </c>
      <c r="B82" s="568">
        <v>0.99110018336389405</v>
      </c>
      <c r="C82" s="567">
        <v>0.66705017502917152</v>
      </c>
      <c r="D82" s="567">
        <v>1.3374998940969411</v>
      </c>
      <c r="E82" s="567">
        <v>0.96795002738141689</v>
      </c>
      <c r="F82" s="567">
        <v>1.1335999333222204</v>
      </c>
      <c r="G82" s="567">
        <v>7.8496489313538449</v>
      </c>
      <c r="H82" s="567">
        <v>143.75059906067287</v>
      </c>
      <c r="I82" s="567">
        <v>4.5624976233030381</v>
      </c>
      <c r="J82" s="567">
        <v>0.58900016669444899</v>
      </c>
      <c r="K82" s="567">
        <v>1.4137501637866916</v>
      </c>
      <c r="L82" s="567">
        <v>3.7606569709127382</v>
      </c>
      <c r="M82" s="567">
        <v>37.174974592866171</v>
      </c>
      <c r="N82" s="567">
        <v>10.977408387406081</v>
      </c>
      <c r="O82" s="567">
        <v>7.052287320459981</v>
      </c>
      <c r="P82" s="567">
        <v>7.0609698681732578</v>
      </c>
      <c r="Q82" s="567"/>
      <c r="R82" s="564">
        <v>14997.5</v>
      </c>
      <c r="S82" s="565">
        <v>14864.025000000001</v>
      </c>
      <c r="T82" s="566">
        <v>10004.084999999999</v>
      </c>
      <c r="U82" s="566">
        <v>11213.085000000001</v>
      </c>
      <c r="V82" s="566">
        <v>15494.084999999999</v>
      </c>
      <c r="W82" s="566">
        <v>17001.165000000001</v>
      </c>
      <c r="X82" s="566">
        <v>1910.595</v>
      </c>
      <c r="Y82" s="566">
        <v>104.33</v>
      </c>
      <c r="Z82" s="566">
        <v>3287.125</v>
      </c>
      <c r="AA82" s="566">
        <v>8833.5299999999988</v>
      </c>
      <c r="AB82" s="566">
        <v>10608.310000000001</v>
      </c>
      <c r="AC82" s="566">
        <v>3988</v>
      </c>
      <c r="AD82" s="566">
        <v>403.43</v>
      </c>
      <c r="AE82" s="566">
        <v>1366.2150000000001</v>
      </c>
      <c r="AF82" s="566">
        <v>2126.6149999999998</v>
      </c>
      <c r="AG82" s="566">
        <v>10.745000000000001</v>
      </c>
      <c r="AH82" s="566">
        <v>187.655</v>
      </c>
      <c r="AI82" s="566">
        <v>2124</v>
      </c>
    </row>
    <row r="83" spans="1:35">
      <c r="A83" s="569">
        <v>44826</v>
      </c>
      <c r="B83" s="574">
        <v>0.98449975029132686</v>
      </c>
      <c r="C83" s="573">
        <v>0.6608999500582653</v>
      </c>
      <c r="D83" s="573">
        <v>1.3485003517729401</v>
      </c>
      <c r="E83" s="573">
        <v>0.97800012568937855</v>
      </c>
      <c r="F83" s="573">
        <v>1.127300149825204</v>
      </c>
      <c r="G83" s="573">
        <v>7.8491889476311307</v>
      </c>
      <c r="H83" s="573">
        <v>145.7726655018443</v>
      </c>
      <c r="I83" s="573">
        <v>4.5694994469741799</v>
      </c>
      <c r="J83" s="573">
        <v>0.5831499916763776</v>
      </c>
      <c r="K83" s="573">
        <v>1.4206493883663314</v>
      </c>
      <c r="L83" s="573">
        <v>3.7623700363271952</v>
      </c>
      <c r="M83" s="573">
        <v>37.444988841929408</v>
      </c>
      <c r="N83" s="573">
        <v>11.056018140188911</v>
      </c>
      <c r="O83" s="573">
        <v>7.092391176012204</v>
      </c>
      <c r="P83" s="573">
        <v>7.0987946112030249</v>
      </c>
      <c r="Q83" s="573"/>
      <c r="R83" s="570">
        <v>15017.5</v>
      </c>
      <c r="S83" s="571">
        <v>14784.725</v>
      </c>
      <c r="T83" s="572">
        <v>9925.0649999999987</v>
      </c>
      <c r="U83" s="572">
        <v>11136.445</v>
      </c>
      <c r="V83" s="572">
        <v>15355.315000000001</v>
      </c>
      <c r="W83" s="572">
        <v>16929.23</v>
      </c>
      <c r="X83" s="572">
        <v>1913.2550000000001</v>
      </c>
      <c r="Y83" s="572">
        <v>103.02000000000001</v>
      </c>
      <c r="Z83" s="572">
        <v>3286.4650000000001</v>
      </c>
      <c r="AA83" s="572">
        <v>8757.4549999999999</v>
      </c>
      <c r="AB83" s="572">
        <v>10570.869999999999</v>
      </c>
      <c r="AC83" s="572">
        <v>3991.5</v>
      </c>
      <c r="AD83" s="572">
        <v>401.05500000000001</v>
      </c>
      <c r="AE83" s="572">
        <v>1358.31</v>
      </c>
      <c r="AF83" s="572">
        <v>2117.41</v>
      </c>
      <c r="AG83" s="572">
        <v>10.645</v>
      </c>
      <c r="AH83" s="572">
        <v>186</v>
      </c>
      <c r="AI83" s="572">
        <v>2115.5</v>
      </c>
    </row>
    <row r="84" spans="1:35">
      <c r="A84" s="575">
        <v>44827</v>
      </c>
      <c r="B84" s="580">
        <v>0.97760000000000002</v>
      </c>
      <c r="C84" s="579">
        <v>0.66019983374896096</v>
      </c>
      <c r="D84" s="579">
        <v>1.3512001757571104</v>
      </c>
      <c r="E84" s="579">
        <v>0.97995004291252552</v>
      </c>
      <c r="F84" s="579">
        <v>1.1185000831255194</v>
      </c>
      <c r="G84" s="579">
        <v>7.8494472109994051</v>
      </c>
      <c r="H84" s="579">
        <v>142.27930740845869</v>
      </c>
      <c r="I84" s="579">
        <v>4.5784966698382492</v>
      </c>
      <c r="J84" s="579">
        <v>0.58195012468827934</v>
      </c>
      <c r="K84" s="579">
        <v>1.4213500722608234</v>
      </c>
      <c r="L84" s="579">
        <v>3.759844980622578</v>
      </c>
      <c r="M84" s="579">
        <v>37.369997142111608</v>
      </c>
      <c r="N84" s="579">
        <v>11.147104717921726</v>
      </c>
      <c r="O84" s="579">
        <v>7.1068041003246787</v>
      </c>
      <c r="P84" s="579">
        <v>7.1116103097659025</v>
      </c>
      <c r="Q84" s="579"/>
      <c r="R84" s="576">
        <v>15037.5</v>
      </c>
      <c r="S84" s="577">
        <v>14700.66</v>
      </c>
      <c r="T84" s="578">
        <v>9927.755000000001</v>
      </c>
      <c r="U84" s="578">
        <v>11128.994999999999</v>
      </c>
      <c r="V84" s="578">
        <v>15345.17</v>
      </c>
      <c r="W84" s="578">
        <v>16819.445</v>
      </c>
      <c r="X84" s="578">
        <v>1915.74</v>
      </c>
      <c r="Y84" s="578">
        <v>105.69</v>
      </c>
      <c r="Z84" s="578">
        <v>3284.375</v>
      </c>
      <c r="AA84" s="578">
        <v>8751.0750000000007</v>
      </c>
      <c r="AB84" s="578">
        <v>10579.73</v>
      </c>
      <c r="AC84" s="578">
        <v>3999.5</v>
      </c>
      <c r="AD84" s="578">
        <v>402.39499999999998</v>
      </c>
      <c r="AE84" s="578">
        <v>1349.0050000000001</v>
      </c>
      <c r="AF84" s="578">
        <v>2115.9300000000003</v>
      </c>
      <c r="AG84" s="578">
        <v>10.655000000000001</v>
      </c>
      <c r="AH84" s="578">
        <v>185.77500000000001</v>
      </c>
      <c r="AI84" s="578">
        <v>2114.5</v>
      </c>
    </row>
    <row r="85" spans="1:35">
      <c r="A85" s="581">
        <v>44830</v>
      </c>
      <c r="B85" s="586">
        <v>0.96780003305238804</v>
      </c>
      <c r="C85" s="585">
        <v>0.65025020657742516</v>
      </c>
      <c r="D85" s="585">
        <v>1.3608994756117636</v>
      </c>
      <c r="E85" s="585">
        <v>0.9827001892319055</v>
      </c>
      <c r="F85" s="585">
        <v>1.0676000661047762</v>
      </c>
      <c r="G85" s="585">
        <v>7.8498373211700416</v>
      </c>
      <c r="H85" s="585">
        <v>143.8248716486024</v>
      </c>
      <c r="I85" s="585">
        <v>4.6009960840968711</v>
      </c>
      <c r="J85" s="585">
        <v>0.57259990084283596</v>
      </c>
      <c r="K85" s="585">
        <v>1.4339501380630226</v>
      </c>
      <c r="L85" s="585">
        <v>3.7583850931677021</v>
      </c>
      <c r="M85" s="585">
        <v>37.780025473889268</v>
      </c>
      <c r="N85" s="585">
        <v>11.312394840157038</v>
      </c>
      <c r="O85" s="585">
        <v>7.1520595709473431</v>
      </c>
      <c r="P85" s="585">
        <v>7.1541735634901871</v>
      </c>
      <c r="Q85" s="585"/>
      <c r="R85" s="582">
        <v>15127.5</v>
      </c>
      <c r="S85" s="583">
        <v>14640.395</v>
      </c>
      <c r="T85" s="584">
        <v>9836.66</v>
      </c>
      <c r="U85" s="584">
        <v>11115.810000000001</v>
      </c>
      <c r="V85" s="584">
        <v>15393.810000000001</v>
      </c>
      <c r="W85" s="584">
        <v>16150.12</v>
      </c>
      <c r="X85" s="584">
        <v>1927.1100000000001</v>
      </c>
      <c r="Y85" s="584">
        <v>105.18</v>
      </c>
      <c r="Z85" s="584">
        <v>3287.875</v>
      </c>
      <c r="AA85" s="584">
        <v>8662.005000000001</v>
      </c>
      <c r="AB85" s="584">
        <v>10549.53</v>
      </c>
      <c r="AC85" s="584">
        <v>4025</v>
      </c>
      <c r="AD85" s="584">
        <v>400.40999999999997</v>
      </c>
      <c r="AE85" s="584">
        <v>1337.25</v>
      </c>
      <c r="AF85" s="584">
        <v>2115.125</v>
      </c>
      <c r="AG85" s="584">
        <v>10.57</v>
      </c>
      <c r="AH85" s="584">
        <v>185.38499999999999</v>
      </c>
      <c r="AI85" s="584">
        <v>2114.5</v>
      </c>
    </row>
    <row r="86" spans="1:35">
      <c r="A86" s="587">
        <v>44831</v>
      </c>
      <c r="B86" s="592">
        <v>0.96469995040502554</v>
      </c>
      <c r="C86" s="591">
        <v>0.64919986774673499</v>
      </c>
      <c r="D86" s="591">
        <v>1.3663004225615525</v>
      </c>
      <c r="E86" s="591">
        <v>0.98914992955434122</v>
      </c>
      <c r="F86" s="591">
        <v>1.0804000661266324</v>
      </c>
      <c r="G86" s="591">
        <v>7.8496459938126781</v>
      </c>
      <c r="H86" s="591">
        <v>144.26424994037683</v>
      </c>
      <c r="I86" s="591">
        <v>4.6115024547921806</v>
      </c>
      <c r="J86" s="591">
        <v>0.57015010745577788</v>
      </c>
      <c r="K86" s="591">
        <v>1.4344000868844753</v>
      </c>
      <c r="L86" s="591">
        <v>3.7608803780154192</v>
      </c>
      <c r="M86" s="591">
        <v>37.879973899201325</v>
      </c>
      <c r="N86" s="591">
        <v>11.253032309913234</v>
      </c>
      <c r="O86" s="591">
        <v>7.1525023707666149</v>
      </c>
      <c r="P86" s="591">
        <v>7.1484282675490425</v>
      </c>
      <c r="Q86" s="591"/>
      <c r="R86" s="588">
        <v>15122.5</v>
      </c>
      <c r="S86" s="589">
        <v>14588.674999999999</v>
      </c>
      <c r="T86" s="590">
        <v>9817.5249999999996</v>
      </c>
      <c r="U86" s="590">
        <v>11068.21</v>
      </c>
      <c r="V86" s="590">
        <v>15288.380000000001</v>
      </c>
      <c r="W86" s="590">
        <v>16338.35</v>
      </c>
      <c r="X86" s="590">
        <v>1926.52</v>
      </c>
      <c r="Y86" s="590">
        <v>104.825</v>
      </c>
      <c r="Z86" s="590">
        <v>3279.3</v>
      </c>
      <c r="AA86" s="590">
        <v>8622.0950000000012</v>
      </c>
      <c r="AB86" s="590">
        <v>10542.735000000001</v>
      </c>
      <c r="AC86" s="590">
        <v>4021</v>
      </c>
      <c r="AD86" s="590">
        <v>399.22149999999999</v>
      </c>
      <c r="AE86" s="590">
        <v>1343.8600000000001</v>
      </c>
      <c r="AF86" s="590">
        <v>2114.2950000000001</v>
      </c>
      <c r="AG86" s="590">
        <v>10.65</v>
      </c>
      <c r="AH86" s="590">
        <v>185.74</v>
      </c>
      <c r="AI86" s="590">
        <v>2115.5</v>
      </c>
    </row>
    <row r="87" spans="1:35">
      <c r="A87" s="593">
        <v>44832</v>
      </c>
      <c r="B87" s="598">
        <v>0.95780016380016375</v>
      </c>
      <c r="C87" s="597">
        <v>0.6392000000000001</v>
      </c>
      <c r="D87" s="597">
        <v>1.376899749519269</v>
      </c>
      <c r="E87" s="597">
        <v>0.99109974570702009</v>
      </c>
      <c r="F87" s="597">
        <v>1.0700999180999182</v>
      </c>
      <c r="G87" s="597">
        <v>7.8494651306315566</v>
      </c>
      <c r="H87" s="597">
        <v>144.57232168229609</v>
      </c>
      <c r="I87" s="597">
        <v>4.6259952898957053</v>
      </c>
      <c r="J87" s="597">
        <v>0.55980016380016384</v>
      </c>
      <c r="K87" s="597">
        <v>1.4457499214961345</v>
      </c>
      <c r="L87" s="597">
        <v>3.7634077179139442</v>
      </c>
      <c r="M87" s="597">
        <v>38.285031273947745</v>
      </c>
      <c r="N87" s="597">
        <v>11.3942194633052</v>
      </c>
      <c r="O87" s="597">
        <v>7.236344585128097</v>
      </c>
      <c r="P87" s="597">
        <v>7.2488720018997865</v>
      </c>
      <c r="Q87" s="597"/>
      <c r="R87" s="594">
        <v>15262.5</v>
      </c>
      <c r="S87" s="595">
        <v>14618.424999999999</v>
      </c>
      <c r="T87" s="596">
        <v>9755.7900000000009</v>
      </c>
      <c r="U87" s="596">
        <v>11084.685000000001</v>
      </c>
      <c r="V87" s="596">
        <v>15399.560000000001</v>
      </c>
      <c r="W87" s="596">
        <v>16332.400000000001</v>
      </c>
      <c r="X87" s="596">
        <v>1944.4</v>
      </c>
      <c r="Y87" s="596">
        <v>105.57000000000001</v>
      </c>
      <c r="Z87" s="596">
        <v>3299.29</v>
      </c>
      <c r="AA87" s="596">
        <v>8543.9500000000007</v>
      </c>
      <c r="AB87" s="596">
        <v>10556.805</v>
      </c>
      <c r="AC87" s="596">
        <v>4055.5</v>
      </c>
      <c r="AD87" s="596">
        <v>398.65449999999998</v>
      </c>
      <c r="AE87" s="596">
        <v>1339.4950000000001</v>
      </c>
      <c r="AF87" s="596">
        <v>2109.145</v>
      </c>
      <c r="AG87" s="596">
        <v>10.574999999999999</v>
      </c>
      <c r="AH87" s="596">
        <v>186.37</v>
      </c>
      <c r="AI87" s="596">
        <v>2105.5</v>
      </c>
    </row>
    <row r="88" spans="1:35">
      <c r="A88" s="599">
        <v>44833</v>
      </c>
      <c r="B88" s="604">
        <v>0.96550008190008185</v>
      </c>
      <c r="C88" s="603">
        <v>0.644850122850123</v>
      </c>
      <c r="D88" s="603">
        <v>1.3739002609172748</v>
      </c>
      <c r="E88" s="603">
        <v>0.98449989179370556</v>
      </c>
      <c r="F88" s="603">
        <v>1.0782001638001637</v>
      </c>
      <c r="G88" s="603">
        <v>7.8499495957372387</v>
      </c>
      <c r="H88" s="603">
        <v>144.68196037539101</v>
      </c>
      <c r="I88" s="603">
        <v>4.6474981158791424</v>
      </c>
      <c r="J88" s="603">
        <v>0.56600000000000006</v>
      </c>
      <c r="K88" s="603">
        <v>1.4431498251909425</v>
      </c>
      <c r="L88" s="603">
        <v>3.7638717632552403</v>
      </c>
      <c r="M88" s="603">
        <v>38.215005571065511</v>
      </c>
      <c r="N88" s="603">
        <v>11.345896520963425</v>
      </c>
      <c r="O88" s="603">
        <v>7.2057504367121483</v>
      </c>
      <c r="P88" s="603">
        <v>7.2077922077922079</v>
      </c>
      <c r="Q88" s="603"/>
      <c r="R88" s="600">
        <v>15262.5</v>
      </c>
      <c r="S88" s="601">
        <v>14735.945</v>
      </c>
      <c r="T88" s="602">
        <v>9842.0250000000015</v>
      </c>
      <c r="U88" s="602">
        <v>11108.885</v>
      </c>
      <c r="V88" s="602">
        <v>15502.795</v>
      </c>
      <c r="W88" s="602">
        <v>16456.03</v>
      </c>
      <c r="X88" s="602">
        <v>1944.2800000000002</v>
      </c>
      <c r="Y88" s="602">
        <v>105.49000000000001</v>
      </c>
      <c r="Z88" s="602">
        <v>3284.0250000000001</v>
      </c>
      <c r="AA88" s="602">
        <v>8638.5750000000007</v>
      </c>
      <c r="AB88" s="602">
        <v>10575.825000000001</v>
      </c>
      <c r="AC88" s="602">
        <v>4055</v>
      </c>
      <c r="AD88" s="602">
        <v>399.38499999999999</v>
      </c>
      <c r="AE88" s="602">
        <v>1345.2</v>
      </c>
      <c r="AF88" s="602">
        <v>2118.1</v>
      </c>
      <c r="AG88" s="602">
        <v>10.605</v>
      </c>
      <c r="AH88" s="602">
        <v>186.32499999999999</v>
      </c>
      <c r="AI88" s="602">
        <v>2117.5</v>
      </c>
    </row>
    <row r="89" spans="1:35">
      <c r="A89" s="605">
        <v>44834</v>
      </c>
      <c r="B89" s="610">
        <v>0.98325004104416358</v>
      </c>
      <c r="C89" s="609">
        <v>0.65019996716466921</v>
      </c>
      <c r="D89" s="609">
        <v>1.3671001765042814</v>
      </c>
      <c r="E89" s="609">
        <v>0.97649987559285767</v>
      </c>
      <c r="F89" s="609">
        <v>1.1178502708914795</v>
      </c>
      <c r="G89" s="609">
        <v>7.849793284051426</v>
      </c>
      <c r="H89" s="609">
        <v>144.32281300350678</v>
      </c>
      <c r="I89" s="609">
        <v>4.6254951277004208</v>
      </c>
      <c r="J89" s="609">
        <v>0.57230011492365795</v>
      </c>
      <c r="K89" s="609">
        <v>1.4306497747742459</v>
      </c>
      <c r="L89" s="609">
        <v>3.7566300727766126</v>
      </c>
      <c r="M89" s="609">
        <v>37.784984764419207</v>
      </c>
      <c r="N89" s="609">
        <v>11.104143043093044</v>
      </c>
      <c r="O89" s="609">
        <v>7.0955611679077011</v>
      </c>
      <c r="P89" s="609">
        <v>7.0957595526561041</v>
      </c>
      <c r="Q89" s="609"/>
      <c r="R89" s="606">
        <v>15227.5</v>
      </c>
      <c r="S89" s="607">
        <v>14972.44</v>
      </c>
      <c r="T89" s="608">
        <v>9900.92</v>
      </c>
      <c r="U89" s="608">
        <v>11138.54</v>
      </c>
      <c r="V89" s="608">
        <v>15593.960000000001</v>
      </c>
      <c r="W89" s="608">
        <v>17022.065000000002</v>
      </c>
      <c r="X89" s="608">
        <v>1939.8600000000001</v>
      </c>
      <c r="Y89" s="608">
        <v>105.51</v>
      </c>
      <c r="Z89" s="608">
        <v>3292.08</v>
      </c>
      <c r="AA89" s="608">
        <v>8714.7000000000007</v>
      </c>
      <c r="AB89" s="608">
        <v>10643.764999999999</v>
      </c>
      <c r="AC89" s="608">
        <v>4053.5</v>
      </c>
      <c r="AD89" s="608">
        <v>403.00400000000002</v>
      </c>
      <c r="AE89" s="608">
        <v>1371.335</v>
      </c>
      <c r="AF89" s="608">
        <v>2146.06</v>
      </c>
      <c r="AG89" s="608">
        <v>10.645</v>
      </c>
      <c r="AH89" s="608">
        <v>186.64</v>
      </c>
      <c r="AI89" s="608">
        <v>2146</v>
      </c>
    </row>
    <row r="90" spans="1:35">
      <c r="A90" s="611">
        <v>44837</v>
      </c>
      <c r="B90" s="616">
        <v>0.98120013069759848</v>
      </c>
      <c r="C90" s="615">
        <v>0.64484986113380172</v>
      </c>
      <c r="D90" s="615">
        <v>1.3751996746791162</v>
      </c>
      <c r="E90" s="615">
        <v>0.98789988076124291</v>
      </c>
      <c r="F90" s="615">
        <v>1.1206998856396015</v>
      </c>
      <c r="G90" s="615">
        <v>7.8498915045219277</v>
      </c>
      <c r="H90" s="615">
        <v>145.02677344453394</v>
      </c>
      <c r="I90" s="615">
        <v>4.6489972870089353</v>
      </c>
      <c r="J90" s="615">
        <v>0.56540009802319879</v>
      </c>
      <c r="K90" s="615">
        <v>1.4347494872546147</v>
      </c>
      <c r="L90" s="615">
        <v>3.7579813359528487</v>
      </c>
      <c r="M90" s="615">
        <v>38.075012938413153</v>
      </c>
      <c r="N90" s="615">
        <v>11.097493319022565</v>
      </c>
      <c r="O90" s="615">
        <v>7.116002111200757</v>
      </c>
      <c r="P90" s="615">
        <v>7.1490306003270261</v>
      </c>
      <c r="Q90" s="615"/>
      <c r="R90" s="612">
        <v>15302.5</v>
      </c>
      <c r="S90" s="613">
        <v>15014.815000000001</v>
      </c>
      <c r="T90" s="614">
        <v>9867.8150000000005</v>
      </c>
      <c r="U90" s="614">
        <v>11127.475</v>
      </c>
      <c r="V90" s="614">
        <v>15489.93</v>
      </c>
      <c r="W90" s="614">
        <v>17149.510000000002</v>
      </c>
      <c r="X90" s="614">
        <v>1949.3899999999999</v>
      </c>
      <c r="Y90" s="614">
        <v>105.51500000000001</v>
      </c>
      <c r="Z90" s="614">
        <v>3291.5699999999997</v>
      </c>
      <c r="AA90" s="614">
        <v>8652.0349999999999</v>
      </c>
      <c r="AB90" s="614">
        <v>10665.625</v>
      </c>
      <c r="AC90" s="614">
        <v>4072</v>
      </c>
      <c r="AD90" s="614">
        <v>401.904</v>
      </c>
      <c r="AE90" s="614">
        <v>1378.915</v>
      </c>
      <c r="AF90" s="614">
        <v>2150.4349999999999</v>
      </c>
      <c r="AG90" s="614">
        <v>10.605</v>
      </c>
      <c r="AH90" s="614">
        <v>187.01999999999998</v>
      </c>
      <c r="AI90" s="614">
        <v>2140.5</v>
      </c>
    </row>
    <row r="91" spans="1:35">
      <c r="A91" s="617">
        <v>44838</v>
      </c>
      <c r="B91" s="622">
        <v>0.987599934415478</v>
      </c>
      <c r="C91" s="621">
        <v>0.65240006558452213</v>
      </c>
      <c r="D91" s="621">
        <v>1.3593497587538648</v>
      </c>
      <c r="E91" s="621">
        <v>0.98984994011237448</v>
      </c>
      <c r="F91" s="621">
        <v>1.1392001967535663</v>
      </c>
      <c r="G91" s="621">
        <v>7.8499461997456716</v>
      </c>
      <c r="H91" s="621">
        <v>144.64946399772319</v>
      </c>
      <c r="I91" s="621">
        <v>4.6459934305546247</v>
      </c>
      <c r="J91" s="621">
        <v>0.57410034431874091</v>
      </c>
      <c r="K91" s="621">
        <v>1.429649701834002</v>
      </c>
      <c r="L91" s="621">
        <v>3.7587822014051522</v>
      </c>
      <c r="M91" s="621">
        <v>37.574992884224173</v>
      </c>
      <c r="N91" s="621">
        <v>10.910515525883627</v>
      </c>
      <c r="O91" s="621">
        <v>7.1160052363717829</v>
      </c>
      <c r="P91" s="621">
        <v>7.0672074159907297</v>
      </c>
      <c r="Q91" s="621"/>
      <c r="R91" s="618">
        <v>15247.5</v>
      </c>
      <c r="S91" s="619">
        <v>15058.43</v>
      </c>
      <c r="T91" s="620">
        <v>9947.4700000000012</v>
      </c>
      <c r="U91" s="620">
        <v>11216.76</v>
      </c>
      <c r="V91" s="620">
        <v>15403.85</v>
      </c>
      <c r="W91" s="620">
        <v>17369.955000000002</v>
      </c>
      <c r="X91" s="620">
        <v>1942.37</v>
      </c>
      <c r="Y91" s="620">
        <v>105.41</v>
      </c>
      <c r="Z91" s="620">
        <v>3281.8599999999997</v>
      </c>
      <c r="AA91" s="620">
        <v>8753.5950000000012</v>
      </c>
      <c r="AB91" s="620">
        <v>10665.2</v>
      </c>
      <c r="AC91" s="620">
        <v>4056.5</v>
      </c>
      <c r="AD91" s="620">
        <v>405.7885</v>
      </c>
      <c r="AE91" s="620">
        <v>1397.5050000000001</v>
      </c>
      <c r="AF91" s="620">
        <v>2142.7049999999999</v>
      </c>
      <c r="AG91" s="620">
        <v>10.69</v>
      </c>
      <c r="AH91" s="620">
        <v>187.20500000000001</v>
      </c>
      <c r="AI91" s="620">
        <v>2157.5</v>
      </c>
    </row>
    <row r="92" spans="1:35">
      <c r="A92" s="623">
        <v>44839</v>
      </c>
      <c r="B92" s="628">
        <v>0.99410004936646368</v>
      </c>
      <c r="C92" s="627">
        <v>0.64850024683231855</v>
      </c>
      <c r="D92" s="627">
        <v>1.3560996814716662</v>
      </c>
      <c r="E92" s="627">
        <v>0.98269982587277072</v>
      </c>
      <c r="F92" s="627">
        <v>1.1406499917722559</v>
      </c>
      <c r="G92" s="627">
        <v>7.8497376531648255</v>
      </c>
      <c r="H92" s="627">
        <v>144.44285985928883</v>
      </c>
      <c r="I92" s="627">
        <v>4.6340001555596562</v>
      </c>
      <c r="J92" s="627">
        <v>0.5728997860786571</v>
      </c>
      <c r="K92" s="627">
        <v>1.4225500280202796</v>
      </c>
      <c r="L92" s="627">
        <v>3.7591240875912408</v>
      </c>
      <c r="M92" s="627">
        <v>37.374981088025855</v>
      </c>
      <c r="N92" s="627">
        <v>10.907491833291452</v>
      </c>
      <c r="O92" s="627">
        <v>7.1159917188919799</v>
      </c>
      <c r="P92" s="627">
        <v>7.0433472415391751</v>
      </c>
      <c r="Q92" s="627"/>
      <c r="R92" s="624">
        <v>15192.5</v>
      </c>
      <c r="S92" s="625">
        <v>15102.865</v>
      </c>
      <c r="T92" s="626">
        <v>9852.34</v>
      </c>
      <c r="U92" s="626">
        <v>11203.084999999999</v>
      </c>
      <c r="V92" s="626">
        <v>15459.96</v>
      </c>
      <c r="W92" s="626">
        <v>17329.324999999997</v>
      </c>
      <c r="X92" s="626">
        <v>1935.415</v>
      </c>
      <c r="Y92" s="626">
        <v>105.18</v>
      </c>
      <c r="Z92" s="626">
        <v>3278.4850000000001</v>
      </c>
      <c r="AA92" s="626">
        <v>8703.7799999999988</v>
      </c>
      <c r="AB92" s="626">
        <v>10679.764999999999</v>
      </c>
      <c r="AC92" s="626">
        <v>4041.5</v>
      </c>
      <c r="AD92" s="626">
        <v>406.48850000000004</v>
      </c>
      <c r="AE92" s="626">
        <v>1392.8500000000001</v>
      </c>
      <c r="AF92" s="626">
        <v>2134.98</v>
      </c>
      <c r="AG92" s="626">
        <v>10.734999999999999</v>
      </c>
      <c r="AH92" s="626">
        <v>186.61500000000001</v>
      </c>
      <c r="AI92" s="626">
        <v>2157</v>
      </c>
    </row>
    <row r="93" spans="1:35">
      <c r="A93" s="629">
        <v>44840</v>
      </c>
      <c r="B93" s="634">
        <v>0.99105020576131697</v>
      </c>
      <c r="C93" s="633">
        <v>0.65030024691358035</v>
      </c>
      <c r="D93" s="633">
        <v>1.3603994983876746</v>
      </c>
      <c r="E93" s="633">
        <v>0.97979983374853197</v>
      </c>
      <c r="F93" s="633">
        <v>1.1327499588477365</v>
      </c>
      <c r="G93" s="633">
        <v>7.8498514019899215</v>
      </c>
      <c r="H93" s="633">
        <v>144.58777608530085</v>
      </c>
      <c r="I93" s="633">
        <v>4.6319946932208946</v>
      </c>
      <c r="J93" s="633">
        <v>0.57535012345679015</v>
      </c>
      <c r="K93" s="633">
        <v>1.4235500878734622</v>
      </c>
      <c r="L93" s="633">
        <v>3.7588169780967702</v>
      </c>
      <c r="M93" s="633">
        <v>37.240009562866653</v>
      </c>
      <c r="N93" s="633">
        <v>10.964120704591394</v>
      </c>
      <c r="O93" s="633">
        <v>7.1159995783111354</v>
      </c>
      <c r="P93" s="633">
        <v>7.042661720380246</v>
      </c>
      <c r="Q93" s="633"/>
      <c r="R93" s="630">
        <v>15187.5</v>
      </c>
      <c r="S93" s="631">
        <v>15051.575000000001</v>
      </c>
      <c r="T93" s="632">
        <v>9876.4350000000013</v>
      </c>
      <c r="U93" s="632">
        <v>11164</v>
      </c>
      <c r="V93" s="632">
        <v>15500.615</v>
      </c>
      <c r="W93" s="632">
        <v>17203.64</v>
      </c>
      <c r="X93" s="632">
        <v>1934.75</v>
      </c>
      <c r="Y93" s="632">
        <v>105.03999999999999</v>
      </c>
      <c r="Z93" s="632">
        <v>3278.8249999999998</v>
      </c>
      <c r="AA93" s="632">
        <v>8738.130000000001</v>
      </c>
      <c r="AB93" s="632">
        <v>10668.75</v>
      </c>
      <c r="AC93" s="632">
        <v>4040.5</v>
      </c>
      <c r="AD93" s="632">
        <v>407.82749999999999</v>
      </c>
      <c r="AE93" s="632">
        <v>1385.2</v>
      </c>
      <c r="AF93" s="632">
        <v>2134.2750000000001</v>
      </c>
      <c r="AG93" s="632">
        <v>10.824999999999999</v>
      </c>
      <c r="AH93" s="632">
        <v>185.82499999999999</v>
      </c>
      <c r="AI93" s="632">
        <v>2156.5</v>
      </c>
    </row>
    <row r="94" spans="1:35" s="31" customFormat="1">
      <c r="A94" s="635">
        <v>44841</v>
      </c>
      <c r="B94" s="640">
        <v>0.97990034420586791</v>
      </c>
      <c r="C94" s="639">
        <v>0.64049991804622197</v>
      </c>
      <c r="D94" s="639">
        <v>1.3739004405218886</v>
      </c>
      <c r="E94" s="639">
        <v>0.98990013058049908</v>
      </c>
      <c r="F94" s="639">
        <v>1.1167002130798231</v>
      </c>
      <c r="G94" s="639">
        <v>7.8499338654973458</v>
      </c>
      <c r="H94" s="639">
        <v>144.916864608076</v>
      </c>
      <c r="I94" s="639">
        <v>4.6519962180132373</v>
      </c>
      <c r="J94" s="639">
        <v>0.56439993443697745</v>
      </c>
      <c r="K94" s="639">
        <v>1.429650018113743</v>
      </c>
      <c r="L94" s="639">
        <v>3.7590881084411585</v>
      </c>
      <c r="M94" s="639">
        <v>37.449987907478089</v>
      </c>
      <c r="N94" s="639">
        <v>11.143623239230815</v>
      </c>
      <c r="O94" s="639">
        <v>7.1159974060025855</v>
      </c>
      <c r="P94" s="639">
        <v>7.1123805082769875</v>
      </c>
      <c r="Q94" s="639"/>
      <c r="R94" s="636">
        <v>15252.5</v>
      </c>
      <c r="S94" s="637">
        <v>14945.93</v>
      </c>
      <c r="T94" s="638">
        <v>9769.2250000000004</v>
      </c>
      <c r="U94" s="638">
        <v>11101.605</v>
      </c>
      <c r="V94" s="638">
        <v>15408.12</v>
      </c>
      <c r="W94" s="638">
        <v>17032.47</v>
      </c>
      <c r="X94" s="638">
        <v>1943.0100000000002</v>
      </c>
      <c r="Y94" s="638">
        <v>105.25</v>
      </c>
      <c r="Z94" s="638">
        <v>3278.7</v>
      </c>
      <c r="AA94" s="638">
        <v>8608.5099999999984</v>
      </c>
      <c r="AB94" s="638">
        <v>10668.695</v>
      </c>
      <c r="AC94" s="638">
        <v>4057.5</v>
      </c>
      <c r="AD94" s="638">
        <v>407.2765</v>
      </c>
      <c r="AE94" s="638">
        <v>1368.72</v>
      </c>
      <c r="AF94" s="638">
        <v>2143.41</v>
      </c>
      <c r="AG94" s="638">
        <v>10.785</v>
      </c>
      <c r="AH94" s="638">
        <v>185.13499999999999</v>
      </c>
      <c r="AI94" s="638">
        <v>2144.5</v>
      </c>
    </row>
    <row r="95" spans="1:35">
      <c r="A95" s="641">
        <v>44844</v>
      </c>
      <c r="B95" s="646">
        <v>0.97070008163265309</v>
      </c>
      <c r="C95" s="645">
        <v>0.6309502040816326</v>
      </c>
      <c r="D95" s="645">
        <v>1.3749998316326735</v>
      </c>
      <c r="E95" s="645">
        <v>0.99750014250002039</v>
      </c>
      <c r="F95" s="645">
        <v>1.1072999183673469</v>
      </c>
      <c r="G95" s="645">
        <v>7.8499474534129643</v>
      </c>
      <c r="H95" s="645">
        <v>145.43166492544401</v>
      </c>
      <c r="I95" s="645">
        <v>4.6499940024567143</v>
      </c>
      <c r="J95" s="645">
        <v>0.55840000000000001</v>
      </c>
      <c r="K95" s="645">
        <v>1.436249964240307</v>
      </c>
      <c r="L95" s="645">
        <v>3.7590524119307722</v>
      </c>
      <c r="M95" s="645">
        <v>37.90002314221821</v>
      </c>
      <c r="N95" s="645">
        <v>11.301905731957545</v>
      </c>
      <c r="O95" s="645">
        <v>7.1375965469181901</v>
      </c>
      <c r="P95" s="645">
        <v>7.1436902262654538</v>
      </c>
      <c r="Q95" s="645"/>
      <c r="R95" s="642">
        <v>15312.5</v>
      </c>
      <c r="S95" s="643">
        <v>14863.845000000001</v>
      </c>
      <c r="T95" s="644">
        <v>9661.4249999999993</v>
      </c>
      <c r="U95" s="644">
        <v>11136.365000000002</v>
      </c>
      <c r="V95" s="644">
        <v>15350.875</v>
      </c>
      <c r="W95" s="644">
        <v>16955.53</v>
      </c>
      <c r="X95" s="644">
        <v>1950.65</v>
      </c>
      <c r="Y95" s="644">
        <v>105.29</v>
      </c>
      <c r="Z95" s="644">
        <v>3293.0150000000003</v>
      </c>
      <c r="AA95" s="644">
        <v>8550.5</v>
      </c>
      <c r="AB95" s="644">
        <v>10661.445</v>
      </c>
      <c r="AC95" s="644">
        <v>4073.5</v>
      </c>
      <c r="AD95" s="644">
        <v>404.02350000000001</v>
      </c>
      <c r="AE95" s="644">
        <v>1354.8600000000001</v>
      </c>
      <c r="AF95" s="644">
        <v>2145.33</v>
      </c>
      <c r="AG95" s="644">
        <v>10.725000000000001</v>
      </c>
      <c r="AH95" s="644">
        <v>185.8</v>
      </c>
      <c r="AI95" s="644">
        <v>2143.5</v>
      </c>
    </row>
    <row r="96" spans="1:35">
      <c r="A96" s="647">
        <v>44845</v>
      </c>
      <c r="B96" s="652">
        <v>0.96995018720494874</v>
      </c>
      <c r="C96" s="651">
        <v>0.62640013022952956</v>
      </c>
      <c r="D96" s="651">
        <v>1.3850003314260928</v>
      </c>
      <c r="E96" s="651">
        <v>1.0007001480117457</v>
      </c>
      <c r="F96" s="651">
        <v>1.1019501872049489</v>
      </c>
      <c r="G96" s="651">
        <v>7.8498372018135267</v>
      </c>
      <c r="H96" s="651">
        <v>145.62393324483216</v>
      </c>
      <c r="I96" s="651">
        <v>4.672001606261988</v>
      </c>
      <c r="J96" s="651">
        <v>0.55619990232785288</v>
      </c>
      <c r="K96" s="651">
        <v>1.4389503696811774</v>
      </c>
      <c r="L96" s="651">
        <v>3.7594859241126071</v>
      </c>
      <c r="M96" s="651">
        <v>38.144996938713419</v>
      </c>
      <c r="N96" s="651">
        <v>11.325422928865356</v>
      </c>
      <c r="O96" s="651">
        <v>7.1856525573811147</v>
      </c>
      <c r="P96" s="651">
        <v>7.1881582026679149</v>
      </c>
      <c r="Q96" s="651"/>
      <c r="R96" s="648">
        <v>15357.5</v>
      </c>
      <c r="S96" s="649">
        <v>14896.01</v>
      </c>
      <c r="T96" s="650">
        <v>9619.94</v>
      </c>
      <c r="U96" s="650">
        <v>11088.445</v>
      </c>
      <c r="V96" s="650">
        <v>15346.755000000001</v>
      </c>
      <c r="W96" s="650">
        <v>16923.2</v>
      </c>
      <c r="X96" s="650">
        <v>1956.4099999999999</v>
      </c>
      <c r="Y96" s="650">
        <v>105.46000000000001</v>
      </c>
      <c r="Z96" s="650">
        <v>3287.1350000000002</v>
      </c>
      <c r="AA96" s="650">
        <v>8541.84</v>
      </c>
      <c r="AB96" s="650">
        <v>10672.710000000001</v>
      </c>
      <c r="AC96" s="650">
        <v>4085</v>
      </c>
      <c r="AD96" s="650">
        <v>402.60849999999999</v>
      </c>
      <c r="AE96" s="650">
        <v>1356.02</v>
      </c>
      <c r="AF96" s="650">
        <v>2137.2449999999999</v>
      </c>
      <c r="AG96" s="650">
        <v>10.705000000000002</v>
      </c>
      <c r="AH96" s="650">
        <v>186.36500000000001</v>
      </c>
      <c r="AI96" s="650">
        <v>2136.5</v>
      </c>
    </row>
    <row r="97" spans="1:35">
      <c r="A97" s="653">
        <v>44846</v>
      </c>
      <c r="B97" s="658">
        <v>0.97079993488523519</v>
      </c>
      <c r="C97" s="657">
        <v>0.62559986977047055</v>
      </c>
      <c r="D97" s="657">
        <v>1.3811999419010148</v>
      </c>
      <c r="E97" s="657">
        <v>0.99399975599029267</v>
      </c>
      <c r="F97" s="657">
        <v>1.0973498290737427</v>
      </c>
      <c r="G97" s="657">
        <v>7.8498372018135267</v>
      </c>
      <c r="H97" s="657">
        <v>146.17837426232629</v>
      </c>
      <c r="I97" s="657">
        <v>4.6825001181487087</v>
      </c>
      <c r="J97" s="657">
        <v>0.55940029301644156</v>
      </c>
      <c r="K97" s="657">
        <v>1.4377002786933892</v>
      </c>
      <c r="L97" s="657">
        <v>3.7590258230326765</v>
      </c>
      <c r="M97" s="657">
        <v>38.065011048333822</v>
      </c>
      <c r="N97" s="657">
        <v>11.353974907770901</v>
      </c>
      <c r="O97" s="657">
        <v>7.1698518409583771</v>
      </c>
      <c r="P97" s="657">
        <v>7.1747255314178933</v>
      </c>
      <c r="Q97" s="657"/>
      <c r="R97" s="654">
        <v>15357.5</v>
      </c>
      <c r="S97" s="655">
        <v>14909.06</v>
      </c>
      <c r="T97" s="656">
        <v>9607.6500000000015</v>
      </c>
      <c r="U97" s="656">
        <v>11118.955000000002</v>
      </c>
      <c r="V97" s="656">
        <v>15450.205</v>
      </c>
      <c r="W97" s="656">
        <v>16852.550000000003</v>
      </c>
      <c r="X97" s="656">
        <v>1956.4099999999999</v>
      </c>
      <c r="Y97" s="656">
        <v>105.06</v>
      </c>
      <c r="Z97" s="656">
        <v>3279.7650000000003</v>
      </c>
      <c r="AA97" s="656">
        <v>8590.9900000000016</v>
      </c>
      <c r="AB97" s="656">
        <v>10681.990000000002</v>
      </c>
      <c r="AC97" s="656">
        <v>4085.5</v>
      </c>
      <c r="AD97" s="656">
        <v>403.45450000000005</v>
      </c>
      <c r="AE97" s="656">
        <v>1352.6100000000001</v>
      </c>
      <c r="AF97" s="656">
        <v>2141.9549999999999</v>
      </c>
      <c r="AG97" s="656">
        <v>10.774999999999999</v>
      </c>
      <c r="AH97" s="656">
        <v>186.52499999999998</v>
      </c>
      <c r="AI97" s="656">
        <v>2140.5</v>
      </c>
    </row>
    <row r="98" spans="1:35">
      <c r="A98" s="659">
        <v>44847</v>
      </c>
      <c r="B98" s="664">
        <v>0.970599876314162</v>
      </c>
      <c r="C98" s="663">
        <v>0.62780001952934283</v>
      </c>
      <c r="D98" s="663">
        <v>1.381400041725718</v>
      </c>
      <c r="E98" s="663">
        <v>0.99929971282696473</v>
      </c>
      <c r="F98" s="663">
        <v>1.1088500471959117</v>
      </c>
      <c r="G98" s="663">
        <v>7.8491535902794451</v>
      </c>
      <c r="H98" s="663">
        <v>146.83840749414517</v>
      </c>
      <c r="I98" s="663">
        <v>4.6915013017950269</v>
      </c>
      <c r="J98" s="663">
        <v>0.56100022784233317</v>
      </c>
      <c r="K98" s="663">
        <v>1.4351002837222642</v>
      </c>
      <c r="L98" s="663">
        <v>3.7590847913862717</v>
      </c>
      <c r="M98" s="663">
        <v>37.940028007676176</v>
      </c>
      <c r="N98" s="663">
        <v>11.360123647604327</v>
      </c>
      <c r="O98" s="663">
        <v>7.1893574203210564</v>
      </c>
      <c r="P98" s="663">
        <v>7.1933973308358699</v>
      </c>
      <c r="Q98" s="663"/>
      <c r="R98" s="660">
        <v>15361.5</v>
      </c>
      <c r="S98" s="661">
        <v>14909.869999999999</v>
      </c>
      <c r="T98" s="662">
        <v>9643.9500000000007</v>
      </c>
      <c r="U98" s="662">
        <v>11120.240000000002</v>
      </c>
      <c r="V98" s="662">
        <v>15372.264999999999</v>
      </c>
      <c r="W98" s="662">
        <v>17033.599999999999</v>
      </c>
      <c r="X98" s="662">
        <v>1957.0900000000001</v>
      </c>
      <c r="Y98" s="662">
        <v>104.61500000000001</v>
      </c>
      <c r="Z98" s="662">
        <v>3274.3249999999998</v>
      </c>
      <c r="AA98" s="662">
        <v>8617.8050000000003</v>
      </c>
      <c r="AB98" s="662">
        <v>10704.130000000001</v>
      </c>
      <c r="AC98" s="662">
        <v>4086.5</v>
      </c>
      <c r="AD98" s="662">
        <v>404.88900000000001</v>
      </c>
      <c r="AE98" s="662">
        <v>1352.23</v>
      </c>
      <c r="AF98" s="662">
        <v>2136.6999999999998</v>
      </c>
      <c r="AG98" s="662">
        <v>10.73</v>
      </c>
      <c r="AH98" s="662">
        <v>186.44</v>
      </c>
      <c r="AI98" s="662">
        <v>2135.5</v>
      </c>
    </row>
    <row r="99" spans="1:35">
      <c r="A99" s="665">
        <v>44848</v>
      </c>
      <c r="B99" s="670">
        <v>0.97680031115288635</v>
      </c>
      <c r="C99" s="669">
        <v>0.63240009075292525</v>
      </c>
      <c r="D99" s="669">
        <v>1.3742500820683814</v>
      </c>
      <c r="E99" s="669">
        <v>0.99809975109780291</v>
      </c>
      <c r="F99" s="669">
        <v>1.1305999416588339</v>
      </c>
      <c r="G99" s="669">
        <v>7.8498571388589928</v>
      </c>
      <c r="H99" s="669">
        <v>147.47383012284308</v>
      </c>
      <c r="I99" s="669">
        <v>4.7020042153902892</v>
      </c>
      <c r="J99" s="669">
        <v>0.56590023660584066</v>
      </c>
      <c r="K99" s="669">
        <v>1.4223504441358761</v>
      </c>
      <c r="L99" s="669">
        <v>3.7575203994641333</v>
      </c>
      <c r="M99" s="669">
        <v>38.065028734143169</v>
      </c>
      <c r="N99" s="669">
        <v>11.255330714032956</v>
      </c>
      <c r="O99" s="669">
        <v>7.1810949581279298</v>
      </c>
      <c r="P99" s="669">
        <v>7.1868157465641742</v>
      </c>
      <c r="Q99" s="669"/>
      <c r="R99" s="666">
        <v>15426.5</v>
      </c>
      <c r="S99" s="667">
        <v>15068.61</v>
      </c>
      <c r="T99" s="668">
        <v>9755.7200000000012</v>
      </c>
      <c r="U99" s="668">
        <v>11225.395</v>
      </c>
      <c r="V99" s="668">
        <v>15455.87</v>
      </c>
      <c r="W99" s="668">
        <v>17441.2</v>
      </c>
      <c r="X99" s="668">
        <v>1965.1950000000002</v>
      </c>
      <c r="Y99" s="668">
        <v>104.605</v>
      </c>
      <c r="Z99" s="668">
        <v>3280.835</v>
      </c>
      <c r="AA99" s="668">
        <v>8729.86</v>
      </c>
      <c r="AB99" s="668">
        <v>10845.779999999999</v>
      </c>
      <c r="AC99" s="668">
        <v>4105.5</v>
      </c>
      <c r="AD99" s="668">
        <v>405.267</v>
      </c>
      <c r="AE99" s="668">
        <v>1370.595</v>
      </c>
      <c r="AF99" s="668">
        <v>2148.21</v>
      </c>
      <c r="AG99" s="668">
        <v>10.765000000000001</v>
      </c>
      <c r="AH99" s="668">
        <v>187.26</v>
      </c>
      <c r="AI99" s="668">
        <v>2146.5</v>
      </c>
    </row>
    <row r="100" spans="1:35">
      <c r="A100" s="671">
        <v>44851</v>
      </c>
      <c r="B100" s="676">
        <v>0.97474995964487476</v>
      </c>
      <c r="C100" s="675">
        <v>0.62464987893462465</v>
      </c>
      <c r="D100" s="675">
        <v>1.3814501681154612</v>
      </c>
      <c r="E100" s="675">
        <v>1.0005501006687454</v>
      </c>
      <c r="F100" s="675">
        <v>1.1257998385794994</v>
      </c>
      <c r="G100" s="675">
        <v>7.8498604891622499</v>
      </c>
      <c r="H100" s="675">
        <v>148.65383692470124</v>
      </c>
      <c r="I100" s="675">
        <v>4.7164927261708627</v>
      </c>
      <c r="J100" s="675">
        <v>0.55980016142050038</v>
      </c>
      <c r="K100" s="675">
        <v>1.4269498423099496</v>
      </c>
      <c r="L100" s="675">
        <v>3.757278020378457</v>
      </c>
      <c r="M100" s="675">
        <v>38.195001048127551</v>
      </c>
      <c r="N100" s="675">
        <v>11.276388934394896</v>
      </c>
      <c r="O100" s="675">
        <v>7.2021986760510321</v>
      </c>
      <c r="P100" s="675">
        <v>7.2101955307262573</v>
      </c>
      <c r="Q100" s="675"/>
      <c r="R100" s="672">
        <v>15487.5</v>
      </c>
      <c r="S100" s="673">
        <v>15096.439999999999</v>
      </c>
      <c r="T100" s="674">
        <v>9674.2649999999994</v>
      </c>
      <c r="U100" s="674">
        <v>11211.045</v>
      </c>
      <c r="V100" s="674">
        <v>15478.985000000001</v>
      </c>
      <c r="W100" s="674">
        <v>17435.824999999997</v>
      </c>
      <c r="X100" s="674">
        <v>1972.9650000000001</v>
      </c>
      <c r="Y100" s="674">
        <v>104.185</v>
      </c>
      <c r="Z100" s="674">
        <v>3283.69</v>
      </c>
      <c r="AA100" s="674">
        <v>8669.9049999999988</v>
      </c>
      <c r="AB100" s="674">
        <v>10853.57</v>
      </c>
      <c r="AC100" s="674">
        <v>4122</v>
      </c>
      <c r="AD100" s="674">
        <v>405.48500000000001</v>
      </c>
      <c r="AE100" s="674">
        <v>1373.4450000000002</v>
      </c>
      <c r="AF100" s="674">
        <v>2150.3850000000002</v>
      </c>
      <c r="AG100" s="674">
        <v>10.785</v>
      </c>
      <c r="AH100" s="674">
        <v>187.93</v>
      </c>
      <c r="AI100" s="674">
        <v>2148</v>
      </c>
    </row>
    <row r="101" spans="1:35">
      <c r="A101" s="677">
        <v>44852</v>
      </c>
      <c r="B101" s="682">
        <v>0.98579995474089166</v>
      </c>
      <c r="C101" s="681">
        <v>0.63099990301619635</v>
      </c>
      <c r="D101" s="681">
        <v>1.3705998728341373</v>
      </c>
      <c r="E101" s="681">
        <v>0.99340013378931735</v>
      </c>
      <c r="F101" s="681">
        <v>1.135550059806679</v>
      </c>
      <c r="G101" s="681">
        <v>7.8497401437329968</v>
      </c>
      <c r="H101" s="681">
        <v>148.95983819705285</v>
      </c>
      <c r="I101" s="681">
        <v>4.716000219540307</v>
      </c>
      <c r="J101" s="681">
        <v>0.56949988685222896</v>
      </c>
      <c r="K101" s="681">
        <v>1.418049891444666</v>
      </c>
      <c r="L101" s="681">
        <v>3.7567403449113432</v>
      </c>
      <c r="M101" s="681">
        <v>38.039969452919493</v>
      </c>
      <c r="N101" s="681">
        <v>11.082369885246077</v>
      </c>
      <c r="O101" s="681">
        <v>7.1896078057669337</v>
      </c>
      <c r="P101" s="681">
        <v>7.1987433092855477</v>
      </c>
      <c r="Q101" s="681"/>
      <c r="R101" s="678">
        <v>15466.5</v>
      </c>
      <c r="S101" s="679">
        <v>15246.875</v>
      </c>
      <c r="T101" s="680">
        <v>9759.36</v>
      </c>
      <c r="U101" s="680">
        <v>11284.474999999999</v>
      </c>
      <c r="V101" s="680">
        <v>15569.255000000001</v>
      </c>
      <c r="W101" s="680">
        <v>17562.985000000001</v>
      </c>
      <c r="X101" s="680">
        <v>1970.3200000000002</v>
      </c>
      <c r="Y101" s="680">
        <v>103.83000000000001</v>
      </c>
      <c r="Z101" s="680">
        <v>3279.58</v>
      </c>
      <c r="AA101" s="680">
        <v>8808.17</v>
      </c>
      <c r="AB101" s="680">
        <v>10906.880000000001</v>
      </c>
      <c r="AC101" s="680">
        <v>4117</v>
      </c>
      <c r="AD101" s="680">
        <v>406.58550000000002</v>
      </c>
      <c r="AE101" s="680">
        <v>1395.595</v>
      </c>
      <c r="AF101" s="680">
        <v>2151.23</v>
      </c>
      <c r="AG101" s="680">
        <v>10.865</v>
      </c>
      <c r="AH101" s="680">
        <v>188.07999999999998</v>
      </c>
      <c r="AI101" s="680">
        <v>2148.5</v>
      </c>
    </row>
    <row r="102" spans="1:35">
      <c r="A102" s="683">
        <v>44853</v>
      </c>
      <c r="B102" s="688">
        <v>0.98394986449864508</v>
      </c>
      <c r="C102" s="687">
        <v>0.63050006452445484</v>
      </c>
      <c r="D102" s="687">
        <v>1.375300497568066</v>
      </c>
      <c r="E102" s="687">
        <v>0.99799987893665165</v>
      </c>
      <c r="F102" s="687">
        <v>1.1278500451671183</v>
      </c>
      <c r="G102" s="687">
        <v>7.849950361650829</v>
      </c>
      <c r="H102" s="687">
        <v>149.34232715008432</v>
      </c>
      <c r="I102" s="687">
        <v>4.7219983638449339</v>
      </c>
      <c r="J102" s="687">
        <v>0.5686001419538006</v>
      </c>
      <c r="K102" s="687">
        <v>1.4215499003181471</v>
      </c>
      <c r="L102" s="687">
        <v>3.7580019398642097</v>
      </c>
      <c r="M102" s="687">
        <v>38.170016415225156</v>
      </c>
      <c r="N102" s="687">
        <v>11.114816528072119</v>
      </c>
      <c r="O102" s="687">
        <v>7.2181921917026655</v>
      </c>
      <c r="P102" s="687">
        <v>7.2369834228344621</v>
      </c>
      <c r="Q102" s="687"/>
      <c r="R102" s="684">
        <v>15498</v>
      </c>
      <c r="S102" s="685">
        <v>15249.255000000001</v>
      </c>
      <c r="T102" s="686">
        <v>9771.4900000000016</v>
      </c>
      <c r="U102" s="686">
        <v>11268.810000000001</v>
      </c>
      <c r="V102" s="686">
        <v>15529.06</v>
      </c>
      <c r="W102" s="686">
        <v>17479.419999999998</v>
      </c>
      <c r="X102" s="686">
        <v>1974.2800000000002</v>
      </c>
      <c r="Y102" s="686">
        <v>103.77500000000001</v>
      </c>
      <c r="Z102" s="686">
        <v>3282.085</v>
      </c>
      <c r="AA102" s="686">
        <v>8812.1650000000009</v>
      </c>
      <c r="AB102" s="686">
        <v>10902.185000000001</v>
      </c>
      <c r="AC102" s="686">
        <v>4124</v>
      </c>
      <c r="AD102" s="686">
        <v>406.02549999999997</v>
      </c>
      <c r="AE102" s="686">
        <v>1394.355</v>
      </c>
      <c r="AF102" s="686">
        <v>2147.0749999999998</v>
      </c>
      <c r="AG102" s="686">
        <v>10.865</v>
      </c>
      <c r="AH102" s="686">
        <v>188.13</v>
      </c>
      <c r="AI102" s="686">
        <v>2141.5</v>
      </c>
    </row>
    <row r="103" spans="1:35">
      <c r="A103" s="689">
        <v>44854</v>
      </c>
      <c r="B103" s="694">
        <v>0.97870027291700123</v>
      </c>
      <c r="C103" s="693">
        <v>0.62715010435061813</v>
      </c>
      <c r="D103" s="693">
        <v>1.3755495352413627</v>
      </c>
      <c r="E103" s="693">
        <v>1.0043997514235581</v>
      </c>
      <c r="F103" s="693">
        <v>1.121650024080912</v>
      </c>
      <c r="G103" s="693">
        <v>7.8492994982194482</v>
      </c>
      <c r="H103" s="693">
        <v>149.87969201154957</v>
      </c>
      <c r="I103" s="693">
        <v>4.7282526187945955</v>
      </c>
      <c r="J103" s="693">
        <v>0.56609985551452879</v>
      </c>
      <c r="K103" s="693">
        <v>1.4251499965223502</v>
      </c>
      <c r="L103" s="693">
        <v>3.7582961264631352</v>
      </c>
      <c r="M103" s="693">
        <v>38.279964258103682</v>
      </c>
      <c r="N103" s="693">
        <v>11.207672100471409</v>
      </c>
      <c r="O103" s="693">
        <v>7.2332835553986605</v>
      </c>
      <c r="P103" s="693">
        <v>7.2514551804423748</v>
      </c>
      <c r="Q103" s="693"/>
      <c r="R103" s="690">
        <v>15572.5</v>
      </c>
      <c r="S103" s="691">
        <v>15240.810000000001</v>
      </c>
      <c r="T103" s="692">
        <v>9766.2950000000001</v>
      </c>
      <c r="U103" s="692">
        <v>11320.93</v>
      </c>
      <c r="V103" s="692">
        <v>15504.285</v>
      </c>
      <c r="W103" s="692">
        <v>17466.895</v>
      </c>
      <c r="X103" s="692">
        <v>1983.9349999999999</v>
      </c>
      <c r="Y103" s="692">
        <v>103.9</v>
      </c>
      <c r="Z103" s="692">
        <v>3293.5</v>
      </c>
      <c r="AA103" s="692">
        <v>8815.59</v>
      </c>
      <c r="AB103" s="692">
        <v>10926.92</v>
      </c>
      <c r="AC103" s="692">
        <v>4143.5</v>
      </c>
      <c r="AD103" s="692">
        <v>406.80550000000005</v>
      </c>
      <c r="AE103" s="692">
        <v>1389.45</v>
      </c>
      <c r="AF103" s="692">
        <v>2152.895</v>
      </c>
      <c r="AG103" s="692">
        <v>10.88</v>
      </c>
      <c r="AH103" s="692">
        <v>187.70999999999998</v>
      </c>
      <c r="AI103" s="692">
        <v>2147.5</v>
      </c>
    </row>
    <row r="104" spans="1:35">
      <c r="A104" s="695">
        <v>44855</v>
      </c>
      <c r="B104" s="700">
        <v>0.97890004797697094</v>
      </c>
      <c r="C104" s="699">
        <v>0.62700015992323699</v>
      </c>
      <c r="D104" s="699">
        <v>1.3793502031855864</v>
      </c>
      <c r="E104" s="699">
        <v>1.0052498704251727</v>
      </c>
      <c r="F104" s="699">
        <v>1.1178998880537341</v>
      </c>
      <c r="G104" s="699">
        <v>7.8497488030168743</v>
      </c>
      <c r="H104" s="699">
        <v>150.48613785136698</v>
      </c>
      <c r="I104" s="699">
        <v>4.7369991985054929</v>
      </c>
      <c r="J104" s="699">
        <v>0.5661999040460578</v>
      </c>
      <c r="K104" s="699">
        <v>1.4267499762702704</v>
      </c>
      <c r="L104" s="699">
        <v>3.7582642144488521</v>
      </c>
      <c r="M104" s="699">
        <v>38.279954845202788</v>
      </c>
      <c r="N104" s="699">
        <v>11.287777862019416</v>
      </c>
      <c r="O104" s="699">
        <v>7.2473006615639237</v>
      </c>
      <c r="P104" s="699">
        <v>7.2658610271903319</v>
      </c>
      <c r="Q104" s="699"/>
      <c r="R104" s="696">
        <v>15632.5</v>
      </c>
      <c r="S104" s="697">
        <v>15302.654999999999</v>
      </c>
      <c r="T104" s="698">
        <v>9801.5800000000017</v>
      </c>
      <c r="U104" s="698">
        <v>11333.235000000001</v>
      </c>
      <c r="V104" s="698">
        <v>15550.86</v>
      </c>
      <c r="W104" s="698">
        <v>17475.57</v>
      </c>
      <c r="X104" s="698">
        <v>1991.4650000000001</v>
      </c>
      <c r="Y104" s="698">
        <v>103.88</v>
      </c>
      <c r="Z104" s="698">
        <v>3300.085</v>
      </c>
      <c r="AA104" s="698">
        <v>8851.119999999999</v>
      </c>
      <c r="AB104" s="698">
        <v>10956.720000000001</v>
      </c>
      <c r="AC104" s="698">
        <v>4159.5</v>
      </c>
      <c r="AD104" s="698">
        <v>408.37300000000005</v>
      </c>
      <c r="AE104" s="698">
        <v>1384.905</v>
      </c>
      <c r="AF104" s="698">
        <v>2157.0100000000002</v>
      </c>
      <c r="AG104" s="698">
        <v>10.85</v>
      </c>
      <c r="AH104" s="698">
        <v>188.95</v>
      </c>
      <c r="AI104" s="698">
        <v>2151.5</v>
      </c>
    </row>
    <row r="105" spans="1:35">
      <c r="A105" s="701">
        <v>44858</v>
      </c>
      <c r="B105" s="706">
        <v>0.98350003207801362</v>
      </c>
      <c r="C105" s="705">
        <v>0.63085006736382876</v>
      </c>
      <c r="D105" s="705">
        <v>1.3710498862662794</v>
      </c>
      <c r="E105" s="705">
        <v>0.99989992661284932</v>
      </c>
      <c r="F105" s="705">
        <v>1.1329498941425546</v>
      </c>
      <c r="G105" s="705">
        <v>7.8492492931042728</v>
      </c>
      <c r="H105" s="705">
        <v>149.26502274359589</v>
      </c>
      <c r="I105" s="705">
        <v>4.7379995957182617</v>
      </c>
      <c r="J105" s="705">
        <v>0.57179989735035608</v>
      </c>
      <c r="K105" s="705">
        <v>1.420849857272364</v>
      </c>
      <c r="L105" s="705">
        <v>3.7590739177619681</v>
      </c>
      <c r="M105" s="705">
        <v>38.069999755758005</v>
      </c>
      <c r="N105" s="705">
        <v>11.252283014373065</v>
      </c>
      <c r="O105" s="705">
        <v>7.2584438142337575</v>
      </c>
      <c r="P105" s="705">
        <v>7.2887537993920972</v>
      </c>
      <c r="Q105" s="705"/>
      <c r="R105" s="702">
        <v>15587</v>
      </c>
      <c r="S105" s="703">
        <v>15329.814999999999</v>
      </c>
      <c r="T105" s="704">
        <v>9833.06</v>
      </c>
      <c r="U105" s="704">
        <v>11368.66</v>
      </c>
      <c r="V105" s="704">
        <v>15588.560000000001</v>
      </c>
      <c r="W105" s="704">
        <v>17659.29</v>
      </c>
      <c r="X105" s="704">
        <v>1985.7950000000001</v>
      </c>
      <c r="Y105" s="704">
        <v>104.425</v>
      </c>
      <c r="Z105" s="704">
        <v>3289.7849999999999</v>
      </c>
      <c r="AA105" s="704">
        <v>8912.6450000000004</v>
      </c>
      <c r="AB105" s="704">
        <v>10970.195</v>
      </c>
      <c r="AC105" s="704">
        <v>4146.5</v>
      </c>
      <c r="AD105" s="704">
        <v>409.43</v>
      </c>
      <c r="AE105" s="704">
        <v>1385.23</v>
      </c>
      <c r="AF105" s="704">
        <v>2147.4300000000003</v>
      </c>
      <c r="AG105" s="704">
        <v>10.805</v>
      </c>
      <c r="AH105" s="704">
        <v>188.67000000000002</v>
      </c>
      <c r="AI105" s="704">
        <v>2138.5</v>
      </c>
    </row>
    <row r="106" spans="1:35">
      <c r="A106" s="707">
        <v>44859</v>
      </c>
      <c r="B106" s="712">
        <v>0.98559993598975837</v>
      </c>
      <c r="C106" s="711">
        <v>0.63279980796927515</v>
      </c>
      <c r="D106" s="711">
        <v>1.3715497260851244</v>
      </c>
      <c r="E106" s="711">
        <v>1.0025000737958127</v>
      </c>
      <c r="F106" s="711">
        <v>1.1293000480076811</v>
      </c>
      <c r="G106" s="711">
        <v>7.8498516454665817</v>
      </c>
      <c r="H106" s="711">
        <v>148.93464893464892</v>
      </c>
      <c r="I106" s="711">
        <v>4.7379961665372665</v>
      </c>
      <c r="J106" s="711">
        <v>0.5705501680268843</v>
      </c>
      <c r="K106" s="711">
        <v>1.424350118889586</v>
      </c>
      <c r="L106" s="711">
        <v>3.7581188356988213</v>
      </c>
      <c r="M106" s="711">
        <v>38.275009218097118</v>
      </c>
      <c r="N106" s="711">
        <v>11.150406475051209</v>
      </c>
      <c r="O106" s="711">
        <v>7.3069430575271221</v>
      </c>
      <c r="P106" s="711">
        <v>7.3362291617750648</v>
      </c>
      <c r="Q106" s="711"/>
      <c r="R106" s="708">
        <v>15622.5</v>
      </c>
      <c r="S106" s="709">
        <v>15397.535</v>
      </c>
      <c r="T106" s="710">
        <v>9885.9150000000009</v>
      </c>
      <c r="U106" s="710">
        <v>11390.4</v>
      </c>
      <c r="V106" s="710">
        <v>15583.54</v>
      </c>
      <c r="W106" s="710">
        <v>17642.489999999998</v>
      </c>
      <c r="X106" s="710">
        <v>1990.165</v>
      </c>
      <c r="Y106" s="710">
        <v>104.89500000000001</v>
      </c>
      <c r="Z106" s="710">
        <v>3297.28</v>
      </c>
      <c r="AA106" s="710">
        <v>8913.42</v>
      </c>
      <c r="AB106" s="710">
        <v>10968.16</v>
      </c>
      <c r="AC106" s="710">
        <v>4157</v>
      </c>
      <c r="AD106" s="710">
        <v>408.16449999999998</v>
      </c>
      <c r="AE106" s="710">
        <v>1401.0700000000002</v>
      </c>
      <c r="AF106" s="710">
        <v>2138.0349999999999</v>
      </c>
      <c r="AG106" s="710">
        <v>10.88</v>
      </c>
      <c r="AH106" s="710">
        <v>188.78500000000003</v>
      </c>
      <c r="AI106" s="710">
        <v>2129.5</v>
      </c>
    </row>
    <row r="107" spans="1:35">
      <c r="A107" s="713">
        <v>44860</v>
      </c>
      <c r="B107" s="718">
        <v>1.00330004174829</v>
      </c>
      <c r="C107" s="717">
        <v>0.64709977841292277</v>
      </c>
      <c r="D107" s="717">
        <v>1.3548998782117356</v>
      </c>
      <c r="E107" s="717">
        <v>0.98789989974746506</v>
      </c>
      <c r="F107" s="717">
        <v>1.1569000289026623</v>
      </c>
      <c r="G107" s="717">
        <v>7.8497458960190372</v>
      </c>
      <c r="H107" s="717">
        <v>147.14582742651922</v>
      </c>
      <c r="I107" s="717">
        <v>4.7179945606472673</v>
      </c>
      <c r="J107" s="717">
        <v>0.58039982016121261</v>
      </c>
      <c r="K107" s="717">
        <v>1.4087501849213651</v>
      </c>
      <c r="L107" s="717">
        <v>3.7593866956416759</v>
      </c>
      <c r="M107" s="717">
        <v>37.700007748484197</v>
      </c>
      <c r="N107" s="717">
        <v>10.902285912351768</v>
      </c>
      <c r="O107" s="717">
        <v>7.2236024988807008</v>
      </c>
      <c r="P107" s="717">
        <v>7.2365791308389493</v>
      </c>
      <c r="Q107" s="717"/>
      <c r="R107" s="714">
        <v>15569.5</v>
      </c>
      <c r="S107" s="715">
        <v>15620.880000000001</v>
      </c>
      <c r="T107" s="716">
        <v>10075.02</v>
      </c>
      <c r="U107" s="716">
        <v>11491.255000000001</v>
      </c>
      <c r="V107" s="716">
        <v>15760.2</v>
      </c>
      <c r="W107" s="716">
        <v>18012.355</v>
      </c>
      <c r="X107" s="716">
        <v>1983.44</v>
      </c>
      <c r="Y107" s="716">
        <v>105.81</v>
      </c>
      <c r="Z107" s="716">
        <v>3300.0250000000001</v>
      </c>
      <c r="AA107" s="716">
        <v>9036.5349999999999</v>
      </c>
      <c r="AB107" s="716">
        <v>11051.994999999999</v>
      </c>
      <c r="AC107" s="716">
        <v>4141.5</v>
      </c>
      <c r="AD107" s="716">
        <v>412.98400000000004</v>
      </c>
      <c r="AE107" s="716">
        <v>1428.095</v>
      </c>
      <c r="AF107" s="716">
        <v>2155.3649999999998</v>
      </c>
      <c r="AG107" s="716">
        <v>10.96</v>
      </c>
      <c r="AH107" s="716">
        <v>188.85500000000002</v>
      </c>
      <c r="AI107" s="716">
        <v>2151.5</v>
      </c>
    </row>
    <row r="108" spans="1:35">
      <c r="A108" s="719">
        <v>44861</v>
      </c>
      <c r="B108" s="724">
        <v>1.0066500722659388</v>
      </c>
      <c r="C108" s="723">
        <v>0.64725004014774368</v>
      </c>
      <c r="D108" s="723">
        <v>1.3581497929950268</v>
      </c>
      <c r="E108" s="723">
        <v>0.98699987858649318</v>
      </c>
      <c r="F108" s="723">
        <v>1.1593001445318771</v>
      </c>
      <c r="G108" s="723">
        <v>7.8491530679385981</v>
      </c>
      <c r="H108" s="723">
        <v>145.72217541888983</v>
      </c>
      <c r="I108" s="723">
        <v>4.7134963288168947</v>
      </c>
      <c r="J108" s="723">
        <v>0.58405010438413363</v>
      </c>
      <c r="K108" s="723">
        <v>1.4061499357330542</v>
      </c>
      <c r="L108" s="723">
        <v>3.7589037788240978</v>
      </c>
      <c r="M108" s="723">
        <v>37.720008141270426</v>
      </c>
      <c r="N108" s="723">
        <v>10.869603164351473</v>
      </c>
      <c r="O108" s="723">
        <v>7.2326072463128463</v>
      </c>
      <c r="P108" s="723">
        <v>7.2423819492905324</v>
      </c>
      <c r="Q108" s="723"/>
      <c r="R108" s="720">
        <v>15567.5</v>
      </c>
      <c r="S108" s="721">
        <v>15671.025000000001</v>
      </c>
      <c r="T108" s="722">
        <v>10076.065000000001</v>
      </c>
      <c r="U108" s="722">
        <v>11462.285</v>
      </c>
      <c r="V108" s="722">
        <v>15772.545</v>
      </c>
      <c r="W108" s="722">
        <v>18047.404999999999</v>
      </c>
      <c r="X108" s="722">
        <v>1983.335</v>
      </c>
      <c r="Y108" s="722">
        <v>106.83</v>
      </c>
      <c r="Z108" s="722">
        <v>3302.75</v>
      </c>
      <c r="AA108" s="722">
        <v>9092.2000000000007</v>
      </c>
      <c r="AB108" s="722">
        <v>11071.01</v>
      </c>
      <c r="AC108" s="722">
        <v>4141.5</v>
      </c>
      <c r="AD108" s="722">
        <v>412.71199999999999</v>
      </c>
      <c r="AE108" s="722">
        <v>1432.2049999999999</v>
      </c>
      <c r="AF108" s="722">
        <v>2152.4049999999997</v>
      </c>
      <c r="AG108" s="722">
        <v>10.965</v>
      </c>
      <c r="AH108" s="722">
        <v>189.10500000000002</v>
      </c>
      <c r="AI108" s="722">
        <v>2149.5</v>
      </c>
    </row>
    <row r="109" spans="1:35">
      <c r="A109" s="725">
        <v>44862</v>
      </c>
      <c r="B109" s="730">
        <v>0.99459987782529025</v>
      </c>
      <c r="C109" s="729">
        <v>0.64190013825032954</v>
      </c>
      <c r="D109" s="729">
        <v>1.3606998659993024</v>
      </c>
      <c r="E109" s="729">
        <v>0.99459993917856515</v>
      </c>
      <c r="F109" s="729">
        <v>1.1516001671864451</v>
      </c>
      <c r="G109" s="729">
        <v>7.848347211708302</v>
      </c>
      <c r="H109" s="729">
        <v>147.07996406109615</v>
      </c>
      <c r="I109" s="729">
        <v>4.7225001632218007</v>
      </c>
      <c r="J109" s="729">
        <v>0.58100022505867599</v>
      </c>
      <c r="K109" s="729">
        <v>1.4122000499443801</v>
      </c>
      <c r="L109" s="729">
        <v>3.7577624743264466</v>
      </c>
      <c r="M109" s="729">
        <v>37.814967690166014</v>
      </c>
      <c r="N109" s="729">
        <v>11.009989451252752</v>
      </c>
      <c r="O109" s="729">
        <v>7.2460459275791456</v>
      </c>
      <c r="P109" s="729">
        <v>7.2619659117441042</v>
      </c>
      <c r="Q109" s="729"/>
      <c r="R109" s="726">
        <v>15551.5</v>
      </c>
      <c r="S109" s="727">
        <v>15467.52</v>
      </c>
      <c r="T109" s="728">
        <v>9982.51</v>
      </c>
      <c r="U109" s="728">
        <v>11429.045000000002</v>
      </c>
      <c r="V109" s="728">
        <v>15635.935000000001</v>
      </c>
      <c r="W109" s="728">
        <v>17909.11</v>
      </c>
      <c r="X109" s="728">
        <v>1981.5</v>
      </c>
      <c r="Y109" s="728">
        <v>105.735</v>
      </c>
      <c r="Z109" s="728">
        <v>3293.0650000000001</v>
      </c>
      <c r="AA109" s="728">
        <v>9035.4249999999993</v>
      </c>
      <c r="AB109" s="728">
        <v>11012.25</v>
      </c>
      <c r="AC109" s="728">
        <v>4138.5</v>
      </c>
      <c r="AD109" s="728">
        <v>411.2525</v>
      </c>
      <c r="AE109" s="728">
        <v>1412.49</v>
      </c>
      <c r="AF109" s="728">
        <v>2146.2049999999999</v>
      </c>
      <c r="AG109" s="728">
        <v>10.914999999999999</v>
      </c>
      <c r="AH109" s="728">
        <v>188.58499999999998</v>
      </c>
      <c r="AI109" s="728">
        <v>2141.5</v>
      </c>
    </row>
    <row r="110" spans="1:35">
      <c r="A110" s="731">
        <v>44865</v>
      </c>
      <c r="B110" s="736">
        <v>0.99300016028209648</v>
      </c>
      <c r="C110" s="735">
        <v>0.64110017631030614</v>
      </c>
      <c r="D110" s="735">
        <v>1.3630002346309107</v>
      </c>
      <c r="E110" s="735">
        <v>0.99939994355048245</v>
      </c>
      <c r="F110" s="735">
        <v>1.1577999679435806</v>
      </c>
      <c r="G110" s="735">
        <v>7.8495365011625218</v>
      </c>
      <c r="H110" s="735">
        <v>148.01195672803189</v>
      </c>
      <c r="I110" s="735">
        <v>4.7290014598584404</v>
      </c>
      <c r="J110" s="735">
        <v>0.58189998397179044</v>
      </c>
      <c r="K110" s="735">
        <v>1.4126500445373078</v>
      </c>
      <c r="L110" s="735">
        <v>3.7570757557509333</v>
      </c>
      <c r="M110" s="735">
        <v>37.949983150913077</v>
      </c>
      <c r="N110" s="735">
        <v>10.983381452010423</v>
      </c>
      <c r="O110" s="735">
        <v>7.2909533280823817</v>
      </c>
      <c r="P110" s="735">
        <v>7.3073319278519557</v>
      </c>
      <c r="Q110" s="735"/>
      <c r="R110" s="732">
        <v>15597.5</v>
      </c>
      <c r="S110" s="733">
        <v>15488.32</v>
      </c>
      <c r="T110" s="734">
        <v>9999.56</v>
      </c>
      <c r="U110" s="734">
        <v>11443.505000000001</v>
      </c>
      <c r="V110" s="734">
        <v>15606.865</v>
      </c>
      <c r="W110" s="734">
        <v>18058.785</v>
      </c>
      <c r="X110" s="734">
        <v>1987.06</v>
      </c>
      <c r="Y110" s="734">
        <v>105.38</v>
      </c>
      <c r="Z110" s="734">
        <v>3298.2650000000003</v>
      </c>
      <c r="AA110" s="734">
        <v>9076.1850000000013</v>
      </c>
      <c r="AB110" s="734">
        <v>11041.305</v>
      </c>
      <c r="AC110" s="734">
        <v>4151.5</v>
      </c>
      <c r="AD110" s="734">
        <v>411.00149999999996</v>
      </c>
      <c r="AE110" s="734">
        <v>1420.1</v>
      </c>
      <c r="AF110" s="734">
        <v>2139.2950000000001</v>
      </c>
      <c r="AG110" s="734">
        <v>10.93</v>
      </c>
      <c r="AH110" s="734">
        <v>189.23000000000002</v>
      </c>
      <c r="AI110" s="734">
        <v>2134.5</v>
      </c>
    </row>
    <row r="111" spans="1:35">
      <c r="A111" s="737">
        <v>44866</v>
      </c>
      <c r="B111" s="742">
        <v>0.99300015997440416</v>
      </c>
      <c r="C111" s="741">
        <v>0.6424002559590466</v>
      </c>
      <c r="D111" s="741">
        <v>1.3566998531091887</v>
      </c>
      <c r="E111" s="741">
        <v>0.99780008306753531</v>
      </c>
      <c r="F111" s="741">
        <v>1.1518000319948809</v>
      </c>
      <c r="G111" s="741">
        <v>7.8491496649891008</v>
      </c>
      <c r="H111" s="741">
        <v>147.9246533200814</v>
      </c>
      <c r="I111" s="741">
        <v>4.7335046714110245</v>
      </c>
      <c r="J111" s="741">
        <v>0.58625019996800509</v>
      </c>
      <c r="K111" s="741">
        <v>1.4114496543066035</v>
      </c>
      <c r="L111" s="741">
        <v>3.7575138254388074</v>
      </c>
      <c r="M111" s="741">
        <v>37.839990895641286</v>
      </c>
      <c r="N111" s="741">
        <v>10.962589352731964</v>
      </c>
      <c r="O111" s="741">
        <v>7.2742548863535861</v>
      </c>
      <c r="P111" s="741">
        <v>7.2838499184339316</v>
      </c>
      <c r="Q111" s="741"/>
      <c r="R111" s="738">
        <v>15627.5</v>
      </c>
      <c r="S111" s="739">
        <v>15518.11</v>
      </c>
      <c r="T111" s="740">
        <v>10039.11</v>
      </c>
      <c r="U111" s="740">
        <v>11518.76</v>
      </c>
      <c r="V111" s="740">
        <v>15661.955</v>
      </c>
      <c r="W111" s="740">
        <v>17999.755000000001</v>
      </c>
      <c r="X111" s="740">
        <v>1990.98</v>
      </c>
      <c r="Y111" s="740">
        <v>105.64500000000001</v>
      </c>
      <c r="Z111" s="740">
        <v>3301.4650000000001</v>
      </c>
      <c r="AA111" s="740">
        <v>9161.625</v>
      </c>
      <c r="AB111" s="740">
        <v>11071.95</v>
      </c>
      <c r="AC111" s="740">
        <v>4159</v>
      </c>
      <c r="AD111" s="740">
        <v>412.98900000000003</v>
      </c>
      <c r="AE111" s="740">
        <v>1425.5300000000002</v>
      </c>
      <c r="AF111" s="740">
        <v>2148.33</v>
      </c>
      <c r="AG111" s="740">
        <v>11.015000000000001</v>
      </c>
      <c r="AH111" s="740">
        <v>189.11</v>
      </c>
      <c r="AI111" s="740">
        <v>2145.5</v>
      </c>
    </row>
    <row r="112" spans="1:35">
      <c r="A112" s="743">
        <v>44867</v>
      </c>
      <c r="B112" s="748">
        <v>0.98850007988496569</v>
      </c>
      <c r="C112" s="747">
        <v>0.64169995206902064</v>
      </c>
      <c r="D112" s="747">
        <v>1.3602996788658244</v>
      </c>
      <c r="E112" s="747">
        <v>0.99879997191423631</v>
      </c>
      <c r="F112" s="747">
        <v>1.1493999041380412</v>
      </c>
      <c r="G112" s="747">
        <v>7.8497523045086854</v>
      </c>
      <c r="H112" s="747">
        <v>147.34686190498613</v>
      </c>
      <c r="I112" s="747">
        <v>4.740000484678113</v>
      </c>
      <c r="J112" s="747">
        <v>0.58750023965489695</v>
      </c>
      <c r="K112" s="747">
        <v>1.4120998843517494</v>
      </c>
      <c r="L112" s="747">
        <v>3.7578049951969259</v>
      </c>
      <c r="M112" s="747">
        <v>37.699959161891179</v>
      </c>
      <c r="N112" s="747">
        <v>11.005299564289306</v>
      </c>
      <c r="O112" s="747">
        <v>7.2781947193261134</v>
      </c>
      <c r="P112" s="747">
        <v>7.2897740507803404</v>
      </c>
      <c r="Q112" s="747"/>
      <c r="R112" s="744">
        <v>15647.5</v>
      </c>
      <c r="S112" s="745">
        <v>15467.555</v>
      </c>
      <c r="T112" s="746">
        <v>10041</v>
      </c>
      <c r="U112" s="746">
        <v>11502.98</v>
      </c>
      <c r="V112" s="746">
        <v>15666.3</v>
      </c>
      <c r="W112" s="746">
        <v>17985.235000000001</v>
      </c>
      <c r="X112" s="746">
        <v>1993.375</v>
      </c>
      <c r="Y112" s="746">
        <v>106.19499999999999</v>
      </c>
      <c r="Z112" s="746">
        <v>3301.16</v>
      </c>
      <c r="AA112" s="746">
        <v>9192.91</v>
      </c>
      <c r="AB112" s="746">
        <v>11081.014999999999</v>
      </c>
      <c r="AC112" s="746">
        <v>4164</v>
      </c>
      <c r="AD112" s="746">
        <v>415.05349999999999</v>
      </c>
      <c r="AE112" s="746">
        <v>1421.8150000000001</v>
      </c>
      <c r="AF112" s="746">
        <v>2149.915</v>
      </c>
      <c r="AG112" s="746">
        <v>11.040000000000001</v>
      </c>
      <c r="AH112" s="746">
        <v>189.04500000000002</v>
      </c>
      <c r="AI112" s="746">
        <v>2146.5</v>
      </c>
    </row>
    <row r="113" spans="1:35">
      <c r="A113" s="749">
        <v>44868</v>
      </c>
      <c r="B113" s="754">
        <v>0.97839996177491795</v>
      </c>
      <c r="C113" s="753">
        <v>0.63240021660879819</v>
      </c>
      <c r="D113" s="753">
        <v>1.3730000135581182</v>
      </c>
      <c r="E113" s="753">
        <v>1.0069000865036641</v>
      </c>
      <c r="F113" s="753">
        <v>1.1345000477813525</v>
      </c>
      <c r="G113" s="753">
        <v>7.8498395925174851</v>
      </c>
      <c r="H113" s="753">
        <v>147.9057714958775</v>
      </c>
      <c r="I113" s="753">
        <v>4.746002037909963</v>
      </c>
      <c r="J113" s="753">
        <v>0.57959991080814199</v>
      </c>
      <c r="K113" s="753">
        <v>1.4200999810460326</v>
      </c>
      <c r="L113" s="753">
        <v>3.7578405554225522</v>
      </c>
      <c r="M113" s="753">
        <v>37.914983864422496</v>
      </c>
      <c r="N113" s="753">
        <v>11.149666145759339</v>
      </c>
      <c r="O113" s="753">
        <v>7.3159079574743764</v>
      </c>
      <c r="P113" s="753">
        <v>7.3399579144259999</v>
      </c>
      <c r="Q113" s="753"/>
      <c r="R113" s="750">
        <v>15696.5</v>
      </c>
      <c r="S113" s="751">
        <v>15357.455</v>
      </c>
      <c r="T113" s="752">
        <v>9926.4700000000012</v>
      </c>
      <c r="U113" s="752">
        <v>11432.264999999999</v>
      </c>
      <c r="V113" s="752">
        <v>15588.935000000001</v>
      </c>
      <c r="W113" s="752">
        <v>17807.68</v>
      </c>
      <c r="X113" s="752">
        <v>1999.595</v>
      </c>
      <c r="Y113" s="752">
        <v>106.125</v>
      </c>
      <c r="Z113" s="752">
        <v>3307.31</v>
      </c>
      <c r="AA113" s="752">
        <v>9097.69</v>
      </c>
      <c r="AB113" s="752">
        <v>11053.095000000001</v>
      </c>
      <c r="AC113" s="752">
        <v>4177</v>
      </c>
      <c r="AD113" s="752">
        <v>413.99200000000002</v>
      </c>
      <c r="AE113" s="752">
        <v>1407.8000000000002</v>
      </c>
      <c r="AF113" s="752">
        <v>2145.5300000000002</v>
      </c>
      <c r="AG113" s="752">
        <v>11</v>
      </c>
      <c r="AH113" s="752">
        <v>189.375</v>
      </c>
      <c r="AI113" s="752">
        <v>2138.5</v>
      </c>
    </row>
    <row r="114" spans="1:35">
      <c r="A114" s="755">
        <v>44869</v>
      </c>
      <c r="B114" s="760">
        <v>0.97640000000000005</v>
      </c>
      <c r="C114" s="759">
        <v>0.63370007942811757</v>
      </c>
      <c r="D114" s="759">
        <v>1.3670001176988185</v>
      </c>
      <c r="E114" s="759">
        <v>1.0114997641172907</v>
      </c>
      <c r="F114" s="759">
        <v>1.1201000794281175</v>
      </c>
      <c r="G114" s="759">
        <v>7.8499493712558426</v>
      </c>
      <c r="H114" s="759">
        <v>147.8879857162994</v>
      </c>
      <c r="I114" s="759">
        <v>4.7479978458646785</v>
      </c>
      <c r="J114" s="759">
        <v>0.58040000000000003</v>
      </c>
      <c r="K114" s="759">
        <v>1.4176497506557899</v>
      </c>
      <c r="L114" s="759">
        <v>3.7577602674307546</v>
      </c>
      <c r="M114" s="759">
        <v>37.6250382526203</v>
      </c>
      <c r="N114" s="759">
        <v>11.167525297682406</v>
      </c>
      <c r="O114" s="759">
        <v>7.2675089819253182</v>
      </c>
      <c r="P114" s="759">
        <v>7.2791396854764105</v>
      </c>
      <c r="Q114" s="759"/>
      <c r="R114" s="756">
        <v>15737.5</v>
      </c>
      <c r="S114" s="757">
        <v>15366.095000000001</v>
      </c>
      <c r="T114" s="758">
        <v>9972.8549999999996</v>
      </c>
      <c r="U114" s="758">
        <v>11512.435000000001</v>
      </c>
      <c r="V114" s="758">
        <v>15558.580000000002</v>
      </c>
      <c r="W114" s="758">
        <v>17627.575000000001</v>
      </c>
      <c r="X114" s="758">
        <v>2004.79</v>
      </c>
      <c r="Y114" s="758">
        <v>106.41499999999999</v>
      </c>
      <c r="Z114" s="758">
        <v>3314.5550000000003</v>
      </c>
      <c r="AA114" s="758">
        <v>9134.0450000000001</v>
      </c>
      <c r="AB114" s="758">
        <v>11101.119999999999</v>
      </c>
      <c r="AC114" s="758">
        <v>4188</v>
      </c>
      <c r="AD114" s="758">
        <v>418.27200000000005</v>
      </c>
      <c r="AE114" s="758">
        <v>1409.22</v>
      </c>
      <c r="AF114" s="758">
        <v>2165.46</v>
      </c>
      <c r="AG114" s="758">
        <v>11.06</v>
      </c>
      <c r="AH114" s="758">
        <v>190.51999999999998</v>
      </c>
      <c r="AI114" s="758">
        <v>2162</v>
      </c>
    </row>
    <row r="115" spans="1:35">
      <c r="A115" s="761">
        <v>44872</v>
      </c>
      <c r="B115" s="766">
        <v>0.99279993633614516</v>
      </c>
      <c r="C115" s="765">
        <v>0.64110011141174594</v>
      </c>
      <c r="D115" s="765">
        <v>1.3545496526635452</v>
      </c>
      <c r="E115" s="765">
        <v>0.99639976643361827</v>
      </c>
      <c r="F115" s="765">
        <v>1.1303498328823811</v>
      </c>
      <c r="G115" s="765">
        <v>7.8498643171630045</v>
      </c>
      <c r="H115" s="765">
        <v>147.51596543951916</v>
      </c>
      <c r="I115" s="765">
        <v>4.7454969516432124</v>
      </c>
      <c r="J115" s="765">
        <v>0.58765016711761897</v>
      </c>
      <c r="K115" s="765">
        <v>1.4089996573370243</v>
      </c>
      <c r="L115" s="765">
        <v>3.7577751196172251</v>
      </c>
      <c r="M115" s="765">
        <v>37.504984348548625</v>
      </c>
      <c r="N115" s="765">
        <v>10.950380814612126</v>
      </c>
      <c r="O115" s="765">
        <v>7.2497882641816851</v>
      </c>
      <c r="P115" s="765">
        <v>7.2568722568722572</v>
      </c>
      <c r="Q115" s="765"/>
      <c r="R115" s="762">
        <v>15707.5</v>
      </c>
      <c r="S115" s="763">
        <v>15594.405000000001</v>
      </c>
      <c r="T115" s="764">
        <v>10070.08</v>
      </c>
      <c r="U115" s="764">
        <v>11596.105</v>
      </c>
      <c r="V115" s="764">
        <v>15764.255000000001</v>
      </c>
      <c r="W115" s="764">
        <v>17754.97</v>
      </c>
      <c r="X115" s="764">
        <v>2000.99</v>
      </c>
      <c r="Y115" s="764">
        <v>106.48</v>
      </c>
      <c r="Z115" s="764">
        <v>3309.98</v>
      </c>
      <c r="AA115" s="764">
        <v>9230.5149999999994</v>
      </c>
      <c r="AB115" s="764">
        <v>11147.98</v>
      </c>
      <c r="AC115" s="764">
        <v>4180</v>
      </c>
      <c r="AD115" s="764">
        <v>418.81100000000004</v>
      </c>
      <c r="AE115" s="764">
        <v>1434.4250000000002</v>
      </c>
      <c r="AF115" s="764">
        <v>2166.6149999999998</v>
      </c>
      <c r="AG115" s="764">
        <v>11.164999999999999</v>
      </c>
      <c r="AH115" s="764">
        <v>190.82</v>
      </c>
      <c r="AI115" s="764">
        <v>2164.5</v>
      </c>
    </row>
    <row r="116" spans="1:35">
      <c r="A116" s="767">
        <v>44873</v>
      </c>
      <c r="B116" s="772">
        <v>0.99989998407389713</v>
      </c>
      <c r="C116" s="771">
        <v>0.64544991240643423</v>
      </c>
      <c r="D116" s="771">
        <v>1.3511501237747332</v>
      </c>
      <c r="E116" s="771">
        <v>0.99149985077761438</v>
      </c>
      <c r="F116" s="771">
        <v>1.1470001592610288</v>
      </c>
      <c r="G116" s="771">
        <v>7.8499471169353319</v>
      </c>
      <c r="H116" s="771">
        <v>146.75361099425047</v>
      </c>
      <c r="I116" s="771">
        <v>4.742497277161541</v>
      </c>
      <c r="J116" s="771">
        <v>0.5907501194457716</v>
      </c>
      <c r="K116" s="771">
        <v>1.4038493957343905</v>
      </c>
      <c r="L116" s="771">
        <v>3.7576301615798924</v>
      </c>
      <c r="M116" s="771">
        <v>37.364991520128534</v>
      </c>
      <c r="N116" s="771">
        <v>10.858775391618043</v>
      </c>
      <c r="O116" s="771">
        <v>7.2591609478182049</v>
      </c>
      <c r="P116" s="771">
        <v>7.2690437601296596</v>
      </c>
      <c r="Q116" s="771"/>
      <c r="R116" s="768">
        <v>15697.5</v>
      </c>
      <c r="S116" s="769">
        <v>15695.93</v>
      </c>
      <c r="T116" s="770">
        <v>10131.950000000001</v>
      </c>
      <c r="U116" s="770">
        <v>11617.880000000001</v>
      </c>
      <c r="V116" s="770">
        <v>15832.075000000001</v>
      </c>
      <c r="W116" s="770">
        <v>18005.035</v>
      </c>
      <c r="X116" s="770">
        <v>1999.6950000000002</v>
      </c>
      <c r="Y116" s="770">
        <v>106.965</v>
      </c>
      <c r="Z116" s="770">
        <v>3309.9650000000001</v>
      </c>
      <c r="AA116" s="770">
        <v>9273.2999999999993</v>
      </c>
      <c r="AB116" s="770">
        <v>11181.755000000001</v>
      </c>
      <c r="AC116" s="770">
        <v>4177.5</v>
      </c>
      <c r="AD116" s="770">
        <v>420.11250000000001</v>
      </c>
      <c r="AE116" s="770">
        <v>1445.605</v>
      </c>
      <c r="AF116" s="770">
        <v>2162.44</v>
      </c>
      <c r="AG116" s="770">
        <v>11.32</v>
      </c>
      <c r="AH116" s="770">
        <v>191.63499999999999</v>
      </c>
      <c r="AI116" s="770">
        <v>2159.5</v>
      </c>
    </row>
    <row r="117" spans="1:35">
      <c r="A117" s="773">
        <v>44874</v>
      </c>
      <c r="B117" s="778">
        <v>1.0063999489128006</v>
      </c>
      <c r="C117" s="777">
        <v>0.64990006066604944</v>
      </c>
      <c r="D117" s="777">
        <v>1.3436498504862948</v>
      </c>
      <c r="E117" s="777">
        <v>0.98549991330973985</v>
      </c>
      <c r="F117" s="777">
        <v>1.1522500718413742</v>
      </c>
      <c r="G117" s="777">
        <v>7.8495111443057892</v>
      </c>
      <c r="H117" s="777">
        <v>145.52762418103248</v>
      </c>
      <c r="I117" s="777">
        <v>4.7050039585189278</v>
      </c>
      <c r="J117" s="777">
        <v>0.59394999840352491</v>
      </c>
      <c r="K117" s="777">
        <v>1.3975501039048315</v>
      </c>
      <c r="L117" s="777">
        <v>3.7588814210273642</v>
      </c>
      <c r="M117" s="777">
        <v>36.790004827961297</v>
      </c>
      <c r="N117" s="777">
        <v>10.743382078012068</v>
      </c>
      <c r="O117" s="777">
        <v>7.2471514915910005</v>
      </c>
      <c r="P117" s="777">
        <v>7.2514470942347762</v>
      </c>
      <c r="Q117" s="777"/>
      <c r="R117" s="774">
        <v>15659.5</v>
      </c>
      <c r="S117" s="775">
        <v>15759.720000000001</v>
      </c>
      <c r="T117" s="776">
        <v>10177.11</v>
      </c>
      <c r="U117" s="776">
        <v>11654.45</v>
      </c>
      <c r="V117" s="776">
        <v>15889.904999999999</v>
      </c>
      <c r="W117" s="776">
        <v>18043.66</v>
      </c>
      <c r="X117" s="776">
        <v>1994.9650000000001</v>
      </c>
      <c r="Y117" s="776">
        <v>107.605</v>
      </c>
      <c r="Z117" s="776">
        <v>3328.2650000000003</v>
      </c>
      <c r="AA117" s="776">
        <v>9300.9599999999991</v>
      </c>
      <c r="AB117" s="776">
        <v>11204.965</v>
      </c>
      <c r="AC117" s="776">
        <v>4166</v>
      </c>
      <c r="AD117" s="776">
        <v>425.64550000000003</v>
      </c>
      <c r="AE117" s="776">
        <v>1457.595</v>
      </c>
      <c r="AF117" s="776">
        <v>2160.7799999999997</v>
      </c>
      <c r="AG117" s="776">
        <v>11.49</v>
      </c>
      <c r="AH117" s="776">
        <v>192.39500000000001</v>
      </c>
      <c r="AI117" s="776">
        <v>2159.5</v>
      </c>
    </row>
    <row r="118" spans="1:35">
      <c r="A118" s="779">
        <v>44875</v>
      </c>
      <c r="B118" s="784">
        <v>0.9997998852845581</v>
      </c>
      <c r="C118" s="783">
        <v>0.64010005735772102</v>
      </c>
      <c r="D118" s="783">
        <v>1.354699792102664</v>
      </c>
      <c r="E118" s="783">
        <v>0.98609995613423174</v>
      </c>
      <c r="F118" s="783">
        <v>1.1382999808807599</v>
      </c>
      <c r="G118" s="783">
        <v>7.849542514394912</v>
      </c>
      <c r="H118" s="783">
        <v>146.30303030303031</v>
      </c>
      <c r="I118" s="783">
        <v>4.7030014566686047</v>
      </c>
      <c r="J118" s="783">
        <v>0.585750111528902</v>
      </c>
      <c r="K118" s="783">
        <v>1.4022498017180711</v>
      </c>
      <c r="L118" s="783">
        <v>3.7596741344195519</v>
      </c>
      <c r="M118" s="783">
        <v>36.915005616887129</v>
      </c>
      <c r="N118" s="783">
        <v>10.898571259889007</v>
      </c>
      <c r="O118" s="783">
        <v>7.2512090354750534</v>
      </c>
      <c r="P118" s="783">
        <v>7.2593106638908163</v>
      </c>
      <c r="Q118" s="783"/>
      <c r="R118" s="780">
        <v>15691</v>
      </c>
      <c r="S118" s="781">
        <v>15687.86</v>
      </c>
      <c r="T118" s="782">
        <v>10043.810000000001</v>
      </c>
      <c r="U118" s="782">
        <v>11582.64</v>
      </c>
      <c r="V118" s="782">
        <v>15912.18</v>
      </c>
      <c r="W118" s="782">
        <v>17861.065000000002</v>
      </c>
      <c r="X118" s="782">
        <v>1998.9700000000003</v>
      </c>
      <c r="Y118" s="782">
        <v>107.25</v>
      </c>
      <c r="Z118" s="782">
        <v>3336.38</v>
      </c>
      <c r="AA118" s="782">
        <v>9191.005000000001</v>
      </c>
      <c r="AB118" s="782">
        <v>11189.875</v>
      </c>
      <c r="AC118" s="782">
        <v>4173.5</v>
      </c>
      <c r="AD118" s="782">
        <v>425.0575</v>
      </c>
      <c r="AE118" s="782">
        <v>1439.73</v>
      </c>
      <c r="AF118" s="782">
        <v>2163.915</v>
      </c>
      <c r="AG118" s="782">
        <v>11.35</v>
      </c>
      <c r="AH118" s="782">
        <v>191.655</v>
      </c>
      <c r="AI118" s="782">
        <v>2161.5</v>
      </c>
    </row>
    <row r="119" spans="1:35">
      <c r="A119" s="785">
        <v>44876</v>
      </c>
      <c r="B119" s="790">
        <v>1.0245001613423685</v>
      </c>
      <c r="C119" s="789">
        <v>0.66545014520813173</v>
      </c>
      <c r="D119" s="789">
        <v>1.3303500980054621</v>
      </c>
      <c r="E119" s="789">
        <v>0.96289992272564995</v>
      </c>
      <c r="F119" s="789">
        <v>1.1745501774766052</v>
      </c>
      <c r="G119" s="789">
        <v>7.8367012520008998</v>
      </c>
      <c r="H119" s="789">
        <v>141.20380917665284</v>
      </c>
      <c r="I119" s="789">
        <v>4.6129869201948797</v>
      </c>
      <c r="J119" s="789">
        <v>0.60389996773152632</v>
      </c>
      <c r="K119" s="789">
        <v>1.3772500862170109</v>
      </c>
      <c r="L119" s="789">
        <v>3.7595535605968702</v>
      </c>
      <c r="M119" s="789">
        <v>35.970012222143552</v>
      </c>
      <c r="N119" s="789">
        <v>10.547309738308279</v>
      </c>
      <c r="O119" s="789">
        <v>7.1054514105433055</v>
      </c>
      <c r="P119" s="789">
        <v>7.0964048545912526</v>
      </c>
      <c r="Q119" s="789"/>
      <c r="R119" s="786">
        <v>15495</v>
      </c>
      <c r="S119" s="787">
        <v>15874.630000000001</v>
      </c>
      <c r="T119" s="788">
        <v>10311.150000000001</v>
      </c>
      <c r="U119" s="788">
        <v>11647.310000000001</v>
      </c>
      <c r="V119" s="788">
        <v>16092.014999999999</v>
      </c>
      <c r="W119" s="788">
        <v>18199.654999999999</v>
      </c>
      <c r="X119" s="788">
        <v>1977.2350000000001</v>
      </c>
      <c r="Y119" s="788">
        <v>109.73500000000001</v>
      </c>
      <c r="Z119" s="788">
        <v>3358.9949999999999</v>
      </c>
      <c r="AA119" s="788">
        <v>9357.43</v>
      </c>
      <c r="AB119" s="788">
        <v>11250.68</v>
      </c>
      <c r="AC119" s="788">
        <v>4121.5</v>
      </c>
      <c r="AD119" s="788">
        <v>430.77549999999997</v>
      </c>
      <c r="AE119" s="788">
        <v>1469.095</v>
      </c>
      <c r="AF119" s="788">
        <v>2180.7200000000003</v>
      </c>
      <c r="AG119" s="788">
        <v>11.734999999999999</v>
      </c>
      <c r="AH119" s="788">
        <v>191.745</v>
      </c>
      <c r="AI119" s="788">
        <v>2183.5</v>
      </c>
    </row>
    <row r="120" spans="1:35">
      <c r="A120" s="791">
        <v>44879</v>
      </c>
      <c r="B120" s="796">
        <v>1.0328000644433704</v>
      </c>
      <c r="C120" s="795">
        <v>0.66954986305783804</v>
      </c>
      <c r="D120" s="795">
        <v>1.3263999535001403</v>
      </c>
      <c r="E120" s="795">
        <v>0.94549978963505554</v>
      </c>
      <c r="F120" s="795">
        <v>1.1789998388915741</v>
      </c>
      <c r="G120" s="795">
        <v>7.8385464023761902</v>
      </c>
      <c r="H120" s="795">
        <v>139.50822619796816</v>
      </c>
      <c r="I120" s="795">
        <v>4.5899917917014834</v>
      </c>
      <c r="J120" s="795">
        <v>0.60960012888674087</v>
      </c>
      <c r="K120" s="795">
        <v>1.3724503423718557</v>
      </c>
      <c r="L120" s="795">
        <v>3.7590843023255816</v>
      </c>
      <c r="M120" s="795">
        <v>35.804974509073247</v>
      </c>
      <c r="N120" s="795">
        <v>10.395417776214641</v>
      </c>
      <c r="O120" s="795">
        <v>7.0386120088450417</v>
      </c>
      <c r="P120" s="795">
        <v>7.0326308633582597</v>
      </c>
      <c r="Q120" s="795"/>
      <c r="R120" s="792">
        <v>15517.5</v>
      </c>
      <c r="S120" s="793">
        <v>16026.475</v>
      </c>
      <c r="T120" s="794">
        <v>10389.740000000002</v>
      </c>
      <c r="U120" s="794">
        <v>11698.96</v>
      </c>
      <c r="V120" s="794">
        <v>16411.955000000002</v>
      </c>
      <c r="W120" s="794">
        <v>18295.13</v>
      </c>
      <c r="X120" s="794">
        <v>1979.6399999999999</v>
      </c>
      <c r="Y120" s="794">
        <v>111.23</v>
      </c>
      <c r="Z120" s="794">
        <v>3380.7250000000004</v>
      </c>
      <c r="AA120" s="794">
        <v>9459.4700000000012</v>
      </c>
      <c r="AB120" s="794">
        <v>11306.420000000002</v>
      </c>
      <c r="AC120" s="794">
        <v>4128</v>
      </c>
      <c r="AD120" s="794">
        <v>433.3895</v>
      </c>
      <c r="AE120" s="794">
        <v>1492.7249999999999</v>
      </c>
      <c r="AF120" s="794">
        <v>2204.625</v>
      </c>
      <c r="AG120" s="794">
        <v>11.725000000000001</v>
      </c>
      <c r="AH120" s="794">
        <v>191.39499999999998</v>
      </c>
      <c r="AI120" s="794">
        <v>2206.5</v>
      </c>
    </row>
    <row r="121" spans="1:35">
      <c r="A121" s="797">
        <v>44880</v>
      </c>
      <c r="B121" s="802">
        <v>1.0407999999999999</v>
      </c>
      <c r="C121" s="801">
        <v>0.67614995977473857</v>
      </c>
      <c r="D121" s="801">
        <v>1.3256002740355965</v>
      </c>
      <c r="E121" s="801">
        <v>0.93979988235489798</v>
      </c>
      <c r="F121" s="801">
        <v>1.1830999195494771</v>
      </c>
      <c r="G121" s="801">
        <v>7.8272587592252076</v>
      </c>
      <c r="H121" s="801">
        <v>139.34977578475338</v>
      </c>
      <c r="I121" s="801">
        <v>4.5499935575312458</v>
      </c>
      <c r="J121" s="801">
        <v>0.61589991954947709</v>
      </c>
      <c r="K121" s="801">
        <v>1.3673494980518295</v>
      </c>
      <c r="L121" s="801">
        <v>3.7584663763909045</v>
      </c>
      <c r="M121" s="801">
        <v>35.549998226790109</v>
      </c>
      <c r="N121" s="801">
        <v>10.380859799097374</v>
      </c>
      <c r="O121" s="801">
        <v>7.0348084358842016</v>
      </c>
      <c r="P121" s="801">
        <v>7.0289527256276862</v>
      </c>
      <c r="Q121" s="801"/>
      <c r="R121" s="798">
        <v>15537.5</v>
      </c>
      <c r="S121" s="799">
        <v>16171.43</v>
      </c>
      <c r="T121" s="800">
        <v>10505.68</v>
      </c>
      <c r="U121" s="800">
        <v>11721.105</v>
      </c>
      <c r="V121" s="800">
        <v>16532.775000000001</v>
      </c>
      <c r="W121" s="800">
        <v>18382.415000000001</v>
      </c>
      <c r="X121" s="800">
        <v>1985.0500000000002</v>
      </c>
      <c r="Y121" s="800">
        <v>111.5</v>
      </c>
      <c r="Z121" s="800">
        <v>3414.84</v>
      </c>
      <c r="AA121" s="800">
        <v>9569.5450000000001</v>
      </c>
      <c r="AB121" s="800">
        <v>11363.225</v>
      </c>
      <c r="AC121" s="800">
        <v>4134</v>
      </c>
      <c r="AD121" s="800">
        <v>437.06050000000005</v>
      </c>
      <c r="AE121" s="800">
        <v>1496.7450000000001</v>
      </c>
      <c r="AF121" s="800">
        <v>2208.66</v>
      </c>
      <c r="AG121" s="800">
        <v>11.870000000000001</v>
      </c>
      <c r="AH121" s="800">
        <v>191.51499999999999</v>
      </c>
      <c r="AI121" s="800">
        <v>2210.5</v>
      </c>
    </row>
    <row r="122" spans="1:35">
      <c r="A122" s="803">
        <v>44881</v>
      </c>
      <c r="B122" s="808">
        <v>1.0402499599423169</v>
      </c>
      <c r="C122" s="807">
        <v>0.6780499919884635</v>
      </c>
      <c r="D122" s="807">
        <v>1.325450432273964</v>
      </c>
      <c r="E122" s="807">
        <v>0.94254991391548615</v>
      </c>
      <c r="F122" s="807">
        <v>1.1893001121615125</v>
      </c>
      <c r="G122" s="807">
        <v>7.8232332855323454</v>
      </c>
      <c r="H122" s="807">
        <v>139.37647952119346</v>
      </c>
      <c r="I122" s="807">
        <v>4.534997449472673</v>
      </c>
      <c r="J122" s="807">
        <v>0.61720012818458592</v>
      </c>
      <c r="K122" s="807">
        <v>1.3676997573598508</v>
      </c>
      <c r="L122" s="807">
        <v>3.7587328354613345</v>
      </c>
      <c r="M122" s="807">
        <v>35.675007030965972</v>
      </c>
      <c r="N122" s="807">
        <v>10.425715316663771</v>
      </c>
      <c r="O122" s="807">
        <v>7.0706567179735851</v>
      </c>
      <c r="P122" s="807">
        <v>7.0743595556563141</v>
      </c>
      <c r="Q122" s="807"/>
      <c r="R122" s="804">
        <v>15602.5</v>
      </c>
      <c r="S122" s="805">
        <v>16230.5</v>
      </c>
      <c r="T122" s="806">
        <v>10579.275000000001</v>
      </c>
      <c r="U122" s="806">
        <v>11771.470000000001</v>
      </c>
      <c r="V122" s="806">
        <v>16553.5</v>
      </c>
      <c r="W122" s="806">
        <v>18556.055</v>
      </c>
      <c r="X122" s="806">
        <v>1994.38</v>
      </c>
      <c r="Y122" s="806">
        <v>111.94499999999999</v>
      </c>
      <c r="Z122" s="806">
        <v>3440.4650000000001</v>
      </c>
      <c r="AA122" s="806">
        <v>9629.8650000000016</v>
      </c>
      <c r="AB122" s="806">
        <v>11407.84</v>
      </c>
      <c r="AC122" s="806">
        <v>4151</v>
      </c>
      <c r="AD122" s="806">
        <v>437.351</v>
      </c>
      <c r="AE122" s="806">
        <v>1496.54</v>
      </c>
      <c r="AF122" s="806">
        <v>2206.6549999999997</v>
      </c>
      <c r="AG122" s="806">
        <v>11.8</v>
      </c>
      <c r="AH122" s="806">
        <v>191.995</v>
      </c>
      <c r="AI122" s="806">
        <v>2205.5</v>
      </c>
    </row>
    <row r="123" spans="1:35">
      <c r="A123" s="809">
        <v>44882</v>
      </c>
      <c r="B123" s="814">
        <v>1.0392501197126895</v>
      </c>
      <c r="C123" s="813">
        <v>0.67390007980845978</v>
      </c>
      <c r="D123" s="813">
        <v>1.3319998452201296</v>
      </c>
      <c r="E123" s="813">
        <v>0.94464999398379335</v>
      </c>
      <c r="F123" s="813">
        <v>1.1935000798084596</v>
      </c>
      <c r="G123" s="813">
        <v>7.8260456796230509</v>
      </c>
      <c r="H123" s="813">
        <v>139.32129514321295</v>
      </c>
      <c r="I123" s="813">
        <v>4.5534957619419334</v>
      </c>
      <c r="J123" s="813">
        <v>0.61524980047885081</v>
      </c>
      <c r="K123" s="813">
        <v>1.3710501609588817</v>
      </c>
      <c r="L123" s="813">
        <v>3.7586993040556758</v>
      </c>
      <c r="M123" s="813">
        <v>35.759989680117897</v>
      </c>
      <c r="N123" s="813">
        <v>10.485390746077812</v>
      </c>
      <c r="O123" s="813">
        <v>7.1221022763443882</v>
      </c>
      <c r="P123" s="813">
        <v>7.1290395994538009</v>
      </c>
      <c r="Q123" s="813"/>
      <c r="R123" s="810">
        <v>15662.5</v>
      </c>
      <c r="S123" s="811">
        <v>16277.255000000001</v>
      </c>
      <c r="T123" s="812">
        <v>10554.960000000001</v>
      </c>
      <c r="U123" s="812">
        <v>11758.635</v>
      </c>
      <c r="V123" s="812">
        <v>16580.215</v>
      </c>
      <c r="W123" s="812">
        <v>18693.195</v>
      </c>
      <c r="X123" s="812">
        <v>2001.33</v>
      </c>
      <c r="Y123" s="812">
        <v>112.42</v>
      </c>
      <c r="Z123" s="812">
        <v>3439.665</v>
      </c>
      <c r="AA123" s="812">
        <v>9636.35</v>
      </c>
      <c r="AB123" s="812">
        <v>11423.725</v>
      </c>
      <c r="AC123" s="812">
        <v>4167</v>
      </c>
      <c r="AD123" s="812">
        <v>437.98950000000002</v>
      </c>
      <c r="AE123" s="812">
        <v>1493.7449999999999</v>
      </c>
      <c r="AF123" s="812">
        <v>2199.1400000000003</v>
      </c>
      <c r="AG123" s="812">
        <v>11.695</v>
      </c>
      <c r="AH123" s="812">
        <v>192.16000000000003</v>
      </c>
      <c r="AI123" s="812">
        <v>2197</v>
      </c>
    </row>
    <row r="124" spans="1:35">
      <c r="A124" s="815">
        <v>44883</v>
      </c>
      <c r="B124" s="820">
        <v>1.0376000000000001</v>
      </c>
      <c r="C124" s="819">
        <v>0.67130007968127492</v>
      </c>
      <c r="D124" s="819">
        <v>1.3318498683644162</v>
      </c>
      <c r="E124" s="819">
        <v>0.95099993665052229</v>
      </c>
      <c r="F124" s="819">
        <v>1.1917498007968128</v>
      </c>
      <c r="G124" s="819">
        <v>7.8228434508775297</v>
      </c>
      <c r="H124" s="819">
        <v>139.83598520301288</v>
      </c>
      <c r="I124" s="819">
        <v>4.5534961416830306</v>
      </c>
      <c r="J124" s="819">
        <v>0.61735011952191232</v>
      </c>
      <c r="K124" s="819">
        <v>1.3730000148787254</v>
      </c>
      <c r="L124" s="819">
        <v>3.7583852419741257</v>
      </c>
      <c r="M124" s="819">
        <v>35.869974059292069</v>
      </c>
      <c r="N124" s="819">
        <v>10.59032407235512</v>
      </c>
      <c r="O124" s="819">
        <v>7.1227496651456335</v>
      </c>
      <c r="P124" s="819">
        <v>7.1258233022938908</v>
      </c>
      <c r="Q124" s="819"/>
      <c r="R124" s="816">
        <v>15687.5</v>
      </c>
      <c r="S124" s="817">
        <v>16277.35</v>
      </c>
      <c r="T124" s="818">
        <v>10531.02</v>
      </c>
      <c r="U124" s="818">
        <v>11778.73</v>
      </c>
      <c r="V124" s="818">
        <v>16495.794999999998</v>
      </c>
      <c r="W124" s="818">
        <v>18695.575000000001</v>
      </c>
      <c r="X124" s="818">
        <v>2005.345</v>
      </c>
      <c r="Y124" s="818">
        <v>112.185</v>
      </c>
      <c r="Z124" s="818">
        <v>3445.1549999999997</v>
      </c>
      <c r="AA124" s="818">
        <v>9684.68</v>
      </c>
      <c r="AB124" s="818">
        <v>11425.71</v>
      </c>
      <c r="AC124" s="818">
        <v>4174</v>
      </c>
      <c r="AD124" s="818">
        <v>437.34350000000001</v>
      </c>
      <c r="AE124" s="818">
        <v>1481.3049999999998</v>
      </c>
      <c r="AF124" s="818">
        <v>2202.4499999999998</v>
      </c>
      <c r="AG124" s="818">
        <v>11.725000000000001</v>
      </c>
      <c r="AH124" s="818">
        <v>192.04500000000002</v>
      </c>
      <c r="AI124" s="818">
        <v>2201.5</v>
      </c>
    </row>
    <row r="125" spans="1:35">
      <c r="A125" s="821">
        <v>44886</v>
      </c>
      <c r="B125" s="826">
        <v>1.0251999999999999</v>
      </c>
      <c r="C125" s="825">
        <v>0.66370023866348449</v>
      </c>
      <c r="D125" s="825">
        <v>1.341650069484025</v>
      </c>
      <c r="E125" s="825">
        <v>0.95695018377706798</v>
      </c>
      <c r="F125" s="825">
        <v>1.1817501988862371</v>
      </c>
      <c r="G125" s="825">
        <v>7.8109465102406048</v>
      </c>
      <c r="H125" s="825">
        <v>140.86874663797741</v>
      </c>
      <c r="I125" s="825">
        <v>4.5724853513138344</v>
      </c>
      <c r="J125" s="825">
        <v>0.61230007955449484</v>
      </c>
      <c r="K125" s="825">
        <v>1.3794499056662579</v>
      </c>
      <c r="L125" s="825">
        <v>3.7580722315235588</v>
      </c>
      <c r="M125" s="825">
        <v>36.169997260633458</v>
      </c>
      <c r="N125" s="825">
        <v>10.714724093723575</v>
      </c>
      <c r="O125" s="825">
        <v>7.1655451856885195</v>
      </c>
      <c r="P125" s="825">
        <v>7.1681113138686134</v>
      </c>
      <c r="Q125" s="825"/>
      <c r="R125" s="822">
        <v>15712.5</v>
      </c>
      <c r="S125" s="823">
        <v>16108.455</v>
      </c>
      <c r="T125" s="824">
        <v>10428.39</v>
      </c>
      <c r="U125" s="824">
        <v>11711.325000000001</v>
      </c>
      <c r="V125" s="824">
        <v>16419.349999999999</v>
      </c>
      <c r="W125" s="824">
        <v>18568.25</v>
      </c>
      <c r="X125" s="824">
        <v>2011.6</v>
      </c>
      <c r="Y125" s="824">
        <v>111.54</v>
      </c>
      <c r="Z125" s="824">
        <v>3436.3150000000001</v>
      </c>
      <c r="AA125" s="824">
        <v>9620.7649999999994</v>
      </c>
      <c r="AB125" s="824">
        <v>11390.41</v>
      </c>
      <c r="AC125" s="824">
        <v>4181</v>
      </c>
      <c r="AD125" s="824">
        <v>434.40700000000004</v>
      </c>
      <c r="AE125" s="824">
        <v>1466.44</v>
      </c>
      <c r="AF125" s="824">
        <v>2192.7849999999999</v>
      </c>
      <c r="AG125" s="824">
        <v>11.574999999999999</v>
      </c>
      <c r="AH125" s="824">
        <v>192.11500000000001</v>
      </c>
      <c r="AI125" s="824">
        <v>2192</v>
      </c>
    </row>
    <row r="126" spans="1:35">
      <c r="A126" s="827">
        <v>44887</v>
      </c>
      <c r="B126" s="832">
        <v>1.0264999681467797</v>
      </c>
      <c r="C126" s="831">
        <v>0.66180002548257633</v>
      </c>
      <c r="D126" s="831">
        <v>1.342449480684917</v>
      </c>
      <c r="E126" s="831">
        <v>0.95685000856452973</v>
      </c>
      <c r="F126" s="831">
        <v>1.1847502707523732</v>
      </c>
      <c r="G126" s="831">
        <v>7.8136511160225393</v>
      </c>
      <c r="H126" s="831">
        <v>141.81686768758186</v>
      </c>
      <c r="I126" s="831">
        <v>4.5754977533510264</v>
      </c>
      <c r="J126" s="831">
        <v>0.61290023571383068</v>
      </c>
      <c r="K126" s="831">
        <v>1.3804499719899779</v>
      </c>
      <c r="L126" s="831">
        <v>3.758860153256705</v>
      </c>
      <c r="M126" s="831">
        <v>36.145008329908109</v>
      </c>
      <c r="N126" s="831">
        <v>10.693362036078259</v>
      </c>
      <c r="O126" s="831">
        <v>7.158705075671028</v>
      </c>
      <c r="P126" s="831">
        <v>7.1626739676020987</v>
      </c>
      <c r="Q126" s="831"/>
      <c r="R126" s="828">
        <v>15697</v>
      </c>
      <c r="S126" s="829">
        <v>16112.970000000001</v>
      </c>
      <c r="T126" s="830">
        <v>10388.275000000001</v>
      </c>
      <c r="U126" s="830">
        <v>11692.805</v>
      </c>
      <c r="V126" s="830">
        <v>16404.870000000003</v>
      </c>
      <c r="W126" s="830">
        <v>18597.025000000001</v>
      </c>
      <c r="X126" s="830">
        <v>2008.92</v>
      </c>
      <c r="Y126" s="830">
        <v>110.685</v>
      </c>
      <c r="Z126" s="830">
        <v>3430.665</v>
      </c>
      <c r="AA126" s="830">
        <v>9620.6949999999997</v>
      </c>
      <c r="AB126" s="830">
        <v>11370.93</v>
      </c>
      <c r="AC126" s="830">
        <v>4176</v>
      </c>
      <c r="AD126" s="830">
        <v>434.27850000000001</v>
      </c>
      <c r="AE126" s="830">
        <v>1467.92</v>
      </c>
      <c r="AF126" s="830">
        <v>2192.7150000000001</v>
      </c>
      <c r="AG126" s="830">
        <v>11.574999999999999</v>
      </c>
      <c r="AH126" s="830">
        <v>192.08500000000001</v>
      </c>
      <c r="AI126" s="830">
        <v>2191.5</v>
      </c>
    </row>
    <row r="127" spans="1:35">
      <c r="A127" s="833">
        <v>44888</v>
      </c>
      <c r="B127" s="838">
        <v>1.0342501514040736</v>
      </c>
      <c r="C127" s="837">
        <v>0.66635004621808569</v>
      </c>
      <c r="D127" s="837">
        <v>1.336899762986119</v>
      </c>
      <c r="E127" s="837">
        <v>0.94984987630728113</v>
      </c>
      <c r="F127" s="837">
        <v>1.1903503012144201</v>
      </c>
      <c r="G127" s="837">
        <v>7.8163032943925819</v>
      </c>
      <c r="H127" s="837">
        <v>141.16085489313835</v>
      </c>
      <c r="I127" s="837">
        <v>4.5742504676603568</v>
      </c>
      <c r="J127" s="837">
        <v>0.61879992350109969</v>
      </c>
      <c r="K127" s="837">
        <v>1.3809499076080116</v>
      </c>
      <c r="L127" s="837">
        <v>3.7590462497004551</v>
      </c>
      <c r="M127" s="837">
        <v>36.174974661490189</v>
      </c>
      <c r="N127" s="837">
        <v>10.604432005624508</v>
      </c>
      <c r="O127" s="837">
        <v>7.1494984207431846</v>
      </c>
      <c r="P127" s="837">
        <v>7.1513562799179393</v>
      </c>
      <c r="Q127" s="837"/>
      <c r="R127" s="834">
        <v>15686.5</v>
      </c>
      <c r="S127" s="835">
        <v>16223.764999999999</v>
      </c>
      <c r="T127" s="836">
        <v>10452.700000000001</v>
      </c>
      <c r="U127" s="836">
        <v>11733.490000000002</v>
      </c>
      <c r="V127" s="836">
        <v>16514.715</v>
      </c>
      <c r="W127" s="836">
        <v>18672.43</v>
      </c>
      <c r="X127" s="836">
        <v>2006.895</v>
      </c>
      <c r="Y127" s="836">
        <v>111.125</v>
      </c>
      <c r="Z127" s="836">
        <v>3429.3050000000003</v>
      </c>
      <c r="AA127" s="836">
        <v>9706.8050000000003</v>
      </c>
      <c r="AB127" s="836">
        <v>11359.21</v>
      </c>
      <c r="AC127" s="836">
        <v>4173</v>
      </c>
      <c r="AD127" s="836">
        <v>433.62850000000003</v>
      </c>
      <c r="AE127" s="836">
        <v>1479.2400000000002</v>
      </c>
      <c r="AF127" s="836">
        <v>2194.0700000000002</v>
      </c>
      <c r="AG127" s="836">
        <v>11.63</v>
      </c>
      <c r="AH127" s="836">
        <v>191.82</v>
      </c>
      <c r="AI127" s="836">
        <v>2193.5</v>
      </c>
    </row>
    <row r="128" spans="1:35" s="31" customFormat="1">
      <c r="A128" s="833">
        <v>44889</v>
      </c>
      <c r="B128" s="838">
        <v>1.0416000000000001</v>
      </c>
      <c r="C128" s="837">
        <v>0.67459999999999998</v>
      </c>
      <c r="D128" s="837">
        <v>1.3354999999999999</v>
      </c>
      <c r="E128" s="837">
        <v>0.94140000000000001</v>
      </c>
      <c r="F128" s="837">
        <v>1.2081999999999999</v>
      </c>
      <c r="G128" s="837">
        <v>7.8072999999999997</v>
      </c>
      <c r="H128" s="837">
        <v>138.97710000000001</v>
      </c>
      <c r="I128" s="837">
        <v>4.4859999999999998</v>
      </c>
      <c r="J128" s="837">
        <v>0.62439999999999996</v>
      </c>
      <c r="K128" s="837">
        <v>1.3752</v>
      </c>
      <c r="L128" s="837">
        <v>3.7581000000000002</v>
      </c>
      <c r="M128" s="837">
        <v>35.865000000000002</v>
      </c>
      <c r="N128" s="837">
        <v>10.431900000000001</v>
      </c>
      <c r="O128" s="837">
        <v>7.1489000000000003</v>
      </c>
      <c r="P128" s="837">
        <v>7.1547999999999998</v>
      </c>
      <c r="Q128" s="837"/>
      <c r="R128" s="834">
        <v>15665.5</v>
      </c>
      <c r="S128" s="835">
        <v>16317.19</v>
      </c>
      <c r="T128" s="836">
        <v>10567.95</v>
      </c>
      <c r="U128" s="836">
        <v>11730.5</v>
      </c>
      <c r="V128" s="836">
        <v>16640.64</v>
      </c>
      <c r="W128" s="836">
        <v>18927.84</v>
      </c>
      <c r="X128" s="836">
        <v>2006.51</v>
      </c>
      <c r="Y128" s="836">
        <v>112.72</v>
      </c>
      <c r="Z128" s="836">
        <v>3492.09</v>
      </c>
      <c r="AA128" s="836">
        <v>9780.76</v>
      </c>
      <c r="AB128" s="836">
        <v>11391.02</v>
      </c>
      <c r="AC128" s="836">
        <v>4168.5</v>
      </c>
      <c r="AD128" s="836">
        <v>436.79</v>
      </c>
      <c r="AE128" s="836">
        <v>1501.69</v>
      </c>
      <c r="AF128" s="836">
        <v>2191.33</v>
      </c>
      <c r="AG128" s="836">
        <v>11.81</v>
      </c>
      <c r="AH128" s="836">
        <v>191.66</v>
      </c>
      <c r="AI128" s="836">
        <v>2189.5</v>
      </c>
    </row>
    <row r="129" spans="1:35">
      <c r="A129" s="839">
        <v>44890</v>
      </c>
      <c r="B129" s="844">
        <v>1.0408999840484927</v>
      </c>
      <c r="C129" s="843">
        <v>0.67550007975753723</v>
      </c>
      <c r="D129" s="843">
        <v>1.3348999793877303</v>
      </c>
      <c r="E129" s="843">
        <v>0.9456001612150986</v>
      </c>
      <c r="F129" s="843">
        <v>1.2092001914180892</v>
      </c>
      <c r="G129" s="843">
        <v>7.8087437003156381</v>
      </c>
      <c r="H129" s="843">
        <v>138.79295076160113</v>
      </c>
      <c r="I129" s="843">
        <v>4.4749931472429081</v>
      </c>
      <c r="J129" s="843">
        <v>0.62500015951507426</v>
      </c>
      <c r="K129" s="843">
        <v>1.3733994714964293</v>
      </c>
      <c r="L129" s="843">
        <v>3.7570418314754885</v>
      </c>
      <c r="M129" s="843">
        <v>35.724991081574245</v>
      </c>
      <c r="N129" s="843">
        <v>10.429351912851942</v>
      </c>
      <c r="O129" s="843">
        <v>7.157896179106114</v>
      </c>
      <c r="P129" s="843">
        <v>7.1612976924834362</v>
      </c>
      <c r="Q129" s="843"/>
      <c r="R129" s="840">
        <v>15672.5</v>
      </c>
      <c r="S129" s="841">
        <v>16313.505000000001</v>
      </c>
      <c r="T129" s="842">
        <v>10586.775000000001</v>
      </c>
      <c r="U129" s="842">
        <v>11740.580000000002</v>
      </c>
      <c r="V129" s="842">
        <v>16574.129999999997</v>
      </c>
      <c r="W129" s="842">
        <v>18951.190000000002</v>
      </c>
      <c r="X129" s="842">
        <v>2007.0450000000001</v>
      </c>
      <c r="Y129" s="842">
        <v>112.92</v>
      </c>
      <c r="Z129" s="842">
        <v>3502.24</v>
      </c>
      <c r="AA129" s="842">
        <v>9795.3150000000005</v>
      </c>
      <c r="AB129" s="842">
        <v>11411.465</v>
      </c>
      <c r="AC129" s="842">
        <v>4171.5</v>
      </c>
      <c r="AD129" s="842">
        <v>438.69850000000002</v>
      </c>
      <c r="AE129" s="842">
        <v>1502.73</v>
      </c>
      <c r="AF129" s="842">
        <v>2189.54</v>
      </c>
      <c r="AG129" s="842">
        <v>11.835000000000001</v>
      </c>
      <c r="AH129" s="842">
        <v>192.315</v>
      </c>
      <c r="AI129" s="842">
        <v>2188.5</v>
      </c>
    </row>
    <row r="130" spans="1:35">
      <c r="A130" s="845">
        <v>44893</v>
      </c>
      <c r="B130" s="850">
        <v>1.0373999045953253</v>
      </c>
      <c r="C130" s="849">
        <v>0.6682000318015584</v>
      </c>
      <c r="D130" s="849">
        <v>1.3449000295967823</v>
      </c>
      <c r="E130" s="849">
        <v>0.94624987737420097</v>
      </c>
      <c r="F130" s="849">
        <v>1.2066999522976627</v>
      </c>
      <c r="G130" s="849">
        <v>7.8163450974153479</v>
      </c>
      <c r="H130" s="849">
        <v>138.31705815078737</v>
      </c>
      <c r="I130" s="849">
        <v>4.4799892862078448</v>
      </c>
      <c r="J130" s="849">
        <v>0.62080012720623301</v>
      </c>
      <c r="K130" s="849">
        <v>1.3774502911065643</v>
      </c>
      <c r="L130" s="849">
        <v>3.7568697729988054</v>
      </c>
      <c r="M130" s="849">
        <v>35.745018489194649</v>
      </c>
      <c r="N130" s="849">
        <v>10.484497480986533</v>
      </c>
      <c r="O130" s="849">
        <v>7.1995072876551749</v>
      </c>
      <c r="P130" s="849">
        <v>7.2171218728482902</v>
      </c>
      <c r="Q130" s="849"/>
      <c r="R130" s="846">
        <v>15722.5</v>
      </c>
      <c r="S130" s="847">
        <v>16310.52</v>
      </c>
      <c r="T130" s="848">
        <v>10505.775000000001</v>
      </c>
      <c r="U130" s="848">
        <v>11690.46</v>
      </c>
      <c r="V130" s="848">
        <v>16615.59</v>
      </c>
      <c r="W130" s="848">
        <v>18972.34</v>
      </c>
      <c r="X130" s="848">
        <v>2011.4900000000002</v>
      </c>
      <c r="Y130" s="848">
        <v>113.67</v>
      </c>
      <c r="Z130" s="848">
        <v>3509.4949999999999</v>
      </c>
      <c r="AA130" s="848">
        <v>9760.5299999999988</v>
      </c>
      <c r="AB130" s="848">
        <v>11414.205</v>
      </c>
      <c r="AC130" s="848">
        <v>4185</v>
      </c>
      <c r="AD130" s="848">
        <v>439.85149999999999</v>
      </c>
      <c r="AE130" s="848">
        <v>1499.595</v>
      </c>
      <c r="AF130" s="848">
        <v>2183.83</v>
      </c>
      <c r="AG130" s="848">
        <v>11.74</v>
      </c>
      <c r="AH130" s="848">
        <v>192.375</v>
      </c>
      <c r="AI130" s="848">
        <v>2178.5</v>
      </c>
    </row>
    <row r="131" spans="1:35">
      <c r="A131" s="851">
        <v>44894</v>
      </c>
      <c r="B131" s="856">
        <v>1.0382000952834685</v>
      </c>
      <c r="C131" s="855">
        <v>0.67134984913450857</v>
      </c>
      <c r="D131" s="855">
        <v>1.3425500306161957</v>
      </c>
      <c r="E131" s="855">
        <v>0.94769996514414612</v>
      </c>
      <c r="F131" s="855">
        <v>1.2034502143878039</v>
      </c>
      <c r="G131" s="855">
        <v>7.8122479970026379</v>
      </c>
      <c r="H131" s="855">
        <v>138.29833962927171</v>
      </c>
      <c r="I131" s="855">
        <v>4.5089943589236841</v>
      </c>
      <c r="J131" s="855">
        <v>0.62299984119421947</v>
      </c>
      <c r="K131" s="855">
        <v>1.3736503454522291</v>
      </c>
      <c r="L131" s="855">
        <v>3.7589541547277938</v>
      </c>
      <c r="M131" s="855">
        <v>35.500016349062633</v>
      </c>
      <c r="N131" s="855">
        <v>10.496504498978187</v>
      </c>
      <c r="O131" s="855">
        <v>7.1644419767806999</v>
      </c>
      <c r="P131" s="855">
        <v>7.1703484399908906</v>
      </c>
      <c r="Q131" s="855"/>
      <c r="R131" s="852">
        <v>15742.5</v>
      </c>
      <c r="S131" s="853">
        <v>16343.865000000002</v>
      </c>
      <c r="T131" s="854">
        <v>10568.725</v>
      </c>
      <c r="U131" s="854">
        <v>11725.82</v>
      </c>
      <c r="V131" s="854">
        <v>16611.27</v>
      </c>
      <c r="W131" s="854">
        <v>18945.315000000002</v>
      </c>
      <c r="X131" s="854">
        <v>2015.105</v>
      </c>
      <c r="Y131" s="854">
        <v>113.83000000000001</v>
      </c>
      <c r="Z131" s="854">
        <v>3491.3550000000005</v>
      </c>
      <c r="AA131" s="854">
        <v>9807.5750000000007</v>
      </c>
      <c r="AB131" s="854">
        <v>11460.34</v>
      </c>
      <c r="AC131" s="854">
        <v>4188</v>
      </c>
      <c r="AD131" s="854">
        <v>443.45050000000003</v>
      </c>
      <c r="AE131" s="854">
        <v>1499.7850000000001</v>
      </c>
      <c r="AF131" s="854">
        <v>2197.31</v>
      </c>
      <c r="AG131" s="854">
        <v>11.86</v>
      </c>
      <c r="AH131" s="854">
        <v>192.7</v>
      </c>
      <c r="AI131" s="854">
        <v>2195.5</v>
      </c>
    </row>
    <row r="132" spans="1:35">
      <c r="A132" s="857">
        <v>44895</v>
      </c>
      <c r="B132" s="862">
        <v>1.0350999586816261</v>
      </c>
      <c r="C132" s="861">
        <v>0.67179989193656042</v>
      </c>
      <c r="D132" s="861">
        <v>1.3555000654851761</v>
      </c>
      <c r="E132" s="861">
        <v>0.95239997953715827</v>
      </c>
      <c r="F132" s="861">
        <v>1.1966500333725327</v>
      </c>
      <c r="G132" s="861">
        <v>7.8030331212876503</v>
      </c>
      <c r="H132" s="861">
        <v>138.5363920567126</v>
      </c>
      <c r="I132" s="861">
        <v>4.4684969756017194</v>
      </c>
      <c r="J132" s="861">
        <v>0.62315004926421502</v>
      </c>
      <c r="K132" s="861">
        <v>1.3705498403936489</v>
      </c>
      <c r="L132" s="861">
        <v>3.7585712579142276</v>
      </c>
      <c r="M132" s="861">
        <v>35.260009368899283</v>
      </c>
      <c r="N132" s="861">
        <v>10.551255566883082</v>
      </c>
      <c r="O132" s="861">
        <v>7.1390970107598122</v>
      </c>
      <c r="P132" s="861">
        <v>7.1425652667423378</v>
      </c>
      <c r="Q132" s="861"/>
      <c r="R132" s="858">
        <v>15731.5</v>
      </c>
      <c r="S132" s="859">
        <v>16283.674999999999</v>
      </c>
      <c r="T132" s="860">
        <v>10568.42</v>
      </c>
      <c r="U132" s="860">
        <v>11605.68</v>
      </c>
      <c r="V132" s="860">
        <v>16517.745000000003</v>
      </c>
      <c r="W132" s="860">
        <v>18825.099999999999</v>
      </c>
      <c r="X132" s="860">
        <v>2016.075</v>
      </c>
      <c r="Y132" s="860">
        <v>113.55500000000001</v>
      </c>
      <c r="Z132" s="860">
        <v>3520.5349999999999</v>
      </c>
      <c r="AA132" s="860">
        <v>9803.0849999999991</v>
      </c>
      <c r="AB132" s="860">
        <v>11478.240000000002</v>
      </c>
      <c r="AC132" s="860">
        <v>4185.5</v>
      </c>
      <c r="AD132" s="860">
        <v>446.15700000000004</v>
      </c>
      <c r="AE132" s="860">
        <v>1490.96</v>
      </c>
      <c r="AF132" s="860">
        <v>2203.5700000000002</v>
      </c>
      <c r="AG132" s="860">
        <v>11.950000000000001</v>
      </c>
      <c r="AH132" s="860">
        <v>192.96</v>
      </c>
      <c r="AI132" s="860">
        <v>2202.5</v>
      </c>
    </row>
    <row r="133" spans="1:35">
      <c r="A133" s="863">
        <v>44896</v>
      </c>
      <c r="B133" s="868">
        <v>1.0404</v>
      </c>
      <c r="C133" s="867">
        <v>0.68060016064257034</v>
      </c>
      <c r="D133" s="867">
        <v>1.3431000258910848</v>
      </c>
      <c r="E133" s="867">
        <v>0.94440009430346961</v>
      </c>
      <c r="F133" s="867">
        <v>1.2076</v>
      </c>
      <c r="G133" s="867">
        <v>7.7883568756490291</v>
      </c>
      <c r="H133" s="867">
        <v>136.53711177399543</v>
      </c>
      <c r="I133" s="867">
        <v>4.4139920356693096</v>
      </c>
      <c r="J133" s="867">
        <v>0.63154987951807218</v>
      </c>
      <c r="K133" s="867">
        <v>1.3583499572092486</v>
      </c>
      <c r="L133" s="867">
        <v>3.7590579710144927</v>
      </c>
      <c r="M133" s="867">
        <v>35.040021615049476</v>
      </c>
      <c r="N133" s="867">
        <v>10.512468040408407</v>
      </c>
      <c r="O133" s="867">
        <v>7.0731884683734734</v>
      </c>
      <c r="P133" s="867">
        <v>7.0722563053851397</v>
      </c>
      <c r="Q133" s="867"/>
      <c r="R133" s="864">
        <v>15562.5</v>
      </c>
      <c r="S133" s="865">
        <v>16191.225</v>
      </c>
      <c r="T133" s="866">
        <v>10591.84</v>
      </c>
      <c r="U133" s="866">
        <v>11587</v>
      </c>
      <c r="V133" s="866">
        <v>16478.715</v>
      </c>
      <c r="W133" s="866">
        <v>18793.275000000001</v>
      </c>
      <c r="X133" s="866">
        <v>1998.1750000000002</v>
      </c>
      <c r="Y133" s="866">
        <v>113.98</v>
      </c>
      <c r="Z133" s="866">
        <v>3525.7200000000003</v>
      </c>
      <c r="AA133" s="866">
        <v>9828.494999999999</v>
      </c>
      <c r="AB133" s="866">
        <v>11456.915000000001</v>
      </c>
      <c r="AC133" s="866">
        <v>4140</v>
      </c>
      <c r="AD133" s="866">
        <v>444.13499999999999</v>
      </c>
      <c r="AE133" s="866">
        <v>1480.385</v>
      </c>
      <c r="AF133" s="866">
        <v>2200.21</v>
      </c>
      <c r="AG133" s="866">
        <v>11.97</v>
      </c>
      <c r="AH133" s="866">
        <v>191.45499999999998</v>
      </c>
      <c r="AI133" s="866">
        <v>2200.5</v>
      </c>
    </row>
    <row r="134" spans="1:35">
      <c r="A134" s="869">
        <v>44897</v>
      </c>
      <c r="B134" s="874">
        <v>1.0530001620482903</v>
      </c>
      <c r="C134" s="873">
        <v>0.68200000000000005</v>
      </c>
      <c r="D134" s="873">
        <v>1.3432001553245227</v>
      </c>
      <c r="E134" s="873">
        <v>0.93529986280449917</v>
      </c>
      <c r="F134" s="873">
        <v>1.2261999675903419</v>
      </c>
      <c r="G134" s="873">
        <v>7.780447889533022</v>
      </c>
      <c r="H134" s="873">
        <v>134.64391691394658</v>
      </c>
      <c r="I134" s="873">
        <v>4.3944916105160159</v>
      </c>
      <c r="J134" s="873">
        <v>0.63949991897585479</v>
      </c>
      <c r="K134" s="873">
        <v>1.3517503754497073</v>
      </c>
      <c r="L134" s="873">
        <v>3.7591374269005846</v>
      </c>
      <c r="M134" s="873">
        <v>34.729999718603146</v>
      </c>
      <c r="N134" s="873">
        <v>10.302720679568857</v>
      </c>
      <c r="O134" s="873">
        <v>7.0396988364134154</v>
      </c>
      <c r="P134" s="873">
        <v>7.0332801458855707</v>
      </c>
      <c r="Q134" s="873"/>
      <c r="R134" s="870">
        <v>15427.5</v>
      </c>
      <c r="S134" s="871">
        <v>16245.16</v>
      </c>
      <c r="T134" s="872">
        <v>10521.555</v>
      </c>
      <c r="U134" s="872">
        <v>11485.630000000001</v>
      </c>
      <c r="V134" s="872">
        <v>16494.71</v>
      </c>
      <c r="W134" s="872">
        <v>18917.2</v>
      </c>
      <c r="X134" s="872">
        <v>1982.855</v>
      </c>
      <c r="Y134" s="872">
        <v>114.58</v>
      </c>
      <c r="Z134" s="872">
        <v>3510.6450000000004</v>
      </c>
      <c r="AA134" s="872">
        <v>9865.8850000000002</v>
      </c>
      <c r="AB134" s="872">
        <v>11412.98</v>
      </c>
      <c r="AC134" s="872">
        <v>4104</v>
      </c>
      <c r="AD134" s="872">
        <v>444.21250000000003</v>
      </c>
      <c r="AE134" s="872">
        <v>1497.42</v>
      </c>
      <c r="AF134" s="872">
        <v>2191.5</v>
      </c>
      <c r="AG134" s="872">
        <v>11.885000000000002</v>
      </c>
      <c r="AH134" s="872">
        <v>190.02500000000001</v>
      </c>
      <c r="AI134" s="872">
        <v>2193.5</v>
      </c>
    </row>
    <row r="135" spans="1:35">
      <c r="A135" s="875">
        <v>44900</v>
      </c>
      <c r="B135" s="880">
        <v>1.053900113140456</v>
      </c>
      <c r="C135" s="879">
        <v>0.68054986261516082</v>
      </c>
      <c r="D135" s="879">
        <v>1.3423002257199215</v>
      </c>
      <c r="E135" s="879">
        <v>0.93639987770953592</v>
      </c>
      <c r="F135" s="879">
        <v>1.2293001454663002</v>
      </c>
      <c r="G135" s="879">
        <v>7.7682995120799756</v>
      </c>
      <c r="H135" s="879">
        <v>135.15225654244398</v>
      </c>
      <c r="I135" s="879">
        <v>4.3669940794655995</v>
      </c>
      <c r="J135" s="879">
        <v>0.64099983837077745</v>
      </c>
      <c r="K135" s="879">
        <v>1.3483497698194558</v>
      </c>
      <c r="L135" s="879">
        <v>3.7588092345078978</v>
      </c>
      <c r="M135" s="879">
        <v>34.749993260062723</v>
      </c>
      <c r="N135" s="879">
        <v>10.343109720216123</v>
      </c>
      <c r="O135" s="879">
        <v>6.9641582789850576</v>
      </c>
      <c r="P135" s="879">
        <v>6.9563750843265124</v>
      </c>
      <c r="Q135" s="879"/>
      <c r="R135" s="876">
        <v>15467.5</v>
      </c>
      <c r="S135" s="877">
        <v>16301.2</v>
      </c>
      <c r="T135" s="878">
        <v>10526.405000000001</v>
      </c>
      <c r="U135" s="878">
        <v>11523.130000000001</v>
      </c>
      <c r="V135" s="878">
        <v>16518.05</v>
      </c>
      <c r="W135" s="878">
        <v>19014.199999999997</v>
      </c>
      <c r="X135" s="878">
        <v>1991.105</v>
      </c>
      <c r="Y135" s="878">
        <v>114.44499999999999</v>
      </c>
      <c r="Z135" s="878">
        <v>3541.91</v>
      </c>
      <c r="AA135" s="878">
        <v>9914.6650000000009</v>
      </c>
      <c r="AB135" s="878">
        <v>11471.43</v>
      </c>
      <c r="AC135" s="878">
        <v>4115</v>
      </c>
      <c r="AD135" s="878">
        <v>445.108</v>
      </c>
      <c r="AE135" s="878">
        <v>1495.44</v>
      </c>
      <c r="AF135" s="878">
        <v>2221.0150000000003</v>
      </c>
      <c r="AG135" s="878">
        <v>11.934999999999999</v>
      </c>
      <c r="AH135" s="878">
        <v>189.22</v>
      </c>
      <c r="AI135" s="878">
        <v>2223.5</v>
      </c>
    </row>
    <row r="136" spans="1:35">
      <c r="A136" s="881">
        <v>44901</v>
      </c>
      <c r="B136" s="886">
        <v>1.049100048023051</v>
      </c>
      <c r="C136" s="885">
        <v>0.67289995197694885</v>
      </c>
      <c r="D136" s="885">
        <v>1.3589995048690775</v>
      </c>
      <c r="E136" s="885">
        <v>0.94349995438818857</v>
      </c>
      <c r="F136" s="885">
        <v>1.2203499279654235</v>
      </c>
      <c r="G136" s="885">
        <v>7.7713503763139888</v>
      </c>
      <c r="H136" s="885">
        <v>136.96557772418328</v>
      </c>
      <c r="I136" s="885">
        <v>4.3924966847091618</v>
      </c>
      <c r="J136" s="885">
        <v>0.63160012806146948</v>
      </c>
      <c r="K136" s="885">
        <v>1.3567993522461361</v>
      </c>
      <c r="L136" s="885">
        <v>3.7600818586734079</v>
      </c>
      <c r="M136" s="885">
        <v>35.09499299448435</v>
      </c>
      <c r="N136" s="885">
        <v>10.40729560251361</v>
      </c>
      <c r="O136" s="885">
        <v>6.9927956406685867</v>
      </c>
      <c r="P136" s="885">
        <v>6.9923886277143499</v>
      </c>
      <c r="Q136" s="885"/>
      <c r="R136" s="882">
        <v>15617.5</v>
      </c>
      <c r="S136" s="883">
        <v>16384.32</v>
      </c>
      <c r="T136" s="884">
        <v>10509.014999999999</v>
      </c>
      <c r="U136" s="884">
        <v>11491.91</v>
      </c>
      <c r="V136" s="884">
        <v>16552.73</v>
      </c>
      <c r="W136" s="884">
        <v>19058.815000000002</v>
      </c>
      <c r="X136" s="884">
        <v>2009.625</v>
      </c>
      <c r="Y136" s="884">
        <v>114.02500000000001</v>
      </c>
      <c r="Z136" s="884">
        <v>3555.4949999999999</v>
      </c>
      <c r="AA136" s="884">
        <v>9864.0149999999994</v>
      </c>
      <c r="AB136" s="884">
        <v>11510.545</v>
      </c>
      <c r="AC136" s="884">
        <v>4153.5</v>
      </c>
      <c r="AD136" s="884">
        <v>445.00650000000002</v>
      </c>
      <c r="AE136" s="884">
        <v>1500.63</v>
      </c>
      <c r="AF136" s="884">
        <v>2233.37</v>
      </c>
      <c r="AG136" s="884">
        <v>11.824999999999999</v>
      </c>
      <c r="AH136" s="884">
        <v>189.92500000000001</v>
      </c>
      <c r="AI136" s="884">
        <v>2233.5</v>
      </c>
    </row>
    <row r="137" spans="1:35">
      <c r="A137" s="887">
        <v>44902</v>
      </c>
      <c r="B137" s="892">
        <v>1.046</v>
      </c>
      <c r="C137" s="891">
        <v>0.66949992006394887</v>
      </c>
      <c r="D137" s="891">
        <v>1.3657998477640843</v>
      </c>
      <c r="E137" s="891">
        <v>0.94069995897314951</v>
      </c>
      <c r="F137" s="891">
        <v>1.2133998401278978</v>
      </c>
      <c r="G137" s="891">
        <v>7.7913633577973416</v>
      </c>
      <c r="H137" s="891">
        <v>137.42420247824941</v>
      </c>
      <c r="I137" s="891">
        <v>4.4064873638427109</v>
      </c>
      <c r="J137" s="891">
        <v>0.63289976019184657</v>
      </c>
      <c r="K137" s="891">
        <v>1.3587995467626899</v>
      </c>
      <c r="L137" s="891">
        <v>3.7603703258386436</v>
      </c>
      <c r="M137" s="891">
        <v>35.115000926294989</v>
      </c>
      <c r="N137" s="891">
        <v>10.422950153136549</v>
      </c>
      <c r="O137" s="891">
        <v>6.9823983282430468</v>
      </c>
      <c r="P137" s="891">
        <v>6.9763551193397282</v>
      </c>
      <c r="Q137" s="891"/>
      <c r="R137" s="888">
        <v>15637.5</v>
      </c>
      <c r="S137" s="889">
        <v>16356.825000000001</v>
      </c>
      <c r="T137" s="890">
        <v>10469.305</v>
      </c>
      <c r="U137" s="890">
        <v>11449.334999999999</v>
      </c>
      <c r="V137" s="890">
        <v>16623.260000000002</v>
      </c>
      <c r="W137" s="890">
        <v>18974.54</v>
      </c>
      <c r="X137" s="890">
        <v>2007.0300000000002</v>
      </c>
      <c r="Y137" s="890">
        <v>113.78999999999999</v>
      </c>
      <c r="Z137" s="890">
        <v>3548.7449999999999</v>
      </c>
      <c r="AA137" s="890">
        <v>9896.9700000000012</v>
      </c>
      <c r="AB137" s="890">
        <v>11508.32</v>
      </c>
      <c r="AC137" s="890">
        <v>4158.5</v>
      </c>
      <c r="AD137" s="890">
        <v>445.32249999999999</v>
      </c>
      <c r="AE137" s="890">
        <v>1500.2950000000001</v>
      </c>
      <c r="AF137" s="890">
        <v>2239.5600000000004</v>
      </c>
      <c r="AG137" s="890">
        <v>11.824999999999999</v>
      </c>
      <c r="AH137" s="890">
        <v>189.69499999999999</v>
      </c>
      <c r="AI137" s="890">
        <v>2241.5</v>
      </c>
    </row>
    <row r="138" spans="1:35">
      <c r="A138" s="893">
        <v>44903</v>
      </c>
      <c r="B138" s="898">
        <v>1.0526001088313435</v>
      </c>
      <c r="C138" s="897">
        <v>0.67300022406453064</v>
      </c>
      <c r="D138" s="897">
        <v>1.3656002154117299</v>
      </c>
      <c r="E138" s="897">
        <v>0.93985001990047645</v>
      </c>
      <c r="F138" s="897">
        <v>1.2202000576165937</v>
      </c>
      <c r="G138" s="897">
        <v>7.7845415515260852</v>
      </c>
      <c r="H138" s="897">
        <v>136.71611745656645</v>
      </c>
      <c r="I138" s="897">
        <v>4.3999921129426616</v>
      </c>
      <c r="J138" s="897">
        <v>0.63669984955667225</v>
      </c>
      <c r="K138" s="897">
        <v>1.3564501394615358</v>
      </c>
      <c r="L138" s="897">
        <v>3.760351468464131</v>
      </c>
      <c r="M138" s="897">
        <v>34.779965866849537</v>
      </c>
      <c r="N138" s="897">
        <v>10.365811171757056</v>
      </c>
      <c r="O138" s="897">
        <v>6.9703568512130802</v>
      </c>
      <c r="P138" s="897">
        <v>6.96877091233549</v>
      </c>
      <c r="Q138" s="897"/>
      <c r="R138" s="894">
        <v>15620.5</v>
      </c>
      <c r="S138" s="895">
        <v>16442.14</v>
      </c>
      <c r="T138" s="896">
        <v>10512.6</v>
      </c>
      <c r="U138" s="896">
        <v>11438.560000000001</v>
      </c>
      <c r="V138" s="896">
        <v>16620.205000000002</v>
      </c>
      <c r="W138" s="896">
        <v>19060.135000000002</v>
      </c>
      <c r="X138" s="896">
        <v>2006.605</v>
      </c>
      <c r="Y138" s="896">
        <v>114.255</v>
      </c>
      <c r="Z138" s="896">
        <v>3550.12</v>
      </c>
      <c r="AA138" s="896">
        <v>9945.57</v>
      </c>
      <c r="AB138" s="896">
        <v>11515.720000000001</v>
      </c>
      <c r="AC138" s="896">
        <v>4154</v>
      </c>
      <c r="AD138" s="896">
        <v>449.12350000000004</v>
      </c>
      <c r="AE138" s="896">
        <v>1506.925</v>
      </c>
      <c r="AF138" s="896">
        <v>2240.9899999999998</v>
      </c>
      <c r="AG138" s="896">
        <v>11.85</v>
      </c>
      <c r="AH138" s="896">
        <v>189.69</v>
      </c>
      <c r="AI138" s="896">
        <v>2241.5</v>
      </c>
    </row>
    <row r="139" spans="1:35">
      <c r="A139" s="899">
        <v>44904</v>
      </c>
      <c r="B139" s="904">
        <v>1.0567999358254452</v>
      </c>
      <c r="C139" s="903">
        <v>0.67720006417455492</v>
      </c>
      <c r="D139" s="903">
        <v>1.3598499343528243</v>
      </c>
      <c r="E139" s="903">
        <v>0.93329983256603988</v>
      </c>
      <c r="F139" s="903">
        <v>1.2258501524145677</v>
      </c>
      <c r="G139" s="903">
        <v>7.7902567422653606</v>
      </c>
      <c r="H139" s="903">
        <v>136.35369268463424</v>
      </c>
      <c r="I139" s="903">
        <v>4.4049968056175901</v>
      </c>
      <c r="J139" s="903">
        <v>0.63909995186908397</v>
      </c>
      <c r="K139" s="903">
        <v>1.3509998656152871</v>
      </c>
      <c r="L139" s="903">
        <v>3.7607095450705925</v>
      </c>
      <c r="M139" s="903">
        <v>34.779998236727188</v>
      </c>
      <c r="N139" s="903">
        <v>10.310796146313058</v>
      </c>
      <c r="O139" s="903">
        <v>6.9494926970676776</v>
      </c>
      <c r="P139" s="903">
        <v>6.9456206819701363</v>
      </c>
      <c r="Q139" s="903"/>
      <c r="R139" s="900">
        <v>15582.5</v>
      </c>
      <c r="S139" s="901">
        <v>16467.584999999999</v>
      </c>
      <c r="T139" s="902">
        <v>10552.470000000001</v>
      </c>
      <c r="U139" s="902">
        <v>11458.985000000001</v>
      </c>
      <c r="V139" s="902">
        <v>16696.135000000002</v>
      </c>
      <c r="W139" s="902">
        <v>19101.810000000001</v>
      </c>
      <c r="X139" s="902">
        <v>2000.2550000000001</v>
      </c>
      <c r="Y139" s="902">
        <v>114.28</v>
      </c>
      <c r="Z139" s="902">
        <v>3537.46</v>
      </c>
      <c r="AA139" s="902">
        <v>9958.7750000000015</v>
      </c>
      <c r="AB139" s="902">
        <v>11534.05</v>
      </c>
      <c r="AC139" s="902">
        <v>4143.5</v>
      </c>
      <c r="AD139" s="902">
        <v>448.03050000000002</v>
      </c>
      <c r="AE139" s="902">
        <v>1511.2800000000002</v>
      </c>
      <c r="AF139" s="902">
        <v>2242.25</v>
      </c>
      <c r="AG139" s="902">
        <v>11.975000000000001</v>
      </c>
      <c r="AH139" s="902">
        <v>189.73500000000001</v>
      </c>
      <c r="AI139" s="902">
        <v>2243.5</v>
      </c>
    </row>
    <row r="140" spans="1:35">
      <c r="A140" s="905">
        <v>44907</v>
      </c>
      <c r="B140" s="910">
        <v>1.0525999040153575</v>
      </c>
      <c r="C140" s="909">
        <v>0.67810014397696372</v>
      </c>
      <c r="D140" s="909">
        <v>1.3646004608773785</v>
      </c>
      <c r="E140" s="909">
        <v>0.93530015189837046</v>
      </c>
      <c r="F140" s="909">
        <v>1.225750119980803</v>
      </c>
      <c r="G140" s="909">
        <v>7.7732513604122522</v>
      </c>
      <c r="H140" s="909">
        <v>136.69961511546535</v>
      </c>
      <c r="I140" s="909">
        <v>4.4139993899063397</v>
      </c>
      <c r="J140" s="909">
        <v>0.64000031994880813</v>
      </c>
      <c r="K140" s="909">
        <v>1.3538496458029579</v>
      </c>
      <c r="L140" s="909">
        <v>3.7606786186981109</v>
      </c>
      <c r="M140" s="909">
        <v>34.715010368408954</v>
      </c>
      <c r="N140" s="909">
        <v>10.351120060407752</v>
      </c>
      <c r="O140" s="909">
        <v>6.9741495687875847</v>
      </c>
      <c r="P140" s="909">
        <v>6.9750055791118051</v>
      </c>
      <c r="Q140" s="909"/>
      <c r="R140" s="906">
        <v>15627.5</v>
      </c>
      <c r="S140" s="907">
        <v>16449.505000000001</v>
      </c>
      <c r="T140" s="908">
        <v>10597.01</v>
      </c>
      <c r="U140" s="908">
        <v>11452.07</v>
      </c>
      <c r="V140" s="908">
        <v>16708.54</v>
      </c>
      <c r="W140" s="908">
        <v>19155.41</v>
      </c>
      <c r="X140" s="908">
        <v>2010.42</v>
      </c>
      <c r="Y140" s="908">
        <v>114.32000000000001</v>
      </c>
      <c r="Z140" s="908">
        <v>3540.44</v>
      </c>
      <c r="AA140" s="908">
        <v>10001.605</v>
      </c>
      <c r="AB140" s="908">
        <v>11543.01</v>
      </c>
      <c r="AC140" s="908">
        <v>4155.5</v>
      </c>
      <c r="AD140" s="908">
        <v>450.16550000000001</v>
      </c>
      <c r="AE140" s="908">
        <v>1509.74</v>
      </c>
      <c r="AF140" s="908">
        <v>2240.7750000000001</v>
      </c>
      <c r="AG140" s="908">
        <v>11.955000000000002</v>
      </c>
      <c r="AH140" s="908">
        <v>189.32999999999998</v>
      </c>
      <c r="AI140" s="908">
        <v>2240.5</v>
      </c>
    </row>
    <row r="141" spans="1:35">
      <c r="A141" s="911">
        <v>44908</v>
      </c>
      <c r="B141" s="916">
        <v>1.0550999552915628</v>
      </c>
      <c r="C141" s="915">
        <v>0.6775997956185732</v>
      </c>
      <c r="D141" s="915">
        <v>1.3616002128886324</v>
      </c>
      <c r="E141" s="915">
        <v>0.93469995218147395</v>
      </c>
      <c r="F141" s="915">
        <v>1.2284000766430352</v>
      </c>
      <c r="G141" s="915">
        <v>7.773348095264101</v>
      </c>
      <c r="H141" s="915">
        <v>137.41442864665615</v>
      </c>
      <c r="I141" s="915">
        <v>4.4324976219595049</v>
      </c>
      <c r="J141" s="915">
        <v>0.64</v>
      </c>
      <c r="K141" s="915">
        <v>1.3542500981716714</v>
      </c>
      <c r="L141" s="915">
        <v>3.7600864553314119</v>
      </c>
      <c r="M141" s="915">
        <v>34.784984936948469</v>
      </c>
      <c r="N141" s="915">
        <v>10.300149663667911</v>
      </c>
      <c r="O141" s="915">
        <v>6.9785944307634029</v>
      </c>
      <c r="P141" s="915">
        <v>6.9850546509034128</v>
      </c>
      <c r="Q141" s="915"/>
      <c r="R141" s="912">
        <v>15657</v>
      </c>
      <c r="S141" s="913">
        <v>16519.699999999997</v>
      </c>
      <c r="T141" s="914">
        <v>10609.18</v>
      </c>
      <c r="U141" s="914">
        <v>11498.970000000001</v>
      </c>
      <c r="V141" s="914">
        <v>16750.830000000002</v>
      </c>
      <c r="W141" s="914">
        <v>19233.060000000001</v>
      </c>
      <c r="X141" s="914">
        <v>2014.19</v>
      </c>
      <c r="Y141" s="914">
        <v>113.94</v>
      </c>
      <c r="Z141" s="914">
        <v>3532.32</v>
      </c>
      <c r="AA141" s="914">
        <v>10020.48</v>
      </c>
      <c r="AB141" s="914">
        <v>11561.380000000001</v>
      </c>
      <c r="AC141" s="914">
        <v>4164</v>
      </c>
      <c r="AD141" s="914">
        <v>450.108</v>
      </c>
      <c r="AE141" s="914">
        <v>1520.075</v>
      </c>
      <c r="AF141" s="914">
        <v>2243.5749999999998</v>
      </c>
      <c r="AG141" s="914">
        <v>11.995000000000001</v>
      </c>
      <c r="AH141" s="914">
        <v>189.315</v>
      </c>
      <c r="AI141" s="914">
        <v>2241.5</v>
      </c>
    </row>
    <row r="142" spans="1:35">
      <c r="A142" s="917">
        <v>44909</v>
      </c>
      <c r="B142" s="922">
        <v>1.0629998396665061</v>
      </c>
      <c r="C142" s="921">
        <v>0.68509988776655439</v>
      </c>
      <c r="D142" s="921">
        <v>1.3552496857958882</v>
      </c>
      <c r="E142" s="921">
        <v>0.92919994052643629</v>
      </c>
      <c r="F142" s="921">
        <v>1.2364001924001924</v>
      </c>
      <c r="G142" s="921">
        <v>7.7761486557249508</v>
      </c>
      <c r="H142" s="921">
        <v>135.46915725456125</v>
      </c>
      <c r="I142" s="921">
        <v>4.4079919147943718</v>
      </c>
      <c r="J142" s="921">
        <v>0.64400000000000002</v>
      </c>
      <c r="K142" s="921">
        <v>1.3482997414948161</v>
      </c>
      <c r="L142" s="921">
        <v>3.7599469496021221</v>
      </c>
      <c r="M142" s="921">
        <v>34.594993959604224</v>
      </c>
      <c r="N142" s="921">
        <v>10.209493503049588</v>
      </c>
      <c r="O142" s="921">
        <v>6.9508525576730191</v>
      </c>
      <c r="P142" s="921">
        <v>6.9531772575250832</v>
      </c>
      <c r="Q142" s="921"/>
      <c r="R142" s="918">
        <v>15592.5</v>
      </c>
      <c r="S142" s="919">
        <v>16574.824999999997</v>
      </c>
      <c r="T142" s="920">
        <v>10682.42</v>
      </c>
      <c r="U142" s="920">
        <v>11505.26</v>
      </c>
      <c r="V142" s="920">
        <v>16780.565000000002</v>
      </c>
      <c r="W142" s="920">
        <v>19278.57</v>
      </c>
      <c r="X142" s="920">
        <v>2005.17</v>
      </c>
      <c r="Y142" s="920">
        <v>115.1</v>
      </c>
      <c r="Z142" s="920">
        <v>3537.3249999999998</v>
      </c>
      <c r="AA142" s="920">
        <v>10041.57</v>
      </c>
      <c r="AB142" s="920">
        <v>11564.565000000001</v>
      </c>
      <c r="AC142" s="920">
        <v>4147</v>
      </c>
      <c r="AD142" s="920">
        <v>450.71550000000002</v>
      </c>
      <c r="AE142" s="920">
        <v>1527.2550000000001</v>
      </c>
      <c r="AF142" s="920">
        <v>2243.25</v>
      </c>
      <c r="AG142" s="920">
        <v>12.035</v>
      </c>
      <c r="AH142" s="920">
        <v>188.91</v>
      </c>
      <c r="AI142" s="920">
        <v>2242.5</v>
      </c>
    </row>
    <row r="143" spans="1:35">
      <c r="A143" s="926">
        <v>44910</v>
      </c>
      <c r="B143" s="925">
        <v>1.0641002080998878</v>
      </c>
      <c r="C143" s="925">
        <v>0.681200256122939</v>
      </c>
      <c r="D143" s="925">
        <v>1.3573995987120893</v>
      </c>
      <c r="E143" s="925">
        <v>0.92649994512486311</v>
      </c>
      <c r="F143" s="925">
        <v>1.238</v>
      </c>
      <c r="G143" s="925">
        <v>7.773265045069258</v>
      </c>
      <c r="H143" s="925">
        <v>135.86341887777294</v>
      </c>
      <c r="I143" s="925">
        <v>4.4099915569875101</v>
      </c>
      <c r="J143" s="925">
        <v>0.64174995998079065</v>
      </c>
      <c r="K143" s="925">
        <v>1.3505000546944954</v>
      </c>
      <c r="L143" s="925">
        <v>3.7596292729898892</v>
      </c>
      <c r="M143" s="925">
        <v>34.879994282517345</v>
      </c>
      <c r="N143" s="925">
        <v>10.220509078534477</v>
      </c>
      <c r="O143" s="925">
        <v>6.9639528765461831</v>
      </c>
      <c r="P143" s="925">
        <v>6.9705422896674847</v>
      </c>
      <c r="Q143" s="925"/>
      <c r="R143" s="927">
        <v>15617.5</v>
      </c>
      <c r="S143" s="928">
        <v>16618.584999999999</v>
      </c>
      <c r="T143" s="923">
        <v>10638.645</v>
      </c>
      <c r="U143" s="923">
        <v>11505.455</v>
      </c>
      <c r="V143" s="928">
        <v>16856.45</v>
      </c>
      <c r="W143" s="928">
        <v>19334.465</v>
      </c>
      <c r="X143" s="928">
        <v>2009.13</v>
      </c>
      <c r="Y143" s="928">
        <v>114.95</v>
      </c>
      <c r="Z143" s="928">
        <v>3541.3900000000003</v>
      </c>
      <c r="AA143" s="928">
        <v>10022.529999999999</v>
      </c>
      <c r="AB143" s="928">
        <v>11564.235000000001</v>
      </c>
      <c r="AC143" s="928">
        <v>4154</v>
      </c>
      <c r="AD143" s="924">
        <v>447.74950000000001</v>
      </c>
      <c r="AE143" s="924">
        <v>1528.0550000000001</v>
      </c>
      <c r="AF143" s="924">
        <v>2242.62</v>
      </c>
      <c r="AG143" s="924">
        <v>11.950000000000001</v>
      </c>
      <c r="AH143" s="924">
        <v>189.17500000000001</v>
      </c>
      <c r="AI143" s="924">
        <v>2240.5</v>
      </c>
    </row>
    <row r="144" spans="1:35">
      <c r="A144" s="929">
        <v>44911</v>
      </c>
      <c r="B144" s="934">
        <v>1.0631498637602181</v>
      </c>
      <c r="C144" s="933">
        <v>0.6693999038307421</v>
      </c>
      <c r="D144" s="933">
        <v>1.3645999287844628</v>
      </c>
      <c r="E144" s="933">
        <v>0.92834995356018268</v>
      </c>
      <c r="F144" s="933">
        <v>1.217649943901266</v>
      </c>
      <c r="G144" s="933">
        <v>7.7782542999197117</v>
      </c>
      <c r="H144" s="933">
        <v>137.23549337908582</v>
      </c>
      <c r="I144" s="933">
        <v>4.4234987826338497</v>
      </c>
      <c r="J144" s="933">
        <v>0.63539990383074219</v>
      </c>
      <c r="K144" s="933">
        <v>1.3570501353787472</v>
      </c>
      <c r="L144" s="933">
        <v>3.7611526404629854</v>
      </c>
      <c r="M144" s="933">
        <v>34.949992213417346</v>
      </c>
      <c r="N144" s="933">
        <v>10.354602395881393</v>
      </c>
      <c r="O144" s="933">
        <v>6.9755013327131898</v>
      </c>
      <c r="P144" s="933">
        <v>6.9818710832587287</v>
      </c>
      <c r="Q144" s="933"/>
      <c r="R144" s="930">
        <v>15597.5</v>
      </c>
      <c r="S144" s="931">
        <v>16582.480000000003</v>
      </c>
      <c r="T144" s="932">
        <v>10440.965</v>
      </c>
      <c r="U144" s="932">
        <v>11430.09</v>
      </c>
      <c r="V144" s="932">
        <v>16801.314999999999</v>
      </c>
      <c r="W144" s="932">
        <v>18992.294999999998</v>
      </c>
      <c r="X144" s="932">
        <v>2005.27</v>
      </c>
      <c r="Y144" s="932">
        <v>113.655</v>
      </c>
      <c r="Z144" s="932">
        <v>3526.0550000000003</v>
      </c>
      <c r="AA144" s="932">
        <v>9910.6500000000015</v>
      </c>
      <c r="AB144" s="932">
        <v>11493.68</v>
      </c>
      <c r="AC144" s="932">
        <v>4147</v>
      </c>
      <c r="AD144" s="932">
        <v>446.28050000000002</v>
      </c>
      <c r="AE144" s="932">
        <v>1506.335</v>
      </c>
      <c r="AF144" s="932">
        <v>2236.04</v>
      </c>
      <c r="AG144" s="932">
        <v>11.914999999999999</v>
      </c>
      <c r="AH144" s="932">
        <v>188.285</v>
      </c>
      <c r="AI144" s="932">
        <v>2234</v>
      </c>
    </row>
    <row r="145" spans="1:35">
      <c r="A145" s="935">
        <v>44914</v>
      </c>
      <c r="B145" s="940">
        <v>1.0624500721269436</v>
      </c>
      <c r="C145" s="939">
        <v>0.67139990383074211</v>
      </c>
      <c r="D145" s="939">
        <v>1.3658498567816995</v>
      </c>
      <c r="E145" s="939">
        <v>0.93049990469795818</v>
      </c>
      <c r="F145" s="939">
        <v>1.2190001602820966</v>
      </c>
      <c r="G145" s="939">
        <v>7.7823487001145084</v>
      </c>
      <c r="H145" s="939">
        <v>135.86672473867594</v>
      </c>
      <c r="I145" s="939">
        <v>4.4244963492054481</v>
      </c>
      <c r="J145" s="939">
        <v>0.63895015226799168</v>
      </c>
      <c r="K145" s="939">
        <v>1.355349710204117</v>
      </c>
      <c r="L145" s="939">
        <v>3.7606992163954187</v>
      </c>
      <c r="M145" s="939">
        <v>34.820006407015121</v>
      </c>
      <c r="N145" s="939">
        <v>10.407908609253848</v>
      </c>
      <c r="O145" s="939">
        <v>6.9822930212882168</v>
      </c>
      <c r="P145" s="939">
        <v>6.9834340720841732</v>
      </c>
      <c r="Q145" s="939"/>
      <c r="R145" s="936">
        <v>15597.5</v>
      </c>
      <c r="S145" s="937">
        <v>16571.565000000002</v>
      </c>
      <c r="T145" s="938">
        <v>10472.16</v>
      </c>
      <c r="U145" s="938">
        <v>11419.630000000001</v>
      </c>
      <c r="V145" s="938">
        <v>16762.494999999999</v>
      </c>
      <c r="W145" s="938">
        <v>19013.355</v>
      </c>
      <c r="X145" s="938">
        <v>2004.2150000000001</v>
      </c>
      <c r="Y145" s="938">
        <v>114.80000000000001</v>
      </c>
      <c r="Z145" s="938">
        <v>3525.26</v>
      </c>
      <c r="AA145" s="938">
        <v>9966.0249999999996</v>
      </c>
      <c r="AB145" s="938">
        <v>11508.1</v>
      </c>
      <c r="AC145" s="938">
        <v>4147.5</v>
      </c>
      <c r="AD145" s="938">
        <v>447.94650000000001</v>
      </c>
      <c r="AE145" s="938">
        <v>1498.62</v>
      </c>
      <c r="AF145" s="938">
        <v>2233.8649999999998</v>
      </c>
      <c r="AG145" s="938">
        <v>11.96</v>
      </c>
      <c r="AH145" s="938">
        <v>188.715</v>
      </c>
      <c r="AI145" s="938">
        <v>2233.5</v>
      </c>
    </row>
    <row r="146" spans="1:35">
      <c r="A146" s="941">
        <v>44915</v>
      </c>
      <c r="B146" s="946">
        <v>1.0611001442076591</v>
      </c>
      <c r="C146" s="945">
        <v>0.6655000801153661</v>
      </c>
      <c r="D146" s="945">
        <v>1.3673000370251092</v>
      </c>
      <c r="E146" s="945">
        <v>0.92774996625552919</v>
      </c>
      <c r="F146" s="945">
        <v>1.214499919884634</v>
      </c>
      <c r="G146" s="945">
        <v>7.7847657585063619</v>
      </c>
      <c r="H146" s="945">
        <v>132.59539389818985</v>
      </c>
      <c r="I146" s="945">
        <v>4.4325032244134972</v>
      </c>
      <c r="J146" s="945">
        <v>0.63269988783848752</v>
      </c>
      <c r="K146" s="945">
        <v>1.3541497605882316</v>
      </c>
      <c r="L146" s="945">
        <v>3.7609979510666505</v>
      </c>
      <c r="M146" s="945">
        <v>34.809992436732934</v>
      </c>
      <c r="N146" s="945">
        <v>10.424078435302567</v>
      </c>
      <c r="O146" s="945">
        <v>6.9754913356819674</v>
      </c>
      <c r="P146" s="945">
        <v>6.973184357541899</v>
      </c>
      <c r="Q146" s="945"/>
      <c r="R146" s="942">
        <v>15602.5</v>
      </c>
      <c r="S146" s="943">
        <v>16555.815000000002</v>
      </c>
      <c r="T146" s="944">
        <v>10383.465</v>
      </c>
      <c r="U146" s="944">
        <v>11411.174999999999</v>
      </c>
      <c r="V146" s="944">
        <v>16817.57</v>
      </c>
      <c r="W146" s="944">
        <v>18949.235000000001</v>
      </c>
      <c r="X146" s="944">
        <v>2004.2350000000001</v>
      </c>
      <c r="Y146" s="944">
        <v>117.67</v>
      </c>
      <c r="Z146" s="944">
        <v>3520.0200000000004</v>
      </c>
      <c r="AA146" s="944">
        <v>9871.7000000000007</v>
      </c>
      <c r="AB146" s="944">
        <v>11521.990000000002</v>
      </c>
      <c r="AC146" s="944">
        <v>4148.5</v>
      </c>
      <c r="AD146" s="944">
        <v>448.21900000000005</v>
      </c>
      <c r="AE146" s="944">
        <v>1496.7750000000001</v>
      </c>
      <c r="AF146" s="944">
        <v>2236.7600000000002</v>
      </c>
      <c r="AG146" s="944">
        <v>12.120000000000001</v>
      </c>
      <c r="AH146" s="944">
        <v>188.54000000000002</v>
      </c>
      <c r="AI146" s="944">
        <v>2237.5</v>
      </c>
    </row>
    <row r="147" spans="1:35">
      <c r="A147" s="947">
        <v>44916</v>
      </c>
      <c r="B147" s="952">
        <v>1.0632003207698477</v>
      </c>
      <c r="C147" s="951">
        <v>0.66810008019246192</v>
      </c>
      <c r="D147" s="951">
        <v>1.3608996823767092</v>
      </c>
      <c r="E147" s="951">
        <v>0.92649994917995471</v>
      </c>
      <c r="F147" s="951">
        <v>1.218100080192462</v>
      </c>
      <c r="G147" s="951">
        <v>7.7948412777788878</v>
      </c>
      <c r="H147" s="951">
        <v>131.79031917142254</v>
      </c>
      <c r="I147" s="951">
        <v>4.4404973357015978</v>
      </c>
      <c r="J147" s="951">
        <v>0.63050008019246195</v>
      </c>
      <c r="K147" s="951">
        <v>1.351250020046612</v>
      </c>
      <c r="L147" s="951">
        <v>3.7610085655688263</v>
      </c>
      <c r="M147" s="951">
        <v>34.774974957556125</v>
      </c>
      <c r="N147" s="951">
        <v>10.422412784380588</v>
      </c>
      <c r="O147" s="951">
        <v>6.9665582855674364</v>
      </c>
      <c r="P147" s="951">
        <v>6.9711538461538458</v>
      </c>
      <c r="Q147" s="951"/>
      <c r="R147" s="948">
        <v>15587.5</v>
      </c>
      <c r="S147" s="949">
        <v>16572.635000000002</v>
      </c>
      <c r="T147" s="950">
        <v>10414.01</v>
      </c>
      <c r="U147" s="950">
        <v>11453.82</v>
      </c>
      <c r="V147" s="950">
        <v>16824.07</v>
      </c>
      <c r="W147" s="950">
        <v>18987.135000000002</v>
      </c>
      <c r="X147" s="950">
        <v>1999.7200000000003</v>
      </c>
      <c r="Y147" s="950">
        <v>118.27500000000001</v>
      </c>
      <c r="Z147" s="950">
        <v>3510.3050000000003</v>
      </c>
      <c r="AA147" s="950">
        <v>9827.92</v>
      </c>
      <c r="AB147" s="950">
        <v>11535.615000000002</v>
      </c>
      <c r="AC147" s="950">
        <v>4144.5</v>
      </c>
      <c r="AD147" s="950">
        <v>448.23900000000003</v>
      </c>
      <c r="AE147" s="950">
        <v>1495.575</v>
      </c>
      <c r="AF147" s="950">
        <v>2237.4749999999999</v>
      </c>
      <c r="AG147" s="950">
        <v>12.135000000000002</v>
      </c>
      <c r="AH147" s="950">
        <v>188.37</v>
      </c>
      <c r="AI147" s="950">
        <v>2236</v>
      </c>
    </row>
    <row r="148" spans="1:35">
      <c r="A148" s="953">
        <v>44917</v>
      </c>
      <c r="B148" s="958">
        <v>1.0639002085673031</v>
      </c>
      <c r="C148" s="957">
        <v>0.67620022461094176</v>
      </c>
      <c r="D148" s="957">
        <v>1.3579502946183513</v>
      </c>
      <c r="E148" s="957">
        <v>0.92440000759333885</v>
      </c>
      <c r="F148" s="957">
        <v>1.212999839563613</v>
      </c>
      <c r="G148" s="957">
        <v>7.7931593240343879</v>
      </c>
      <c r="H148" s="957">
        <v>131.95444152764841</v>
      </c>
      <c r="I148" s="957">
        <v>4.4289981780921979</v>
      </c>
      <c r="J148" s="957">
        <v>0.63250024065458055</v>
      </c>
      <c r="K148" s="957">
        <v>1.3475999187072725</v>
      </c>
      <c r="L148" s="957">
        <v>3.7611634081583394</v>
      </c>
      <c r="M148" s="957">
        <v>34.685008041045506</v>
      </c>
      <c r="N148" s="957">
        <v>10.347495218869527</v>
      </c>
      <c r="O148" s="957">
        <v>6.9808438387585232</v>
      </c>
      <c r="P148" s="957">
        <v>6.9861017709033852</v>
      </c>
      <c r="Q148" s="957"/>
      <c r="R148" s="954">
        <v>15582.5</v>
      </c>
      <c r="S148" s="955">
        <v>16578.224999999999</v>
      </c>
      <c r="T148" s="956">
        <v>10536.89</v>
      </c>
      <c r="U148" s="956">
        <v>11475.014999999999</v>
      </c>
      <c r="V148" s="956">
        <v>16856.879999999997</v>
      </c>
      <c r="W148" s="956">
        <v>18901.57</v>
      </c>
      <c r="X148" s="956">
        <v>1999.5100000000002</v>
      </c>
      <c r="Y148" s="956">
        <v>118.09</v>
      </c>
      <c r="Z148" s="956">
        <v>3518.29</v>
      </c>
      <c r="AA148" s="956">
        <v>9855.9350000000013</v>
      </c>
      <c r="AB148" s="956">
        <v>11563.150000000001</v>
      </c>
      <c r="AC148" s="956">
        <v>4143</v>
      </c>
      <c r="AD148" s="956">
        <v>449.25749999999999</v>
      </c>
      <c r="AE148" s="956">
        <v>1505.92</v>
      </c>
      <c r="AF148" s="956">
        <v>2232.1799999999998</v>
      </c>
      <c r="AG148" s="956">
        <v>12.205000000000002</v>
      </c>
      <c r="AH148" s="956">
        <v>188.405</v>
      </c>
      <c r="AI148" s="956">
        <v>2230.5</v>
      </c>
    </row>
    <row r="149" spans="1:35">
      <c r="A149" s="959">
        <v>44918</v>
      </c>
      <c r="B149" s="964">
        <v>1.0628997915664582</v>
      </c>
      <c r="C149" s="963">
        <v>0.669899951899952</v>
      </c>
      <c r="D149" s="963">
        <v>1.3621502624055701</v>
      </c>
      <c r="E149" s="963">
        <v>0.93069993649095828</v>
      </c>
      <c r="F149" s="963">
        <v>1.2064001924001924</v>
      </c>
      <c r="G149" s="963">
        <v>7.801164733782282</v>
      </c>
      <c r="H149" s="963">
        <v>132.52730440695254</v>
      </c>
      <c r="I149" s="963">
        <v>4.4204948799655259</v>
      </c>
      <c r="J149" s="963">
        <v>0.6286002886002886</v>
      </c>
      <c r="K149" s="963">
        <v>1.3480998212043978</v>
      </c>
      <c r="L149" s="963">
        <v>3.7604003376341493</v>
      </c>
      <c r="M149" s="963">
        <v>34.714994183554765</v>
      </c>
      <c r="N149" s="963">
        <v>10.445451530894218</v>
      </c>
      <c r="O149" s="963">
        <v>6.9857932017042774</v>
      </c>
      <c r="P149" s="963">
        <v>6.993720565149137</v>
      </c>
      <c r="Q149" s="963"/>
      <c r="R149" s="960">
        <v>15592.5</v>
      </c>
      <c r="S149" s="961">
        <v>16573.264999999999</v>
      </c>
      <c r="T149" s="962">
        <v>10445.415000000001</v>
      </c>
      <c r="U149" s="962">
        <v>11446.974999999999</v>
      </c>
      <c r="V149" s="962">
        <v>16753.52</v>
      </c>
      <c r="W149" s="962">
        <v>18810.794999999998</v>
      </c>
      <c r="X149" s="962">
        <v>1998.7400000000002</v>
      </c>
      <c r="Y149" s="962">
        <v>117.655</v>
      </c>
      <c r="Z149" s="962">
        <v>3527.32</v>
      </c>
      <c r="AA149" s="962">
        <v>9801.4500000000007</v>
      </c>
      <c r="AB149" s="962">
        <v>11566.279999999999</v>
      </c>
      <c r="AC149" s="962">
        <v>4146.5</v>
      </c>
      <c r="AD149" s="962">
        <v>449.15750000000003</v>
      </c>
      <c r="AE149" s="962">
        <v>1492.7550000000001</v>
      </c>
      <c r="AF149" s="962">
        <v>2232.0300000000002</v>
      </c>
      <c r="AG149" s="962">
        <v>12.18</v>
      </c>
      <c r="AH149" s="962">
        <v>188.18</v>
      </c>
      <c r="AI149" s="962">
        <v>2229.5</v>
      </c>
    </row>
    <row r="150" spans="1:35">
      <c r="A150" s="965">
        <v>44921</v>
      </c>
      <c r="B150" s="970">
        <v>1.062900047976971</v>
      </c>
      <c r="C150" s="969">
        <v>0.67264992803454349</v>
      </c>
      <c r="D150" s="969">
        <v>1.359599647586901</v>
      </c>
      <c r="E150" s="969">
        <v>0.93219972599022938</v>
      </c>
      <c r="F150" s="969">
        <v>1.2061999040460578</v>
      </c>
      <c r="G150" s="969">
        <v>7.80543946633912</v>
      </c>
      <c r="H150" s="969">
        <v>132.74317496709548</v>
      </c>
      <c r="I150" s="969">
        <v>4.4249979477860153</v>
      </c>
      <c r="J150" s="969">
        <v>0.6290500559731329</v>
      </c>
      <c r="K150" s="969">
        <v>1.3512497277187498</v>
      </c>
      <c r="L150" s="969">
        <v>3.7609767833513774</v>
      </c>
      <c r="M150" s="969">
        <v>34.780006585563378</v>
      </c>
      <c r="N150" s="969">
        <v>10.49992611598447</v>
      </c>
      <c r="O150" s="969">
        <v>6.9626468970401243</v>
      </c>
      <c r="P150" s="969">
        <v>6.9787946428571432</v>
      </c>
      <c r="Q150" s="969"/>
      <c r="R150" s="966">
        <v>15632.5</v>
      </c>
      <c r="S150" s="967">
        <v>16615.785</v>
      </c>
      <c r="T150" s="968">
        <v>10515.2</v>
      </c>
      <c r="U150" s="968">
        <v>11497.869999999999</v>
      </c>
      <c r="V150" s="968">
        <v>16769.474999999999</v>
      </c>
      <c r="W150" s="968">
        <v>18855.919999999998</v>
      </c>
      <c r="X150" s="968">
        <v>2002.77</v>
      </c>
      <c r="Y150" s="968">
        <v>117.765</v>
      </c>
      <c r="Z150" s="968">
        <v>3532.77</v>
      </c>
      <c r="AA150" s="968">
        <v>9833.625</v>
      </c>
      <c r="AB150" s="968">
        <v>11568.92</v>
      </c>
      <c r="AC150" s="968">
        <v>4156.5</v>
      </c>
      <c r="AD150" s="968">
        <v>449.46799999999996</v>
      </c>
      <c r="AE150" s="968">
        <v>1488.8200000000002</v>
      </c>
      <c r="AF150" s="968">
        <v>2245.1949999999997</v>
      </c>
      <c r="AG150" s="968">
        <v>12.254999999999999</v>
      </c>
      <c r="AH150" s="968">
        <v>189.04500000000002</v>
      </c>
      <c r="AI150" s="968">
        <v>2240</v>
      </c>
    </row>
    <row r="151" spans="1:35">
      <c r="A151" s="971">
        <v>44922</v>
      </c>
      <c r="B151" s="976">
        <v>1.0645002394253791</v>
      </c>
      <c r="C151" s="975">
        <v>0.6762499600957701</v>
      </c>
      <c r="D151" s="975">
        <v>1.3548998498688785</v>
      </c>
      <c r="E151" s="975">
        <v>0.9307998936228693</v>
      </c>
      <c r="F151" s="975">
        <v>1.2093500399042298</v>
      </c>
      <c r="G151" s="975">
        <v>7.8023617555998914</v>
      </c>
      <c r="H151" s="975">
        <v>132.87380699893956</v>
      </c>
      <c r="I151" s="975">
        <v>4.4229981785578127</v>
      </c>
      <c r="J151" s="975">
        <v>0.63055003990422998</v>
      </c>
      <c r="K151" s="975">
        <v>1.3452000085886673</v>
      </c>
      <c r="L151" s="975">
        <v>3.7609556969624203</v>
      </c>
      <c r="M151" s="975">
        <v>34.654998838379925</v>
      </c>
      <c r="N151" s="975">
        <v>10.465108509728459</v>
      </c>
      <c r="O151" s="975">
        <v>6.9655535863984364</v>
      </c>
      <c r="P151" s="975">
        <v>6.9719563765858004</v>
      </c>
      <c r="Q151" s="975"/>
      <c r="R151" s="972">
        <v>15662.5</v>
      </c>
      <c r="S151" s="973">
        <v>16672.735000000001</v>
      </c>
      <c r="T151" s="974">
        <v>10591.764999999999</v>
      </c>
      <c r="U151" s="974">
        <v>11559.895</v>
      </c>
      <c r="V151" s="974">
        <v>16826.924999999999</v>
      </c>
      <c r="W151" s="974">
        <v>18941.445</v>
      </c>
      <c r="X151" s="974">
        <v>2007.405</v>
      </c>
      <c r="Y151" s="974">
        <v>117.875</v>
      </c>
      <c r="Z151" s="974">
        <v>3541.15</v>
      </c>
      <c r="AA151" s="974">
        <v>9875.9900000000016</v>
      </c>
      <c r="AB151" s="974">
        <v>11643.25</v>
      </c>
      <c r="AC151" s="974">
        <v>4164.5</v>
      </c>
      <c r="AD151" s="974">
        <v>451.95500000000004</v>
      </c>
      <c r="AE151" s="974">
        <v>1496.6399999999999</v>
      </c>
      <c r="AF151" s="974">
        <v>2248.5650000000001</v>
      </c>
      <c r="AG151" s="974">
        <v>12.3</v>
      </c>
      <c r="AH151" s="974">
        <v>189.16499999999999</v>
      </c>
      <c r="AI151" s="974">
        <v>2246.5</v>
      </c>
    </row>
    <row r="152" spans="1:35">
      <c r="A152" s="977">
        <v>44923</v>
      </c>
      <c r="B152" s="982">
        <v>1.0645999044738099</v>
      </c>
      <c r="C152" s="981">
        <v>0.67669988855277829</v>
      </c>
      <c r="D152" s="981">
        <v>1.3513001826976778</v>
      </c>
      <c r="E152" s="981">
        <v>0.9292000181076393</v>
      </c>
      <c r="F152" s="981">
        <v>1.2044999203948419</v>
      </c>
      <c r="G152" s="981">
        <v>7.7885135235676621</v>
      </c>
      <c r="H152" s="981">
        <v>133.91753016928917</v>
      </c>
      <c r="I152" s="981">
        <v>4.4229964832917625</v>
      </c>
      <c r="J152" s="981">
        <v>0.63039993631587321</v>
      </c>
      <c r="K152" s="981">
        <v>1.3471498590007456</v>
      </c>
      <c r="L152" s="981">
        <v>3.7588270496708556</v>
      </c>
      <c r="M152" s="981">
        <v>34.684985669871388</v>
      </c>
      <c r="N152" s="981">
        <v>10.466484254448382</v>
      </c>
      <c r="O152" s="981">
        <v>6.9705087883233716</v>
      </c>
      <c r="P152" s="981">
        <v>6.9726909413854354</v>
      </c>
      <c r="Q152" s="981"/>
      <c r="R152" s="978">
        <v>15702.5</v>
      </c>
      <c r="S152" s="979">
        <v>16716.88</v>
      </c>
      <c r="T152" s="980">
        <v>10625.880000000001</v>
      </c>
      <c r="U152" s="980">
        <v>11620.29</v>
      </c>
      <c r="V152" s="980">
        <v>16898.945</v>
      </c>
      <c r="W152" s="980">
        <v>18913.660000000003</v>
      </c>
      <c r="X152" s="980">
        <v>2016.1100000000001</v>
      </c>
      <c r="Y152" s="980">
        <v>117.255</v>
      </c>
      <c r="Z152" s="980">
        <v>3550.1950000000002</v>
      </c>
      <c r="AA152" s="980">
        <v>9898.8549999999996</v>
      </c>
      <c r="AB152" s="980">
        <v>11656.09</v>
      </c>
      <c r="AC152" s="980">
        <v>4177.5</v>
      </c>
      <c r="AD152" s="980">
        <v>452.71749999999997</v>
      </c>
      <c r="AE152" s="980">
        <v>1500.2649999999999</v>
      </c>
      <c r="AF152" s="980">
        <v>2252.7049999999999</v>
      </c>
      <c r="AG152" s="980">
        <v>12.365</v>
      </c>
      <c r="AH152" s="980">
        <v>189.42500000000001</v>
      </c>
      <c r="AI152" s="980">
        <v>2252</v>
      </c>
    </row>
    <row r="153" spans="1:35">
      <c r="A153" s="983">
        <v>44924</v>
      </c>
      <c r="B153" s="988">
        <v>1.0624001277343125</v>
      </c>
      <c r="C153" s="987">
        <v>0.67275011975091814</v>
      </c>
      <c r="D153" s="987">
        <v>1.3599501098295967</v>
      </c>
      <c r="E153" s="987">
        <v>0.92734984646829688</v>
      </c>
      <c r="F153" s="987">
        <v>1.2035002395018362</v>
      </c>
      <c r="G153" s="987">
        <v>7.7931353713529177</v>
      </c>
      <c r="H153" s="987">
        <v>133.7961973937193</v>
      </c>
      <c r="I153" s="987">
        <v>4.4234974375780451</v>
      </c>
      <c r="J153" s="987">
        <v>0.63205013571770718</v>
      </c>
      <c r="K153" s="987">
        <v>1.3490000857260154</v>
      </c>
      <c r="L153" s="987">
        <v>3.7593037214885956</v>
      </c>
      <c r="M153" s="987">
        <v>34.615023240647091</v>
      </c>
      <c r="N153" s="987">
        <v>10.478571046150551</v>
      </c>
      <c r="O153" s="987">
        <v>6.9687380386501809</v>
      </c>
      <c r="P153" s="987">
        <v>6.979050590595052</v>
      </c>
      <c r="Q153" s="987"/>
      <c r="R153" s="984">
        <v>15657.5</v>
      </c>
      <c r="S153" s="985">
        <v>16634.53</v>
      </c>
      <c r="T153" s="986">
        <v>10533.585000000001</v>
      </c>
      <c r="U153" s="986">
        <v>11513.29</v>
      </c>
      <c r="V153" s="986">
        <v>16884.135000000002</v>
      </c>
      <c r="W153" s="986">
        <v>18843.805</v>
      </c>
      <c r="X153" s="986">
        <v>2009.1399999999999</v>
      </c>
      <c r="Y153" s="986">
        <v>117.02500000000001</v>
      </c>
      <c r="Z153" s="986">
        <v>3539.62</v>
      </c>
      <c r="AA153" s="986">
        <v>9896.3250000000007</v>
      </c>
      <c r="AB153" s="986">
        <v>11606.744999999999</v>
      </c>
      <c r="AC153" s="986">
        <v>4165</v>
      </c>
      <c r="AD153" s="986">
        <v>452.33249999999998</v>
      </c>
      <c r="AE153" s="986">
        <v>1494.24</v>
      </c>
      <c r="AF153" s="986">
        <v>2246.8200000000002</v>
      </c>
      <c r="AG153" s="986">
        <v>12.355</v>
      </c>
      <c r="AH153" s="986">
        <v>189.11500000000001</v>
      </c>
      <c r="AI153" s="986">
        <v>2243.5</v>
      </c>
    </row>
    <row r="154" spans="1:35" s="990" customFormat="1" ht="14.5" customHeight="1">
      <c r="A154" s="989">
        <v>44925</v>
      </c>
      <c r="B154" s="670">
        <v>1.0651498313794765</v>
      </c>
      <c r="C154" s="669">
        <v>0.67820009635458489</v>
      </c>
      <c r="D154" s="669">
        <v>1.3552996198109242</v>
      </c>
      <c r="E154" s="669">
        <v>0.92515005645688475</v>
      </c>
      <c r="F154" s="669">
        <v>1.2067502810342059</v>
      </c>
      <c r="G154" s="669">
        <v>7.7972001702937561</v>
      </c>
      <c r="H154" s="669">
        <v>132.14073508191154</v>
      </c>
      <c r="I154" s="669">
        <v>4.4054951601104246</v>
      </c>
      <c r="J154" s="669">
        <v>0.6328000642363899</v>
      </c>
      <c r="K154" s="669">
        <v>1.3428500941957475</v>
      </c>
      <c r="L154" s="669">
        <v>3.7611741966658614</v>
      </c>
      <c r="M154" s="669">
        <v>34.539986399221668</v>
      </c>
      <c r="N154" s="669">
        <v>10.463189802632684</v>
      </c>
      <c r="O154" s="669">
        <v>6.9531602431540351</v>
      </c>
      <c r="P154" s="669">
        <v>6.9668829715820095</v>
      </c>
      <c r="Q154" s="669"/>
      <c r="R154" s="666">
        <v>15567.5</v>
      </c>
      <c r="S154" s="667">
        <v>16581.72</v>
      </c>
      <c r="T154" s="668">
        <v>10557.880000000001</v>
      </c>
      <c r="U154" s="668">
        <v>11486.39</v>
      </c>
      <c r="V154" s="668">
        <v>16827</v>
      </c>
      <c r="W154" s="668">
        <v>18786.084999999999</v>
      </c>
      <c r="X154" s="668">
        <v>1996.5500000000002</v>
      </c>
      <c r="Y154" s="668">
        <v>117.81</v>
      </c>
      <c r="Z154" s="668">
        <v>3533.6549999999997</v>
      </c>
      <c r="AA154" s="668">
        <v>9851.1149999999998</v>
      </c>
      <c r="AB154" s="668">
        <v>11592.880000000001</v>
      </c>
      <c r="AC154" s="668">
        <v>4139</v>
      </c>
      <c r="AD154" s="668">
        <v>450.70950000000005</v>
      </c>
      <c r="AE154" s="668">
        <v>1487.835</v>
      </c>
      <c r="AF154" s="668">
        <v>2238.91</v>
      </c>
      <c r="AG154" s="668">
        <v>12.344999999999999</v>
      </c>
      <c r="AH154" s="668">
        <v>188.10500000000002</v>
      </c>
      <c r="AI154" s="668">
        <v>2234.5</v>
      </c>
    </row>
    <row r="155" spans="1:35">
      <c r="A155" s="991">
        <v>44928</v>
      </c>
      <c r="B155" s="996">
        <v>1.0680003210788249</v>
      </c>
      <c r="C155" s="995">
        <v>0.68050024080911864</v>
      </c>
      <c r="D155" s="995">
        <v>1.3546499135755536</v>
      </c>
      <c r="E155" s="995">
        <v>0.92539962734428893</v>
      </c>
      <c r="F155" s="995">
        <v>1.2064000642157651</v>
      </c>
      <c r="G155" s="995">
        <v>7.8036521442817488</v>
      </c>
      <c r="H155" s="995">
        <v>130.95488374048691</v>
      </c>
      <c r="I155" s="995">
        <v>4.4049966197007802</v>
      </c>
      <c r="J155" s="995">
        <v>0.63304992775726443</v>
      </c>
      <c r="K155" s="995">
        <v>1.3391500041492366</v>
      </c>
      <c r="L155" s="995">
        <v>3.7596571704490582</v>
      </c>
      <c r="M155" s="995">
        <v>34.569986880165523</v>
      </c>
      <c r="N155" s="995">
        <v>10.451201997288628</v>
      </c>
      <c r="O155" s="995">
        <v>6.898606324257754</v>
      </c>
      <c r="P155" s="995">
        <v>6.9272686832740211</v>
      </c>
      <c r="Q155" s="995"/>
      <c r="R155" s="992">
        <v>15572.5</v>
      </c>
      <c r="S155" s="993">
        <v>16631.435000000001</v>
      </c>
      <c r="T155" s="994">
        <v>10597.09</v>
      </c>
      <c r="U155" s="994">
        <v>11495.59</v>
      </c>
      <c r="V155" s="994">
        <v>16827.864999999998</v>
      </c>
      <c r="W155" s="994">
        <v>18786.665000000001</v>
      </c>
      <c r="X155" s="994">
        <v>1995.54</v>
      </c>
      <c r="Y155" s="994">
        <v>118.91499999999999</v>
      </c>
      <c r="Z155" s="994">
        <v>3535.19</v>
      </c>
      <c r="AA155" s="994">
        <v>9858.17</v>
      </c>
      <c r="AB155" s="994">
        <v>11628.645</v>
      </c>
      <c r="AC155" s="994">
        <v>4142</v>
      </c>
      <c r="AD155" s="994">
        <v>450.46299999999997</v>
      </c>
      <c r="AE155" s="994">
        <v>1490.02</v>
      </c>
      <c r="AF155" s="994">
        <v>2257.34</v>
      </c>
      <c r="AG155" s="994">
        <v>12.23</v>
      </c>
      <c r="AH155" s="994">
        <v>188.435</v>
      </c>
      <c r="AI155" s="994">
        <v>2248</v>
      </c>
    </row>
    <row r="156" spans="1:35">
      <c r="A156" s="997">
        <v>44929</v>
      </c>
      <c r="B156" s="1002">
        <v>1.0624000641128386</v>
      </c>
      <c r="C156" s="1001">
        <v>0.67870011219746762</v>
      </c>
      <c r="D156" s="1001">
        <v>1.3537498806599719</v>
      </c>
      <c r="E156" s="1001">
        <v>0.92675005585158221</v>
      </c>
      <c r="F156" s="1001">
        <v>1.2028501362397821</v>
      </c>
      <c r="G156" s="1001">
        <v>7.8108568280835291</v>
      </c>
      <c r="H156" s="1001">
        <v>130.11470281543274</v>
      </c>
      <c r="I156" s="1001">
        <v>4.4004920312936413</v>
      </c>
      <c r="J156" s="1001">
        <v>0.62989998397179037</v>
      </c>
      <c r="K156" s="1001">
        <v>1.3396495911266626</v>
      </c>
      <c r="L156" s="1001">
        <v>3.758886612844921</v>
      </c>
      <c r="M156" s="1001">
        <v>34.37999733291894</v>
      </c>
      <c r="N156" s="1001">
        <v>10.481803427964694</v>
      </c>
      <c r="O156" s="1001">
        <v>6.8918512888943866</v>
      </c>
      <c r="P156" s="1001">
        <v>6.8969710369223964</v>
      </c>
      <c r="Q156" s="1001"/>
      <c r="R156" s="998">
        <v>15597.5</v>
      </c>
      <c r="S156" s="999">
        <v>16570.785</v>
      </c>
      <c r="T156" s="1000">
        <v>10586.025000000001</v>
      </c>
      <c r="U156" s="1000">
        <v>11521.7</v>
      </c>
      <c r="V156" s="1000">
        <v>16830.32</v>
      </c>
      <c r="W156" s="1000">
        <v>18761.455000000002</v>
      </c>
      <c r="X156" s="1000">
        <v>1996.9</v>
      </c>
      <c r="Y156" s="1000">
        <v>119.875</v>
      </c>
      <c r="Z156" s="1000">
        <v>3544.4900000000002</v>
      </c>
      <c r="AA156" s="1000">
        <v>9824.8649999999998</v>
      </c>
      <c r="AB156" s="1000">
        <v>11642.970000000001</v>
      </c>
      <c r="AC156" s="1000">
        <v>4149.5</v>
      </c>
      <c r="AD156" s="1000">
        <v>453.67950000000002</v>
      </c>
      <c r="AE156" s="1000">
        <v>1488.0549999999998</v>
      </c>
      <c r="AF156" s="1000">
        <v>2263.1800000000003</v>
      </c>
      <c r="AG156" s="1000">
        <v>12.225000000000001</v>
      </c>
      <c r="AH156" s="1000">
        <v>188.23500000000001</v>
      </c>
      <c r="AI156" s="1000">
        <v>2261.5</v>
      </c>
    </row>
    <row r="157" spans="1:35">
      <c r="A157" s="1003">
        <v>44930</v>
      </c>
      <c r="B157" s="1008">
        <v>1.0593998396150761</v>
      </c>
      <c r="C157" s="1007">
        <v>0.68415012028869293</v>
      </c>
      <c r="D157" s="1007">
        <v>1.3619002560416169</v>
      </c>
      <c r="E157" s="1007">
        <v>0.92945004582404867</v>
      </c>
      <c r="F157" s="1007">
        <v>1.2026498797113072</v>
      </c>
      <c r="G157" s="1007">
        <v>7.8183974981127999</v>
      </c>
      <c r="H157" s="1007">
        <v>130.24314839572193</v>
      </c>
      <c r="I157" s="1007">
        <v>4.400501381905646</v>
      </c>
      <c r="J157" s="1007">
        <v>0.63149991980753817</v>
      </c>
      <c r="K157" s="1007">
        <v>1.3394499039291101</v>
      </c>
      <c r="L157" s="1007">
        <v>3.7601013146785673</v>
      </c>
      <c r="M157" s="1007">
        <v>34.065007069786553</v>
      </c>
      <c r="N157" s="1007">
        <v>10.510009372197612</v>
      </c>
      <c r="O157" s="1007">
        <v>6.891147500397885</v>
      </c>
      <c r="P157" s="1007">
        <v>6.8940734188412209</v>
      </c>
      <c r="Q157" s="1007"/>
      <c r="R157" s="1004">
        <v>15587.5</v>
      </c>
      <c r="S157" s="1005">
        <v>16513.395</v>
      </c>
      <c r="T157" s="1006">
        <v>10664.19</v>
      </c>
      <c r="U157" s="1006">
        <v>11445.404999999999</v>
      </c>
      <c r="V157" s="1006">
        <v>16770.670000000002</v>
      </c>
      <c r="W157" s="1006">
        <v>18746.305</v>
      </c>
      <c r="X157" s="1006">
        <v>1993.6950000000002</v>
      </c>
      <c r="Y157" s="1006">
        <v>119.68</v>
      </c>
      <c r="Z157" s="1006">
        <v>3542.21</v>
      </c>
      <c r="AA157" s="1006">
        <v>9843.505000000001</v>
      </c>
      <c r="AB157" s="1006">
        <v>11637.240000000002</v>
      </c>
      <c r="AC157" s="1006">
        <v>4145.5</v>
      </c>
      <c r="AD157" s="1006">
        <v>457.58100000000002</v>
      </c>
      <c r="AE157" s="1006">
        <v>1483.1100000000001</v>
      </c>
      <c r="AF157" s="1006">
        <v>2261.96</v>
      </c>
      <c r="AG157" s="1006">
        <v>12.25</v>
      </c>
      <c r="AH157" s="1006">
        <v>188.185</v>
      </c>
      <c r="AI157" s="1006">
        <v>2261</v>
      </c>
    </row>
    <row r="158" spans="1:35">
      <c r="A158" s="1009">
        <v>44931</v>
      </c>
      <c r="B158" s="1014">
        <v>1.0606000320358804</v>
      </c>
      <c r="C158" s="1013">
        <v>0.68089988787441935</v>
      </c>
      <c r="D158" s="1013">
        <v>1.3518499751846855</v>
      </c>
      <c r="E158" s="1013">
        <v>0.92869999851241392</v>
      </c>
      <c r="F158" s="1013">
        <v>1.2006500080089701</v>
      </c>
      <c r="G158" s="1013">
        <v>7.81574717190888</v>
      </c>
      <c r="H158" s="1013">
        <v>132.48588769576841</v>
      </c>
      <c r="I158" s="1013">
        <v>4.398492267587276</v>
      </c>
      <c r="J158" s="1013">
        <v>0.62865000800897008</v>
      </c>
      <c r="K158" s="1013">
        <v>1.3413500646503658</v>
      </c>
      <c r="L158" s="1013">
        <v>3.7594845236661447</v>
      </c>
      <c r="M158" s="1013">
        <v>33.934991362694014</v>
      </c>
      <c r="N158" s="1013">
        <v>10.502180173875596</v>
      </c>
      <c r="O158" s="1013">
        <v>6.875444651734445</v>
      </c>
      <c r="P158" s="1013">
        <v>6.880096980383513</v>
      </c>
      <c r="Q158" s="1013"/>
      <c r="R158" s="1010">
        <v>15607.5</v>
      </c>
      <c r="S158" s="1011">
        <v>16553.315000000002</v>
      </c>
      <c r="T158" s="1012">
        <v>10627.145</v>
      </c>
      <c r="U158" s="1012">
        <v>11545.29</v>
      </c>
      <c r="V158" s="1012">
        <v>16805.75</v>
      </c>
      <c r="W158" s="1012">
        <v>18739.145</v>
      </c>
      <c r="X158" s="1012">
        <v>1996.93</v>
      </c>
      <c r="Y158" s="1012">
        <v>117.80500000000001</v>
      </c>
      <c r="Z158" s="1012">
        <v>3548.375</v>
      </c>
      <c r="AA158" s="1012">
        <v>9811.6550000000007</v>
      </c>
      <c r="AB158" s="1012">
        <v>11635.665000000001</v>
      </c>
      <c r="AC158" s="1012">
        <v>4151.5</v>
      </c>
      <c r="AD158" s="1012">
        <v>459.92349999999999</v>
      </c>
      <c r="AE158" s="1012">
        <v>1486.12</v>
      </c>
      <c r="AF158" s="1012">
        <v>2270.0349999999999</v>
      </c>
      <c r="AG158" s="1012">
        <v>12.275</v>
      </c>
      <c r="AH158" s="1012">
        <v>188.63499999999999</v>
      </c>
      <c r="AI158" s="1012">
        <v>2268.5</v>
      </c>
    </row>
    <row r="159" spans="1:35">
      <c r="A159" s="1015">
        <v>44932</v>
      </c>
      <c r="B159" s="1020">
        <v>1.0512998560690867</v>
      </c>
      <c r="C159" s="1019">
        <v>0.67490004797697101</v>
      </c>
      <c r="D159" s="1019">
        <v>1.3583503244791109</v>
      </c>
      <c r="E159" s="1019">
        <v>0.93809981454038205</v>
      </c>
      <c r="F159" s="1019">
        <v>1.1891002718695027</v>
      </c>
      <c r="G159" s="1019">
        <v>7.8109385617779905</v>
      </c>
      <c r="H159" s="1019">
        <v>134.22487442579316</v>
      </c>
      <c r="I159" s="1019">
        <v>4.400001125859875</v>
      </c>
      <c r="J159" s="1019">
        <v>0.62174988005757248</v>
      </c>
      <c r="K159" s="1019">
        <v>1.3473499675282841</v>
      </c>
      <c r="L159" s="1019">
        <v>3.7587160375090165</v>
      </c>
      <c r="M159" s="1019">
        <v>34.054989031385269</v>
      </c>
      <c r="N159" s="1019">
        <v>10.689875646640886</v>
      </c>
      <c r="O159" s="1019">
        <v>6.8616563663178605</v>
      </c>
      <c r="P159" s="1019">
        <v>6.8669009444322429</v>
      </c>
      <c r="Q159" s="1019"/>
      <c r="R159" s="1016">
        <v>15632.5</v>
      </c>
      <c r="S159" s="1017">
        <v>16434.445</v>
      </c>
      <c r="T159" s="1018">
        <v>10550.375</v>
      </c>
      <c r="U159" s="1018">
        <v>11508.445</v>
      </c>
      <c r="V159" s="1018">
        <v>16664.005000000001</v>
      </c>
      <c r="W159" s="1018">
        <v>18588.61</v>
      </c>
      <c r="X159" s="1018">
        <v>2001.3600000000001</v>
      </c>
      <c r="Y159" s="1018">
        <v>116.465</v>
      </c>
      <c r="Z159" s="1018">
        <v>3552.84</v>
      </c>
      <c r="AA159" s="1018">
        <v>9719.505000000001</v>
      </c>
      <c r="AB159" s="1018">
        <v>11602.404999999999</v>
      </c>
      <c r="AC159" s="1018">
        <v>4159</v>
      </c>
      <c r="AD159" s="1018">
        <v>459.03700000000003</v>
      </c>
      <c r="AE159" s="1018">
        <v>1462.3650000000002</v>
      </c>
      <c r="AF159" s="1018">
        <v>2278.2399999999998</v>
      </c>
      <c r="AG159" s="1018">
        <v>12.3</v>
      </c>
      <c r="AH159" s="1018">
        <v>189.14499999999998</v>
      </c>
      <c r="AI159" s="1018">
        <v>2276.5</v>
      </c>
    </row>
    <row r="160" spans="1:35">
      <c r="A160" s="1021">
        <v>44935</v>
      </c>
      <c r="B160" s="1026">
        <v>1.0673001445318773</v>
      </c>
      <c r="C160" s="1025">
        <v>0.69160012847277985</v>
      </c>
      <c r="D160" s="1025">
        <v>1.3413996828204764</v>
      </c>
      <c r="E160" s="1025">
        <v>0.92479996578225276</v>
      </c>
      <c r="F160" s="1025">
        <v>1.214</v>
      </c>
      <c r="G160" s="1025">
        <v>7.8068583005696865</v>
      </c>
      <c r="H160" s="1025">
        <v>132.23614355489488</v>
      </c>
      <c r="I160" s="1025">
        <v>4.377996822138166</v>
      </c>
      <c r="J160" s="1025">
        <v>0.63790011241368239</v>
      </c>
      <c r="K160" s="1025">
        <v>1.3338502797508376</v>
      </c>
      <c r="L160" s="1025">
        <v>3.7575428433502291</v>
      </c>
      <c r="M160" s="1025">
        <v>33.529979366166536</v>
      </c>
      <c r="N160" s="1025">
        <v>10.500099487051507</v>
      </c>
      <c r="O160" s="1025">
        <v>6.7794432734683916</v>
      </c>
      <c r="P160" s="1025">
        <v>6.7876607804665356</v>
      </c>
      <c r="Q160" s="1025"/>
      <c r="R160" s="1022">
        <v>15567.5</v>
      </c>
      <c r="S160" s="1023">
        <v>16615.195</v>
      </c>
      <c r="T160" s="1024">
        <v>10766.485000000001</v>
      </c>
      <c r="U160" s="1024">
        <v>11605.415000000001</v>
      </c>
      <c r="V160" s="1024">
        <v>16833.37</v>
      </c>
      <c r="W160" s="1024">
        <v>18898.945</v>
      </c>
      <c r="X160" s="1024">
        <v>1994.08</v>
      </c>
      <c r="Y160" s="1024">
        <v>117.72499999999999</v>
      </c>
      <c r="Z160" s="1024">
        <v>3555.8500000000004</v>
      </c>
      <c r="AA160" s="1024">
        <v>9930.51</v>
      </c>
      <c r="AB160" s="1024">
        <v>11671.1</v>
      </c>
      <c r="AC160" s="1024">
        <v>4143</v>
      </c>
      <c r="AD160" s="1024">
        <v>464.28600000000006</v>
      </c>
      <c r="AE160" s="1024">
        <v>1482.605</v>
      </c>
      <c r="AF160" s="1024">
        <v>2296.2800000000002</v>
      </c>
      <c r="AG160" s="1024">
        <v>12.504999999999999</v>
      </c>
      <c r="AH160" s="1024">
        <v>188.85000000000002</v>
      </c>
      <c r="AI160" s="1024">
        <v>2293.5</v>
      </c>
    </row>
    <row r="161" spans="1:35">
      <c r="A161" s="1030">
        <v>44936</v>
      </c>
      <c r="B161" s="1029">
        <v>1.0732001926472949</v>
      </c>
      <c r="C161" s="1029">
        <v>0.68970011237758866</v>
      </c>
      <c r="D161" s="1029">
        <v>1.3398995365741593</v>
      </c>
      <c r="E161" s="1029">
        <v>0.92124991828695135</v>
      </c>
      <c r="F161" s="1029">
        <v>1.2148999839460586</v>
      </c>
      <c r="G161" s="1029">
        <v>7.8076429416601485</v>
      </c>
      <c r="H161" s="1029">
        <v>132.22245807684143</v>
      </c>
      <c r="I161" s="1029">
        <v>4.3757542889978822</v>
      </c>
      <c r="J161" s="1029">
        <v>0.63689998394605873</v>
      </c>
      <c r="K161" s="1029">
        <v>1.3321499604354241</v>
      </c>
      <c r="L161" s="1029">
        <v>3.7546714888487038</v>
      </c>
      <c r="M161" s="1029">
        <v>33.535006368905528</v>
      </c>
      <c r="N161" s="1029">
        <v>10.385786361923561</v>
      </c>
      <c r="O161" s="1029">
        <v>6.7849004648893105</v>
      </c>
      <c r="P161" s="1029">
        <v>6.7957669648701726</v>
      </c>
      <c r="Q161" s="1029"/>
      <c r="R161" s="1031">
        <v>15572.5</v>
      </c>
      <c r="S161" s="1032">
        <v>16712.41</v>
      </c>
      <c r="T161" s="1027">
        <v>10740.355</v>
      </c>
      <c r="U161" s="1027">
        <v>11622.14</v>
      </c>
      <c r="V161" s="1032">
        <v>16903.665000000001</v>
      </c>
      <c r="W161" s="1032">
        <v>18919.03</v>
      </c>
      <c r="X161" s="1032">
        <v>1994.52</v>
      </c>
      <c r="Y161" s="1032">
        <v>117.77500000000001</v>
      </c>
      <c r="Z161" s="1032">
        <v>3558.8150000000001</v>
      </c>
      <c r="AA161" s="1032">
        <v>9918.125</v>
      </c>
      <c r="AB161" s="1032">
        <v>11689.75</v>
      </c>
      <c r="AC161" s="1032">
        <v>4147.5</v>
      </c>
      <c r="AD161" s="1028">
        <v>464.3655</v>
      </c>
      <c r="AE161" s="1028">
        <v>1499.4050000000002</v>
      </c>
      <c r="AF161" s="1028">
        <v>2295.17</v>
      </c>
      <c r="AG161" s="1028">
        <v>12.504999999999999</v>
      </c>
      <c r="AH161" s="1028">
        <v>189.755</v>
      </c>
      <c r="AI161" s="1028">
        <v>2291.5</v>
      </c>
    </row>
    <row r="162" spans="1:35">
      <c r="A162" s="1034">
        <v>44937</v>
      </c>
      <c r="B162" s="1039">
        <v>1.0747001453253675</v>
      </c>
      <c r="C162" s="1038">
        <v>0.69060003229452605</v>
      </c>
      <c r="D162" s="1038">
        <v>1.3427000738018899</v>
      </c>
      <c r="E162" s="1038">
        <v>0.92169999997023422</v>
      </c>
      <c r="F162" s="1038">
        <v>1.2156999838527367</v>
      </c>
      <c r="G162" s="1038">
        <v>7.8115539858728553</v>
      </c>
      <c r="H162" s="1038">
        <v>132.42526621904804</v>
      </c>
      <c r="I162" s="1038">
        <v>4.3744958345871243</v>
      </c>
      <c r="J162" s="1038">
        <v>0.63665008880994667</v>
      </c>
      <c r="K162" s="1038">
        <v>1.3309498163362323</v>
      </c>
      <c r="L162" s="1038">
        <v>3.7556094602789569</v>
      </c>
      <c r="M162" s="1038">
        <v>33.435011472533404</v>
      </c>
      <c r="N162" s="1038">
        <v>10.423048181983427</v>
      </c>
      <c r="O162" s="1038">
        <v>6.7734879142513398</v>
      </c>
      <c r="P162" s="1038">
        <v>6.7831325301204819</v>
      </c>
      <c r="Q162" s="1038"/>
      <c r="R162" s="1035">
        <v>15482.5</v>
      </c>
      <c r="S162" s="1036">
        <v>16639.045000000002</v>
      </c>
      <c r="T162" s="1037">
        <v>10692.215</v>
      </c>
      <c r="U162" s="1037">
        <v>11530.87</v>
      </c>
      <c r="V162" s="1037">
        <v>16797.764999999999</v>
      </c>
      <c r="W162" s="1037">
        <v>18822.074999999997</v>
      </c>
      <c r="X162" s="1037">
        <v>1982</v>
      </c>
      <c r="Y162" s="1037">
        <v>116.91499999999999</v>
      </c>
      <c r="Z162" s="1037">
        <v>3539.2650000000003</v>
      </c>
      <c r="AA162" s="1037">
        <v>9856.9349999999995</v>
      </c>
      <c r="AB162" s="1037">
        <v>11632.67</v>
      </c>
      <c r="AC162" s="1037">
        <v>4122.5</v>
      </c>
      <c r="AD162" s="1037">
        <v>463.0625</v>
      </c>
      <c r="AE162" s="1037">
        <v>1485.4099999999999</v>
      </c>
      <c r="AF162" s="1037">
        <v>2285.75</v>
      </c>
      <c r="AG162" s="1037">
        <v>12.434999999999999</v>
      </c>
      <c r="AH162" s="1037">
        <v>189.67000000000002</v>
      </c>
      <c r="AI162" s="1037">
        <v>2282.5</v>
      </c>
    </row>
    <row r="163" spans="1:35">
      <c r="A163" s="1040">
        <v>44938</v>
      </c>
      <c r="B163" s="1045">
        <v>1.0762999185004074</v>
      </c>
      <c r="C163" s="1044">
        <v>0.69</v>
      </c>
      <c r="D163" s="1044">
        <v>1.3435002835913392</v>
      </c>
      <c r="E163" s="1044">
        <v>0.93199972047604152</v>
      </c>
      <c r="F163" s="1044">
        <v>1.2149000814995925</v>
      </c>
      <c r="G163" s="1044">
        <v>7.8125994880741647</v>
      </c>
      <c r="H163" s="1044">
        <v>131.60717350266003</v>
      </c>
      <c r="I163" s="1044">
        <v>4.366498317456883</v>
      </c>
      <c r="J163" s="1044">
        <v>0.63549991850040743</v>
      </c>
      <c r="K163" s="1044">
        <v>1.3307494885236686</v>
      </c>
      <c r="L163" s="1044">
        <v>3.7559691441165666</v>
      </c>
      <c r="M163" s="1044">
        <v>33.419983788447958</v>
      </c>
      <c r="N163" s="1044">
        <v>10.47886804312477</v>
      </c>
      <c r="O163" s="1044">
        <v>6.7582602794956488</v>
      </c>
      <c r="P163" s="1044">
        <v>6.7670416942422236</v>
      </c>
      <c r="Q163" s="1044"/>
      <c r="R163" s="1041">
        <v>15337.5</v>
      </c>
      <c r="S163" s="1042">
        <v>16507.75</v>
      </c>
      <c r="T163" s="1043">
        <v>10582.875</v>
      </c>
      <c r="U163" s="1043">
        <v>11416.075000000001</v>
      </c>
      <c r="V163" s="1043">
        <v>16456.55</v>
      </c>
      <c r="W163" s="1043">
        <v>18633.53</v>
      </c>
      <c r="X163" s="1043">
        <v>1963.1750000000002</v>
      </c>
      <c r="Y163" s="1043">
        <v>116.53999999999999</v>
      </c>
      <c r="Z163" s="1043">
        <v>3512.54</v>
      </c>
      <c r="AA163" s="1043">
        <v>9746.98</v>
      </c>
      <c r="AB163" s="1043">
        <v>11525.46</v>
      </c>
      <c r="AC163" s="1043">
        <v>4083.5</v>
      </c>
      <c r="AD163" s="1043">
        <v>458.93200000000002</v>
      </c>
      <c r="AE163" s="1043">
        <v>1463.6599999999999</v>
      </c>
      <c r="AF163" s="1043">
        <v>2269.4449999999997</v>
      </c>
      <c r="AG163" s="1043">
        <v>12.315000000000001</v>
      </c>
      <c r="AH163" s="1043">
        <v>187.83</v>
      </c>
      <c r="AI163" s="1043">
        <v>2266.5</v>
      </c>
    </row>
    <row r="164" spans="1:35">
      <c r="A164" s="1049">
        <v>44939</v>
      </c>
      <c r="B164" s="1048">
        <v>1.084900297127765</v>
      </c>
      <c r="C164" s="1048">
        <v>0.69714988445031356</v>
      </c>
      <c r="D164" s="1048">
        <v>1.3355496962054338</v>
      </c>
      <c r="E164" s="1048">
        <v>0.92750005511720368</v>
      </c>
      <c r="F164" s="1048">
        <v>1.2213000990425884</v>
      </c>
      <c r="G164" s="1048">
        <v>7.8089551623148949</v>
      </c>
      <c r="H164" s="1048">
        <v>128.37465564738292</v>
      </c>
      <c r="I164" s="1048">
        <v>4.3339967634530607</v>
      </c>
      <c r="J164" s="1048">
        <v>0.63810036315615704</v>
      </c>
      <c r="K164" s="1048">
        <v>1.3219500443414081</v>
      </c>
      <c r="L164" s="1048">
        <v>3.7557346559206448</v>
      </c>
      <c r="M164" s="1048">
        <v>33.050006001156589</v>
      </c>
      <c r="N164" s="1048">
        <v>10.407003511375896</v>
      </c>
      <c r="O164" s="1048">
        <v>6.714756947523365</v>
      </c>
      <c r="P164" s="1048">
        <v>6.7251332149200707</v>
      </c>
      <c r="Q164" s="1048"/>
      <c r="R164" s="1050">
        <v>15145</v>
      </c>
      <c r="S164" s="1051">
        <v>16430.815000000002</v>
      </c>
      <c r="T164" s="1046">
        <v>10558.334999999999</v>
      </c>
      <c r="U164" s="1046">
        <v>11339.9</v>
      </c>
      <c r="V164" s="1051">
        <v>16328.84</v>
      </c>
      <c r="W164" s="1051">
        <v>18496.59</v>
      </c>
      <c r="X164" s="1051">
        <v>1939.44</v>
      </c>
      <c r="Y164" s="1051">
        <v>117.97499999999999</v>
      </c>
      <c r="Z164" s="1051">
        <v>3494.4650000000001</v>
      </c>
      <c r="AA164" s="1051">
        <v>9664.0299999999988</v>
      </c>
      <c r="AB164" s="1051">
        <v>11456.56</v>
      </c>
      <c r="AC164" s="1051">
        <v>4032.5</v>
      </c>
      <c r="AD164" s="1047">
        <v>458.245</v>
      </c>
      <c r="AE164" s="1047">
        <v>1455.27</v>
      </c>
      <c r="AF164" s="1047">
        <v>2255.48</v>
      </c>
      <c r="AG164" s="1047">
        <v>12.22</v>
      </c>
      <c r="AH164" s="1047">
        <v>186.09</v>
      </c>
      <c r="AI164" s="1047">
        <v>2252</v>
      </c>
    </row>
    <row r="165" spans="1:35">
      <c r="A165" s="1052">
        <v>44942</v>
      </c>
      <c r="B165" s="1057">
        <v>1.0831498836822864</v>
      </c>
      <c r="C165" s="1056">
        <v>0.69775008308408104</v>
      </c>
      <c r="D165" s="1056">
        <v>1.3386999972861184</v>
      </c>
      <c r="E165" s="1056">
        <v>0.92554997785324078</v>
      </c>
      <c r="F165" s="1056">
        <v>1.2231498836822865</v>
      </c>
      <c r="G165" s="1056">
        <v>7.8098842143785969</v>
      </c>
      <c r="H165" s="1056">
        <v>127.96631793824956</v>
      </c>
      <c r="I165" s="1056">
        <v>4.3160019105731289</v>
      </c>
      <c r="J165" s="1056">
        <v>0.63925024925224327</v>
      </c>
      <c r="K165" s="1056">
        <v>1.3184501966282904</v>
      </c>
      <c r="L165" s="1056">
        <v>3.7565543071161049</v>
      </c>
      <c r="M165" s="1056">
        <v>32.945014999890518</v>
      </c>
      <c r="N165" s="1056">
        <v>10.389583484394908</v>
      </c>
      <c r="O165" s="1056">
        <v>6.7107059064916994</v>
      </c>
      <c r="P165" s="1056">
        <v>6.7195176418043774</v>
      </c>
      <c r="Q165" s="1056"/>
      <c r="R165" s="1053">
        <v>15045</v>
      </c>
      <c r="S165" s="1054">
        <v>16295.99</v>
      </c>
      <c r="T165" s="1055">
        <v>10497.65</v>
      </c>
      <c r="U165" s="1055">
        <v>11238.514999999999</v>
      </c>
      <c r="V165" s="1055">
        <v>16255.2</v>
      </c>
      <c r="W165" s="1055">
        <v>18402.29</v>
      </c>
      <c r="X165" s="1055">
        <v>1926.405</v>
      </c>
      <c r="Y165" s="1055">
        <v>117.57</v>
      </c>
      <c r="Z165" s="1055">
        <v>3485.8649999999998</v>
      </c>
      <c r="AA165" s="1055">
        <v>9617.52</v>
      </c>
      <c r="AB165" s="1055">
        <v>11411.125</v>
      </c>
      <c r="AC165" s="1055">
        <v>4005</v>
      </c>
      <c r="AD165" s="1055">
        <v>456.66999999999996</v>
      </c>
      <c r="AE165" s="1055">
        <v>1448.085</v>
      </c>
      <c r="AF165" s="1055">
        <v>2241.94</v>
      </c>
      <c r="AG165" s="1055">
        <v>12.175000000000001</v>
      </c>
      <c r="AH165" s="1055">
        <v>184.55500000000001</v>
      </c>
      <c r="AI165" s="1055">
        <v>2239</v>
      </c>
    </row>
    <row r="166" spans="1:35">
      <c r="A166" s="1058">
        <v>44943</v>
      </c>
      <c r="B166" s="1063">
        <v>1.0828001978239368</v>
      </c>
      <c r="C166" s="1062">
        <v>0.69630003297065612</v>
      </c>
      <c r="D166" s="1062">
        <v>1.3409003794575656</v>
      </c>
      <c r="E166" s="1062">
        <v>0.92379976845612133</v>
      </c>
      <c r="F166" s="1062">
        <v>1.2215499505440159</v>
      </c>
      <c r="G166" s="1062">
        <v>7.818037937976384</v>
      </c>
      <c r="H166" s="1062">
        <v>128.74607352067238</v>
      </c>
      <c r="I166" s="1062">
        <v>4.3280035959673793</v>
      </c>
      <c r="J166" s="1062">
        <v>0.64009990108803172</v>
      </c>
      <c r="K166" s="1062">
        <v>1.3222496292208012</v>
      </c>
      <c r="L166" s="1062">
        <v>3.7565023532325985</v>
      </c>
      <c r="M166" s="1062">
        <v>33.054987019950694</v>
      </c>
      <c r="N166" s="1062">
        <v>10.422143188495438</v>
      </c>
      <c r="O166" s="1062">
        <v>6.7688956634879114</v>
      </c>
      <c r="P166" s="1062">
        <v>6.774625865534956</v>
      </c>
      <c r="Q166" s="1062"/>
      <c r="R166" s="1059">
        <v>15165</v>
      </c>
      <c r="S166" s="1060">
        <v>16420.665000000001</v>
      </c>
      <c r="T166" s="1061">
        <v>10559.39</v>
      </c>
      <c r="U166" s="1061">
        <v>11309.564999999999</v>
      </c>
      <c r="V166" s="1061">
        <v>16415.895</v>
      </c>
      <c r="W166" s="1061">
        <v>18524.805</v>
      </c>
      <c r="X166" s="1061">
        <v>1939.7449999999999</v>
      </c>
      <c r="Y166" s="1061">
        <v>117.79</v>
      </c>
      <c r="Z166" s="1061">
        <v>3503.9250000000002</v>
      </c>
      <c r="AA166" s="1061">
        <v>9707.1150000000016</v>
      </c>
      <c r="AB166" s="1061">
        <v>11469.09</v>
      </c>
      <c r="AC166" s="1061">
        <v>4037</v>
      </c>
      <c r="AD166" s="1061">
        <v>458.78100000000001</v>
      </c>
      <c r="AE166" s="1061">
        <v>1455.075</v>
      </c>
      <c r="AF166" s="1061">
        <v>2240.395</v>
      </c>
      <c r="AG166" s="1061">
        <v>12.245000000000001</v>
      </c>
      <c r="AH166" s="1061">
        <v>185.45499999999998</v>
      </c>
      <c r="AI166" s="1061">
        <v>2238.5</v>
      </c>
    </row>
    <row r="167" spans="1:35">
      <c r="A167" s="1064">
        <v>44944</v>
      </c>
      <c r="B167" s="1069">
        <v>1.0825000828500415</v>
      </c>
      <c r="C167" s="1068">
        <v>0.70194995857497933</v>
      </c>
      <c r="D167" s="1068">
        <v>1.3361998343864994</v>
      </c>
      <c r="E167" s="1068">
        <v>0.91869985778800212</v>
      </c>
      <c r="F167" s="1068">
        <v>1.2314999171499585</v>
      </c>
      <c r="G167" s="1068">
        <v>7.8274358435602309</v>
      </c>
      <c r="H167" s="1068">
        <v>130.26679329994818</v>
      </c>
      <c r="I167" s="1068">
        <v>4.3209982615768388</v>
      </c>
      <c r="J167" s="1068">
        <v>0.64734979287489636</v>
      </c>
      <c r="K167" s="1068">
        <v>1.3202499877491303</v>
      </c>
      <c r="L167" s="1068">
        <v>3.7568476095617531</v>
      </c>
      <c r="M167" s="1068">
        <v>32.97497071319917</v>
      </c>
      <c r="N167" s="1068">
        <v>10.357989983557657</v>
      </c>
      <c r="O167" s="1068">
        <v>6.7744897523915579</v>
      </c>
      <c r="P167" s="1068">
        <v>6.7763305636649447</v>
      </c>
      <c r="Q167" s="1068"/>
      <c r="R167" s="1065">
        <v>15087.5</v>
      </c>
      <c r="S167" s="1066">
        <v>16332.220000000001</v>
      </c>
      <c r="T167" s="1067">
        <v>10590.67</v>
      </c>
      <c r="U167" s="1067">
        <v>11291.35</v>
      </c>
      <c r="V167" s="1067">
        <v>16422.665000000001</v>
      </c>
      <c r="W167" s="1067">
        <v>18580.255000000001</v>
      </c>
      <c r="X167" s="1067">
        <v>1927.5150000000001</v>
      </c>
      <c r="Y167" s="1067">
        <v>115.82000000000001</v>
      </c>
      <c r="Z167" s="1067">
        <v>3491.67</v>
      </c>
      <c r="AA167" s="1067">
        <v>9766.89</v>
      </c>
      <c r="AB167" s="1067">
        <v>11427.76</v>
      </c>
      <c r="AC167" s="1067">
        <v>4016</v>
      </c>
      <c r="AD167" s="1067">
        <v>457.54399999999998</v>
      </c>
      <c r="AE167" s="1067">
        <v>1456.605</v>
      </c>
      <c r="AF167" s="1067">
        <v>2227.105</v>
      </c>
      <c r="AG167" s="1067">
        <v>12.205000000000002</v>
      </c>
      <c r="AH167" s="1067">
        <v>185.4</v>
      </c>
      <c r="AI167" s="1067">
        <v>2226.5</v>
      </c>
    </row>
    <row r="168" spans="1:35">
      <c r="A168" s="1070">
        <v>44945</v>
      </c>
      <c r="B168" s="1075">
        <v>1.080900092690678</v>
      </c>
      <c r="C168" s="1074">
        <v>0.68894994703389834</v>
      </c>
      <c r="D168" s="1074">
        <v>1.3497995050854303</v>
      </c>
      <c r="E168" s="1074">
        <v>0.916049886630942</v>
      </c>
      <c r="F168" s="1074">
        <v>1.2334500794491525</v>
      </c>
      <c r="G168" s="1074">
        <v>7.8288476241075013</v>
      </c>
      <c r="H168" s="1074">
        <v>128.19011245491194</v>
      </c>
      <c r="I168" s="1074">
        <v>4.3170011932918415</v>
      </c>
      <c r="J168" s="1074">
        <v>0.64024993379237283</v>
      </c>
      <c r="K168" s="1074">
        <v>1.3233497992720875</v>
      </c>
      <c r="L168" s="1074">
        <v>3.7567466732993409</v>
      </c>
      <c r="M168" s="1074">
        <v>33.059985794537354</v>
      </c>
      <c r="N168" s="1074">
        <v>10.332714218769775</v>
      </c>
      <c r="O168" s="1074">
        <v>6.777242572247137</v>
      </c>
      <c r="P168" s="1074">
        <v>6.7837412980013472</v>
      </c>
      <c r="Q168" s="1074"/>
      <c r="R168" s="1071">
        <v>15104</v>
      </c>
      <c r="S168" s="1072">
        <v>16325.915000000001</v>
      </c>
      <c r="T168" s="1073">
        <v>10405.9</v>
      </c>
      <c r="U168" s="1073">
        <v>11189.810000000001</v>
      </c>
      <c r="V168" s="1073">
        <v>16488.185000000001</v>
      </c>
      <c r="W168" s="1073">
        <v>18630.03</v>
      </c>
      <c r="X168" s="1073">
        <v>1929.2750000000001</v>
      </c>
      <c r="Y168" s="1073">
        <v>117.825</v>
      </c>
      <c r="Z168" s="1073">
        <v>3498.7250000000004</v>
      </c>
      <c r="AA168" s="1073">
        <v>9670.3349999999991</v>
      </c>
      <c r="AB168" s="1073">
        <v>11413.46</v>
      </c>
      <c r="AC168" s="1073">
        <v>4020.5</v>
      </c>
      <c r="AD168" s="1073">
        <v>456.86650000000003</v>
      </c>
      <c r="AE168" s="1073">
        <v>1461.7650000000001</v>
      </c>
      <c r="AF168" s="1073">
        <v>2228.6350000000002</v>
      </c>
      <c r="AG168" s="1073">
        <v>12.245000000000001</v>
      </c>
      <c r="AH168" s="1073">
        <v>185.66</v>
      </c>
      <c r="AI168" s="1073">
        <v>2226.5</v>
      </c>
    </row>
    <row r="169" spans="1:35">
      <c r="A169" s="1076">
        <v>44946</v>
      </c>
      <c r="B169" s="1081">
        <v>1.0840003316749585</v>
      </c>
      <c r="C169" s="1080">
        <v>0.69369983416252079</v>
      </c>
      <c r="D169" s="1080">
        <v>1.3452998836304446</v>
      </c>
      <c r="E169" s="1080">
        <v>0.91609983938627682</v>
      </c>
      <c r="F169" s="1080">
        <v>1.2363999999999999</v>
      </c>
      <c r="G169" s="1080">
        <v>7.8328371237510321</v>
      </c>
      <c r="H169" s="1080">
        <v>128.88470910101313</v>
      </c>
      <c r="I169" s="1080">
        <v>4.2909964504991214</v>
      </c>
      <c r="J169" s="1080">
        <v>0.6422000000000001</v>
      </c>
      <c r="K169" s="1080">
        <v>1.3212499945221807</v>
      </c>
      <c r="L169" s="1080">
        <v>3.7560732527718947</v>
      </c>
      <c r="M169" s="1080">
        <v>32.739995569513034</v>
      </c>
      <c r="N169" s="1080">
        <v>10.319122720551995</v>
      </c>
      <c r="O169" s="1080">
        <v>6.7743979436388067</v>
      </c>
      <c r="P169" s="1080">
        <v>6.7737587059087847</v>
      </c>
      <c r="Q169" s="1080"/>
      <c r="R169" s="1077">
        <v>15075</v>
      </c>
      <c r="S169" s="1078">
        <v>16341.305</v>
      </c>
      <c r="T169" s="1079">
        <v>10457.525000000001</v>
      </c>
      <c r="U169" s="1079">
        <v>11205.68</v>
      </c>
      <c r="V169" s="1079">
        <v>16455.63</v>
      </c>
      <c r="W169" s="1079">
        <v>18638.73</v>
      </c>
      <c r="X169" s="1079">
        <v>1924.5900000000001</v>
      </c>
      <c r="Y169" s="1079">
        <v>116.965</v>
      </c>
      <c r="Z169" s="1079">
        <v>3513.17</v>
      </c>
      <c r="AA169" s="1079">
        <v>9681.1650000000009</v>
      </c>
      <c r="AB169" s="1079">
        <v>11409.650000000001</v>
      </c>
      <c r="AC169" s="1079">
        <v>4013.5</v>
      </c>
      <c r="AD169" s="1079">
        <v>460.44600000000003</v>
      </c>
      <c r="AE169" s="1079">
        <v>1460.88</v>
      </c>
      <c r="AF169" s="1079">
        <v>2225.29</v>
      </c>
      <c r="AG169" s="1079">
        <v>12.22</v>
      </c>
      <c r="AH169" s="1079">
        <v>185.685</v>
      </c>
      <c r="AI169" s="1079">
        <v>2225.5</v>
      </c>
    </row>
    <row r="170" spans="1:35">
      <c r="A170" s="1082">
        <v>44950</v>
      </c>
      <c r="B170" s="1087">
        <v>1.0889000839630563</v>
      </c>
      <c r="C170" s="1086">
        <v>0.70360000000000011</v>
      </c>
      <c r="D170" s="1086">
        <v>1.3357996089729842</v>
      </c>
      <c r="E170" s="1086">
        <v>0.91979993308860941</v>
      </c>
      <c r="F170" s="1086">
        <v>1.2405000839630562</v>
      </c>
      <c r="G170" s="1086">
        <v>7.8315487134166064</v>
      </c>
      <c r="H170" s="1086">
        <v>129.86304954640613</v>
      </c>
      <c r="I170" s="1086">
        <v>4.2854922235047912</v>
      </c>
      <c r="J170" s="1086">
        <v>0.65069991603694377</v>
      </c>
      <c r="K170" s="1086">
        <v>1.3179502388024025</v>
      </c>
      <c r="L170" s="1086">
        <v>3.7547288776796974</v>
      </c>
      <c r="M170" s="1086">
        <v>32.755018860950408</v>
      </c>
      <c r="N170" s="1086">
        <v>10.195311697472317</v>
      </c>
      <c r="O170" s="1086">
        <v>6.7845001230438307</v>
      </c>
      <c r="P170" s="1086">
        <v>6.774744027303754</v>
      </c>
      <c r="Q170" s="1086"/>
      <c r="R170" s="1083">
        <v>14887.5</v>
      </c>
      <c r="S170" s="1084">
        <v>16211</v>
      </c>
      <c r="T170" s="1085">
        <v>10474.845000000001</v>
      </c>
      <c r="U170" s="1085">
        <v>11145.01</v>
      </c>
      <c r="V170" s="1085">
        <v>16185.584999999999</v>
      </c>
      <c r="W170" s="1085">
        <v>18467.945</v>
      </c>
      <c r="X170" s="1085">
        <v>1900.9650000000001</v>
      </c>
      <c r="Y170" s="1085">
        <v>114.64</v>
      </c>
      <c r="Z170" s="1085">
        <v>3473.9300000000003</v>
      </c>
      <c r="AA170" s="1085">
        <v>9687.2950000000001</v>
      </c>
      <c r="AB170" s="1085">
        <v>11295.95</v>
      </c>
      <c r="AC170" s="1085">
        <v>3965</v>
      </c>
      <c r="AD170" s="1085">
        <v>454.51049999999998</v>
      </c>
      <c r="AE170" s="1085">
        <v>1460.23</v>
      </c>
      <c r="AF170" s="1085">
        <v>2194.34</v>
      </c>
      <c r="AG170" s="1085">
        <v>12.094999999999999</v>
      </c>
      <c r="AH170" s="1085">
        <v>182.755</v>
      </c>
      <c r="AI170" s="1085">
        <v>2197.5</v>
      </c>
    </row>
    <row r="171" spans="1:35" s="990" customFormat="1" ht="14.5" customHeight="1">
      <c r="A171" s="989">
        <v>44951</v>
      </c>
      <c r="B171" s="670">
        <v>1.0880998997661211</v>
      </c>
      <c r="C171" s="669">
        <v>0.70990010023387906</v>
      </c>
      <c r="D171" s="669">
        <v>1.3366995713003946</v>
      </c>
      <c r="E171" s="669">
        <v>0.92414992410422592</v>
      </c>
      <c r="F171" s="669">
        <v>1.2317500835282325</v>
      </c>
      <c r="G171" s="669">
        <v>7.8325565328441353</v>
      </c>
      <c r="H171" s="669">
        <v>130.4366774165432</v>
      </c>
      <c r="I171" s="669">
        <v>4.2659999942986966</v>
      </c>
      <c r="J171" s="669">
        <v>0.64850016705646507</v>
      </c>
      <c r="K171" s="669">
        <v>1.3154500109217953</v>
      </c>
      <c r="L171" s="669">
        <v>3.7548613724752227</v>
      </c>
      <c r="M171" s="669">
        <v>32.809995812422855</v>
      </c>
      <c r="N171" s="669">
        <v>10.225801271648258</v>
      </c>
      <c r="O171" s="669">
        <v>6.7844942684284124</v>
      </c>
      <c r="P171" s="669">
        <v>6.7745586238116795</v>
      </c>
      <c r="Q171" s="669"/>
      <c r="R171" s="666">
        <v>14965</v>
      </c>
      <c r="S171" s="667">
        <v>16283.415000000001</v>
      </c>
      <c r="T171" s="668">
        <v>10623.655000000001</v>
      </c>
      <c r="U171" s="668">
        <v>11195.485000000001</v>
      </c>
      <c r="V171" s="668">
        <v>16193.260000000002</v>
      </c>
      <c r="W171" s="668">
        <v>18433.14</v>
      </c>
      <c r="X171" s="668">
        <v>1910.6150000000002</v>
      </c>
      <c r="Y171" s="668">
        <v>114.72999999999999</v>
      </c>
      <c r="Z171" s="668">
        <v>3507.9700000000003</v>
      </c>
      <c r="AA171" s="668">
        <v>9704.8050000000003</v>
      </c>
      <c r="AB171" s="668">
        <v>11376.334999999999</v>
      </c>
      <c r="AC171" s="668">
        <v>3985.5</v>
      </c>
      <c r="AD171" s="668">
        <v>456.11099999999999</v>
      </c>
      <c r="AE171" s="668">
        <v>1463.4549999999999</v>
      </c>
      <c r="AF171" s="668">
        <v>2205.7650000000003</v>
      </c>
      <c r="AG171" s="668">
        <v>12.135000000000002</v>
      </c>
      <c r="AH171" s="668">
        <v>183.25</v>
      </c>
      <c r="AI171" s="668">
        <v>2209</v>
      </c>
    </row>
    <row r="172" spans="1:35">
      <c r="A172" s="1088">
        <v>44952</v>
      </c>
      <c r="B172" s="1093">
        <v>1.0920000000000001</v>
      </c>
      <c r="C172" s="1092">
        <v>0.71195015888944635</v>
      </c>
      <c r="D172" s="1092">
        <v>1.3389995776295027</v>
      </c>
      <c r="E172" s="1092">
        <v>0.91720010210543357</v>
      </c>
      <c r="F172" s="1092">
        <v>1.2409499916373974</v>
      </c>
      <c r="G172" s="1092">
        <v>7.8323953846637533</v>
      </c>
      <c r="H172" s="1092">
        <v>129.48845670723784</v>
      </c>
      <c r="I172" s="1092">
        <v>4.2454960392411927</v>
      </c>
      <c r="J172" s="1092">
        <v>0.64925004181301227</v>
      </c>
      <c r="K172" s="1092">
        <v>1.3106501780634119</v>
      </c>
      <c r="L172" s="1092">
        <v>3.7537669512807637</v>
      </c>
      <c r="M172" s="1092">
        <v>32.655000655393891</v>
      </c>
      <c r="N172" s="1092">
        <v>10.212691818914747</v>
      </c>
      <c r="O172" s="1092">
        <v>6.7844960818088342</v>
      </c>
      <c r="P172" s="1092">
        <v>6.7376605814739685</v>
      </c>
      <c r="Q172" s="1092"/>
      <c r="R172" s="1089">
        <v>14947.5</v>
      </c>
      <c r="S172" s="1090">
        <v>16322.670000000002</v>
      </c>
      <c r="T172" s="1091">
        <v>10641.875</v>
      </c>
      <c r="U172" s="1091">
        <v>11163.184999999999</v>
      </c>
      <c r="V172" s="1091">
        <v>16296.880000000001</v>
      </c>
      <c r="W172" s="1091">
        <v>18549.099999999999</v>
      </c>
      <c r="X172" s="1091">
        <v>1908.42</v>
      </c>
      <c r="Y172" s="1091">
        <v>115.435</v>
      </c>
      <c r="Z172" s="1091">
        <v>3520.79</v>
      </c>
      <c r="AA172" s="1091">
        <v>9704.6650000000009</v>
      </c>
      <c r="AB172" s="1091">
        <v>11404.645</v>
      </c>
      <c r="AC172" s="1091">
        <v>3982</v>
      </c>
      <c r="AD172" s="1091">
        <v>457.74</v>
      </c>
      <c r="AE172" s="1091">
        <v>1463.62</v>
      </c>
      <c r="AF172" s="1091">
        <v>2203.1850000000004</v>
      </c>
      <c r="AG172" s="1091">
        <v>12.135000000000002</v>
      </c>
      <c r="AH172" s="1091">
        <v>183.65</v>
      </c>
      <c r="AI172" s="1091">
        <v>2218.5</v>
      </c>
    </row>
    <row r="173" spans="1:35">
      <c r="A173" s="1094">
        <v>44953</v>
      </c>
      <c r="B173" s="1099">
        <v>1.0873503503503503</v>
      </c>
      <c r="C173" s="1098">
        <v>0.71045011678345016</v>
      </c>
      <c r="D173" s="1098">
        <v>1.3335997269613638</v>
      </c>
      <c r="E173" s="1098">
        <v>0.92249985456083372</v>
      </c>
      <c r="F173" s="1098">
        <v>1.2375999332665997</v>
      </c>
      <c r="G173" s="1098">
        <v>7.8310561343273051</v>
      </c>
      <c r="H173" s="1098">
        <v>129.96530789245446</v>
      </c>
      <c r="I173" s="1098">
        <v>4.2354976250404546</v>
      </c>
      <c r="J173" s="1098">
        <v>0.6489002335669003</v>
      </c>
      <c r="K173" s="1098">
        <v>1.3144500471702043</v>
      </c>
      <c r="L173" s="1098">
        <v>3.7542277339346111</v>
      </c>
      <c r="M173" s="1098">
        <v>32.89498957831411</v>
      </c>
      <c r="N173" s="1098">
        <v>10.306796570591411</v>
      </c>
      <c r="O173" s="1098">
        <v>6.7845031715345154</v>
      </c>
      <c r="P173" s="1098">
        <v>6.7621841155234659</v>
      </c>
      <c r="Q173" s="1098"/>
      <c r="R173" s="1095">
        <v>14985</v>
      </c>
      <c r="S173" s="1096">
        <v>16293.945</v>
      </c>
      <c r="T173" s="1097">
        <v>10646.095000000001</v>
      </c>
      <c r="U173" s="1097">
        <v>11236.505000000001</v>
      </c>
      <c r="V173" s="1097">
        <v>16243.905000000001</v>
      </c>
      <c r="W173" s="1097">
        <v>18545.434999999998</v>
      </c>
      <c r="X173" s="1097">
        <v>1913.5350000000001</v>
      </c>
      <c r="Y173" s="1097">
        <v>115.30000000000001</v>
      </c>
      <c r="Z173" s="1097">
        <v>3537.9549999999999</v>
      </c>
      <c r="AA173" s="1097">
        <v>9723.77</v>
      </c>
      <c r="AB173" s="1097">
        <v>11400.205</v>
      </c>
      <c r="AC173" s="1097">
        <v>3991.5</v>
      </c>
      <c r="AD173" s="1097">
        <v>455.54050000000001</v>
      </c>
      <c r="AE173" s="1097">
        <v>1453.895</v>
      </c>
      <c r="AF173" s="1097">
        <v>2208.71</v>
      </c>
      <c r="AG173" s="1097">
        <v>12.135000000000002</v>
      </c>
      <c r="AH173" s="1097">
        <v>183.57999999999998</v>
      </c>
      <c r="AI173" s="1097">
        <v>2216</v>
      </c>
    </row>
    <row r="174" spans="1:35">
      <c r="A174" s="1100">
        <v>44956</v>
      </c>
      <c r="B174" s="1105">
        <v>1.0859001336005343</v>
      </c>
      <c r="C174" s="1104">
        <v>0.70824983299933197</v>
      </c>
      <c r="D174" s="1104">
        <v>1.3342495715160443</v>
      </c>
      <c r="E174" s="1104">
        <v>0.9228498738401959</v>
      </c>
      <c r="F174" s="1104">
        <v>1.2379502338009352</v>
      </c>
      <c r="G174" s="1104">
        <v>7.8344969070222623</v>
      </c>
      <c r="H174" s="1104">
        <v>129.58234148452715</v>
      </c>
      <c r="I174" s="1104">
        <v>4.2460014692242893</v>
      </c>
      <c r="J174" s="1104">
        <v>0.6480998663994656</v>
      </c>
      <c r="K174" s="1104">
        <v>1.3131993641904482</v>
      </c>
      <c r="L174" s="1104">
        <v>3.75423197492163</v>
      </c>
      <c r="M174" s="1104">
        <v>32.714983003287891</v>
      </c>
      <c r="N174" s="1104">
        <v>10.332831761896214</v>
      </c>
      <c r="O174" s="1104">
        <v>6.7515610448006891</v>
      </c>
      <c r="P174" s="1104">
        <v>6.7523680649526385</v>
      </c>
      <c r="Q174" s="1104"/>
      <c r="R174" s="1101">
        <v>14970</v>
      </c>
      <c r="S174" s="1102">
        <v>16255.924999999999</v>
      </c>
      <c r="T174" s="1103">
        <v>10602.5</v>
      </c>
      <c r="U174" s="1103">
        <v>11219.79</v>
      </c>
      <c r="V174" s="1103">
        <v>16221.490000000002</v>
      </c>
      <c r="W174" s="1103">
        <v>18532.114999999998</v>
      </c>
      <c r="X174" s="1103">
        <v>1910.7800000000002</v>
      </c>
      <c r="Y174" s="1103">
        <v>115.52500000000001</v>
      </c>
      <c r="Z174" s="1103">
        <v>3525.67</v>
      </c>
      <c r="AA174" s="1103">
        <v>9702.0550000000003</v>
      </c>
      <c r="AB174" s="1103">
        <v>11399.64</v>
      </c>
      <c r="AC174" s="1103">
        <v>3987.5</v>
      </c>
      <c r="AD174" s="1103">
        <v>457.58850000000001</v>
      </c>
      <c r="AE174" s="1103">
        <v>1448.7800000000002</v>
      </c>
      <c r="AF174" s="1103">
        <v>2217.2649999999999</v>
      </c>
      <c r="AG174" s="1103">
        <v>12.190000000000001</v>
      </c>
      <c r="AH174" s="1103">
        <v>183.32999999999998</v>
      </c>
      <c r="AI174" s="1103">
        <v>2217</v>
      </c>
    </row>
    <row r="175" spans="1:35">
      <c r="A175" s="1106">
        <v>44957</v>
      </c>
      <c r="B175" s="1111">
        <v>1.0844002668445631</v>
      </c>
      <c r="C175" s="1110">
        <v>0.70355003335557043</v>
      </c>
      <c r="D175" s="1110">
        <v>1.34114999809877</v>
      </c>
      <c r="E175" s="1110">
        <v>0.925450030174363</v>
      </c>
      <c r="F175" s="1110">
        <v>1.2349499666444297</v>
      </c>
      <c r="G175" s="1110">
        <v>7.8391586632116486</v>
      </c>
      <c r="H175" s="1110">
        <v>130.14412224344503</v>
      </c>
      <c r="I175" s="1110">
        <v>4.2524943333172578</v>
      </c>
      <c r="J175" s="1110">
        <v>0.64539993328885925</v>
      </c>
      <c r="K175" s="1110">
        <v>1.3139498700513219</v>
      </c>
      <c r="L175" s="1110">
        <v>3.7526599073726374</v>
      </c>
      <c r="M175" s="1110">
        <v>32.794954958896916</v>
      </c>
      <c r="N175" s="1110">
        <v>10.39546455382375</v>
      </c>
      <c r="O175" s="1110">
        <v>6.7524955854265016</v>
      </c>
      <c r="P175" s="1110">
        <v>6.7552951780081116</v>
      </c>
      <c r="Q175" s="1110"/>
      <c r="R175" s="1107">
        <v>14990</v>
      </c>
      <c r="S175" s="1108">
        <v>16255.16</v>
      </c>
      <c r="T175" s="1109">
        <v>10546.215</v>
      </c>
      <c r="U175" s="1109">
        <v>11176.975</v>
      </c>
      <c r="V175" s="1109">
        <v>16197.525000000001</v>
      </c>
      <c r="W175" s="1109">
        <v>18511.900000000001</v>
      </c>
      <c r="X175" s="1109">
        <v>1912.1950000000002</v>
      </c>
      <c r="Y175" s="1109">
        <v>115.18</v>
      </c>
      <c r="Z175" s="1109">
        <v>3524.99</v>
      </c>
      <c r="AA175" s="1109">
        <v>9674.5450000000001</v>
      </c>
      <c r="AB175" s="1109">
        <v>11408.35</v>
      </c>
      <c r="AC175" s="1109">
        <v>3994.5</v>
      </c>
      <c r="AD175" s="1109">
        <v>457.08249999999998</v>
      </c>
      <c r="AE175" s="1109">
        <v>1441.9749999999999</v>
      </c>
      <c r="AF175" s="1109">
        <v>2219.92</v>
      </c>
      <c r="AG175" s="1109">
        <v>12.164999999999999</v>
      </c>
      <c r="AH175" s="1109">
        <v>183.465</v>
      </c>
      <c r="AI175" s="1109">
        <v>2219</v>
      </c>
    </row>
    <row r="176" spans="1:35">
      <c r="A176" s="1112">
        <v>44958</v>
      </c>
      <c r="B176" s="1117">
        <v>1.0882000000000001</v>
      </c>
      <c r="C176" s="1116">
        <v>0.70745008347245408</v>
      </c>
      <c r="D176" s="1116">
        <v>1.3310998707122028</v>
      </c>
      <c r="E176" s="1116">
        <v>0.91529977824991005</v>
      </c>
      <c r="F176" s="1116">
        <v>1.2319001669449083</v>
      </c>
      <c r="G176" s="1116">
        <v>7.8417511062236533</v>
      </c>
      <c r="H176" s="1116">
        <v>130.17211404728789</v>
      </c>
      <c r="I176" s="1116">
        <v>4.265743727790003</v>
      </c>
      <c r="J176" s="1116">
        <v>0.64480000000000004</v>
      </c>
      <c r="K176" s="1116">
        <v>1.3132497472158666</v>
      </c>
      <c r="L176" s="1116">
        <v>3.7526625736123291</v>
      </c>
      <c r="M176" s="1116">
        <v>32.860017422940793</v>
      </c>
      <c r="N176" s="1116">
        <v>10.438413361169102</v>
      </c>
      <c r="O176" s="1116">
        <v>6.7462400129744049</v>
      </c>
      <c r="P176" s="1116">
        <v>6.7515779981965736</v>
      </c>
      <c r="Q176" s="1116"/>
      <c r="R176" s="1113">
        <v>14975</v>
      </c>
      <c r="S176" s="1114">
        <v>16295.795</v>
      </c>
      <c r="T176" s="1115">
        <v>10594.065000000001</v>
      </c>
      <c r="U176" s="1115">
        <v>11250.095000000001</v>
      </c>
      <c r="V176" s="1115">
        <v>16360.760000000002</v>
      </c>
      <c r="W176" s="1115">
        <v>18447.705000000002</v>
      </c>
      <c r="X176" s="1115">
        <v>1909.65</v>
      </c>
      <c r="Y176" s="1115">
        <v>115.04</v>
      </c>
      <c r="Z176" s="1115">
        <v>3510.5250000000001</v>
      </c>
      <c r="AA176" s="1115">
        <v>9655.880000000001</v>
      </c>
      <c r="AB176" s="1115">
        <v>11403.01</v>
      </c>
      <c r="AC176" s="1115">
        <v>3990.5</v>
      </c>
      <c r="AD176" s="1115">
        <v>455.721</v>
      </c>
      <c r="AE176" s="1115">
        <v>1434.605</v>
      </c>
      <c r="AF176" s="1115">
        <v>2219.7550000000001</v>
      </c>
      <c r="AG176" s="1115">
        <v>12.175000000000001</v>
      </c>
      <c r="AH176" s="1115">
        <v>183.08</v>
      </c>
      <c r="AI176" s="1115">
        <v>2218</v>
      </c>
    </row>
    <row r="177" spans="1:35">
      <c r="A177" s="1120">
        <v>44959</v>
      </c>
      <c r="B177" s="1125">
        <v>1.099300067204301</v>
      </c>
      <c r="C177" s="1124">
        <v>0.71399999999999997</v>
      </c>
      <c r="D177" s="1124">
        <v>1.3289000940411155</v>
      </c>
      <c r="E177" s="1124">
        <v>0.90790001140976484</v>
      </c>
      <c r="F177" s="1124">
        <v>1.2373000672043011</v>
      </c>
      <c r="G177" s="1124">
        <v>7.8429098882332626</v>
      </c>
      <c r="H177" s="1124">
        <v>128.66963552250419</v>
      </c>
      <c r="I177" s="1124">
        <v>4.245497005612159</v>
      </c>
      <c r="J177" s="1124">
        <v>0.65225033602150539</v>
      </c>
      <c r="K177" s="1124">
        <v>1.3054498143155555</v>
      </c>
      <c r="L177" s="1124">
        <v>3.7528373266078185</v>
      </c>
      <c r="M177" s="1124">
        <v>32.754984789183808</v>
      </c>
      <c r="N177" s="1124">
        <v>10.320361212642442</v>
      </c>
      <c r="O177" s="1124">
        <v>6.7227953816925821</v>
      </c>
      <c r="P177" s="1124">
        <v>6.7269439421338157</v>
      </c>
      <c r="Q177" s="1124"/>
      <c r="R177" s="1121">
        <v>14880</v>
      </c>
      <c r="S177" s="1122">
        <v>16357.584999999999</v>
      </c>
      <c r="T177" s="1123">
        <v>10624.32</v>
      </c>
      <c r="U177" s="1123">
        <v>11197.23</v>
      </c>
      <c r="V177" s="1123">
        <v>16389.47</v>
      </c>
      <c r="W177" s="1123">
        <v>18411.025000000001</v>
      </c>
      <c r="X177" s="1123">
        <v>1897.2550000000001</v>
      </c>
      <c r="Y177" s="1123">
        <v>115.64500000000001</v>
      </c>
      <c r="Z177" s="1123">
        <v>3504.8900000000003</v>
      </c>
      <c r="AA177" s="1123">
        <v>9705.4850000000006</v>
      </c>
      <c r="AB177" s="1123">
        <v>11398.37</v>
      </c>
      <c r="AC177" s="1123">
        <v>3965</v>
      </c>
      <c r="AD177" s="1123">
        <v>454.28200000000004</v>
      </c>
      <c r="AE177" s="1123">
        <v>1441.81</v>
      </c>
      <c r="AF177" s="1123">
        <v>2213.3649999999998</v>
      </c>
      <c r="AG177" s="1123">
        <v>12.164999999999999</v>
      </c>
      <c r="AH177" s="1123">
        <v>181.61500000000001</v>
      </c>
      <c r="AI177" s="1123">
        <v>2212</v>
      </c>
    </row>
    <row r="178" spans="1:35">
      <c r="A178" s="1126">
        <v>44960</v>
      </c>
      <c r="B178" s="1131">
        <v>1.0900000000000001</v>
      </c>
      <c r="C178" s="1130">
        <v>0.70630015108275979</v>
      </c>
      <c r="D178" s="1130">
        <v>1.3339000038514486</v>
      </c>
      <c r="E178" s="1130">
        <v>0.91440005869843588</v>
      </c>
      <c r="F178" s="1130">
        <v>1.2198999496390801</v>
      </c>
      <c r="G178" s="1130">
        <v>7.846499963118684</v>
      </c>
      <c r="H178" s="1130">
        <v>128.61090720670148</v>
      </c>
      <c r="I178" s="1130">
        <v>4.2639970337411945</v>
      </c>
      <c r="J178" s="1130">
        <v>0.64724995803256669</v>
      </c>
      <c r="K178" s="1130">
        <v>1.3114501464016026</v>
      </c>
      <c r="L178" s="1130">
        <v>3.7526773340052917</v>
      </c>
      <c r="M178" s="1130">
        <v>32.985007519496428</v>
      </c>
      <c r="N178" s="1130">
        <v>10.37381973202562</v>
      </c>
      <c r="O178" s="1130">
        <v>6.744944405443964</v>
      </c>
      <c r="P178" s="1130">
        <v>6.747847757136384</v>
      </c>
      <c r="Q178" s="1130"/>
      <c r="R178" s="1127">
        <v>14892.5</v>
      </c>
      <c r="S178" s="1128">
        <v>16232.825000000001</v>
      </c>
      <c r="T178" s="1129">
        <v>10518.575000000001</v>
      </c>
      <c r="U178" s="1129">
        <v>11164.630000000001</v>
      </c>
      <c r="V178" s="1129">
        <v>16286.635</v>
      </c>
      <c r="W178" s="1129">
        <v>18167.36</v>
      </c>
      <c r="X178" s="1129">
        <v>1897.98</v>
      </c>
      <c r="Y178" s="1129">
        <v>115.795</v>
      </c>
      <c r="Z178" s="1129">
        <v>3492.6149999999998</v>
      </c>
      <c r="AA178" s="1129">
        <v>9639.17</v>
      </c>
      <c r="AB178" s="1129">
        <v>11355.75</v>
      </c>
      <c r="AC178" s="1129">
        <v>3968.5</v>
      </c>
      <c r="AD178" s="1129">
        <v>451.49299999999999</v>
      </c>
      <c r="AE178" s="1129">
        <v>1435.585</v>
      </c>
      <c r="AF178" s="1129">
        <v>2207.9499999999998</v>
      </c>
      <c r="AG178" s="1129">
        <v>12.115</v>
      </c>
      <c r="AH178" s="1129">
        <v>181.07</v>
      </c>
      <c r="AI178" s="1129">
        <v>2207</v>
      </c>
    </row>
    <row r="179" spans="1:35">
      <c r="A179" s="1132">
        <v>44963</v>
      </c>
      <c r="B179" s="1137">
        <v>1.0780000000000001</v>
      </c>
      <c r="C179" s="1136">
        <v>0.69250016605778808</v>
      </c>
      <c r="D179" s="1136">
        <v>1.3411996855240855</v>
      </c>
      <c r="E179" s="1136">
        <v>0.9261999226064761</v>
      </c>
      <c r="F179" s="1136">
        <v>1.2051999335768848</v>
      </c>
      <c r="G179" s="1136">
        <v>7.8483401451330375</v>
      </c>
      <c r="H179" s="1136">
        <v>131.78396358543415</v>
      </c>
      <c r="I179" s="1136">
        <v>4.2580030234508346</v>
      </c>
      <c r="J179" s="1136">
        <v>0.63210029890401864</v>
      </c>
      <c r="K179" s="1136">
        <v>1.3238499191224866</v>
      </c>
      <c r="L179" s="1136">
        <v>3.7520249221183799</v>
      </c>
      <c r="M179" s="1136">
        <v>33.514988802365082</v>
      </c>
      <c r="N179" s="1136">
        <v>10.586940546470375</v>
      </c>
      <c r="O179" s="1136">
        <v>6.7814093439757848</v>
      </c>
      <c r="P179" s="1136">
        <v>6.7907081641858369</v>
      </c>
      <c r="Q179" s="1136"/>
      <c r="R179" s="1133">
        <v>15055</v>
      </c>
      <c r="S179" s="1134">
        <v>16229.29</v>
      </c>
      <c r="T179" s="1135">
        <v>10425.59</v>
      </c>
      <c r="U179" s="1135">
        <v>11225.025000000001</v>
      </c>
      <c r="V179" s="1135">
        <v>16254.59</v>
      </c>
      <c r="W179" s="1135">
        <v>18144.285</v>
      </c>
      <c r="X179" s="1135">
        <v>1918.2400000000002</v>
      </c>
      <c r="Y179" s="1135">
        <v>114.24000000000001</v>
      </c>
      <c r="Z179" s="1135">
        <v>3535.6950000000002</v>
      </c>
      <c r="AA179" s="1135">
        <v>9516.27</v>
      </c>
      <c r="AB179" s="1135">
        <v>11372.135</v>
      </c>
      <c r="AC179" s="1135">
        <v>4012.5</v>
      </c>
      <c r="AD179" s="1135">
        <v>449.202</v>
      </c>
      <c r="AE179" s="1135">
        <v>1422.0350000000001</v>
      </c>
      <c r="AF179" s="1135">
        <v>2220.04</v>
      </c>
      <c r="AG179" s="1135">
        <v>12.004999999999999</v>
      </c>
      <c r="AH179" s="1135">
        <v>182.24</v>
      </c>
      <c r="AI179" s="1135">
        <v>2217</v>
      </c>
    </row>
    <row r="180" spans="1:35">
      <c r="A180" s="1138">
        <v>44964</v>
      </c>
      <c r="B180" s="1143">
        <v>1.072449983492902</v>
      </c>
      <c r="C180" s="1142">
        <v>0.69269990095741174</v>
      </c>
      <c r="D180" s="1142">
        <v>1.342899590213902</v>
      </c>
      <c r="E180" s="1142">
        <v>0.92639998336211327</v>
      </c>
      <c r="F180" s="1142">
        <v>1.2022499174645098</v>
      </c>
      <c r="G180" s="1142">
        <v>7.8483498773128542</v>
      </c>
      <c r="H180" s="1142">
        <v>132.16685574657475</v>
      </c>
      <c r="I180" s="1142">
        <v>4.3044950638284565</v>
      </c>
      <c r="J180" s="1142">
        <v>0.63195014856388243</v>
      </c>
      <c r="K180" s="1142">
        <v>1.3270501808100394</v>
      </c>
      <c r="L180" s="1142">
        <v>3.7520128824476648</v>
      </c>
      <c r="M180" s="1142">
        <v>33.654957245204528</v>
      </c>
      <c r="N180" s="1142">
        <v>10.619313899065681</v>
      </c>
      <c r="O180" s="1142">
        <v>6.7871579532315742</v>
      </c>
      <c r="P180" s="1142">
        <v>6.7975763016157993</v>
      </c>
      <c r="Q180" s="1142"/>
      <c r="R180" s="1139">
        <v>15145</v>
      </c>
      <c r="S180" s="1140">
        <v>16242.255000000001</v>
      </c>
      <c r="T180" s="1141">
        <v>10490.94</v>
      </c>
      <c r="U180" s="1141">
        <v>11277.834999999999</v>
      </c>
      <c r="V180" s="1141">
        <v>16348.23</v>
      </c>
      <c r="W180" s="1141">
        <v>18208.075000000001</v>
      </c>
      <c r="X180" s="1141">
        <v>1929.7049999999999</v>
      </c>
      <c r="Y180" s="1141">
        <v>114.59</v>
      </c>
      <c r="Z180" s="1141">
        <v>3518.415</v>
      </c>
      <c r="AA180" s="1141">
        <v>9570.8850000000002</v>
      </c>
      <c r="AB180" s="1141">
        <v>11412.53</v>
      </c>
      <c r="AC180" s="1141">
        <v>4036.5</v>
      </c>
      <c r="AD180" s="1141">
        <v>450.00800000000004</v>
      </c>
      <c r="AE180" s="1141">
        <v>1426.1750000000002</v>
      </c>
      <c r="AF180" s="1141">
        <v>2231.42</v>
      </c>
      <c r="AG180" s="1141">
        <v>12.025</v>
      </c>
      <c r="AH180" s="1141">
        <v>183.035</v>
      </c>
      <c r="AI180" s="1141">
        <v>2228</v>
      </c>
    </row>
    <row r="181" spans="1:35">
      <c r="A181" s="1147">
        <v>44965</v>
      </c>
      <c r="B181" s="1146">
        <v>1.0759000000000001</v>
      </c>
      <c r="C181" s="1146">
        <v>0.6986500000000001</v>
      </c>
      <c r="D181" s="1146">
        <v>1.3372500294460685</v>
      </c>
      <c r="E181" s="1146">
        <v>0.91910002456005702</v>
      </c>
      <c r="F181" s="1146">
        <v>1.2101999999999999</v>
      </c>
      <c r="G181" s="1146">
        <v>7.8493955705496914</v>
      </c>
      <c r="H181" s="1146">
        <v>130.88324521106006</v>
      </c>
      <c r="I181" s="1146">
        <v>4.2969994991576748</v>
      </c>
      <c r="J181" s="1146">
        <v>0.6341</v>
      </c>
      <c r="K181" s="1146">
        <v>1.3233500738578325</v>
      </c>
      <c r="L181" s="1146">
        <v>3.7520188843334576</v>
      </c>
      <c r="M181" s="1146">
        <v>33.505000232981786</v>
      </c>
      <c r="N181" s="1146">
        <v>10.497702324093966</v>
      </c>
      <c r="O181" s="1146">
        <v>6.7807113460161066</v>
      </c>
      <c r="P181" s="1146">
        <v>6.786516853932584</v>
      </c>
      <c r="Q181" s="1146"/>
      <c r="R181" s="1148">
        <v>15100</v>
      </c>
      <c r="S181" s="1149">
        <v>16246.09</v>
      </c>
      <c r="T181" s="1144">
        <v>10549.615000000002</v>
      </c>
      <c r="U181" s="1144">
        <v>11291.83</v>
      </c>
      <c r="V181" s="1149">
        <v>16429.114999999998</v>
      </c>
      <c r="W181" s="1149">
        <v>18274.02</v>
      </c>
      <c r="X181" s="1149">
        <v>1923.7150000000001</v>
      </c>
      <c r="Y181" s="1149">
        <v>115.37</v>
      </c>
      <c r="Z181" s="1149">
        <v>3514.08</v>
      </c>
      <c r="AA181" s="1149">
        <v>9574.91</v>
      </c>
      <c r="AB181" s="1149">
        <v>11410.435000000001</v>
      </c>
      <c r="AC181" s="1149">
        <v>4024.5</v>
      </c>
      <c r="AD181" s="1145">
        <v>450.67900000000003</v>
      </c>
      <c r="AE181" s="1145">
        <v>1438.4099999999999</v>
      </c>
      <c r="AF181" s="1145">
        <v>2226.9050000000002</v>
      </c>
      <c r="AG181" s="1145">
        <v>11.984999999999999</v>
      </c>
      <c r="AH181" s="1145">
        <v>182.89</v>
      </c>
      <c r="AI181" s="1145">
        <v>2225</v>
      </c>
    </row>
    <row r="182" spans="1:35">
      <c r="A182" s="1150">
        <v>44966</v>
      </c>
      <c r="B182" s="1155">
        <v>1.0733002086852828</v>
      </c>
      <c r="C182" s="1154">
        <v>0.6965000496869721</v>
      </c>
      <c r="D182" s="1154">
        <v>1.3416999399126068</v>
      </c>
      <c r="E182" s="1154">
        <v>0.91929990815831863</v>
      </c>
      <c r="F182" s="1154">
        <v>1.2096001854980292</v>
      </c>
      <c r="G182" s="1154">
        <v>7.8498417758547614</v>
      </c>
      <c r="H182" s="1154">
        <v>131.14248479582972</v>
      </c>
      <c r="I182" s="1154">
        <v>4.3184948996013235</v>
      </c>
      <c r="J182" s="1154">
        <v>0.63570008943654976</v>
      </c>
      <c r="K182" s="1154">
        <v>1.3244501419476775</v>
      </c>
      <c r="L182" s="1154">
        <v>3.7525170913610939</v>
      </c>
      <c r="M182" s="1154">
        <v>33.489972643587883</v>
      </c>
      <c r="N182" s="1154">
        <v>10.550577347834597</v>
      </c>
      <c r="O182" s="1154">
        <v>6.7850512660304672</v>
      </c>
      <c r="P182" s="1154">
        <v>6.7916760404949379</v>
      </c>
      <c r="Q182" s="1154"/>
      <c r="R182" s="1151">
        <v>15094.5</v>
      </c>
      <c r="S182" s="1152">
        <v>16200.93</v>
      </c>
      <c r="T182" s="1153">
        <v>10513.32</v>
      </c>
      <c r="U182" s="1153">
        <v>11250.279999999999</v>
      </c>
      <c r="V182" s="1153">
        <v>16419.559999999998</v>
      </c>
      <c r="W182" s="1153">
        <v>18258.310000000001</v>
      </c>
      <c r="X182" s="1153">
        <v>1922.905</v>
      </c>
      <c r="Y182" s="1153">
        <v>115.1</v>
      </c>
      <c r="Z182" s="1153">
        <v>3495.3150000000001</v>
      </c>
      <c r="AA182" s="1153">
        <v>9595.5750000000007</v>
      </c>
      <c r="AB182" s="1153">
        <v>11396.805</v>
      </c>
      <c r="AC182" s="1153">
        <v>4022.5</v>
      </c>
      <c r="AD182" s="1153">
        <v>450.71699999999998</v>
      </c>
      <c r="AE182" s="1153">
        <v>1430.6799999999998</v>
      </c>
      <c r="AF182" s="1153">
        <v>2224.67</v>
      </c>
      <c r="AG182" s="1153">
        <v>11.975000000000001</v>
      </c>
      <c r="AH182" s="1153">
        <v>182.745</v>
      </c>
      <c r="AI182" s="1153">
        <v>2222.5</v>
      </c>
    </row>
    <row r="183" spans="1:35">
      <c r="A183" s="1156">
        <v>44967</v>
      </c>
      <c r="B183" s="1161">
        <v>1.0741001751082038</v>
      </c>
      <c r="C183" s="1160">
        <v>0.69419995374500276</v>
      </c>
      <c r="D183" s="1160">
        <v>1.3445498354573433</v>
      </c>
      <c r="E183" s="1160">
        <v>0.9215999123068771</v>
      </c>
      <c r="F183" s="1160">
        <v>1.2121003072653385</v>
      </c>
      <c r="G183" s="1160">
        <v>7.8498550213448004</v>
      </c>
      <c r="H183" s="1160">
        <v>130.45558381104263</v>
      </c>
      <c r="I183" s="1160">
        <v>4.3279934680430303</v>
      </c>
      <c r="J183" s="1160">
        <v>0.63340007268642429</v>
      </c>
      <c r="K183" s="1160">
        <v>1.3250498201571128</v>
      </c>
      <c r="L183" s="1160">
        <v>3.7524175551698487</v>
      </c>
      <c r="M183" s="1160">
        <v>33.624993612062205</v>
      </c>
      <c r="N183" s="1160">
        <v>10.312365844185047</v>
      </c>
      <c r="O183" s="1160">
        <v>6.7984106269667821</v>
      </c>
      <c r="P183" s="1160">
        <v>6.8046312949640289</v>
      </c>
      <c r="Q183" s="1160"/>
      <c r="R183" s="1157">
        <v>15133.5</v>
      </c>
      <c r="S183" s="1158">
        <v>16254.895</v>
      </c>
      <c r="T183" s="1159">
        <v>10505.674999999999</v>
      </c>
      <c r="U183" s="1159">
        <v>11255.44</v>
      </c>
      <c r="V183" s="1159">
        <v>16420.900000000001</v>
      </c>
      <c r="W183" s="1159">
        <v>18343.32</v>
      </c>
      <c r="X183" s="1159">
        <v>1927.87</v>
      </c>
      <c r="Y183" s="1159">
        <v>116.005</v>
      </c>
      <c r="Z183" s="1159">
        <v>3496.6549999999997</v>
      </c>
      <c r="AA183" s="1159">
        <v>9585.5600000000013</v>
      </c>
      <c r="AB183" s="1159">
        <v>11421.080000000002</v>
      </c>
      <c r="AC183" s="1159">
        <v>4033</v>
      </c>
      <c r="AD183" s="1159">
        <v>450.06700000000001</v>
      </c>
      <c r="AE183" s="1159">
        <v>1467.5100000000002</v>
      </c>
      <c r="AF183" s="1159">
        <v>2226.0349999999999</v>
      </c>
      <c r="AG183" s="1159">
        <v>11.995000000000001</v>
      </c>
      <c r="AH183" s="1159">
        <v>183.67500000000001</v>
      </c>
      <c r="AI183" s="1159">
        <v>2224</v>
      </c>
    </row>
    <row r="184" spans="1:35">
      <c r="A184" s="1162">
        <v>44970</v>
      </c>
      <c r="B184" s="1167">
        <v>1.0683000987166831</v>
      </c>
      <c r="C184" s="1166">
        <v>0.69289996709443902</v>
      </c>
      <c r="D184" s="1166">
        <v>1.3363998557620425</v>
      </c>
      <c r="E184" s="1166">
        <v>0.92240002476730565</v>
      </c>
      <c r="F184" s="1166">
        <v>1.2064001316222441</v>
      </c>
      <c r="G184" s="1166">
        <v>7.8499545379401559</v>
      </c>
      <c r="H184" s="1166">
        <v>132.13043478260869</v>
      </c>
      <c r="I184" s="1166">
        <v>4.3575015270612454</v>
      </c>
      <c r="J184" s="1166">
        <v>0.63300000000000012</v>
      </c>
      <c r="K184" s="1166">
        <v>1.330749778317843</v>
      </c>
      <c r="L184" s="1166">
        <v>3.7523151006297075</v>
      </c>
      <c r="M184" s="1166">
        <v>33.809981009003756</v>
      </c>
      <c r="N184" s="1166">
        <v>10.454651786820051</v>
      </c>
      <c r="O184" s="1166">
        <v>6.8242907924845211</v>
      </c>
      <c r="P184" s="1166">
        <v>6.8322841726618702</v>
      </c>
      <c r="Q184" s="1166"/>
      <c r="R184" s="1163">
        <v>15195</v>
      </c>
      <c r="S184" s="1164">
        <v>16232.82</v>
      </c>
      <c r="T184" s="1165">
        <v>10528.615000000002</v>
      </c>
      <c r="U184" s="1165">
        <v>11370.1</v>
      </c>
      <c r="V184" s="1165">
        <v>16473.330000000002</v>
      </c>
      <c r="W184" s="1165">
        <v>18331.25</v>
      </c>
      <c r="X184" s="1165">
        <v>1935.6799999999998</v>
      </c>
      <c r="Y184" s="1165">
        <v>115</v>
      </c>
      <c r="Z184" s="1165">
        <v>3487.09</v>
      </c>
      <c r="AA184" s="1165">
        <v>9618.4350000000013</v>
      </c>
      <c r="AB184" s="1165">
        <v>11418.375</v>
      </c>
      <c r="AC184" s="1165">
        <v>4049.5</v>
      </c>
      <c r="AD184" s="1165">
        <v>449.42349999999999</v>
      </c>
      <c r="AE184" s="1165">
        <v>1453.42</v>
      </c>
      <c r="AF184" s="1165">
        <v>2226.6050000000005</v>
      </c>
      <c r="AG184" s="1165">
        <v>11.914999999999999</v>
      </c>
      <c r="AH184" s="1165">
        <v>183.77</v>
      </c>
      <c r="AI184" s="1165">
        <v>2224</v>
      </c>
    </row>
    <row r="185" spans="1:35">
      <c r="A185" s="1168">
        <v>44971</v>
      </c>
      <c r="B185" s="1173">
        <v>1.073200303440087</v>
      </c>
      <c r="C185" s="1172">
        <v>0.69620007256175998</v>
      </c>
      <c r="D185" s="1172">
        <v>1.3344001844983533</v>
      </c>
      <c r="E185" s="1172">
        <v>0.91829981721232912</v>
      </c>
      <c r="F185" s="1172">
        <v>1.2140001319304727</v>
      </c>
      <c r="G185" s="1172">
        <v>7.8498434898779763</v>
      </c>
      <c r="H185" s="1172">
        <v>132.07440320613347</v>
      </c>
      <c r="I185" s="1172">
        <v>4.3494976824388978</v>
      </c>
      <c r="J185" s="1172">
        <v>0.63350011543916351</v>
      </c>
      <c r="K185" s="1172">
        <v>1.3278494960837657</v>
      </c>
      <c r="L185" s="1172">
        <v>3.7523514851485147</v>
      </c>
      <c r="M185" s="1172">
        <v>33.860012374053795</v>
      </c>
      <c r="N185" s="1172">
        <v>10.366072558063204</v>
      </c>
      <c r="O185" s="1172">
        <v>6.8175941104117896</v>
      </c>
      <c r="P185" s="1172">
        <v>6.8239927976592396</v>
      </c>
      <c r="Q185" s="1172"/>
      <c r="R185" s="1169">
        <v>15159.5</v>
      </c>
      <c r="S185" s="1170">
        <v>16269.18</v>
      </c>
      <c r="T185" s="1171">
        <v>10554.045</v>
      </c>
      <c r="U185" s="1171">
        <v>11360.535</v>
      </c>
      <c r="V185" s="1171">
        <v>16508.224999999999</v>
      </c>
      <c r="W185" s="1171">
        <v>18403.635000000002</v>
      </c>
      <c r="X185" s="1171">
        <v>1931.1849999999999</v>
      </c>
      <c r="Y185" s="1171">
        <v>114.78</v>
      </c>
      <c r="Z185" s="1171">
        <v>3485.3450000000003</v>
      </c>
      <c r="AA185" s="1171">
        <v>9603.5450000000001</v>
      </c>
      <c r="AB185" s="1171">
        <v>11416.580000000002</v>
      </c>
      <c r="AC185" s="1171">
        <v>4040</v>
      </c>
      <c r="AD185" s="1171">
        <v>447.71100000000001</v>
      </c>
      <c r="AE185" s="1171">
        <v>1462.415</v>
      </c>
      <c r="AF185" s="1171">
        <v>2223.585</v>
      </c>
      <c r="AG185" s="1171">
        <v>11.945</v>
      </c>
      <c r="AH185" s="1171">
        <v>183.185</v>
      </c>
      <c r="AI185" s="1171">
        <v>2221.5</v>
      </c>
    </row>
    <row r="186" spans="1:35">
      <c r="A186" s="1174">
        <v>44972</v>
      </c>
      <c r="B186" s="1179">
        <v>1.0708501052354644</v>
      </c>
      <c r="C186" s="1178">
        <v>0.69024993422783487</v>
      </c>
      <c r="D186" s="1178">
        <v>1.3382995831677402</v>
      </c>
      <c r="E186" s="1178">
        <v>0.92409971086935505</v>
      </c>
      <c r="F186" s="1178">
        <v>1.2082501315443306</v>
      </c>
      <c r="G186" s="1178">
        <v>7.848643625945332</v>
      </c>
      <c r="H186" s="1178">
        <v>133.34502718821258</v>
      </c>
      <c r="I186" s="1178">
        <v>4.3904953457110798</v>
      </c>
      <c r="J186" s="1178">
        <v>0.62840009208103131</v>
      </c>
      <c r="K186" s="1178">
        <v>1.3346500757126869</v>
      </c>
      <c r="L186" s="1178">
        <v>3.7522211253701876</v>
      </c>
      <c r="M186" s="1178">
        <v>34.249992960324384</v>
      </c>
      <c r="N186" s="1178">
        <v>10.43453195935721</v>
      </c>
      <c r="O186" s="1178">
        <v>6.8463048686035402</v>
      </c>
      <c r="P186" s="1178">
        <v>6.853279242731575</v>
      </c>
      <c r="Q186" s="1178"/>
      <c r="R186" s="1175">
        <v>15204</v>
      </c>
      <c r="S186" s="1176">
        <v>16281.205</v>
      </c>
      <c r="T186" s="1177">
        <v>10494.560000000001</v>
      </c>
      <c r="U186" s="1177">
        <v>11360.685000000001</v>
      </c>
      <c r="V186" s="1177">
        <v>16452.77</v>
      </c>
      <c r="W186" s="1177">
        <v>18370.235000000001</v>
      </c>
      <c r="X186" s="1177">
        <v>1937.15</v>
      </c>
      <c r="Y186" s="1177">
        <v>114.02000000000001</v>
      </c>
      <c r="Z186" s="1177">
        <v>3462.9350000000004</v>
      </c>
      <c r="AA186" s="1177">
        <v>9554.1949999999997</v>
      </c>
      <c r="AB186" s="1177">
        <v>11391.75</v>
      </c>
      <c r="AC186" s="1177">
        <v>4052</v>
      </c>
      <c r="AD186" s="1177">
        <v>443.91250000000002</v>
      </c>
      <c r="AE186" s="1177">
        <v>1457.085</v>
      </c>
      <c r="AF186" s="1177">
        <v>2220.7600000000002</v>
      </c>
      <c r="AG186" s="1177">
        <v>11.844999999999999</v>
      </c>
      <c r="AH186" s="1177">
        <v>183.58500000000001</v>
      </c>
      <c r="AI186" s="1177">
        <v>2218.5</v>
      </c>
    </row>
    <row r="187" spans="1:35">
      <c r="A187" s="1180">
        <v>44973</v>
      </c>
      <c r="B187" s="1185">
        <v>1.0709999010325604</v>
      </c>
      <c r="C187" s="1184">
        <v>0.69234981691023656</v>
      </c>
      <c r="D187" s="1184">
        <v>1.3377499868709588</v>
      </c>
      <c r="E187" s="1184">
        <v>0.92269994673160338</v>
      </c>
      <c r="F187" s="1184">
        <v>1.2047501072147262</v>
      </c>
      <c r="G187" s="1184">
        <v>7.849346815645351</v>
      </c>
      <c r="H187" s="1184">
        <v>133.77316857899382</v>
      </c>
      <c r="I187" s="1184">
        <v>4.4030026348585682</v>
      </c>
      <c r="J187" s="1184">
        <v>0.63005014350278754</v>
      </c>
      <c r="K187" s="1184">
        <v>1.3339500022883053</v>
      </c>
      <c r="L187" s="1184">
        <v>3.7502165037733515</v>
      </c>
      <c r="M187" s="1184">
        <v>34.259990754899732</v>
      </c>
      <c r="N187" s="1184">
        <v>10.399791407212232</v>
      </c>
      <c r="O187" s="1184">
        <v>6.8560507537290638</v>
      </c>
      <c r="P187" s="1184">
        <v>6.8643568840579707</v>
      </c>
      <c r="Q187" s="1184"/>
      <c r="R187" s="1181">
        <v>15156.5</v>
      </c>
      <c r="S187" s="1182">
        <v>16232.61</v>
      </c>
      <c r="T187" s="1183">
        <v>10493.6</v>
      </c>
      <c r="U187" s="1183">
        <v>11329.845000000001</v>
      </c>
      <c r="V187" s="1183">
        <v>16426.25</v>
      </c>
      <c r="W187" s="1183">
        <v>18259.794999999998</v>
      </c>
      <c r="X187" s="1183">
        <v>1930.9250000000002</v>
      </c>
      <c r="Y187" s="1183">
        <v>113.30000000000001</v>
      </c>
      <c r="Z187" s="1183">
        <v>3442.3100000000004</v>
      </c>
      <c r="AA187" s="1183">
        <v>9549.3549999999996</v>
      </c>
      <c r="AB187" s="1183">
        <v>11362.12</v>
      </c>
      <c r="AC187" s="1183">
        <v>4041.5</v>
      </c>
      <c r="AD187" s="1183">
        <v>442.3965</v>
      </c>
      <c r="AE187" s="1183">
        <v>1457.385</v>
      </c>
      <c r="AF187" s="1183">
        <v>2210.6750000000002</v>
      </c>
      <c r="AG187" s="1183">
        <v>11.81</v>
      </c>
      <c r="AH187" s="1183">
        <v>183.39500000000001</v>
      </c>
      <c r="AI187" s="1183">
        <v>2208</v>
      </c>
    </row>
    <row r="188" spans="1:35">
      <c r="A188" s="1186">
        <v>44974</v>
      </c>
      <c r="B188" s="1191">
        <v>1.0644499259990132</v>
      </c>
      <c r="C188" s="1190">
        <v>0.68419996711067255</v>
      </c>
      <c r="D188" s="1190">
        <v>1.3500498859084631</v>
      </c>
      <c r="E188" s="1190">
        <v>0.9289997326509567</v>
      </c>
      <c r="F188" s="1190">
        <v>1.1938000328893277</v>
      </c>
      <c r="G188" s="1190">
        <v>7.849145642246242</v>
      </c>
      <c r="H188" s="1190">
        <v>134.7978364958326</v>
      </c>
      <c r="I188" s="1190">
        <v>4.4280007514712665</v>
      </c>
      <c r="J188" s="1190">
        <v>0.6218000328893275</v>
      </c>
      <c r="K188" s="1190">
        <v>1.3394503253580128</v>
      </c>
      <c r="L188" s="1190">
        <v>3.7509252405625464</v>
      </c>
      <c r="M188" s="1190">
        <v>34.535006945619713</v>
      </c>
      <c r="N188" s="1190">
        <v>10.502191626570319</v>
      </c>
      <c r="O188" s="1190">
        <v>6.8781500818908174</v>
      </c>
      <c r="P188" s="1190">
        <v>6.8898708361658736</v>
      </c>
      <c r="Q188" s="1190"/>
      <c r="R188" s="1187">
        <v>15202.5</v>
      </c>
      <c r="S188" s="1188">
        <v>16182.3</v>
      </c>
      <c r="T188" s="1189">
        <v>10401.549999999999</v>
      </c>
      <c r="U188" s="1189">
        <v>11260.695</v>
      </c>
      <c r="V188" s="1189">
        <v>16364.375</v>
      </c>
      <c r="W188" s="1189">
        <v>18148.745000000003</v>
      </c>
      <c r="X188" s="1189">
        <v>1936.835</v>
      </c>
      <c r="Y188" s="1189">
        <v>112.78</v>
      </c>
      <c r="Z188" s="1189">
        <v>3433.2650000000003</v>
      </c>
      <c r="AA188" s="1189">
        <v>9452.9150000000009</v>
      </c>
      <c r="AB188" s="1189">
        <v>11349.805</v>
      </c>
      <c r="AC188" s="1189">
        <v>4053</v>
      </c>
      <c r="AD188" s="1189">
        <v>440.20550000000003</v>
      </c>
      <c r="AE188" s="1189">
        <v>1447.5550000000001</v>
      </c>
      <c r="AF188" s="1189">
        <v>2210.2600000000002</v>
      </c>
      <c r="AG188" s="1189">
        <v>11.700000000000001</v>
      </c>
      <c r="AH188" s="1189">
        <v>183.61</v>
      </c>
      <c r="AI188" s="1189">
        <v>2206.5</v>
      </c>
    </row>
    <row r="189" spans="1:35" s="990" customFormat="1" ht="14.5" customHeight="1">
      <c r="A189" s="989">
        <v>44977</v>
      </c>
      <c r="B189" s="670">
        <v>1.0701999010390897</v>
      </c>
      <c r="C189" s="669">
        <v>0.69089988454560436</v>
      </c>
      <c r="D189" s="669">
        <v>1.3462497518663865</v>
      </c>
      <c r="E189" s="669">
        <v>0.92304994091445103</v>
      </c>
      <c r="F189" s="669">
        <v>1.2052502061685635</v>
      </c>
      <c r="G189" s="669">
        <v>7.8335964774010503</v>
      </c>
      <c r="H189" s="669">
        <v>134.04227095861339</v>
      </c>
      <c r="I189" s="669">
        <v>4.427499423103324</v>
      </c>
      <c r="J189" s="669">
        <v>0.6246000329869702</v>
      </c>
      <c r="K189" s="669">
        <v>1.3350496894792887</v>
      </c>
      <c r="L189" s="669">
        <v>3.7504639366571819</v>
      </c>
      <c r="M189" s="669">
        <v>34.335011858405878</v>
      </c>
      <c r="N189" s="669">
        <v>10.396411411874853</v>
      </c>
      <c r="O189" s="669">
        <v>6.8590473130590013</v>
      </c>
      <c r="P189" s="669">
        <v>6.8648097826086953</v>
      </c>
      <c r="Q189" s="669"/>
      <c r="R189" s="666">
        <v>15157.5</v>
      </c>
      <c r="S189" s="667">
        <v>16221.555</v>
      </c>
      <c r="T189" s="668">
        <v>10472.314999999999</v>
      </c>
      <c r="U189" s="668">
        <v>11259.055</v>
      </c>
      <c r="V189" s="668">
        <v>16421.105000000003</v>
      </c>
      <c r="W189" s="668">
        <v>18268.580000000002</v>
      </c>
      <c r="X189" s="668">
        <v>1934.9349999999999</v>
      </c>
      <c r="Y189" s="668">
        <v>113.08</v>
      </c>
      <c r="Z189" s="668">
        <v>3423.4900000000002</v>
      </c>
      <c r="AA189" s="668">
        <v>9467.375</v>
      </c>
      <c r="AB189" s="668">
        <v>11353.51</v>
      </c>
      <c r="AC189" s="668">
        <v>4041.5</v>
      </c>
      <c r="AD189" s="668">
        <v>441.459</v>
      </c>
      <c r="AE189" s="668">
        <v>1457.9549999999999</v>
      </c>
      <c r="AF189" s="668">
        <v>2209.855</v>
      </c>
      <c r="AG189" s="668">
        <v>11.715</v>
      </c>
      <c r="AH189" s="668">
        <v>183.38</v>
      </c>
      <c r="AI189" s="668">
        <v>2208</v>
      </c>
    </row>
    <row r="190" spans="1:35">
      <c r="A190" s="1192">
        <v>44978</v>
      </c>
      <c r="B190" s="1197">
        <v>1.0669499670836078</v>
      </c>
      <c r="C190" s="1196">
        <v>0.68805003291639233</v>
      </c>
      <c r="D190" s="1196">
        <v>1.3483997850016933</v>
      </c>
      <c r="E190" s="1196">
        <v>0.92499980970214579</v>
      </c>
      <c r="F190" s="1196">
        <v>1.2015500329163924</v>
      </c>
      <c r="G190" s="1196">
        <v>7.841902293717701</v>
      </c>
      <c r="H190" s="1196">
        <v>134.58556682762591</v>
      </c>
      <c r="I190" s="1196">
        <v>4.4309936189608026</v>
      </c>
      <c r="J190" s="1196">
        <v>0.62220013166556953</v>
      </c>
      <c r="K190" s="1196">
        <v>1.3383000505717069</v>
      </c>
      <c r="L190" s="1196">
        <v>3.7510803802938635</v>
      </c>
      <c r="M190" s="1196">
        <v>34.609999532913108</v>
      </c>
      <c r="N190" s="1196">
        <v>10.371928195393744</v>
      </c>
      <c r="O190" s="1196">
        <v>6.8740496705524574</v>
      </c>
      <c r="P190" s="1196">
        <v>6.8826461259628458</v>
      </c>
      <c r="Q190" s="1196"/>
      <c r="R190" s="1193">
        <v>15190</v>
      </c>
      <c r="S190" s="1194">
        <v>16206.970000000001</v>
      </c>
      <c r="T190" s="1195">
        <v>10451.48</v>
      </c>
      <c r="U190" s="1195">
        <v>11265.205</v>
      </c>
      <c r="V190" s="1195">
        <v>16421.625</v>
      </c>
      <c r="W190" s="1195">
        <v>18251.545000000002</v>
      </c>
      <c r="X190" s="1195">
        <v>1937.0300000000002</v>
      </c>
      <c r="Y190" s="1195">
        <v>112.86500000000001</v>
      </c>
      <c r="Z190" s="1195">
        <v>3428.125</v>
      </c>
      <c r="AA190" s="1195">
        <v>9451.2200000000012</v>
      </c>
      <c r="AB190" s="1195">
        <v>11350.220000000001</v>
      </c>
      <c r="AC190" s="1195">
        <v>4049.5</v>
      </c>
      <c r="AD190" s="1195">
        <v>438.89050000000003</v>
      </c>
      <c r="AE190" s="1195">
        <v>1464.53</v>
      </c>
      <c r="AF190" s="1195">
        <v>2209.7600000000002</v>
      </c>
      <c r="AG190" s="1195">
        <v>11.695</v>
      </c>
      <c r="AH190" s="1195">
        <v>183.48500000000001</v>
      </c>
      <c r="AI190" s="1195">
        <v>2207</v>
      </c>
    </row>
    <row r="191" spans="1:35">
      <c r="A191" s="1198">
        <v>44979</v>
      </c>
      <c r="B191" s="1203">
        <v>1.065300134855113</v>
      </c>
      <c r="C191" s="1202">
        <v>0.68280005262638566</v>
      </c>
      <c r="D191" s="1202">
        <v>1.3540500361192835</v>
      </c>
      <c r="E191" s="1202">
        <v>0.92594989582568765</v>
      </c>
      <c r="F191" s="1202">
        <v>1.2114498569220145</v>
      </c>
      <c r="G191" s="1202">
        <v>7.8438505377925356</v>
      </c>
      <c r="H191" s="1202">
        <v>134.73520939508089</v>
      </c>
      <c r="I191" s="1202">
        <v>4.43799895191815</v>
      </c>
      <c r="J191" s="1202">
        <v>0.62334999835542537</v>
      </c>
      <c r="K191" s="1202">
        <v>1.3394501394829175</v>
      </c>
      <c r="L191" s="1202">
        <v>3.7511412708204812</v>
      </c>
      <c r="M191" s="1202">
        <v>34.57503064819511</v>
      </c>
      <c r="N191" s="1202">
        <v>10.357079591753307</v>
      </c>
      <c r="O191" s="1202">
        <v>6.8941512073778277</v>
      </c>
      <c r="P191" s="1202">
        <v>6.9003631411711304</v>
      </c>
      <c r="Q191" s="1202"/>
      <c r="R191" s="1199">
        <v>15201.5</v>
      </c>
      <c r="S191" s="1200">
        <v>16194.16</v>
      </c>
      <c r="T191" s="1201">
        <v>10379.585000000001</v>
      </c>
      <c r="U191" s="1201">
        <v>11226.69</v>
      </c>
      <c r="V191" s="1201">
        <v>16417.195</v>
      </c>
      <c r="W191" s="1201">
        <v>18415.855000000003</v>
      </c>
      <c r="X191" s="1201">
        <v>1938.0149999999999</v>
      </c>
      <c r="Y191" s="1201">
        <v>112.825</v>
      </c>
      <c r="Z191" s="1201">
        <v>3425.3050000000003</v>
      </c>
      <c r="AA191" s="1201">
        <v>9475.8549999999996</v>
      </c>
      <c r="AB191" s="1201">
        <v>11349.060000000001</v>
      </c>
      <c r="AC191" s="1201">
        <v>4052.5</v>
      </c>
      <c r="AD191" s="1201">
        <v>439.66700000000003</v>
      </c>
      <c r="AE191" s="1201">
        <v>1467.7400000000002</v>
      </c>
      <c r="AF191" s="1201">
        <v>2204.9850000000001</v>
      </c>
      <c r="AG191" s="1201">
        <v>11.655000000000001</v>
      </c>
      <c r="AH191" s="1201">
        <v>183.51999999999998</v>
      </c>
      <c r="AI191" s="1201">
        <v>2203</v>
      </c>
    </row>
    <row r="192" spans="1:35">
      <c r="A192" s="1204">
        <v>44980</v>
      </c>
      <c r="B192" s="1209">
        <v>1.0616000658327849</v>
      </c>
      <c r="C192" s="1208">
        <v>0.68300000000000005</v>
      </c>
      <c r="D192" s="1208">
        <v>1.3524998319392079</v>
      </c>
      <c r="E192" s="1208">
        <v>0.93099968466139715</v>
      </c>
      <c r="F192" s="1208">
        <v>1.206</v>
      </c>
      <c r="G192" s="1208">
        <v>7.8437042525889646</v>
      </c>
      <c r="H192" s="1208">
        <v>134.85440340909091</v>
      </c>
      <c r="I192" s="1208">
        <v>4.4320020307264079</v>
      </c>
      <c r="J192" s="1208">
        <v>0.62430019749835419</v>
      </c>
      <c r="K192" s="1208">
        <v>1.3411500869672703</v>
      </c>
      <c r="L192" s="1208">
        <v>3.7520069161417808</v>
      </c>
      <c r="M192" s="1208">
        <v>34.569986014972741</v>
      </c>
      <c r="N192" s="1208">
        <v>10.403682040464091</v>
      </c>
      <c r="O192" s="1208">
        <v>6.8908420754182025</v>
      </c>
      <c r="P192" s="1208">
        <v>6.8967082860385922</v>
      </c>
      <c r="Q192" s="1208"/>
      <c r="R192" s="1205">
        <v>15190</v>
      </c>
      <c r="S192" s="1206">
        <v>16125.705000000002</v>
      </c>
      <c r="T192" s="1207">
        <v>10374.77</v>
      </c>
      <c r="U192" s="1207">
        <v>11231.055</v>
      </c>
      <c r="V192" s="1207">
        <v>16315.795</v>
      </c>
      <c r="W192" s="1207">
        <v>18319.14</v>
      </c>
      <c r="X192" s="1207">
        <v>1936.585</v>
      </c>
      <c r="Y192" s="1207">
        <v>112.64</v>
      </c>
      <c r="Z192" s="1207">
        <v>3427.3450000000003</v>
      </c>
      <c r="AA192" s="1207">
        <v>9483.1200000000008</v>
      </c>
      <c r="AB192" s="1207">
        <v>11326.1</v>
      </c>
      <c r="AC192" s="1207">
        <v>4048.5</v>
      </c>
      <c r="AD192" s="1207">
        <v>439.39850000000001</v>
      </c>
      <c r="AE192" s="1207">
        <v>1460.06</v>
      </c>
      <c r="AF192" s="1207">
        <v>2204.375</v>
      </c>
      <c r="AG192" s="1207">
        <v>11.715</v>
      </c>
      <c r="AH192" s="1207">
        <v>183.54500000000002</v>
      </c>
      <c r="AI192" s="1207">
        <v>2202.5</v>
      </c>
    </row>
    <row r="193" spans="1:35">
      <c r="A193" s="1210">
        <v>44981</v>
      </c>
      <c r="B193" s="1215">
        <v>1.0590000000000002</v>
      </c>
      <c r="C193" s="1214">
        <v>0.67940032840722497</v>
      </c>
      <c r="D193" s="1214">
        <v>1.3556994808272036</v>
      </c>
      <c r="E193" s="1214">
        <v>0.93554997741775914</v>
      </c>
      <c r="F193" s="1214">
        <v>1.2026998357963874</v>
      </c>
      <c r="G193" s="1214">
        <v>7.8471493844690858</v>
      </c>
      <c r="H193" s="1214">
        <v>134.84190948543088</v>
      </c>
      <c r="I193" s="1214">
        <v>4.4359949302915078</v>
      </c>
      <c r="J193" s="1214">
        <v>0.62204991789819375</v>
      </c>
      <c r="K193" s="1214">
        <v>1.3442497894229393</v>
      </c>
      <c r="L193" s="1214">
        <v>3.7523105360443623</v>
      </c>
      <c r="M193" s="1214">
        <v>34.884999793783258</v>
      </c>
      <c r="N193" s="1214">
        <v>10.405987287266761</v>
      </c>
      <c r="O193" s="1214">
        <v>6.9366453062033431</v>
      </c>
      <c r="P193" s="1214">
        <v>6.947296372347707</v>
      </c>
      <c r="Q193" s="1214"/>
      <c r="R193" s="1211">
        <v>15225</v>
      </c>
      <c r="S193" s="1212">
        <v>16123.275000000001</v>
      </c>
      <c r="T193" s="1213">
        <v>10343.870000000001</v>
      </c>
      <c r="U193" s="1213">
        <v>11230.365000000002</v>
      </c>
      <c r="V193" s="1213">
        <v>16273.85</v>
      </c>
      <c r="W193" s="1213">
        <v>18311.105</v>
      </c>
      <c r="X193" s="1213">
        <v>1940.1950000000002</v>
      </c>
      <c r="Y193" s="1213">
        <v>112.91</v>
      </c>
      <c r="Z193" s="1213">
        <v>3432.15</v>
      </c>
      <c r="AA193" s="1213">
        <v>9470.7099999999991</v>
      </c>
      <c r="AB193" s="1213">
        <v>11326.02</v>
      </c>
      <c r="AC193" s="1213">
        <v>4057.5</v>
      </c>
      <c r="AD193" s="1213">
        <v>436.43399999999997</v>
      </c>
      <c r="AE193" s="1213">
        <v>1463.1000000000001</v>
      </c>
      <c r="AF193" s="1213">
        <v>2194.8649999999998</v>
      </c>
      <c r="AG193" s="1213">
        <v>11.655000000000001</v>
      </c>
      <c r="AH193" s="1213">
        <v>183.93</v>
      </c>
      <c r="AI193" s="1213">
        <v>2191.5</v>
      </c>
    </row>
    <row r="194" spans="1:35" s="1216" customFormat="1">
      <c r="A194" s="1217">
        <v>44984</v>
      </c>
      <c r="B194" s="1219">
        <v>1.0547501637197119</v>
      </c>
      <c r="C194" s="1220">
        <v>0.67149999999999999</v>
      </c>
      <c r="D194" s="1220">
        <v>1.3602000304642048</v>
      </c>
      <c r="E194" s="1220">
        <v>0.94170001211814358</v>
      </c>
      <c r="F194" s="1220">
        <v>1.1955</v>
      </c>
      <c r="G194" s="1220">
        <v>7.8461396170960551</v>
      </c>
      <c r="H194" s="1220">
        <v>136.18121822884152</v>
      </c>
      <c r="I194" s="1220">
        <v>4.4784918011631758</v>
      </c>
      <c r="J194" s="1220">
        <v>0.61499999999999999</v>
      </c>
      <c r="K194" s="1220">
        <v>1.3503499236835634</v>
      </c>
      <c r="L194" s="1220">
        <v>3.7523037228160709</v>
      </c>
      <c r="M194" s="1220">
        <v>35.134988995868703</v>
      </c>
      <c r="N194" s="1220">
        <v>10.510918758926881</v>
      </c>
      <c r="O194" s="1220">
        <v>6.9650493186612694</v>
      </c>
      <c r="P194" s="1220">
        <v>6.9805714285714284</v>
      </c>
      <c r="Q194" s="1220"/>
      <c r="R194" s="1218">
        <v>15270</v>
      </c>
      <c r="S194" s="1221">
        <v>16106.035</v>
      </c>
      <c r="T194" s="1222">
        <v>10253.805</v>
      </c>
      <c r="U194" s="1222">
        <v>11226.29</v>
      </c>
      <c r="V194" s="1222">
        <v>16215.355</v>
      </c>
      <c r="W194" s="1222">
        <v>18255.285</v>
      </c>
      <c r="X194" s="1222">
        <v>1946.1799999999998</v>
      </c>
      <c r="Y194" s="1222">
        <v>112.13</v>
      </c>
      <c r="Z194" s="1222">
        <v>3409.63</v>
      </c>
      <c r="AA194" s="1222">
        <v>9391.0499999999993</v>
      </c>
      <c r="AB194" s="1222">
        <v>11308.18</v>
      </c>
      <c r="AC194" s="1222">
        <v>4069.5</v>
      </c>
      <c r="AD194" s="1222">
        <v>434.60950000000003</v>
      </c>
      <c r="AE194" s="1222">
        <v>1452.7750000000001</v>
      </c>
      <c r="AF194" s="1222">
        <v>2192.375</v>
      </c>
      <c r="AG194" s="1222">
        <v>11.555</v>
      </c>
      <c r="AH194" s="1222">
        <v>184.215</v>
      </c>
      <c r="AI194" s="1222">
        <v>2187.5</v>
      </c>
    </row>
    <row r="195" spans="1:35" s="1216" customFormat="1">
      <c r="A195" s="1217">
        <v>44985</v>
      </c>
      <c r="B195" s="1224">
        <v>1.0594000000000001</v>
      </c>
      <c r="C195" s="1220">
        <v>0.67130000000000001</v>
      </c>
      <c r="D195" s="1220">
        <v>1.3596502177223495</v>
      </c>
      <c r="E195" s="1220">
        <v>0.93864984606142521</v>
      </c>
      <c r="F195" s="1220">
        <v>1.2036498360655739</v>
      </c>
      <c r="G195" s="1220">
        <v>7.8486472020216045</v>
      </c>
      <c r="H195" s="1220">
        <v>136.75903506411981</v>
      </c>
      <c r="I195" s="1220">
        <v>4.4884954710344882</v>
      </c>
      <c r="J195" s="1220">
        <v>0.61395016393442625</v>
      </c>
      <c r="K195" s="1220">
        <v>1.3496500866209851</v>
      </c>
      <c r="L195" s="1220">
        <v>3.7529223575735204</v>
      </c>
      <c r="M195" s="1220">
        <v>35.379998584800056</v>
      </c>
      <c r="N195" s="1220">
        <v>10.406253305264881</v>
      </c>
      <c r="O195" s="1220">
        <v>6.9436539556061465</v>
      </c>
      <c r="P195" s="1220">
        <v>6.9634703196347028</v>
      </c>
      <c r="Q195" s="1220"/>
      <c r="R195" s="1223">
        <v>15250</v>
      </c>
      <c r="S195" s="1225">
        <v>16155.85</v>
      </c>
      <c r="T195" s="1222">
        <v>10237.325000000001</v>
      </c>
      <c r="U195" s="1222">
        <v>11216.12</v>
      </c>
      <c r="V195" s="1222">
        <v>16246.740000000002</v>
      </c>
      <c r="W195" s="1222">
        <v>18355.66</v>
      </c>
      <c r="X195" s="1222">
        <v>1943.0100000000002</v>
      </c>
      <c r="Y195" s="1222">
        <v>111.51</v>
      </c>
      <c r="Z195" s="1222">
        <v>3397.5749999999998</v>
      </c>
      <c r="AA195" s="1222">
        <v>9362.74</v>
      </c>
      <c r="AB195" s="1222">
        <v>11299.225</v>
      </c>
      <c r="AC195" s="1222">
        <v>4063.5</v>
      </c>
      <c r="AD195" s="1222">
        <v>431.03449999999998</v>
      </c>
      <c r="AE195" s="1222">
        <v>1465.4650000000001</v>
      </c>
      <c r="AF195" s="1222">
        <v>2196.25</v>
      </c>
      <c r="AG195" s="1222">
        <v>11.515000000000001</v>
      </c>
      <c r="AH195" s="1222">
        <v>184.35</v>
      </c>
      <c r="AI195" s="1222">
        <v>2190</v>
      </c>
    </row>
    <row r="196" spans="1:35">
      <c r="A196" s="1226">
        <v>44986</v>
      </c>
      <c r="B196" s="1231">
        <v>1.0641499835904169</v>
      </c>
      <c r="C196" s="1230">
        <v>0.67685001640958331</v>
      </c>
      <c r="D196" s="1230">
        <v>1.3605995032717795</v>
      </c>
      <c r="E196" s="1230">
        <v>0.93909996806998475</v>
      </c>
      <c r="F196" s="1230">
        <v>1.2078500164095833</v>
      </c>
      <c r="G196" s="1230">
        <v>7.8495523926064275</v>
      </c>
      <c r="H196" s="1230">
        <v>135.92969307637401</v>
      </c>
      <c r="I196" s="1230">
        <v>4.470501585289453</v>
      </c>
      <c r="J196" s="1230">
        <v>0.62389990154250097</v>
      </c>
      <c r="K196" s="1230">
        <v>1.3433500425445617</v>
      </c>
      <c r="L196" s="1230">
        <v>3.7529252370981649</v>
      </c>
      <c r="M196" s="1230">
        <v>34.909992484097451</v>
      </c>
      <c r="N196" s="1230">
        <v>10.415527236928462</v>
      </c>
      <c r="O196" s="1230">
        <v>6.8921993965084338</v>
      </c>
      <c r="P196" s="1230">
        <v>6.8999094202898554</v>
      </c>
      <c r="Q196" s="1230"/>
      <c r="R196" s="1227">
        <v>15235</v>
      </c>
      <c r="S196" s="1228">
        <v>16212.325000000001</v>
      </c>
      <c r="T196" s="1229">
        <v>10311.810000000001</v>
      </c>
      <c r="U196" s="1229">
        <v>11197.27</v>
      </c>
      <c r="V196" s="1229">
        <v>16222.98</v>
      </c>
      <c r="W196" s="1229">
        <v>18401.595000000001</v>
      </c>
      <c r="X196" s="1229">
        <v>1940.875</v>
      </c>
      <c r="Y196" s="1229">
        <v>112.08000000000001</v>
      </c>
      <c r="Z196" s="1229">
        <v>3407.895</v>
      </c>
      <c r="AA196" s="1229">
        <v>9505.1150000000016</v>
      </c>
      <c r="AB196" s="1229">
        <v>11341.05</v>
      </c>
      <c r="AC196" s="1229">
        <v>4059.5</v>
      </c>
      <c r="AD196" s="1229">
        <v>436.40800000000002</v>
      </c>
      <c r="AE196" s="1229">
        <v>1462.72</v>
      </c>
      <c r="AF196" s="1229">
        <v>2210.4700000000003</v>
      </c>
      <c r="AG196" s="1229">
        <v>11.620000000000001</v>
      </c>
      <c r="AH196" s="1229">
        <v>184.55</v>
      </c>
      <c r="AI196" s="1229">
        <v>2208</v>
      </c>
    </row>
    <row r="197" spans="1:35" s="1216" customFormat="1">
      <c r="A197" s="1217">
        <v>44987</v>
      </c>
      <c r="B197" s="1233">
        <v>1.0636999345549738</v>
      </c>
      <c r="C197" s="1220">
        <v>0.67305006544502621</v>
      </c>
      <c r="D197" s="1220">
        <v>1.3626997507811223</v>
      </c>
      <c r="E197" s="1220">
        <v>0.94269982938243602</v>
      </c>
      <c r="F197" s="1220">
        <v>1.1979001963350786</v>
      </c>
      <c r="G197" s="1220">
        <v>7.8495435654805013</v>
      </c>
      <c r="H197" s="1220">
        <v>136.78274102587054</v>
      </c>
      <c r="I197" s="1220">
        <v>4.4837456882828404</v>
      </c>
      <c r="J197" s="1220">
        <v>0.62190019633507854</v>
      </c>
      <c r="K197" s="1220">
        <v>1.3481500434531346</v>
      </c>
      <c r="L197" s="1220">
        <v>3.7529166154979738</v>
      </c>
      <c r="M197" s="1220">
        <v>34.940009741128371</v>
      </c>
      <c r="N197" s="1220">
        <v>10.479786289174887</v>
      </c>
      <c r="O197" s="1220">
        <v>6.9079475303409454</v>
      </c>
      <c r="P197" s="1220">
        <v>6.9155917628422721</v>
      </c>
      <c r="Q197" s="1220"/>
      <c r="R197" s="1232">
        <v>15280</v>
      </c>
      <c r="S197" s="1234">
        <v>16253.335000000001</v>
      </c>
      <c r="T197" s="1222">
        <v>10284.205</v>
      </c>
      <c r="U197" s="1222">
        <v>11213.035</v>
      </c>
      <c r="V197" s="1222">
        <v>16208.764999999999</v>
      </c>
      <c r="W197" s="1222">
        <v>18303.915000000001</v>
      </c>
      <c r="X197" s="1222">
        <v>1946.6100000000001</v>
      </c>
      <c r="Y197" s="1222">
        <v>111.71000000000001</v>
      </c>
      <c r="Z197" s="1222">
        <v>3407.8649999999998</v>
      </c>
      <c r="AA197" s="1222">
        <v>9502.6350000000002</v>
      </c>
      <c r="AB197" s="1222">
        <v>11334.05</v>
      </c>
      <c r="AC197" s="1222">
        <v>4071.5</v>
      </c>
      <c r="AD197" s="1222">
        <v>437.32100000000003</v>
      </c>
      <c r="AE197" s="1222">
        <v>1458.0450000000001</v>
      </c>
      <c r="AF197" s="1222">
        <v>2211.9449999999997</v>
      </c>
      <c r="AG197" s="1222">
        <v>11.625</v>
      </c>
      <c r="AH197" s="1222">
        <v>184.99</v>
      </c>
      <c r="AI197" s="1222">
        <v>2209.5</v>
      </c>
    </row>
    <row r="198" spans="1:35" s="1216" customFormat="1">
      <c r="A198" s="1217">
        <v>44988</v>
      </c>
      <c r="B198" s="1236">
        <v>1.0610003267973855</v>
      </c>
      <c r="C198" s="1220">
        <v>0.67500032679738564</v>
      </c>
      <c r="D198" s="1220">
        <v>1.3578497694539715</v>
      </c>
      <c r="E198" s="1220">
        <v>0.93984991272602858</v>
      </c>
      <c r="F198" s="1220">
        <v>1.1973000000000003</v>
      </c>
      <c r="G198" s="1220">
        <v>7.8498573686046758</v>
      </c>
      <c r="H198" s="1220">
        <v>136.42443156486848</v>
      </c>
      <c r="I198" s="1220">
        <v>4.476000737223651</v>
      </c>
      <c r="J198" s="1220">
        <v>0.62240000000000006</v>
      </c>
      <c r="K198" s="1220">
        <v>1.3465500595386348</v>
      </c>
      <c r="L198" s="1220">
        <v>3.7532196737397276</v>
      </c>
      <c r="M198" s="1220">
        <v>34.800013647064176</v>
      </c>
      <c r="N198" s="1220">
        <v>10.506040973559799</v>
      </c>
      <c r="O198" s="1220">
        <v>6.9017626560508845</v>
      </c>
      <c r="P198" s="1220">
        <v>6.9105691056910565</v>
      </c>
      <c r="Q198" s="1220"/>
      <c r="R198" s="1235">
        <v>15300</v>
      </c>
      <c r="S198" s="1237">
        <v>16233.305</v>
      </c>
      <c r="T198" s="1222">
        <v>10327.505000000001</v>
      </c>
      <c r="U198" s="1222">
        <v>11267.814999999999</v>
      </c>
      <c r="V198" s="1222">
        <v>16279.195</v>
      </c>
      <c r="W198" s="1222">
        <v>18318.690000000002</v>
      </c>
      <c r="X198" s="1222">
        <v>1949.08</v>
      </c>
      <c r="Y198" s="1222">
        <v>112.15</v>
      </c>
      <c r="Z198" s="1222">
        <v>3418.23</v>
      </c>
      <c r="AA198" s="1222">
        <v>9522.7200000000012</v>
      </c>
      <c r="AB198" s="1222">
        <v>11362.37</v>
      </c>
      <c r="AC198" s="1222">
        <v>4076.5</v>
      </c>
      <c r="AD198" s="1222">
        <v>439.65499999999997</v>
      </c>
      <c r="AE198" s="1222">
        <v>1456.3049999999998</v>
      </c>
      <c r="AF198" s="1222">
        <v>2216.8249999999998</v>
      </c>
      <c r="AG198" s="1222">
        <v>11.745000000000001</v>
      </c>
      <c r="AH198" s="1222">
        <v>186.315</v>
      </c>
      <c r="AI198" s="1222">
        <v>2214</v>
      </c>
    </row>
    <row r="199" spans="1:35" s="1216" customFormat="1">
      <c r="A199" s="1217">
        <v>44991</v>
      </c>
      <c r="B199" s="1239">
        <v>1.0648999673095783</v>
      </c>
      <c r="C199" s="1220">
        <v>0.67550016345210862</v>
      </c>
      <c r="D199" s="1220">
        <v>1.3586998765666245</v>
      </c>
      <c r="E199" s="1220">
        <v>0.93219990339739456</v>
      </c>
      <c r="F199" s="1220">
        <v>1.2037002288329519</v>
      </c>
      <c r="G199" s="1220">
        <v>7.8497487772457362</v>
      </c>
      <c r="H199" s="1220">
        <v>135.68418718119318</v>
      </c>
      <c r="I199" s="1220">
        <v>4.4699937604206088</v>
      </c>
      <c r="J199" s="1220">
        <v>0.62155017979731941</v>
      </c>
      <c r="K199" s="1220">
        <v>1.3444499138567561</v>
      </c>
      <c r="L199" s="1220">
        <v>3.7529137529137531</v>
      </c>
      <c r="M199" s="1220">
        <v>34.41002941556944</v>
      </c>
      <c r="N199" s="1220">
        <v>10.456868408908337</v>
      </c>
      <c r="O199" s="1220">
        <v>6.9183414073702165</v>
      </c>
      <c r="P199" s="1220">
        <v>6.9255150554675122</v>
      </c>
      <c r="Q199" s="1220"/>
      <c r="R199" s="1238">
        <v>15295</v>
      </c>
      <c r="S199" s="1240">
        <v>16287.645</v>
      </c>
      <c r="T199" s="1222">
        <v>10331.775000000001</v>
      </c>
      <c r="U199" s="1222">
        <v>11257.084999999999</v>
      </c>
      <c r="V199" s="1222">
        <v>16407.425000000003</v>
      </c>
      <c r="W199" s="1222">
        <v>18410.595000000001</v>
      </c>
      <c r="X199" s="1222">
        <v>1948.47</v>
      </c>
      <c r="Y199" s="1222">
        <v>112.72499999999999</v>
      </c>
      <c r="Z199" s="1222">
        <v>3421.7049999999999</v>
      </c>
      <c r="AA199" s="1222">
        <v>9506.61</v>
      </c>
      <c r="AB199" s="1222">
        <v>11376.4</v>
      </c>
      <c r="AC199" s="1222">
        <v>4075.5</v>
      </c>
      <c r="AD199" s="1222">
        <v>444.49250000000001</v>
      </c>
      <c r="AE199" s="1222">
        <v>1462.675</v>
      </c>
      <c r="AF199" s="1222">
        <v>2210.79</v>
      </c>
      <c r="AG199" s="1222">
        <v>11.805</v>
      </c>
      <c r="AH199" s="1222">
        <v>187.36500000000001</v>
      </c>
      <c r="AI199" s="1222">
        <v>2208.5</v>
      </c>
    </row>
    <row r="200" spans="1:35" s="1216" customFormat="1">
      <c r="A200" s="1217">
        <v>44992</v>
      </c>
      <c r="B200" s="1242">
        <v>1.0686000000000002</v>
      </c>
      <c r="C200" s="1220">
        <v>0.67070000000000007</v>
      </c>
      <c r="D200" s="1220">
        <v>1.3619995040014836</v>
      </c>
      <c r="E200" s="1220">
        <v>0.92929966826726162</v>
      </c>
      <c r="F200" s="1220">
        <v>1.2049000000000001</v>
      </c>
      <c r="G200" s="1220">
        <v>7.849855531974737</v>
      </c>
      <c r="H200" s="1220">
        <v>135.74460558896357</v>
      </c>
      <c r="I200" s="1220">
        <v>4.4739990702242975</v>
      </c>
      <c r="J200" s="1220">
        <v>0.62160000000000004</v>
      </c>
      <c r="K200" s="1220">
        <v>1.3442502214509933</v>
      </c>
      <c r="L200" s="1220">
        <v>3.7535150996454334</v>
      </c>
      <c r="M200" s="1220">
        <v>34.51000846450696</v>
      </c>
      <c r="N200" s="1220">
        <v>10.446014182080491</v>
      </c>
      <c r="O200" s="1220">
        <v>6.9238020920256753</v>
      </c>
      <c r="P200" s="1220">
        <v>6.9315872657484761</v>
      </c>
      <c r="Q200" s="1220"/>
      <c r="R200" s="1241">
        <v>15350</v>
      </c>
      <c r="S200" s="1243">
        <v>16403.010000000002</v>
      </c>
      <c r="T200" s="1222">
        <v>10295.245000000001</v>
      </c>
      <c r="U200" s="1222">
        <v>11270.195</v>
      </c>
      <c r="V200" s="1222">
        <v>16517.815000000002</v>
      </c>
      <c r="W200" s="1222">
        <v>18495.215</v>
      </c>
      <c r="X200" s="1222">
        <v>1955.45</v>
      </c>
      <c r="Y200" s="1222">
        <v>113.08</v>
      </c>
      <c r="Z200" s="1222">
        <v>3430.9349999999999</v>
      </c>
      <c r="AA200" s="1222">
        <v>9541.5600000000013</v>
      </c>
      <c r="AB200" s="1222">
        <v>11419.005000000001</v>
      </c>
      <c r="AC200" s="1222">
        <v>4089.5</v>
      </c>
      <c r="AD200" s="1222">
        <v>444.79849999999999</v>
      </c>
      <c r="AE200" s="1222">
        <v>1469.46</v>
      </c>
      <c r="AF200" s="1222">
        <v>2216.9899999999998</v>
      </c>
      <c r="AG200" s="1222">
        <v>11.805</v>
      </c>
      <c r="AH200" s="1222">
        <v>187.685</v>
      </c>
      <c r="AI200" s="1222">
        <v>2214.5</v>
      </c>
    </row>
    <row r="201" spans="1:35" s="1216" customFormat="1">
      <c r="A201" s="1217">
        <v>44993</v>
      </c>
      <c r="B201" s="1245">
        <v>1.05429996760609</v>
      </c>
      <c r="C201" s="1220">
        <v>0.65970003239391006</v>
      </c>
      <c r="D201" s="1220">
        <v>1.3765499564560728</v>
      </c>
      <c r="E201" s="1220">
        <v>0.942199839761932</v>
      </c>
      <c r="F201" s="1220">
        <v>1.1824499514091349</v>
      </c>
      <c r="G201" s="1220">
        <v>7.8499482518798418</v>
      </c>
      <c r="H201" s="1220">
        <v>137.5055679287305</v>
      </c>
      <c r="I201" s="1220">
        <v>4.5222486724043218</v>
      </c>
      <c r="J201" s="1220">
        <v>0.61114998380304508</v>
      </c>
      <c r="K201" s="1220">
        <v>1.3541997960146079</v>
      </c>
      <c r="L201" s="1220">
        <v>3.7541043414812112</v>
      </c>
      <c r="M201" s="1220">
        <v>35.080023818506611</v>
      </c>
      <c r="N201" s="1220">
        <v>10.749542961608775</v>
      </c>
      <c r="O201" s="1220">
        <v>6.9706474098862614</v>
      </c>
      <c r="P201" s="1220">
        <v>6.9810040705563097</v>
      </c>
      <c r="Q201" s="1220"/>
      <c r="R201" s="1244">
        <v>15435</v>
      </c>
      <c r="S201" s="1246">
        <v>16273.119999999999</v>
      </c>
      <c r="T201" s="1222">
        <v>10182.470000000001</v>
      </c>
      <c r="U201" s="1222">
        <v>11212.815000000001</v>
      </c>
      <c r="V201" s="1222">
        <v>16381.875</v>
      </c>
      <c r="W201" s="1222">
        <v>18251.114999999998</v>
      </c>
      <c r="X201" s="1222">
        <v>1966.2550000000001</v>
      </c>
      <c r="Y201" s="1222">
        <v>112.25</v>
      </c>
      <c r="Z201" s="1222">
        <v>3413.125</v>
      </c>
      <c r="AA201" s="1222">
        <v>9433.1</v>
      </c>
      <c r="AB201" s="1222">
        <v>11397.875</v>
      </c>
      <c r="AC201" s="1222">
        <v>4111.5</v>
      </c>
      <c r="AD201" s="1222">
        <v>439.99400000000003</v>
      </c>
      <c r="AE201" s="1222">
        <v>1435.875</v>
      </c>
      <c r="AF201" s="1222">
        <v>2214.2849999999999</v>
      </c>
      <c r="AG201" s="1222">
        <v>11.684999999999999</v>
      </c>
      <c r="AH201" s="1222">
        <v>187.97</v>
      </c>
      <c r="AI201" s="1222">
        <v>2211</v>
      </c>
    </row>
    <row r="202" spans="1:35">
      <c r="A202" s="1247">
        <v>44994</v>
      </c>
      <c r="B202" s="1252">
        <v>1.0553711507293355</v>
      </c>
      <c r="C202" s="1251">
        <v>0.66120000000000001</v>
      </c>
      <c r="D202" s="1251">
        <v>1.379500312343912</v>
      </c>
      <c r="E202" s="1251">
        <v>0.93884997725152797</v>
      </c>
      <c r="F202" s="1251">
        <v>1.1850003241491085</v>
      </c>
      <c r="G202" s="1251">
        <v>7.849952671274008</v>
      </c>
      <c r="H202" s="1251">
        <v>136.84350603264727</v>
      </c>
      <c r="I202" s="1251">
        <v>4.5244953391098255</v>
      </c>
      <c r="J202" s="1251">
        <v>0.61200032414910854</v>
      </c>
      <c r="K202" s="1251">
        <v>1.3531497026579631</v>
      </c>
      <c r="L202" s="1251">
        <v>3.7539547335118035</v>
      </c>
      <c r="M202" s="1251">
        <v>35.080018830635709</v>
      </c>
      <c r="N202" s="1251">
        <v>10.706266549597604</v>
      </c>
      <c r="O202" s="1251">
        <v>6.9729017442425523</v>
      </c>
      <c r="P202" s="1251">
        <v>6.9827976459936627</v>
      </c>
      <c r="Q202" s="1251"/>
      <c r="R202" s="1248">
        <v>15425</v>
      </c>
      <c r="S202" s="1249">
        <v>16279.1</v>
      </c>
      <c r="T202" s="1250">
        <v>10199.01</v>
      </c>
      <c r="U202" s="1250">
        <v>11181.584999999999</v>
      </c>
      <c r="V202" s="1250">
        <v>16429.675000000003</v>
      </c>
      <c r="W202" s="1250">
        <v>18278.629999999997</v>
      </c>
      <c r="X202" s="1250">
        <v>1964.98</v>
      </c>
      <c r="Y202" s="1250">
        <v>112.72</v>
      </c>
      <c r="Z202" s="1250">
        <v>3409.2200000000003</v>
      </c>
      <c r="AA202" s="1250">
        <v>9440.1049999999996</v>
      </c>
      <c r="AB202" s="1250">
        <v>11399.330000000002</v>
      </c>
      <c r="AC202" s="1250">
        <v>4109</v>
      </c>
      <c r="AD202" s="1250">
        <v>439.70900000000006</v>
      </c>
      <c r="AE202" s="1250">
        <v>1440.7449999999999</v>
      </c>
      <c r="AF202" s="1250">
        <v>2212.1350000000002</v>
      </c>
      <c r="AG202" s="1250">
        <v>11.664999999999999</v>
      </c>
      <c r="AH202" s="1250">
        <v>188.155</v>
      </c>
      <c r="AI202" s="1250">
        <v>2209</v>
      </c>
    </row>
    <row r="203" spans="1:35" s="1216" customFormat="1">
      <c r="A203" s="1217">
        <v>44995</v>
      </c>
      <c r="B203" s="1254">
        <v>1.0593999999999999</v>
      </c>
      <c r="C203" s="1220">
        <v>0.65970000000000006</v>
      </c>
      <c r="D203" s="1220">
        <v>1.3835500820503408</v>
      </c>
      <c r="E203" s="1220">
        <v>0.93005000598964227</v>
      </c>
      <c r="F203" s="1220">
        <v>1.1955</v>
      </c>
      <c r="G203" s="1220">
        <v>7.8497521866259525</v>
      </c>
      <c r="H203" s="1220">
        <v>136.40577406965966</v>
      </c>
      <c r="I203" s="1220">
        <v>4.5189973383251925</v>
      </c>
      <c r="J203" s="1220">
        <v>0.61109999999999998</v>
      </c>
      <c r="K203" s="1220">
        <v>1.3545502367175171</v>
      </c>
      <c r="L203" s="1220">
        <v>3.7541003523265704</v>
      </c>
      <c r="M203" s="1220">
        <v>35.040012519150103</v>
      </c>
      <c r="N203" s="1220">
        <v>10.720456295926226</v>
      </c>
      <c r="O203" s="1220">
        <v>6.9660018530917549</v>
      </c>
      <c r="P203" s="1220">
        <v>6.9751693002257333</v>
      </c>
      <c r="Q203" s="1220"/>
      <c r="R203" s="1253">
        <v>15450</v>
      </c>
      <c r="S203" s="1255">
        <v>16367.73</v>
      </c>
      <c r="T203" s="1222">
        <v>10192.365000000002</v>
      </c>
      <c r="U203" s="1222">
        <v>11166.924999999999</v>
      </c>
      <c r="V203" s="1222">
        <v>16612.010000000002</v>
      </c>
      <c r="W203" s="1222">
        <v>18470.474999999999</v>
      </c>
      <c r="X203" s="1222">
        <v>1968.2150000000001</v>
      </c>
      <c r="Y203" s="1222">
        <v>113.265</v>
      </c>
      <c r="Z203" s="1222">
        <v>3418.9</v>
      </c>
      <c r="AA203" s="1222">
        <v>9441.494999999999</v>
      </c>
      <c r="AB203" s="1222">
        <v>11406</v>
      </c>
      <c r="AC203" s="1222">
        <v>4115.5</v>
      </c>
      <c r="AD203" s="1222">
        <v>440.92449999999997</v>
      </c>
      <c r="AE203" s="1222">
        <v>1441.17</v>
      </c>
      <c r="AF203" s="1222">
        <v>2217.915</v>
      </c>
      <c r="AG203" s="1222">
        <v>11.684999999999999</v>
      </c>
      <c r="AH203" s="1222">
        <v>188.32499999999999</v>
      </c>
      <c r="AI203" s="1222">
        <v>2215</v>
      </c>
    </row>
    <row r="204" spans="1:35">
      <c r="A204" s="1256">
        <v>44998</v>
      </c>
      <c r="B204" s="1261">
        <v>1.0724998372925481</v>
      </c>
      <c r="C204" s="1260">
        <v>0.66740026033192312</v>
      </c>
      <c r="D204" s="1260">
        <v>1.3728997716152413</v>
      </c>
      <c r="E204" s="1260">
        <v>0.91599986169087666</v>
      </c>
      <c r="F204" s="1260">
        <v>1.2103003579563945</v>
      </c>
      <c r="G204" s="1260">
        <v>7.8479545007623219</v>
      </c>
      <c r="H204" s="1260">
        <v>134.50932329510636</v>
      </c>
      <c r="I204" s="1260">
        <v>4.4869960342722974</v>
      </c>
      <c r="J204" s="1260">
        <v>0.61905011389521636</v>
      </c>
      <c r="K204" s="1260">
        <v>1.3447500703444757</v>
      </c>
      <c r="L204" s="1260">
        <v>3.7539701930124605</v>
      </c>
      <c r="M204" s="1260">
        <v>34.63998872763139</v>
      </c>
      <c r="N204" s="1260">
        <v>10.608696852948892</v>
      </c>
      <c r="O204" s="1260">
        <v>6.9010121334749623</v>
      </c>
      <c r="P204" s="1260">
        <v>6.9025157232704402</v>
      </c>
      <c r="Q204" s="1260"/>
      <c r="R204" s="1257">
        <v>15365</v>
      </c>
      <c r="S204" s="1258">
        <v>16478.96</v>
      </c>
      <c r="T204" s="1259">
        <v>10254.605</v>
      </c>
      <c r="U204" s="1259">
        <v>11191.64</v>
      </c>
      <c r="V204" s="1259">
        <v>16774.02</v>
      </c>
      <c r="W204" s="1259">
        <v>18596.264999999999</v>
      </c>
      <c r="X204" s="1259">
        <v>1957.835</v>
      </c>
      <c r="Y204" s="1259">
        <v>114.23</v>
      </c>
      <c r="Z204" s="1259">
        <v>3424.34</v>
      </c>
      <c r="AA204" s="1259">
        <v>9511.7049999999999</v>
      </c>
      <c r="AB204" s="1259">
        <v>11425.915000000001</v>
      </c>
      <c r="AC204" s="1259">
        <v>4093</v>
      </c>
      <c r="AD204" s="1259">
        <v>443.5625</v>
      </c>
      <c r="AE204" s="1259">
        <v>1448.3400000000001</v>
      </c>
      <c r="AF204" s="1259">
        <v>2226.4849999999997</v>
      </c>
      <c r="AG204" s="1259">
        <v>11.79</v>
      </c>
      <c r="AH204" s="1259">
        <v>187.55500000000001</v>
      </c>
      <c r="AI204" s="1259">
        <v>2226</v>
      </c>
    </row>
    <row r="205" spans="1:35" s="1216" customFormat="1">
      <c r="A205" s="1217">
        <v>44999</v>
      </c>
      <c r="B205" s="1263">
        <v>1.0690000000000002</v>
      </c>
      <c r="C205" s="1220">
        <v>0.66700000000000004</v>
      </c>
      <c r="D205" s="1220">
        <v>1.3714999895254307</v>
      </c>
      <c r="E205" s="1220">
        <v>0.91279987493128778</v>
      </c>
      <c r="F205" s="1220">
        <v>1.2154998375040624</v>
      </c>
      <c r="G205" s="1220">
        <v>7.8450469377036471</v>
      </c>
      <c r="H205" s="1220">
        <v>133.55614392985805</v>
      </c>
      <c r="I205" s="1220">
        <v>4.4849977771785472</v>
      </c>
      <c r="J205" s="1220">
        <v>0.6233002924926877</v>
      </c>
      <c r="K205" s="1220">
        <v>1.3477998055173499</v>
      </c>
      <c r="L205" s="1220">
        <v>3.7547284929835265</v>
      </c>
      <c r="M205" s="1220">
        <v>34.454996310392822</v>
      </c>
      <c r="N205" s="1220">
        <v>10.644701519386709</v>
      </c>
      <c r="O205" s="1220">
        <v>6.8708034396443347</v>
      </c>
      <c r="P205" s="1220">
        <v>6.8713711478338544</v>
      </c>
      <c r="Q205" s="1220"/>
      <c r="R205" s="1262">
        <v>15385</v>
      </c>
      <c r="S205" s="1264">
        <v>16446.565000000002</v>
      </c>
      <c r="T205" s="1222">
        <v>10261.795</v>
      </c>
      <c r="U205" s="1222">
        <v>11217.645</v>
      </c>
      <c r="V205" s="1222">
        <v>16854.735000000001</v>
      </c>
      <c r="W205" s="1222">
        <v>18700.465</v>
      </c>
      <c r="X205" s="1222">
        <v>1961.1100000000001</v>
      </c>
      <c r="Y205" s="1222">
        <v>115.19500000000001</v>
      </c>
      <c r="Z205" s="1222">
        <v>3430.3249999999998</v>
      </c>
      <c r="AA205" s="1222">
        <v>9589.4750000000004</v>
      </c>
      <c r="AB205" s="1222">
        <v>11414.900000000001</v>
      </c>
      <c r="AC205" s="1222">
        <v>4097.5</v>
      </c>
      <c r="AD205" s="1222">
        <v>446.52449999999999</v>
      </c>
      <c r="AE205" s="1222">
        <v>1445.3200000000002</v>
      </c>
      <c r="AF205" s="1222">
        <v>2239.1849999999999</v>
      </c>
      <c r="AG205" s="1222">
        <v>11.734999999999999</v>
      </c>
      <c r="AH205" s="1222">
        <v>186.73000000000002</v>
      </c>
      <c r="AI205" s="1222">
        <v>2239</v>
      </c>
    </row>
    <row r="206" spans="1:35" s="1216" customFormat="1">
      <c r="A206" s="1217">
        <v>45000</v>
      </c>
      <c r="B206" s="1266">
        <v>1.0738001952489427</v>
      </c>
      <c r="C206" s="1220">
        <v>0.66770029287341359</v>
      </c>
      <c r="D206" s="1220">
        <v>1.3687500946499822</v>
      </c>
      <c r="E206" s="1220">
        <v>0.9146497543273977</v>
      </c>
      <c r="F206" s="1220">
        <v>1.2156999674585098</v>
      </c>
      <c r="G206" s="1220">
        <v>7.8497587342295976</v>
      </c>
      <c r="H206" s="1220">
        <v>134.87535112359549</v>
      </c>
      <c r="I206" s="1220">
        <v>4.4774966815819424</v>
      </c>
      <c r="J206" s="1220">
        <v>0.62109990237552881</v>
      </c>
      <c r="K206" s="1220">
        <v>1.3430497938005554</v>
      </c>
      <c r="L206" s="1220">
        <v>3.7553464499572282</v>
      </c>
      <c r="M206" s="1220">
        <v>34.550023329416994</v>
      </c>
      <c r="N206" s="1220">
        <v>10.429110556038228</v>
      </c>
      <c r="O206" s="1220">
        <v>6.8923907826328801</v>
      </c>
      <c r="P206" s="1220">
        <v>6.8947722683419341</v>
      </c>
      <c r="Q206" s="1220"/>
      <c r="R206" s="1265">
        <v>15365</v>
      </c>
      <c r="S206" s="1267">
        <v>16498.940000000002</v>
      </c>
      <c r="T206" s="1222">
        <v>10259.215</v>
      </c>
      <c r="U206" s="1222">
        <v>11225.57</v>
      </c>
      <c r="V206" s="1222">
        <v>16798.78</v>
      </c>
      <c r="W206" s="1222">
        <v>18679.230000000003</v>
      </c>
      <c r="X206" s="1222">
        <v>1957.385</v>
      </c>
      <c r="Y206" s="1222">
        <v>113.92</v>
      </c>
      <c r="Z206" s="1222">
        <v>3431.605</v>
      </c>
      <c r="AA206" s="1222">
        <v>9543.2000000000007</v>
      </c>
      <c r="AB206" s="1222">
        <v>11440.380000000001</v>
      </c>
      <c r="AC206" s="1222">
        <v>4091.5</v>
      </c>
      <c r="AD206" s="1222">
        <v>444.71749999999997</v>
      </c>
      <c r="AE206" s="1222">
        <v>1473.28</v>
      </c>
      <c r="AF206" s="1222">
        <v>2229.27</v>
      </c>
      <c r="AG206" s="1222">
        <v>11.765000000000001</v>
      </c>
      <c r="AH206" s="1222">
        <v>186.29000000000002</v>
      </c>
      <c r="AI206" s="1222">
        <v>2228.5</v>
      </c>
    </row>
    <row r="207" spans="1:35" s="1216" customFormat="1">
      <c r="A207" s="1217">
        <v>45001</v>
      </c>
      <c r="B207" s="1269">
        <v>1.0625500650195059</v>
      </c>
      <c r="C207" s="1220">
        <v>0.66590019505851761</v>
      </c>
      <c r="D207" s="1220">
        <v>1.3736496836050711</v>
      </c>
      <c r="E207" s="1220">
        <v>0.92484992986955594</v>
      </c>
      <c r="F207" s="1220">
        <v>1.2096501950585175</v>
      </c>
      <c r="G207" s="1220">
        <v>7.8490612257396135</v>
      </c>
      <c r="H207" s="1220">
        <v>133.12559508352808</v>
      </c>
      <c r="I207" s="1220">
        <v>4.5029944327412785</v>
      </c>
      <c r="J207" s="1220">
        <v>0.61785013003901168</v>
      </c>
      <c r="K207" s="1220">
        <v>1.3471493513887549</v>
      </c>
      <c r="L207" s="1220">
        <v>3.7562583954084747</v>
      </c>
      <c r="M207" s="1220">
        <v>34.480014258315393</v>
      </c>
      <c r="N207" s="1220">
        <v>10.54627366140153</v>
      </c>
      <c r="O207" s="1220">
        <v>6.901998797311002</v>
      </c>
      <c r="P207" s="1220">
        <v>6.901503253309401</v>
      </c>
      <c r="Q207" s="1220"/>
      <c r="R207" s="1268">
        <v>15380</v>
      </c>
      <c r="S207" s="1270">
        <v>16342.02</v>
      </c>
      <c r="T207" s="1222">
        <v>10241.545</v>
      </c>
      <c r="U207" s="1222">
        <v>11196.45</v>
      </c>
      <c r="V207" s="1222">
        <v>16629.724999999999</v>
      </c>
      <c r="W207" s="1222">
        <v>18604.419999999998</v>
      </c>
      <c r="X207" s="1222">
        <v>1959.47</v>
      </c>
      <c r="Y207" s="1222">
        <v>115.53</v>
      </c>
      <c r="Z207" s="1222">
        <v>3415.5050000000001</v>
      </c>
      <c r="AA207" s="1222">
        <v>9502.5349999999999</v>
      </c>
      <c r="AB207" s="1222">
        <v>11416.7</v>
      </c>
      <c r="AC207" s="1222">
        <v>4094.5</v>
      </c>
      <c r="AD207" s="1222">
        <v>446.05549999999999</v>
      </c>
      <c r="AE207" s="1222">
        <v>1458.335</v>
      </c>
      <c r="AF207" s="1222">
        <v>2228.34</v>
      </c>
      <c r="AG207" s="1222">
        <v>11.734999999999999</v>
      </c>
      <c r="AH207" s="1222">
        <v>186.125</v>
      </c>
      <c r="AI207" s="1222">
        <v>2228.5</v>
      </c>
    </row>
    <row r="208" spans="1:35" s="1216" customFormat="1">
      <c r="A208" s="1217">
        <v>45002</v>
      </c>
      <c r="B208" s="1272">
        <v>1.0662000651678072</v>
      </c>
      <c r="C208" s="1220">
        <v>0.67120006516780717</v>
      </c>
      <c r="D208" s="1220">
        <v>1.3684502000505643</v>
      </c>
      <c r="E208" s="1220">
        <v>0.92489987785535333</v>
      </c>
      <c r="F208" s="1220">
        <v>1.2163000977517107</v>
      </c>
      <c r="G208" s="1220">
        <v>7.8496669838249282</v>
      </c>
      <c r="H208" s="1220">
        <v>133.01837725381412</v>
      </c>
      <c r="I208" s="1220">
        <v>4.4859960621461736</v>
      </c>
      <c r="J208" s="1220">
        <v>0.62495014662756598</v>
      </c>
      <c r="K208" s="1220">
        <v>1.3417496170177046</v>
      </c>
      <c r="L208" s="1220">
        <v>3.7564259485924114</v>
      </c>
      <c r="M208" s="1220">
        <v>34.159969724627679</v>
      </c>
      <c r="N208" s="1220">
        <v>10.456843798127377</v>
      </c>
      <c r="O208" s="1220">
        <v>6.8660022148394235</v>
      </c>
      <c r="P208" s="1220">
        <v>6.8657718120805367</v>
      </c>
      <c r="Q208" s="1220"/>
      <c r="R208" s="1271">
        <v>15345</v>
      </c>
      <c r="S208" s="1273">
        <v>16360.84</v>
      </c>
      <c r="T208" s="1222">
        <v>10299.565000000001</v>
      </c>
      <c r="U208" s="1222">
        <v>11213.415000000001</v>
      </c>
      <c r="V208" s="1222">
        <v>16590.985000000001</v>
      </c>
      <c r="W208" s="1222">
        <v>18664.125</v>
      </c>
      <c r="X208" s="1222">
        <v>1954.8600000000001</v>
      </c>
      <c r="Y208" s="1222">
        <v>115.36000000000001</v>
      </c>
      <c r="Z208" s="1222">
        <v>3420.6450000000004</v>
      </c>
      <c r="AA208" s="1222">
        <v>9589.86</v>
      </c>
      <c r="AB208" s="1222">
        <v>11436.560000000001</v>
      </c>
      <c r="AC208" s="1222">
        <v>4085</v>
      </c>
      <c r="AD208" s="1222">
        <v>449.21000000000004</v>
      </c>
      <c r="AE208" s="1222">
        <v>1467.46</v>
      </c>
      <c r="AF208" s="1222">
        <v>2234.9250000000002</v>
      </c>
      <c r="AG208" s="1222">
        <v>11.785</v>
      </c>
      <c r="AH208" s="1222">
        <v>185.92000000000002</v>
      </c>
      <c r="AI208" s="1222">
        <v>2235</v>
      </c>
    </row>
    <row r="209" spans="1:35" s="1216" customFormat="1">
      <c r="A209" s="1217">
        <v>45005</v>
      </c>
      <c r="B209" s="1275">
        <v>1.0654999999999999</v>
      </c>
      <c r="C209" s="1220">
        <v>0.6689501953125</v>
      </c>
      <c r="D209" s="1220">
        <v>1.3725002245056519</v>
      </c>
      <c r="E209" s="1220">
        <v>0.9277998368497814</v>
      </c>
      <c r="F209" s="1220">
        <v>1.2189000651041666</v>
      </c>
      <c r="G209" s="1220">
        <v>7.8476052286713482</v>
      </c>
      <c r="H209" s="1220">
        <v>131.04683900691066</v>
      </c>
      <c r="I209" s="1220">
        <v>4.4859944100304032</v>
      </c>
      <c r="J209" s="1220">
        <v>0.62540006510416668</v>
      </c>
      <c r="K209" s="1220">
        <v>1.3425499621315251</v>
      </c>
      <c r="L209" s="1220">
        <v>3.7564196625091708</v>
      </c>
      <c r="M209" s="1220">
        <v>34.080017040008521</v>
      </c>
      <c r="N209" s="1220">
        <v>10.528372112151839</v>
      </c>
      <c r="O209" s="1220">
        <v>6.8903488014785541</v>
      </c>
      <c r="P209" s="1220">
        <v>6.8909825033647376</v>
      </c>
      <c r="Q209" s="1220"/>
      <c r="R209" s="1274">
        <v>15360</v>
      </c>
      <c r="S209" s="1276">
        <v>16366.08</v>
      </c>
      <c r="T209" s="1222">
        <v>10275.075000000001</v>
      </c>
      <c r="U209" s="1222">
        <v>11191.255000000001</v>
      </c>
      <c r="V209" s="1222">
        <v>16555.294999999998</v>
      </c>
      <c r="W209" s="1222">
        <v>18722.305</v>
      </c>
      <c r="X209" s="1222">
        <v>1957.2850000000001</v>
      </c>
      <c r="Y209" s="1222">
        <v>117.21000000000001</v>
      </c>
      <c r="Z209" s="1222">
        <v>3423.99</v>
      </c>
      <c r="AA209" s="1222">
        <v>9606.1450000000004</v>
      </c>
      <c r="AB209" s="1222">
        <v>11440.915000000001</v>
      </c>
      <c r="AC209" s="1222">
        <v>4089</v>
      </c>
      <c r="AD209" s="1222">
        <v>450.70400000000001</v>
      </c>
      <c r="AE209" s="1222">
        <v>1458.915</v>
      </c>
      <c r="AF209" s="1222">
        <v>2229.2049999999999</v>
      </c>
      <c r="AG209" s="1222">
        <v>11.725000000000001</v>
      </c>
      <c r="AH209" s="1222">
        <v>185.815</v>
      </c>
      <c r="AI209" s="1222">
        <v>2229</v>
      </c>
    </row>
    <row r="210" spans="1:35" s="1216" customFormat="1">
      <c r="A210" s="1217">
        <v>45006</v>
      </c>
      <c r="B210" s="1278">
        <v>1.071950146627566</v>
      </c>
      <c r="C210" s="1220">
        <v>0.668750081459759</v>
      </c>
      <c r="D210" s="1220">
        <v>1.3682500888314859</v>
      </c>
      <c r="E210" s="1220">
        <v>0.92979995213151112</v>
      </c>
      <c r="F210" s="1220">
        <v>1.2236500488758553</v>
      </c>
      <c r="G210" s="1220">
        <v>7.8426662509806526</v>
      </c>
      <c r="H210" s="1220">
        <v>131.87521485046409</v>
      </c>
      <c r="I210" s="1220">
        <v>4.4759989324108123</v>
      </c>
      <c r="J210" s="1220">
        <v>0.62070022808732483</v>
      </c>
      <c r="K210" s="1220">
        <v>1.3380501526833377</v>
      </c>
      <c r="L210" s="1220">
        <v>3.7573457394711069</v>
      </c>
      <c r="M210" s="1220">
        <v>34.259994172786911</v>
      </c>
      <c r="N210" s="1220">
        <v>10.378305992634751</v>
      </c>
      <c r="O210" s="1220">
        <v>6.8743994140296891</v>
      </c>
      <c r="P210" s="1220">
        <v>6.8734602463605823</v>
      </c>
      <c r="Q210" s="1220"/>
      <c r="R210" s="1277">
        <v>15345</v>
      </c>
      <c r="S210" s="1279">
        <v>16449.075000000001</v>
      </c>
      <c r="T210" s="1222">
        <v>10261.970000000001</v>
      </c>
      <c r="U210" s="1222">
        <v>11215.055</v>
      </c>
      <c r="V210" s="1222">
        <v>16503.55</v>
      </c>
      <c r="W210" s="1222">
        <v>18776.91</v>
      </c>
      <c r="X210" s="1222">
        <v>1956.605</v>
      </c>
      <c r="Y210" s="1222">
        <v>116.36</v>
      </c>
      <c r="Z210" s="1222">
        <v>3428.2849999999999</v>
      </c>
      <c r="AA210" s="1222">
        <v>9524.6450000000004</v>
      </c>
      <c r="AB210" s="1222">
        <v>11468.18</v>
      </c>
      <c r="AC210" s="1222">
        <v>4084</v>
      </c>
      <c r="AD210" s="1222">
        <v>447.89850000000001</v>
      </c>
      <c r="AE210" s="1222">
        <v>1478.5650000000001</v>
      </c>
      <c r="AF210" s="1222">
        <v>2232.1949999999997</v>
      </c>
      <c r="AG210" s="1222">
        <v>11.725000000000001</v>
      </c>
      <c r="AH210" s="1222">
        <v>185.67500000000001</v>
      </c>
      <c r="AI210" s="1222">
        <v>2232.5</v>
      </c>
    </row>
    <row r="211" spans="1:35" s="1216" customFormat="1">
      <c r="A211" s="1217">
        <v>45009</v>
      </c>
      <c r="B211" s="1281">
        <v>1.0828000659848234</v>
      </c>
      <c r="C211" s="1220">
        <v>0.66880006598482356</v>
      </c>
      <c r="D211" s="1220">
        <v>1.3721998024322026</v>
      </c>
      <c r="E211" s="1220">
        <v>0.91769979802126855</v>
      </c>
      <c r="F211" s="1220">
        <v>1.2271002969317057</v>
      </c>
      <c r="G211" s="1220">
        <v>7.8493626762934223</v>
      </c>
      <c r="H211" s="1220">
        <v>130.25354533734424</v>
      </c>
      <c r="I211" s="1220">
        <v>4.4249983940949411</v>
      </c>
      <c r="J211" s="1220">
        <v>0.62360013196964692</v>
      </c>
      <c r="K211" s="1220">
        <v>1.3278502013241702</v>
      </c>
      <c r="L211" s="1220">
        <v>3.7563514685834676</v>
      </c>
      <c r="M211" s="1220">
        <v>34.054993590110911</v>
      </c>
      <c r="N211" s="1220">
        <v>10.337406678558153</v>
      </c>
      <c r="O211" s="1220">
        <v>6.8499961580358075</v>
      </c>
      <c r="P211" s="1220">
        <v>6.8481699051061904</v>
      </c>
      <c r="Q211" s="1220"/>
      <c r="R211" s="1280">
        <v>15155</v>
      </c>
      <c r="S211" s="1282">
        <v>16409.834999999999</v>
      </c>
      <c r="T211" s="1222">
        <v>10135.665000000001</v>
      </c>
      <c r="U211" s="1222">
        <v>11044.31</v>
      </c>
      <c r="V211" s="1222">
        <v>16514.114999999998</v>
      </c>
      <c r="W211" s="1222">
        <v>18596.705000000002</v>
      </c>
      <c r="X211" s="1222">
        <v>1930.73</v>
      </c>
      <c r="Y211" s="1222">
        <v>116.35</v>
      </c>
      <c r="Z211" s="1222">
        <v>3424.86</v>
      </c>
      <c r="AA211" s="1222">
        <v>9450.66</v>
      </c>
      <c r="AB211" s="1222">
        <v>11413.185000000001</v>
      </c>
      <c r="AC211" s="1222">
        <v>4034.5</v>
      </c>
      <c r="AD211" s="1222">
        <v>445.01549999999997</v>
      </c>
      <c r="AE211" s="1222">
        <v>1466.0349999999999</v>
      </c>
      <c r="AF211" s="1222">
        <v>2212.41</v>
      </c>
      <c r="AG211" s="1222">
        <v>11.745000000000001</v>
      </c>
      <c r="AH211" s="1222">
        <v>184.3</v>
      </c>
      <c r="AI211" s="1222">
        <v>2213</v>
      </c>
    </row>
    <row r="212" spans="1:35">
      <c r="A212" s="1283">
        <v>45012</v>
      </c>
      <c r="B212" s="1288">
        <v>1.07525</v>
      </c>
      <c r="C212" s="1287">
        <v>0.66409993403693934</v>
      </c>
      <c r="D212" s="1287">
        <v>1.3733501227499614</v>
      </c>
      <c r="E212" s="1287">
        <v>0.91789974125035967</v>
      </c>
      <c r="F212" s="1287">
        <v>1.2235</v>
      </c>
      <c r="G212" s="1287">
        <v>7.849858510960547</v>
      </c>
      <c r="H212" s="1287">
        <v>130.92667760601088</v>
      </c>
      <c r="I212" s="1287">
        <v>4.4299959820287098</v>
      </c>
      <c r="J212" s="1287">
        <v>0.61969986807387878</v>
      </c>
      <c r="K212" s="1287">
        <v>1.3336998955297741</v>
      </c>
      <c r="L212" s="1287">
        <v>3.7566596456449015</v>
      </c>
      <c r="M212" s="1287">
        <v>34.405010059380416</v>
      </c>
      <c r="N212" s="1287">
        <v>10.424259093722064</v>
      </c>
      <c r="O212" s="1287">
        <v>6.8853069547958707</v>
      </c>
      <c r="P212" s="1287">
        <v>6.8862139450374746</v>
      </c>
      <c r="Q212" s="1287"/>
      <c r="R212" s="1284">
        <v>15160</v>
      </c>
      <c r="S212" s="1285">
        <v>16300.79</v>
      </c>
      <c r="T212" s="1286">
        <v>10067.755000000001</v>
      </c>
      <c r="U212" s="1286">
        <v>11038.7</v>
      </c>
      <c r="V212" s="1286">
        <v>16515.965000000004</v>
      </c>
      <c r="W212" s="1286">
        <v>18548.260000000002</v>
      </c>
      <c r="X212" s="1286">
        <v>1931.2449999999999</v>
      </c>
      <c r="Y212" s="1286">
        <v>115.78999999999999</v>
      </c>
      <c r="Z212" s="1286">
        <v>3422.125</v>
      </c>
      <c r="AA212" s="1286">
        <v>9394.6500000000015</v>
      </c>
      <c r="AB212" s="1286">
        <v>11366.875</v>
      </c>
      <c r="AC212" s="1286">
        <v>4035.5</v>
      </c>
      <c r="AD212" s="1286">
        <v>440.63350000000003</v>
      </c>
      <c r="AE212" s="1286">
        <v>1454.3000000000002</v>
      </c>
      <c r="AF212" s="1286">
        <v>2201.79</v>
      </c>
      <c r="AG212" s="1286">
        <v>11.635000000000002</v>
      </c>
      <c r="AH212" s="1286">
        <v>183.94499999999999</v>
      </c>
      <c r="AI212" s="1286">
        <v>2201.5</v>
      </c>
    </row>
    <row r="213" spans="1:35" s="1216" customFormat="1">
      <c r="A213" s="1217">
        <v>45013</v>
      </c>
      <c r="B213" s="1290">
        <v>1.0820998906306964</v>
      </c>
      <c r="C213" s="1220">
        <v>0.66809995691512281</v>
      </c>
      <c r="D213" s="1220">
        <v>1.3644001577247125</v>
      </c>
      <c r="E213" s="1220">
        <v>0.91659983474287932</v>
      </c>
      <c r="F213" s="1220">
        <v>1.2309501872535049</v>
      </c>
      <c r="G213" s="1220">
        <v>7.8498453341380978</v>
      </c>
      <c r="H213" s="1220">
        <v>131.16414536602329</v>
      </c>
      <c r="I213" s="1220">
        <v>4.4029984692455528</v>
      </c>
      <c r="J213" s="1220">
        <v>0.6226500513704305</v>
      </c>
      <c r="K213" s="1220">
        <v>1.3292497952577329</v>
      </c>
      <c r="L213" s="1220">
        <v>3.7561309597908625</v>
      </c>
      <c r="M213" s="1220">
        <v>34.289993817732203</v>
      </c>
      <c r="N213" s="1220">
        <v>10.337396619181725</v>
      </c>
      <c r="O213" s="1220">
        <v>6.8858572119729429</v>
      </c>
      <c r="P213" s="1220">
        <v>6.8872403560830859</v>
      </c>
      <c r="Q213" s="1220"/>
      <c r="R213" s="1289">
        <v>15086.5</v>
      </c>
      <c r="S213" s="1291">
        <v>16325.1</v>
      </c>
      <c r="T213" s="1222">
        <v>10079.290000000001</v>
      </c>
      <c r="U213" s="1222">
        <v>11057.24</v>
      </c>
      <c r="V213" s="1222">
        <v>16459.2</v>
      </c>
      <c r="W213" s="1222">
        <v>18570.730000000003</v>
      </c>
      <c r="X213" s="1222">
        <v>1921.8850000000002</v>
      </c>
      <c r="Y213" s="1222">
        <v>115.02000000000001</v>
      </c>
      <c r="Z213" s="1222">
        <v>3426.415</v>
      </c>
      <c r="AA213" s="1222">
        <v>9393.61</v>
      </c>
      <c r="AB213" s="1222">
        <v>11349.635</v>
      </c>
      <c r="AC213" s="1222">
        <v>4016.5</v>
      </c>
      <c r="AD213" s="1222">
        <v>439.96799999999996</v>
      </c>
      <c r="AE213" s="1222">
        <v>1459.4099999999999</v>
      </c>
      <c r="AF213" s="1222">
        <v>2190.94</v>
      </c>
      <c r="AG213" s="1222">
        <v>11.615</v>
      </c>
      <c r="AH213" s="1222">
        <v>183.46</v>
      </c>
      <c r="AI213" s="1222">
        <v>2190.5</v>
      </c>
    </row>
    <row r="214" spans="1:35" s="1216" customFormat="1">
      <c r="A214" s="1217">
        <v>45014</v>
      </c>
      <c r="B214" s="1293">
        <v>1.083700298705609</v>
      </c>
      <c r="C214" s="1220">
        <v>0.66730003318951214</v>
      </c>
      <c r="D214" s="1220">
        <v>1.3610500277359681</v>
      </c>
      <c r="E214" s="1220">
        <v>0.9199997190840552</v>
      </c>
      <c r="F214" s="1220">
        <v>1.2320999004314637</v>
      </c>
      <c r="G214" s="1220">
        <v>7.8496657444025866</v>
      </c>
      <c r="H214" s="1220">
        <v>131.96391030133148</v>
      </c>
      <c r="I214" s="1220">
        <v>4.4124926409639826</v>
      </c>
      <c r="J214" s="1220">
        <v>0.62365018254231663</v>
      </c>
      <c r="K214" s="1220">
        <v>1.3297496734103025</v>
      </c>
      <c r="L214" s="1220">
        <v>3.7554530724168016</v>
      </c>
      <c r="M214" s="1220">
        <v>34.194998882108401</v>
      </c>
      <c r="N214" s="1220">
        <v>10.382709497784241</v>
      </c>
      <c r="O214" s="1220">
        <v>6.8877072827274679</v>
      </c>
      <c r="P214" s="1220">
        <v>6.8900068602789846</v>
      </c>
      <c r="Q214" s="1220"/>
      <c r="R214" s="1292">
        <v>15065</v>
      </c>
      <c r="S214" s="1294">
        <v>16325.945</v>
      </c>
      <c r="T214" s="1222">
        <v>10052.875</v>
      </c>
      <c r="U214" s="1222">
        <v>11068.66</v>
      </c>
      <c r="V214" s="1222">
        <v>16375.005000000001</v>
      </c>
      <c r="W214" s="1222">
        <v>18561.584999999999</v>
      </c>
      <c r="X214" s="1222">
        <v>1919.19</v>
      </c>
      <c r="Y214" s="1222">
        <v>114.16</v>
      </c>
      <c r="Z214" s="1222">
        <v>3414.17</v>
      </c>
      <c r="AA214" s="1222">
        <v>9395.2900000000009</v>
      </c>
      <c r="AB214" s="1222">
        <v>11329.2</v>
      </c>
      <c r="AC214" s="1222">
        <v>4011.5</v>
      </c>
      <c r="AD214" s="1222">
        <v>440.56150000000002</v>
      </c>
      <c r="AE214" s="1222">
        <v>1450.97</v>
      </c>
      <c r="AF214" s="1222">
        <v>2187.23</v>
      </c>
      <c r="AG214" s="1222">
        <v>11.565000000000001</v>
      </c>
      <c r="AH214" s="1222">
        <v>183</v>
      </c>
      <c r="AI214" s="1222">
        <v>2186.5</v>
      </c>
    </row>
    <row r="215" spans="1:35" s="990" customFormat="1" ht="14.5" customHeight="1">
      <c r="A215" s="989">
        <v>45015</v>
      </c>
      <c r="B215" s="1295">
        <v>1.0855000996876454</v>
      </c>
      <c r="C215" s="669">
        <v>0.67119990695819765</v>
      </c>
      <c r="D215" s="669">
        <v>1.353750095591113</v>
      </c>
      <c r="E215" s="669">
        <v>0.91700012310362511</v>
      </c>
      <c r="F215" s="669">
        <v>1.235100019937529</v>
      </c>
      <c r="G215" s="669">
        <v>7.8499602206774224</v>
      </c>
      <c r="H215" s="669">
        <v>132.42684268426842</v>
      </c>
      <c r="I215" s="669">
        <v>4.4209981989287597</v>
      </c>
      <c r="J215" s="669">
        <v>0.62460025254203499</v>
      </c>
      <c r="K215" s="669">
        <v>1.3278502627549782</v>
      </c>
      <c r="L215" s="669">
        <v>3.7537732318822501</v>
      </c>
      <c r="M215" s="669">
        <v>34.249997439273805</v>
      </c>
      <c r="N215" s="669">
        <v>10.429822068497044</v>
      </c>
      <c r="O215" s="669">
        <v>6.8774024288241176</v>
      </c>
      <c r="P215" s="669">
        <v>6.8786285714285711</v>
      </c>
      <c r="Q215" s="669"/>
      <c r="R215" s="1296">
        <v>15047</v>
      </c>
      <c r="S215" s="1297">
        <v>16333.52</v>
      </c>
      <c r="T215" s="668">
        <v>10099.545</v>
      </c>
      <c r="U215" s="668">
        <v>11115.05</v>
      </c>
      <c r="V215" s="668">
        <v>16408.940000000002</v>
      </c>
      <c r="W215" s="668">
        <v>18584.55</v>
      </c>
      <c r="X215" s="668">
        <v>1916.825</v>
      </c>
      <c r="Y215" s="668">
        <v>113.625</v>
      </c>
      <c r="Z215" s="668">
        <v>3403.5299999999997</v>
      </c>
      <c r="AA215" s="668">
        <v>9398.36</v>
      </c>
      <c r="AB215" s="668">
        <v>11331.85</v>
      </c>
      <c r="AC215" s="668">
        <v>4008.5</v>
      </c>
      <c r="AD215" s="668">
        <v>439.32849999999996</v>
      </c>
      <c r="AE215" s="668">
        <v>1442.69</v>
      </c>
      <c r="AF215" s="668">
        <v>2187.8900000000003</v>
      </c>
      <c r="AG215" s="668">
        <v>11.585000000000001</v>
      </c>
      <c r="AH215" s="668">
        <v>183.095</v>
      </c>
      <c r="AI215" s="668">
        <v>2187.5</v>
      </c>
    </row>
    <row r="216" spans="1:35" s="990" customFormat="1" ht="14.5" customHeight="1">
      <c r="A216" s="989">
        <v>45016</v>
      </c>
      <c r="B216" s="1295">
        <v>1.0885001167094601</v>
      </c>
      <c r="C216" s="669">
        <v>0.66804995164893799</v>
      </c>
      <c r="D216" s="669">
        <v>1.3552996514246487</v>
      </c>
      <c r="E216" s="669">
        <v>0.91474974095461081</v>
      </c>
      <c r="F216" s="669">
        <v>1.2367001233785722</v>
      </c>
      <c r="G216" s="669">
        <v>7.8499687194884133</v>
      </c>
      <c r="H216" s="669">
        <v>133.13651498335184</v>
      </c>
      <c r="I216" s="669">
        <v>4.4149970629500341</v>
      </c>
      <c r="J216" s="669">
        <v>0.6255000166727801</v>
      </c>
      <c r="K216" s="669">
        <v>1.3290999269170103</v>
      </c>
      <c r="L216" s="669">
        <v>3.7537864563775192</v>
      </c>
      <c r="M216" s="669">
        <v>34.120012242199863</v>
      </c>
      <c r="N216" s="669">
        <v>10.369102570751863</v>
      </c>
      <c r="O216" s="669">
        <v>6.8677518641335222</v>
      </c>
      <c r="P216" s="669">
        <v>6.8719065077910173</v>
      </c>
      <c r="Q216" s="669"/>
      <c r="R216" s="1296">
        <v>14994.5</v>
      </c>
      <c r="S216" s="1297">
        <v>16321.514999999999</v>
      </c>
      <c r="T216" s="668">
        <v>10017.075000000001</v>
      </c>
      <c r="U216" s="668">
        <v>11063.605</v>
      </c>
      <c r="V216" s="668">
        <v>16391.915000000001</v>
      </c>
      <c r="W216" s="668">
        <v>18543.7</v>
      </c>
      <c r="X216" s="668">
        <v>1910.135</v>
      </c>
      <c r="Y216" s="668">
        <v>112.625</v>
      </c>
      <c r="Z216" s="668">
        <v>3396.2650000000003</v>
      </c>
      <c r="AA216" s="668">
        <v>9379.0600000000013</v>
      </c>
      <c r="AB216" s="668">
        <v>11281.695</v>
      </c>
      <c r="AC216" s="668">
        <v>3994.5</v>
      </c>
      <c r="AD216" s="668">
        <v>439.46350000000001</v>
      </c>
      <c r="AE216" s="668">
        <v>1446.0749999999998</v>
      </c>
      <c r="AF216" s="668">
        <v>2183.3199999999997</v>
      </c>
      <c r="AG216" s="668">
        <v>11.495000000000001</v>
      </c>
      <c r="AH216" s="668">
        <v>182.30500000000001</v>
      </c>
      <c r="AI216" s="668">
        <v>2182</v>
      </c>
    </row>
    <row r="217" spans="1:35">
      <c r="A217" s="1298">
        <v>45019</v>
      </c>
      <c r="B217" s="1303">
        <v>1.0839001336005345</v>
      </c>
      <c r="C217" s="1302">
        <v>0.66964996659986642</v>
      </c>
      <c r="D217" s="1302">
        <v>1.3497497282693225</v>
      </c>
      <c r="E217" s="1302">
        <v>0.91759989702285716</v>
      </c>
      <c r="F217" s="1302">
        <v>1.2323500334001336</v>
      </c>
      <c r="G217" s="1302">
        <v>7.8498409843501333</v>
      </c>
      <c r="H217" s="1302">
        <v>133.54743744145591</v>
      </c>
      <c r="I217" s="1302">
        <v>4.4207476881143304</v>
      </c>
      <c r="J217" s="1302">
        <v>0.62364996659986649</v>
      </c>
      <c r="K217" s="1302">
        <v>1.3324503735667479</v>
      </c>
      <c r="L217" s="1302">
        <v>3.7532907107935314</v>
      </c>
      <c r="M217" s="1302">
        <v>34.409996138357144</v>
      </c>
      <c r="N217" s="1302">
        <v>10.386240486217591</v>
      </c>
      <c r="O217" s="1302">
        <v>6.8892994958431784</v>
      </c>
      <c r="P217" s="1302">
        <v>6.8938521759152662</v>
      </c>
      <c r="Q217" s="1302"/>
      <c r="R217" s="1299">
        <v>14970</v>
      </c>
      <c r="S217" s="1300">
        <v>16225.985000000001</v>
      </c>
      <c r="T217" s="1301">
        <v>10024.66</v>
      </c>
      <c r="U217" s="1301">
        <v>11090.945</v>
      </c>
      <c r="V217" s="1301">
        <v>16314.300000000001</v>
      </c>
      <c r="W217" s="1301">
        <v>18448.28</v>
      </c>
      <c r="X217" s="1301">
        <v>1907.0450000000001</v>
      </c>
      <c r="Y217" s="1301">
        <v>112.095</v>
      </c>
      <c r="Z217" s="1301">
        <v>3386.3050000000003</v>
      </c>
      <c r="AA217" s="1301">
        <v>9336.0400000000009</v>
      </c>
      <c r="AB217" s="1301">
        <v>11234.94</v>
      </c>
      <c r="AC217" s="1301">
        <v>3988.5</v>
      </c>
      <c r="AD217" s="1301">
        <v>435.048</v>
      </c>
      <c r="AE217" s="1301">
        <v>1441.33</v>
      </c>
      <c r="AF217" s="1301">
        <v>2172.9350000000004</v>
      </c>
      <c r="AG217" s="1301">
        <v>11.375</v>
      </c>
      <c r="AH217" s="1301">
        <v>181.73500000000001</v>
      </c>
      <c r="AI217" s="1301">
        <v>2171.5</v>
      </c>
    </row>
    <row r="218" spans="1:35">
      <c r="A218" s="1304">
        <v>45020</v>
      </c>
      <c r="B218" s="1309">
        <v>1.092700271839447</v>
      </c>
      <c r="C218" s="1308">
        <v>0.67559989260663822</v>
      </c>
      <c r="D218" s="1308">
        <v>1.3424502995587491</v>
      </c>
      <c r="E218" s="1308">
        <v>0.91110008983495194</v>
      </c>
      <c r="F218" s="1308">
        <v>1.2470000335604257</v>
      </c>
      <c r="G218" s="1308">
        <v>7.8496612187694286</v>
      </c>
      <c r="H218" s="1308">
        <v>132.60792167334225</v>
      </c>
      <c r="I218" s="1308">
        <v>4.404003021036405</v>
      </c>
      <c r="J218" s="1308">
        <v>0.62984998489780852</v>
      </c>
      <c r="K218" s="1308">
        <v>1.3259499852929331</v>
      </c>
      <c r="L218" s="1308">
        <v>3.7508811681772407</v>
      </c>
      <c r="M218" s="1308">
        <v>34.200012166329792</v>
      </c>
      <c r="N218" s="1308">
        <v>10.352543055975374</v>
      </c>
      <c r="O218" s="1308">
        <v>6.8806979300407338</v>
      </c>
      <c r="P218" s="1308">
        <v>6.8831138831138832</v>
      </c>
      <c r="Q218" s="1308"/>
      <c r="R218" s="1305">
        <v>14898.5</v>
      </c>
      <c r="S218" s="1306">
        <v>16279.595000000001</v>
      </c>
      <c r="T218" s="1307">
        <v>10065.424999999999</v>
      </c>
      <c r="U218" s="1307">
        <v>11097.99</v>
      </c>
      <c r="V218" s="1307">
        <v>16352.210000000001</v>
      </c>
      <c r="W218" s="1307">
        <v>18578.43</v>
      </c>
      <c r="X218" s="1307">
        <v>1897.98</v>
      </c>
      <c r="Y218" s="1307">
        <v>112.35</v>
      </c>
      <c r="Z218" s="1307">
        <v>3382.9449999999997</v>
      </c>
      <c r="AA218" s="1307">
        <v>9383.82</v>
      </c>
      <c r="AB218" s="1307">
        <v>11236.095000000001</v>
      </c>
      <c r="AC218" s="1307">
        <v>3972</v>
      </c>
      <c r="AD218" s="1307">
        <v>435.62850000000003</v>
      </c>
      <c r="AE218" s="1307">
        <v>1439.115</v>
      </c>
      <c r="AF218" s="1307">
        <v>2165.2600000000002</v>
      </c>
      <c r="AG218" s="1307">
        <v>11.335000000000001</v>
      </c>
      <c r="AH218" s="1307">
        <v>181.36500000000001</v>
      </c>
      <c r="AI218" s="1307">
        <v>2164.5</v>
      </c>
    </row>
    <row r="219" spans="1:35">
      <c r="A219" s="1310">
        <v>45021</v>
      </c>
      <c r="B219" s="1315">
        <v>1.0950003350083752</v>
      </c>
      <c r="C219" s="1314">
        <v>0.67110016750418766</v>
      </c>
      <c r="D219" s="1314">
        <v>1.3462495112234816</v>
      </c>
      <c r="E219" s="1314">
        <v>0.90510003402084549</v>
      </c>
      <c r="F219" s="1314">
        <v>1.2486499162479061</v>
      </c>
      <c r="G219" s="1314">
        <v>7.8498508922795338</v>
      </c>
      <c r="H219" s="1314">
        <v>131.41674738047021</v>
      </c>
      <c r="I219" s="1314">
        <v>4.3974985083861835</v>
      </c>
      <c r="J219" s="1314">
        <v>0.63364991624790612</v>
      </c>
      <c r="K219" s="1314">
        <v>1.3250495173446097</v>
      </c>
      <c r="L219" s="1314">
        <v>3.750471164719186</v>
      </c>
      <c r="M219" s="1314">
        <v>33.8849908221055</v>
      </c>
      <c r="N219" s="1314">
        <v>10.306110470455817</v>
      </c>
      <c r="O219" s="1314">
        <v>6.8797982847752488</v>
      </c>
      <c r="P219" s="1314">
        <v>6.8794653145886153</v>
      </c>
      <c r="Q219" s="1314"/>
      <c r="R219" s="1311">
        <v>14925</v>
      </c>
      <c r="S219" s="1312">
        <v>16342.880000000001</v>
      </c>
      <c r="T219" s="1313">
        <v>10016.17</v>
      </c>
      <c r="U219" s="1313">
        <v>11086.355</v>
      </c>
      <c r="V219" s="1313">
        <v>16489.89</v>
      </c>
      <c r="W219" s="1313">
        <v>18636.099999999999</v>
      </c>
      <c r="X219" s="1313">
        <v>1901.31</v>
      </c>
      <c r="Y219" s="1313">
        <v>113.57</v>
      </c>
      <c r="Z219" s="1313">
        <v>3393.9750000000004</v>
      </c>
      <c r="AA219" s="1313">
        <v>9457.2249999999985</v>
      </c>
      <c r="AB219" s="1313">
        <v>11263.73</v>
      </c>
      <c r="AC219" s="1313">
        <v>3979.5</v>
      </c>
      <c r="AD219" s="1313">
        <v>440.46050000000002</v>
      </c>
      <c r="AE219" s="1313">
        <v>1448.17</v>
      </c>
      <c r="AF219" s="1313">
        <v>2169.395</v>
      </c>
      <c r="AG219" s="1313">
        <v>11.375</v>
      </c>
      <c r="AH219" s="1313">
        <v>181.69499999999999</v>
      </c>
      <c r="AI219" s="1313">
        <v>2169.5</v>
      </c>
    </row>
    <row r="220" spans="1:35" s="990" customFormat="1" ht="14.5" customHeight="1">
      <c r="A220" s="989">
        <v>45022</v>
      </c>
      <c r="B220" s="1295">
        <v>1.0907000838222967</v>
      </c>
      <c r="C220" s="669">
        <v>0.67080000000000006</v>
      </c>
      <c r="D220" s="669">
        <v>1.3466999417069696</v>
      </c>
      <c r="E220" s="669">
        <v>0.90469998085949088</v>
      </c>
      <c r="F220" s="669">
        <v>1.2469502095557419</v>
      </c>
      <c r="G220" s="669">
        <v>7.8498616897797824</v>
      </c>
      <c r="H220" s="669">
        <v>131.36451726568004</v>
      </c>
      <c r="I220" s="669">
        <v>4.4019996073991967</v>
      </c>
      <c r="J220" s="669">
        <v>0.62919999999999998</v>
      </c>
      <c r="K220" s="669">
        <v>1.328250428090771</v>
      </c>
      <c r="L220" s="669">
        <v>3.7515723270440251</v>
      </c>
      <c r="M220" s="669">
        <v>34.089999885699918</v>
      </c>
      <c r="N220" s="669">
        <v>10.410085828670754</v>
      </c>
      <c r="O220" s="669">
        <v>6.8774601476261523</v>
      </c>
      <c r="P220" s="669">
        <v>6.8800461361014991</v>
      </c>
      <c r="Q220" s="669"/>
      <c r="R220" s="1296">
        <v>14912.5</v>
      </c>
      <c r="S220" s="1297">
        <v>16265.065000000001</v>
      </c>
      <c r="T220" s="668">
        <v>10003.305</v>
      </c>
      <c r="U220" s="668">
        <v>11073.365000000002</v>
      </c>
      <c r="V220" s="668">
        <v>16483.364999999998</v>
      </c>
      <c r="W220" s="668">
        <v>18595.145</v>
      </c>
      <c r="X220" s="668">
        <v>1899.7150000000001</v>
      </c>
      <c r="Y220" s="668">
        <v>113.52000000000001</v>
      </c>
      <c r="Z220" s="668">
        <v>3387.665</v>
      </c>
      <c r="AA220" s="668">
        <v>9382.9449999999997</v>
      </c>
      <c r="AB220" s="668">
        <v>11227.174999999999</v>
      </c>
      <c r="AC220" s="668">
        <v>3975</v>
      </c>
      <c r="AD220" s="668">
        <v>437.44499999999999</v>
      </c>
      <c r="AE220" s="668">
        <v>1432.5050000000001</v>
      </c>
      <c r="AF220" s="668">
        <v>2168.3150000000001</v>
      </c>
      <c r="AG220" s="668">
        <v>11.315000000000001</v>
      </c>
      <c r="AH220" s="668">
        <v>182.065</v>
      </c>
      <c r="AI220" s="668">
        <v>2167.5</v>
      </c>
    </row>
    <row r="221" spans="1:35">
      <c r="A221" s="1316">
        <v>45026</v>
      </c>
      <c r="B221" s="1321">
        <v>1.0917001073681385</v>
      </c>
      <c r="C221" s="1320">
        <v>0.66705006039457793</v>
      </c>
      <c r="D221" s="1320">
        <v>1.3497503749809792</v>
      </c>
      <c r="E221" s="1320">
        <v>0.90549977790889224</v>
      </c>
      <c r="F221" s="1320">
        <v>1.2426999731579653</v>
      </c>
      <c r="G221" s="1320">
        <v>7.849892276005205</v>
      </c>
      <c r="H221" s="1320">
        <v>132.07480280067358</v>
      </c>
      <c r="I221" s="1320">
        <v>4.4079954446966951</v>
      </c>
      <c r="J221" s="1320">
        <v>0.62450006710508654</v>
      </c>
      <c r="K221" s="1320">
        <v>1.3291496011302499</v>
      </c>
      <c r="L221" s="1320">
        <v>3.7517623363544814</v>
      </c>
      <c r="M221" s="1320">
        <v>34.329998318286215</v>
      </c>
      <c r="N221" s="1320">
        <v>10.455856247763519</v>
      </c>
      <c r="O221" s="1320">
        <v>6.872950498337338</v>
      </c>
      <c r="P221" s="1320">
        <v>6.8752018454440602</v>
      </c>
      <c r="Q221" s="1320"/>
      <c r="R221" s="1317">
        <v>14902</v>
      </c>
      <c r="S221" s="1318">
        <v>16268.514999999999</v>
      </c>
      <c r="T221" s="1319">
        <v>9940.380000000001</v>
      </c>
      <c r="U221" s="1319">
        <v>11040.560000000001</v>
      </c>
      <c r="V221" s="1319">
        <v>16457.21</v>
      </c>
      <c r="W221" s="1319">
        <v>18518.715</v>
      </c>
      <c r="X221" s="1319">
        <v>1898.37</v>
      </c>
      <c r="Y221" s="1319">
        <v>112.83</v>
      </c>
      <c r="Z221" s="1319">
        <v>3380.6750000000002</v>
      </c>
      <c r="AA221" s="1319">
        <v>9306.2999999999993</v>
      </c>
      <c r="AB221" s="1319">
        <v>11211.68</v>
      </c>
      <c r="AC221" s="1319">
        <v>3972</v>
      </c>
      <c r="AD221" s="1319">
        <v>434.08100000000002</v>
      </c>
      <c r="AE221" s="1319">
        <v>1425.23</v>
      </c>
      <c r="AF221" s="1319">
        <v>2168.21</v>
      </c>
      <c r="AG221" s="1319">
        <v>11.31</v>
      </c>
      <c r="AH221" s="1319">
        <v>181.88</v>
      </c>
      <c r="AI221" s="1319">
        <v>2167.5</v>
      </c>
    </row>
    <row r="222" spans="1:35">
      <c r="A222" s="1324">
        <v>45027</v>
      </c>
      <c r="B222" s="1323">
        <v>1.0895501578982734</v>
      </c>
      <c r="C222" s="1323">
        <v>0.66650003359537735</v>
      </c>
      <c r="D222" s="1323">
        <v>1.3495996224059108</v>
      </c>
      <c r="E222" s="1323">
        <v>0.9048997925169292</v>
      </c>
      <c r="F222" s="1323">
        <v>1.2424497749109724</v>
      </c>
      <c r="G222" s="1323">
        <v>7.8498077501226282</v>
      </c>
      <c r="H222" s="1323">
        <v>133.1454643048846</v>
      </c>
      <c r="I222" s="1323">
        <v>4.4144996574113344</v>
      </c>
      <c r="J222" s="1323">
        <v>0.62200026876301817</v>
      </c>
      <c r="K222" s="1323">
        <v>1.3312497987427232</v>
      </c>
      <c r="L222" s="1323">
        <v>3.7517015376859089</v>
      </c>
      <c r="M222" s="1323">
        <v>34.235003065117354</v>
      </c>
      <c r="N222" s="1323">
        <v>10.470589062972683</v>
      </c>
      <c r="O222" s="1323">
        <v>6.8857988206745162</v>
      </c>
      <c r="P222" s="1323">
        <v>6.8902777777777775</v>
      </c>
      <c r="Q222" s="1323"/>
      <c r="R222" s="1325">
        <v>14883</v>
      </c>
      <c r="S222" s="1326">
        <v>16215.775000000001</v>
      </c>
      <c r="T222" s="1322">
        <v>9919.52</v>
      </c>
      <c r="U222" s="1322">
        <v>11027.715</v>
      </c>
      <c r="V222" s="1326">
        <v>16447.125</v>
      </c>
      <c r="W222" s="1326">
        <v>18491.38</v>
      </c>
      <c r="X222" s="1326">
        <v>1895.97</v>
      </c>
      <c r="Y222" s="1326">
        <v>111.78</v>
      </c>
      <c r="Z222" s="1326">
        <v>3371.3900000000003</v>
      </c>
      <c r="AA222" s="1326">
        <v>9257.23</v>
      </c>
      <c r="AB222" s="1326">
        <v>11179.720000000001</v>
      </c>
      <c r="AC222" s="1326">
        <v>3967</v>
      </c>
      <c r="AD222" s="1322">
        <v>434.73050000000001</v>
      </c>
      <c r="AE222" s="1322">
        <v>1421.4099999999999</v>
      </c>
      <c r="AF222" s="1322">
        <v>2161.4049999999997</v>
      </c>
      <c r="AG222" s="1322">
        <v>11.25</v>
      </c>
      <c r="AH222" s="1322">
        <v>181.315</v>
      </c>
      <c r="AI222" s="1322">
        <v>2160</v>
      </c>
    </row>
    <row r="223" spans="1:35">
      <c r="A223" s="1329">
        <v>45028</v>
      </c>
      <c r="B223" s="1334">
        <v>1.0927002688172043</v>
      </c>
      <c r="C223" s="1333">
        <v>0.6662002688172044</v>
      </c>
      <c r="D223" s="1333">
        <v>1.3466495982450115</v>
      </c>
      <c r="E223" s="1333">
        <v>0.90279977138779999</v>
      </c>
      <c r="F223" s="1333">
        <v>1.2424002016129032</v>
      </c>
      <c r="G223" s="1333">
        <v>7.8499643902825031</v>
      </c>
      <c r="H223" s="1333">
        <v>133.84905999820094</v>
      </c>
      <c r="I223" s="1333">
        <v>4.4124973311508073</v>
      </c>
      <c r="J223" s="1333">
        <v>0.61895026881720427</v>
      </c>
      <c r="K223" s="1333">
        <v>1.3318499198473384</v>
      </c>
      <c r="L223" s="1333">
        <v>3.7514181268120508</v>
      </c>
      <c r="M223" s="1333">
        <v>34.199977935498104</v>
      </c>
      <c r="N223" s="1333">
        <v>10.380152144568731</v>
      </c>
      <c r="O223" s="1333">
        <v>6.8847612195466139</v>
      </c>
      <c r="P223" s="1333">
        <v>6.8888888888888893</v>
      </c>
      <c r="Q223" s="1333"/>
      <c r="R223" s="1330">
        <v>14880</v>
      </c>
      <c r="S223" s="1331">
        <v>16259.380000000001</v>
      </c>
      <c r="T223" s="1332">
        <v>9913.0600000000013</v>
      </c>
      <c r="U223" s="1332">
        <v>11049.645</v>
      </c>
      <c r="V223" s="1332">
        <v>16482.059999999998</v>
      </c>
      <c r="W223" s="1332">
        <v>18486.915000000001</v>
      </c>
      <c r="X223" s="1332">
        <v>1895.5500000000002</v>
      </c>
      <c r="Y223" s="1332">
        <v>111.17</v>
      </c>
      <c r="Z223" s="1332">
        <v>3372.2400000000002</v>
      </c>
      <c r="AA223" s="1332">
        <v>9209.98</v>
      </c>
      <c r="AB223" s="1332">
        <v>11172.43</v>
      </c>
      <c r="AC223" s="1332">
        <v>3966.5</v>
      </c>
      <c r="AD223" s="1332">
        <v>435.08800000000002</v>
      </c>
      <c r="AE223" s="1332">
        <v>1433.5050000000001</v>
      </c>
      <c r="AF223" s="1332">
        <v>2161.2950000000001</v>
      </c>
      <c r="AG223" s="1332">
        <v>11.215</v>
      </c>
      <c r="AH223" s="1332">
        <v>181.36500000000001</v>
      </c>
      <c r="AI223" s="1332">
        <v>2160</v>
      </c>
    </row>
    <row r="224" spans="1:35">
      <c r="A224" s="1335">
        <v>45029</v>
      </c>
      <c r="B224" s="1340">
        <v>1.0999000067792013</v>
      </c>
      <c r="C224" s="1339">
        <v>0.67240017625923676</v>
      </c>
      <c r="D224" s="1339">
        <v>1.3407001706891006</v>
      </c>
      <c r="E224" s="1339">
        <v>0.89354997573949135</v>
      </c>
      <c r="F224" s="1339">
        <v>1.2496000271168055</v>
      </c>
      <c r="G224" s="1339">
        <v>7.8496377438211571</v>
      </c>
      <c r="H224" s="1339">
        <v>133.02371719722248</v>
      </c>
      <c r="I224" s="1339">
        <v>4.4019958340545156</v>
      </c>
      <c r="J224" s="1339">
        <v>0.6231502948952613</v>
      </c>
      <c r="K224" s="1339">
        <v>1.3258497559028897</v>
      </c>
      <c r="L224" s="1339">
        <v>3.7510489510489511</v>
      </c>
      <c r="M224" s="1339">
        <v>34.089963670650882</v>
      </c>
      <c r="N224" s="1339">
        <v>10.346532743679397</v>
      </c>
      <c r="O224" s="1339">
        <v>6.8736544859786957</v>
      </c>
      <c r="P224" s="1339">
        <v>6.8785264630449987</v>
      </c>
      <c r="Q224" s="1339"/>
      <c r="R224" s="1336">
        <v>14751</v>
      </c>
      <c r="S224" s="1337">
        <v>16224.625</v>
      </c>
      <c r="T224" s="1338">
        <v>9918.5750000000007</v>
      </c>
      <c r="U224" s="1338">
        <v>11002.46</v>
      </c>
      <c r="V224" s="1338">
        <v>16508.309999999998</v>
      </c>
      <c r="W224" s="1338">
        <v>18432.849999999999</v>
      </c>
      <c r="X224" s="1338">
        <v>1879.1950000000002</v>
      </c>
      <c r="Y224" s="1338">
        <v>110.89</v>
      </c>
      <c r="Z224" s="1338">
        <v>3350.98</v>
      </c>
      <c r="AA224" s="1338">
        <v>9192.09</v>
      </c>
      <c r="AB224" s="1338">
        <v>11125.695</v>
      </c>
      <c r="AC224" s="1338">
        <v>3932.5</v>
      </c>
      <c r="AD224" s="1338">
        <v>432.70799999999997</v>
      </c>
      <c r="AE224" s="1338">
        <v>1425.6950000000002</v>
      </c>
      <c r="AF224" s="1338">
        <v>2146.02</v>
      </c>
      <c r="AG224" s="1338">
        <v>11.26</v>
      </c>
      <c r="AH224" s="1338">
        <v>180.01</v>
      </c>
      <c r="AI224" s="1338">
        <v>2144.5</v>
      </c>
    </row>
    <row r="225" spans="1:35">
      <c r="A225" s="1341">
        <v>45030</v>
      </c>
      <c r="B225" s="1346">
        <v>1.1064499999999999</v>
      </c>
      <c r="C225" s="1345">
        <v>0.67770000000000008</v>
      </c>
      <c r="D225" s="1345">
        <v>1.3323001209946028</v>
      </c>
      <c r="E225" s="1345">
        <v>0.88749974718332025</v>
      </c>
      <c r="F225" s="1345">
        <v>1.2526000000000002</v>
      </c>
      <c r="G225" s="1345">
        <v>7.8497546284182471</v>
      </c>
      <c r="H225" s="1345">
        <v>132.229918143384</v>
      </c>
      <c r="I225" s="1345">
        <v>4.3974979134321126</v>
      </c>
      <c r="J225" s="1345">
        <v>0.63044999999999995</v>
      </c>
      <c r="K225" s="1345">
        <v>1.3247497957677397</v>
      </c>
      <c r="L225" s="1345">
        <v>3.7514354982774019</v>
      </c>
      <c r="M225" s="1345">
        <v>34.039991200546488</v>
      </c>
      <c r="N225" s="1345">
        <v>10.247973062470807</v>
      </c>
      <c r="O225" s="1345">
        <v>6.8428904928044911</v>
      </c>
      <c r="P225" s="1345">
        <v>6.8435754189944138</v>
      </c>
      <c r="Q225" s="1345"/>
      <c r="R225" s="1342">
        <v>14700</v>
      </c>
      <c r="S225" s="1343">
        <v>16264.815000000001</v>
      </c>
      <c r="T225" s="1344">
        <v>9962.19</v>
      </c>
      <c r="U225" s="1344">
        <v>11033.55</v>
      </c>
      <c r="V225" s="1344">
        <v>16563.385000000002</v>
      </c>
      <c r="W225" s="1344">
        <v>18413.22</v>
      </c>
      <c r="X225" s="1344">
        <v>1872.67</v>
      </c>
      <c r="Y225" s="1344">
        <v>111.17</v>
      </c>
      <c r="Z225" s="1344">
        <v>3342.81</v>
      </c>
      <c r="AA225" s="1344">
        <v>9267.6149999999998</v>
      </c>
      <c r="AB225" s="1344">
        <v>11096.435000000001</v>
      </c>
      <c r="AC225" s="1344">
        <v>3918.5</v>
      </c>
      <c r="AD225" s="1344">
        <v>431.84500000000003</v>
      </c>
      <c r="AE225" s="1344">
        <v>1434.43</v>
      </c>
      <c r="AF225" s="1344">
        <v>2148.2150000000001</v>
      </c>
      <c r="AG225" s="1344">
        <v>11.31</v>
      </c>
      <c r="AH225" s="1344">
        <v>180.11</v>
      </c>
      <c r="AI225" s="1344">
        <v>2148</v>
      </c>
    </row>
    <row r="226" spans="1:35" s="990" customFormat="1" ht="14.5" customHeight="1">
      <c r="A226" s="989">
        <v>45033</v>
      </c>
      <c r="B226" s="1295">
        <v>1.0992001352265046</v>
      </c>
      <c r="C226" s="669">
        <v>0.67049999999999998</v>
      </c>
      <c r="D226" s="669">
        <v>1.3355499187743642</v>
      </c>
      <c r="E226" s="669">
        <v>0.8926997800542259</v>
      </c>
      <c r="F226" s="669">
        <v>1.2413999323867477</v>
      </c>
      <c r="G226" s="669">
        <v>7.8498601461698092</v>
      </c>
      <c r="H226" s="669">
        <v>134.0523882896764</v>
      </c>
      <c r="I226" s="669">
        <v>4.4179981897857319</v>
      </c>
      <c r="J226" s="669">
        <v>0.61980020283975668</v>
      </c>
      <c r="K226" s="669">
        <v>1.3307504118668025</v>
      </c>
      <c r="L226" s="669">
        <v>3.7504754659566375</v>
      </c>
      <c r="M226" s="669">
        <v>34.320004455335265</v>
      </c>
      <c r="N226" s="669">
        <v>10.324102836161584</v>
      </c>
      <c r="O226" s="669">
        <v>6.8683041000849832</v>
      </c>
      <c r="P226" s="669">
        <v>6.8710801393728227</v>
      </c>
      <c r="Q226" s="669"/>
      <c r="R226" s="1296">
        <v>14790</v>
      </c>
      <c r="S226" s="1297">
        <v>16257.170000000002</v>
      </c>
      <c r="T226" s="668">
        <v>9916.6949999999997</v>
      </c>
      <c r="U226" s="668">
        <v>11074.09</v>
      </c>
      <c r="V226" s="668">
        <v>16567.72</v>
      </c>
      <c r="W226" s="668">
        <v>18360.305</v>
      </c>
      <c r="X226" s="668">
        <v>1884.1100000000001</v>
      </c>
      <c r="Y226" s="668">
        <v>110.33000000000001</v>
      </c>
      <c r="Z226" s="668">
        <v>3347.67</v>
      </c>
      <c r="AA226" s="668">
        <v>9166.8450000000012</v>
      </c>
      <c r="AB226" s="668">
        <v>11114.03</v>
      </c>
      <c r="AC226" s="668">
        <v>3943.5</v>
      </c>
      <c r="AD226" s="668">
        <v>430.94400000000002</v>
      </c>
      <c r="AE226" s="668">
        <v>1432.57</v>
      </c>
      <c r="AF226" s="668">
        <v>2153.37</v>
      </c>
      <c r="AG226" s="668">
        <v>11.280000000000001</v>
      </c>
      <c r="AH226" s="668">
        <v>180.57</v>
      </c>
      <c r="AI226" s="668">
        <v>2152.5</v>
      </c>
    </row>
    <row r="227" spans="1:35" s="990" customFormat="1" ht="14.5" customHeight="1">
      <c r="A227" s="989">
        <v>45034</v>
      </c>
      <c r="B227" s="1295">
        <v>1.0971003704951161</v>
      </c>
      <c r="C227" s="669">
        <v>0.67300033681374205</v>
      </c>
      <c r="D227" s="669">
        <v>1.3374000384688323</v>
      </c>
      <c r="E227" s="669">
        <v>0.89629999272454353</v>
      </c>
      <c r="F227" s="669">
        <v>1.242900303132368</v>
      </c>
      <c r="G227" s="669">
        <v>7.8498455941452692</v>
      </c>
      <c r="H227" s="669">
        <v>134.23456008680711</v>
      </c>
      <c r="I227" s="669">
        <v>4.4374961700626692</v>
      </c>
      <c r="J227" s="669">
        <v>0.62070023576961941</v>
      </c>
      <c r="K227" s="669">
        <v>1.3331501318332362</v>
      </c>
      <c r="L227" s="669">
        <v>3.7511054958938725</v>
      </c>
      <c r="M227" s="669">
        <v>34.330009793707745</v>
      </c>
      <c r="N227" s="669">
        <v>10.304269209011117</v>
      </c>
      <c r="O227" s="669">
        <v>6.8773018924741143</v>
      </c>
      <c r="P227" s="669">
        <v>6.8822438572090867</v>
      </c>
      <c r="Q227" s="669"/>
      <c r="R227" s="1296">
        <v>14845</v>
      </c>
      <c r="S227" s="1297">
        <v>16286.455</v>
      </c>
      <c r="T227" s="668">
        <v>9990.69</v>
      </c>
      <c r="U227" s="668">
        <v>11099.895</v>
      </c>
      <c r="V227" s="668">
        <v>16562.535000000003</v>
      </c>
      <c r="W227" s="668">
        <v>18450.855000000003</v>
      </c>
      <c r="X227" s="668">
        <v>1891.12</v>
      </c>
      <c r="Y227" s="668">
        <v>110.59</v>
      </c>
      <c r="Z227" s="668">
        <v>3345.355</v>
      </c>
      <c r="AA227" s="668">
        <v>9214.2950000000001</v>
      </c>
      <c r="AB227" s="668">
        <v>11135.28</v>
      </c>
      <c r="AC227" s="668">
        <v>3957.5</v>
      </c>
      <c r="AD227" s="668">
        <v>432.4205</v>
      </c>
      <c r="AE227" s="668">
        <v>1440.665</v>
      </c>
      <c r="AF227" s="668">
        <v>2158.5500000000002</v>
      </c>
      <c r="AG227" s="668">
        <v>11.265000000000001</v>
      </c>
      <c r="AH227" s="668">
        <v>181.01499999999999</v>
      </c>
      <c r="AI227" s="668">
        <v>2157</v>
      </c>
    </row>
    <row r="228" spans="1:35">
      <c r="A228" s="1347">
        <v>45042</v>
      </c>
      <c r="B228" s="1352">
        <v>1.1019501179642737</v>
      </c>
      <c r="C228" s="1351">
        <v>0.66099999999999992</v>
      </c>
      <c r="D228" s="1351">
        <v>1.3627000475360482</v>
      </c>
      <c r="E228" s="1351">
        <v>0.89100008828918964</v>
      </c>
      <c r="F228" s="1351">
        <v>1.246</v>
      </c>
      <c r="G228" s="1351">
        <v>7.8499539638695746</v>
      </c>
      <c r="H228" s="1351">
        <v>133.45027661584132</v>
      </c>
      <c r="I228" s="1351">
        <v>4.4584963131376121</v>
      </c>
      <c r="J228" s="1351">
        <v>0.61359993259184364</v>
      </c>
      <c r="K228" s="1351">
        <v>1.3357500189084937</v>
      </c>
      <c r="L228" s="1351">
        <v>3.7514224301428754</v>
      </c>
      <c r="M228" s="1351">
        <v>34.229981171779819</v>
      </c>
      <c r="N228" s="1351">
        <v>10.332182991422929</v>
      </c>
      <c r="O228" s="1351">
        <v>6.9200036384245625</v>
      </c>
      <c r="P228" s="1351">
        <v>6.9306236860546599</v>
      </c>
      <c r="Q228" s="1351"/>
      <c r="R228" s="1348">
        <v>14835</v>
      </c>
      <c r="S228" s="1349">
        <v>16347.43</v>
      </c>
      <c r="T228" s="1350">
        <v>9805.9349999999995</v>
      </c>
      <c r="U228" s="1350">
        <v>10886.475</v>
      </c>
      <c r="V228" s="1350">
        <v>16649.830000000002</v>
      </c>
      <c r="W228" s="1350">
        <v>18484.41</v>
      </c>
      <c r="X228" s="1350">
        <v>1889.8200000000002</v>
      </c>
      <c r="Y228" s="1350">
        <v>111.16500000000001</v>
      </c>
      <c r="Z228" s="1350">
        <v>3327.355</v>
      </c>
      <c r="AA228" s="1350">
        <v>9102.755000000001</v>
      </c>
      <c r="AB228" s="1350">
        <v>11106.12</v>
      </c>
      <c r="AC228" s="1350">
        <v>3954.5</v>
      </c>
      <c r="AD228" s="1350">
        <v>433.39200000000005</v>
      </c>
      <c r="AE228" s="1350">
        <v>1435.8050000000001</v>
      </c>
      <c r="AF228" s="1350">
        <v>2143.7849999999999</v>
      </c>
      <c r="AG228" s="1350">
        <v>11.085000000000001</v>
      </c>
      <c r="AH228" s="1350">
        <v>181.13499999999999</v>
      </c>
      <c r="AI228" s="1350">
        <v>2140.5</v>
      </c>
    </row>
    <row r="229" spans="1:35">
      <c r="A229" s="1353">
        <v>45043</v>
      </c>
      <c r="B229" s="1358">
        <v>1.1049501785410645</v>
      </c>
      <c r="C229" s="1357">
        <v>0.66204999149804455</v>
      </c>
      <c r="D229" s="1357">
        <v>1.3633996849876733</v>
      </c>
      <c r="E229" s="1357">
        <v>0.89199990899507819</v>
      </c>
      <c r="F229" s="1357">
        <v>1.2462499574902226</v>
      </c>
      <c r="G229" s="1357">
        <v>7.8498320848705534</v>
      </c>
      <c r="H229" s="1357">
        <v>133.7867964875563</v>
      </c>
      <c r="I229" s="1357">
        <v>4.4602498528671193</v>
      </c>
      <c r="J229" s="1357">
        <v>0.61449991498044554</v>
      </c>
      <c r="K229" s="1357">
        <v>1.3354497066143478</v>
      </c>
      <c r="L229" s="1357">
        <v>3.7511162138027809</v>
      </c>
      <c r="M229" s="1357">
        <v>34.129989936847039</v>
      </c>
      <c r="N229" s="1357">
        <v>10.316819872289665</v>
      </c>
      <c r="O229" s="1357">
        <v>6.9240043138159848</v>
      </c>
      <c r="P229" s="1357">
        <v>6.9367775418730835</v>
      </c>
      <c r="Q229" s="1357"/>
      <c r="R229" s="1354">
        <v>14702.5</v>
      </c>
      <c r="S229" s="1355">
        <v>16245.53</v>
      </c>
      <c r="T229" s="1356">
        <v>9733.7900000000009</v>
      </c>
      <c r="U229" s="1356">
        <v>10783.705000000002</v>
      </c>
      <c r="V229" s="1356">
        <v>16482.625</v>
      </c>
      <c r="W229" s="1356">
        <v>18322.989999999998</v>
      </c>
      <c r="X229" s="1356">
        <v>1872.97</v>
      </c>
      <c r="Y229" s="1356">
        <v>109.89500000000001</v>
      </c>
      <c r="Z229" s="1356">
        <v>3296.34</v>
      </c>
      <c r="AA229" s="1356">
        <v>9034.6850000000013</v>
      </c>
      <c r="AB229" s="1356">
        <v>11009.4</v>
      </c>
      <c r="AC229" s="1356">
        <v>3919.5</v>
      </c>
      <c r="AD229" s="1356">
        <v>430.77949999999998</v>
      </c>
      <c r="AE229" s="1356">
        <v>1425.1</v>
      </c>
      <c r="AF229" s="1356">
        <v>2123.41</v>
      </c>
      <c r="AG229" s="1356">
        <v>10.97</v>
      </c>
      <c r="AH229" s="1356">
        <v>179.99</v>
      </c>
      <c r="AI229" s="1356">
        <v>2119.5</v>
      </c>
    </row>
    <row r="230" spans="1:35">
      <c r="A230" s="1359">
        <v>45044</v>
      </c>
      <c r="B230" s="1364">
        <v>1.1009001363326518</v>
      </c>
      <c r="C230" s="1363">
        <v>0.65955010224948873</v>
      </c>
      <c r="D230" s="1363">
        <v>1.3643998593747384</v>
      </c>
      <c r="E230" s="1363">
        <v>0.89469986387388567</v>
      </c>
      <c r="F230" s="1363">
        <v>1.2492004089979551</v>
      </c>
      <c r="G230" s="1363">
        <v>7.8499571917808213</v>
      </c>
      <c r="H230" s="1363">
        <v>135.73279052553664</v>
      </c>
      <c r="I230" s="1363">
        <v>4.4619977401061206</v>
      </c>
      <c r="J230" s="1363">
        <v>0.61375017041581459</v>
      </c>
      <c r="K230" s="1363">
        <v>1.3368496641017134</v>
      </c>
      <c r="L230" s="1363">
        <v>3.7509588340577857</v>
      </c>
      <c r="M230" s="1363">
        <v>34.08999805963542</v>
      </c>
      <c r="N230" s="1363">
        <v>10.281100855707168</v>
      </c>
      <c r="O230" s="1363">
        <v>6.9236487203992789</v>
      </c>
      <c r="P230" s="1363">
        <v>6.9345308437721576</v>
      </c>
      <c r="Q230" s="1363"/>
      <c r="R230" s="1360">
        <v>14670</v>
      </c>
      <c r="S230" s="1361">
        <v>16150.205000000002</v>
      </c>
      <c r="T230" s="1362">
        <v>9675.6</v>
      </c>
      <c r="U230" s="1362">
        <v>10751.98</v>
      </c>
      <c r="V230" s="1362">
        <v>16396.560000000001</v>
      </c>
      <c r="W230" s="1362">
        <v>18325.77</v>
      </c>
      <c r="X230" s="1362">
        <v>1868.8000000000002</v>
      </c>
      <c r="Y230" s="1362">
        <v>108.08</v>
      </c>
      <c r="Z230" s="1362">
        <v>3287.7650000000003</v>
      </c>
      <c r="AA230" s="1362">
        <v>9003.7150000000001</v>
      </c>
      <c r="AB230" s="1362">
        <v>10973.560000000001</v>
      </c>
      <c r="AC230" s="1362">
        <v>3911</v>
      </c>
      <c r="AD230" s="1362">
        <v>430.33150000000001</v>
      </c>
      <c r="AE230" s="1362">
        <v>1426.8899999999999</v>
      </c>
      <c r="AF230" s="1362">
        <v>2118.8249999999998</v>
      </c>
      <c r="AG230" s="1362">
        <v>10.955000000000002</v>
      </c>
      <c r="AH230" s="1362">
        <v>179.315</v>
      </c>
      <c r="AI230" s="1362">
        <v>2115.5</v>
      </c>
    </row>
    <row r="231" spans="1:35">
      <c r="A231" s="1371">
        <v>45047</v>
      </c>
      <c r="B231" s="1372">
        <v>1.1009001363326518</v>
      </c>
      <c r="C231" s="1373">
        <v>0.65955010224948873</v>
      </c>
      <c r="D231" s="1373">
        <v>1.3643998593747384</v>
      </c>
      <c r="E231" s="1373">
        <v>0.89469986387388567</v>
      </c>
      <c r="F231" s="1373">
        <v>1.2492004089979551</v>
      </c>
      <c r="G231" s="1373">
        <v>7.8499571917808213</v>
      </c>
      <c r="H231" s="1373">
        <v>135.73279052553664</v>
      </c>
      <c r="I231" s="1373">
        <v>4.4619977401061206</v>
      </c>
      <c r="J231" s="1373">
        <v>0.61375017041581459</v>
      </c>
      <c r="K231" s="1373">
        <v>1.3368496641017134</v>
      </c>
      <c r="L231" s="1373">
        <v>3.7509588340577857</v>
      </c>
      <c r="M231" s="1373">
        <v>34.08999805963542</v>
      </c>
      <c r="N231" s="1373">
        <v>10.281100855707168</v>
      </c>
      <c r="O231" s="1373">
        <v>6.9236487203992789</v>
      </c>
      <c r="P231" s="1373">
        <v>6.9345308437721576</v>
      </c>
      <c r="Q231" s="1373"/>
      <c r="R231" s="1374">
        <v>14670</v>
      </c>
      <c r="S231" s="1375">
        <v>16150.205000000002</v>
      </c>
      <c r="T231" s="1376">
        <v>9675.6</v>
      </c>
      <c r="U231" s="1376">
        <v>10751.98</v>
      </c>
      <c r="V231" s="1376">
        <v>16396.560000000001</v>
      </c>
      <c r="W231" s="1376">
        <v>18325.77</v>
      </c>
      <c r="X231" s="1376">
        <v>1868.8000000000002</v>
      </c>
      <c r="Y231" s="1376">
        <v>108.08</v>
      </c>
      <c r="Z231" s="1376">
        <v>3287.7650000000003</v>
      </c>
      <c r="AA231" s="1376">
        <v>9003.7150000000001</v>
      </c>
      <c r="AB231" s="1376">
        <v>10973.560000000001</v>
      </c>
      <c r="AC231" s="1376">
        <v>3911</v>
      </c>
      <c r="AD231" s="1376">
        <v>430.33150000000001</v>
      </c>
      <c r="AE231" s="1376">
        <v>1426.8899999999999</v>
      </c>
      <c r="AF231" s="1376">
        <v>2118.8249999999998</v>
      </c>
      <c r="AG231" s="1376">
        <v>10.955000000000002</v>
      </c>
      <c r="AH231" s="1376">
        <v>179.315</v>
      </c>
      <c r="AI231" s="1376">
        <v>2115.5</v>
      </c>
    </row>
    <row r="232" spans="1:35">
      <c r="A232" s="1365">
        <v>45048</v>
      </c>
      <c r="B232" s="1370">
        <v>1.0986000884083105</v>
      </c>
      <c r="C232" s="1369">
        <v>0.6701499540956849</v>
      </c>
      <c r="D232" s="1369">
        <v>1.3551997478440947</v>
      </c>
      <c r="E232" s="1369">
        <v>0.89749994583078629</v>
      </c>
      <c r="F232" s="1369">
        <v>1.2490999353939269</v>
      </c>
      <c r="G232" s="1369">
        <v>7.8499568918345393</v>
      </c>
      <c r="H232" s="1369">
        <v>137.61171681250292</v>
      </c>
      <c r="I232" s="1369">
        <v>4.4604979971819496</v>
      </c>
      <c r="J232" s="1369">
        <v>0.61940018361726012</v>
      </c>
      <c r="K232" s="1369">
        <v>1.3355500918704424</v>
      </c>
      <c r="L232" s="1369">
        <v>3.7497131199795994</v>
      </c>
      <c r="M232" s="1369">
        <v>34.19997139245482</v>
      </c>
      <c r="N232" s="1369">
        <v>10.293304399565992</v>
      </c>
      <c r="O232" s="1369">
        <v>6.9120882220216613</v>
      </c>
      <c r="P232" s="1369">
        <v>6.9508390451429918</v>
      </c>
      <c r="Q232" s="1369"/>
      <c r="R232" s="1366">
        <v>14704.5</v>
      </c>
      <c r="S232" s="1367">
        <v>16154.365</v>
      </c>
      <c r="T232" s="1368">
        <v>9854.2199999999993</v>
      </c>
      <c r="U232" s="1368">
        <v>10850.43</v>
      </c>
      <c r="V232" s="1368">
        <v>16383.845000000001</v>
      </c>
      <c r="W232" s="1368">
        <v>18367.39</v>
      </c>
      <c r="X232" s="1368">
        <v>1873.1949999999999</v>
      </c>
      <c r="Y232" s="1368">
        <v>106.855</v>
      </c>
      <c r="Z232" s="1368">
        <v>3296.605</v>
      </c>
      <c r="AA232" s="1368">
        <v>9107.9700000000012</v>
      </c>
      <c r="AB232" s="1368">
        <v>11010.07</v>
      </c>
      <c r="AC232" s="1368">
        <v>3921.5</v>
      </c>
      <c r="AD232" s="1368">
        <v>429.95650000000001</v>
      </c>
      <c r="AE232" s="1368">
        <v>1428.5500000000002</v>
      </c>
      <c r="AF232" s="1368">
        <v>2127.3599999999997</v>
      </c>
      <c r="AG232" s="1368">
        <v>10.965</v>
      </c>
      <c r="AH232" s="1368">
        <v>179.67000000000002</v>
      </c>
      <c r="AI232" s="1368">
        <v>2115.5</v>
      </c>
    </row>
    <row r="233" spans="1:35">
      <c r="A233" s="1393">
        <v>45049</v>
      </c>
      <c r="B233" s="1398">
        <v>1.1034998297582568</v>
      </c>
      <c r="C233" s="1397">
        <v>0.66615015321756899</v>
      </c>
      <c r="D233" s="1397">
        <v>1.3621002221934682</v>
      </c>
      <c r="E233" s="1397">
        <v>0.88939978989936175</v>
      </c>
      <c r="F233" s="1397">
        <v>1.2511001021450459</v>
      </c>
      <c r="G233" s="1397">
        <v>7.8498558053385432</v>
      </c>
      <c r="H233" s="1397">
        <v>135.79619012391342</v>
      </c>
      <c r="I233" s="1397">
        <v>4.4525028462969338</v>
      </c>
      <c r="J233" s="1397">
        <v>0.62330030643513801</v>
      </c>
      <c r="K233" s="1397">
        <v>1.332949681036079</v>
      </c>
      <c r="L233" s="1397">
        <v>3.7504788660452051</v>
      </c>
      <c r="M233" s="1397">
        <v>34.03997872066703</v>
      </c>
      <c r="N233" s="1397">
        <v>10.293597081202707</v>
      </c>
      <c r="O233" s="1397">
        <v>6.9121007655792921</v>
      </c>
      <c r="P233" s="1397">
        <v>6.9236209335219234</v>
      </c>
      <c r="Q233" s="1397"/>
      <c r="R233" s="1394">
        <v>14685</v>
      </c>
      <c r="S233" s="1395">
        <v>16204.895</v>
      </c>
      <c r="T233" s="1396">
        <v>9782.4150000000009</v>
      </c>
      <c r="U233" s="1396">
        <v>10781.145</v>
      </c>
      <c r="V233" s="1396">
        <v>16511.135000000002</v>
      </c>
      <c r="W233" s="1396">
        <v>18372.404999999999</v>
      </c>
      <c r="X233" s="1396">
        <v>1870.7350000000001</v>
      </c>
      <c r="Y233" s="1396">
        <v>108.14000000000001</v>
      </c>
      <c r="Z233" s="1396">
        <v>3298.145</v>
      </c>
      <c r="AA233" s="1396">
        <v>9153.1650000000009</v>
      </c>
      <c r="AB233" s="1396">
        <v>11016.92</v>
      </c>
      <c r="AC233" s="1396">
        <v>3915.5</v>
      </c>
      <c r="AD233" s="1396">
        <v>431.40449999999998</v>
      </c>
      <c r="AE233" s="1396">
        <v>1426.615</v>
      </c>
      <c r="AF233" s="1396">
        <v>2124.5349999999999</v>
      </c>
      <c r="AG233" s="1396">
        <v>10.99</v>
      </c>
      <c r="AH233" s="1396">
        <v>179.44499999999999</v>
      </c>
      <c r="AI233" s="1396">
        <v>2121</v>
      </c>
    </row>
    <row r="234" spans="1:35" s="990" customFormat="1" ht="17.149999999999999" customHeight="1">
      <c r="A234" s="989">
        <v>45050</v>
      </c>
      <c r="B234" s="1295">
        <v>1.105800068119891</v>
      </c>
      <c r="C234" s="669">
        <v>0.66730006811989107</v>
      </c>
      <c r="D234" s="669">
        <v>1.360200064303736</v>
      </c>
      <c r="E234" s="669">
        <v>0.88619997090269842</v>
      </c>
      <c r="F234" s="669">
        <v>1.2570000000000001</v>
      </c>
      <c r="G234" s="669">
        <v>7.8478542694091384</v>
      </c>
      <c r="H234" s="669">
        <v>134.67889908256882</v>
      </c>
      <c r="I234" s="669">
        <v>4.4529985697623804</v>
      </c>
      <c r="J234" s="669">
        <v>0.62419993188010903</v>
      </c>
      <c r="K234" s="669">
        <v>1.3281996787168215</v>
      </c>
      <c r="L234" s="669">
        <v>3.7501596627921829</v>
      </c>
      <c r="M234" s="669">
        <v>33.845004634091232</v>
      </c>
      <c r="N234" s="669">
        <v>10.250501876582002</v>
      </c>
      <c r="O234" s="669">
        <v>6.91358722399222</v>
      </c>
      <c r="P234" s="669">
        <v>6.9196323356115954</v>
      </c>
      <c r="Q234" s="669"/>
      <c r="R234" s="1296">
        <v>14680</v>
      </c>
      <c r="S234" s="1297">
        <v>16233.145</v>
      </c>
      <c r="T234" s="668">
        <v>9795.9650000000001</v>
      </c>
      <c r="U234" s="668">
        <v>10792.53</v>
      </c>
      <c r="V234" s="668">
        <v>16565.11</v>
      </c>
      <c r="W234" s="668">
        <v>18452.760000000002</v>
      </c>
      <c r="X234" s="668">
        <v>1870.575</v>
      </c>
      <c r="Y234" s="668">
        <v>109</v>
      </c>
      <c r="Z234" s="668">
        <v>3296.6549999999997</v>
      </c>
      <c r="AA234" s="668">
        <v>9163.255000000001</v>
      </c>
      <c r="AB234" s="668">
        <v>11052.555</v>
      </c>
      <c r="AC234" s="668">
        <v>3914.5</v>
      </c>
      <c r="AD234" s="668">
        <v>433.74200000000002</v>
      </c>
      <c r="AE234" s="668">
        <v>1432.125</v>
      </c>
      <c r="AF234" s="668">
        <v>2123.355</v>
      </c>
      <c r="AG234" s="668">
        <v>11.085000000000001</v>
      </c>
      <c r="AH234" s="668">
        <v>179.56</v>
      </c>
      <c r="AI234" s="668">
        <v>2121.5</v>
      </c>
    </row>
    <row r="235" spans="1:35">
      <c r="A235" s="1399">
        <v>45051</v>
      </c>
      <c r="B235" s="1404">
        <v>1.1027001703577513</v>
      </c>
      <c r="C235" s="1403">
        <v>0.67315025553662688</v>
      </c>
      <c r="D235" s="1403">
        <v>1.3500503451483055</v>
      </c>
      <c r="E235" s="1403">
        <v>0.88939986872639765</v>
      </c>
      <c r="F235" s="1403">
        <v>1.2610998296422486</v>
      </c>
      <c r="G235" s="1403">
        <v>7.8478453854134358</v>
      </c>
      <c r="H235" s="1403">
        <v>134.05499223531561</v>
      </c>
      <c r="I235" s="1403">
        <v>4.4379995584681868</v>
      </c>
      <c r="J235" s="1403">
        <v>0.62965008517887566</v>
      </c>
      <c r="K235" s="1403">
        <v>1.3249499588746367</v>
      </c>
      <c r="L235" s="1403">
        <v>3.7507987220447285</v>
      </c>
      <c r="M235" s="1403">
        <v>33.74998562607086</v>
      </c>
      <c r="N235" s="1403">
        <v>10.215802297250262</v>
      </c>
      <c r="O235" s="1403">
        <v>6.9119486043044827</v>
      </c>
      <c r="P235" s="1403">
        <v>6.9189061763319186</v>
      </c>
      <c r="Q235" s="1403"/>
      <c r="R235" s="1400">
        <v>14675</v>
      </c>
      <c r="S235" s="1401">
        <v>16182.125</v>
      </c>
      <c r="T235" s="1402">
        <v>9878.48</v>
      </c>
      <c r="U235" s="1402">
        <v>10869.965</v>
      </c>
      <c r="V235" s="1402">
        <v>16499.89</v>
      </c>
      <c r="W235" s="1402">
        <v>18506.64</v>
      </c>
      <c r="X235" s="1402">
        <v>1869.94</v>
      </c>
      <c r="Y235" s="1402">
        <v>109.47</v>
      </c>
      <c r="Z235" s="1402">
        <v>3306.67</v>
      </c>
      <c r="AA235" s="1402">
        <v>9240.1149999999998</v>
      </c>
      <c r="AB235" s="1402">
        <v>11075.89</v>
      </c>
      <c r="AC235" s="1402">
        <v>3912.5</v>
      </c>
      <c r="AD235" s="1402">
        <v>434.815</v>
      </c>
      <c r="AE235" s="1402">
        <v>1436.5</v>
      </c>
      <c r="AF235" s="1402">
        <v>2123.1350000000002</v>
      </c>
      <c r="AG235" s="1402">
        <v>11.135000000000002</v>
      </c>
      <c r="AH235" s="1402">
        <v>179.55500000000001</v>
      </c>
      <c r="AI235" s="1402">
        <v>2121</v>
      </c>
    </row>
    <row r="236" spans="1:35">
      <c r="A236" s="1405">
        <v>45054</v>
      </c>
      <c r="B236" s="1410">
        <v>1.1049003401360544</v>
      </c>
      <c r="C236" s="1409">
        <v>0.67820000000000003</v>
      </c>
      <c r="D236" s="1409">
        <v>1.3357000363001472</v>
      </c>
      <c r="E236" s="1409">
        <v>0.88739982795309458</v>
      </c>
      <c r="F236" s="1409">
        <v>1.2637</v>
      </c>
      <c r="G236" s="1409">
        <v>7.8481620885721144</v>
      </c>
      <c r="H236" s="1409">
        <v>135.02342243042159</v>
      </c>
      <c r="I236" s="1409">
        <v>4.4384996059699322</v>
      </c>
      <c r="J236" s="1409">
        <v>0.63205</v>
      </c>
      <c r="K236" s="1409">
        <v>1.3244496100982524</v>
      </c>
      <c r="L236" s="1409">
        <v>3.7504783773440491</v>
      </c>
      <c r="M236" s="1409">
        <v>33.879984189340711</v>
      </c>
      <c r="N236" s="1409">
        <v>10.153406226041069</v>
      </c>
      <c r="O236" s="1409">
        <v>6.9148485789280585</v>
      </c>
      <c r="P236" s="1409">
        <v>6.9192751235584842</v>
      </c>
      <c r="Q236" s="1409"/>
      <c r="R236" s="1406">
        <v>14700</v>
      </c>
      <c r="S236" s="1407">
        <v>16242.035</v>
      </c>
      <c r="T236" s="1408">
        <v>9969.5400000000009</v>
      </c>
      <c r="U236" s="1408">
        <v>11005.465</v>
      </c>
      <c r="V236" s="1408">
        <v>16565.25</v>
      </c>
      <c r="W236" s="1408">
        <v>18576.39</v>
      </c>
      <c r="X236" s="1408">
        <v>1873.0500000000002</v>
      </c>
      <c r="Y236" s="1408">
        <v>108.87</v>
      </c>
      <c r="Z236" s="1408">
        <v>3311.9300000000003</v>
      </c>
      <c r="AA236" s="1408">
        <v>9291.1350000000002</v>
      </c>
      <c r="AB236" s="1408">
        <v>11098.95</v>
      </c>
      <c r="AC236" s="1408">
        <v>3919.5</v>
      </c>
      <c r="AD236" s="1408">
        <v>433.8845</v>
      </c>
      <c r="AE236" s="1408">
        <v>1447.79</v>
      </c>
      <c r="AF236" s="1408">
        <v>2125.8599999999997</v>
      </c>
      <c r="AG236" s="1408">
        <v>11.120000000000001</v>
      </c>
      <c r="AH236" s="1408">
        <v>179.76499999999999</v>
      </c>
      <c r="AI236" s="1408">
        <v>2124.5</v>
      </c>
    </row>
    <row r="237" spans="1:35">
      <c r="A237" s="1411">
        <v>45055</v>
      </c>
      <c r="B237" s="1416">
        <v>1.0978503054989817</v>
      </c>
      <c r="C237" s="1415">
        <v>0.67585030549898162</v>
      </c>
      <c r="D237" s="1415">
        <v>1.3381499463786146</v>
      </c>
      <c r="E237" s="1415">
        <v>0.89229978001448407</v>
      </c>
      <c r="F237" s="1415">
        <v>1.2601999321113375</v>
      </c>
      <c r="G237" s="1415">
        <v>7.8480473120571155</v>
      </c>
      <c r="H237" s="1415">
        <v>134.79136163982432</v>
      </c>
      <c r="I237" s="1415">
        <v>4.4425008293874599</v>
      </c>
      <c r="J237" s="1415">
        <v>0.63305023761031909</v>
      </c>
      <c r="K237" s="1415">
        <v>1.3258504840299374</v>
      </c>
      <c r="L237" s="1415">
        <v>3.7504774029280714</v>
      </c>
      <c r="M237" s="1415">
        <v>33.729979265107794</v>
      </c>
      <c r="N237" s="1415">
        <v>10.184397751550476</v>
      </c>
      <c r="O237" s="1415">
        <v>6.9267448531417237</v>
      </c>
      <c r="P237" s="1415">
        <v>6.9317647058823528</v>
      </c>
      <c r="Q237" s="1415"/>
      <c r="R237" s="1412">
        <v>14730</v>
      </c>
      <c r="S237" s="1413">
        <v>16171.334999999999</v>
      </c>
      <c r="T237" s="1414">
        <v>9955.2749999999996</v>
      </c>
      <c r="U237" s="1414">
        <v>11007.735000000001</v>
      </c>
      <c r="V237" s="1414">
        <v>16507.904999999999</v>
      </c>
      <c r="W237" s="1414">
        <v>18562.745000000003</v>
      </c>
      <c r="X237" s="1414">
        <v>1876.9</v>
      </c>
      <c r="Y237" s="1414">
        <v>109.28</v>
      </c>
      <c r="Z237" s="1414">
        <v>3315.7</v>
      </c>
      <c r="AA237" s="1414">
        <v>9324.83</v>
      </c>
      <c r="AB237" s="1414">
        <v>11109.85</v>
      </c>
      <c r="AC237" s="1414">
        <v>3927.5</v>
      </c>
      <c r="AD237" s="1414">
        <v>436.70349999999996</v>
      </c>
      <c r="AE237" s="1414">
        <v>1446.33</v>
      </c>
      <c r="AF237" s="1414">
        <v>2126.54</v>
      </c>
      <c r="AG237" s="1414">
        <v>11.115</v>
      </c>
      <c r="AH237" s="1414">
        <v>179.44</v>
      </c>
      <c r="AI237" s="1414">
        <v>2125</v>
      </c>
    </row>
    <row r="238" spans="1:35">
      <c r="A238" s="1417">
        <v>45056</v>
      </c>
      <c r="B238" s="1422">
        <v>1.0965001697792869</v>
      </c>
      <c r="C238" s="1421">
        <v>0.67574974533106968</v>
      </c>
      <c r="D238" s="1421">
        <v>1.3389997194693288</v>
      </c>
      <c r="E238" s="1421">
        <v>0.88969987356896529</v>
      </c>
      <c r="F238" s="1421">
        <v>1.2623001697792871</v>
      </c>
      <c r="G238" s="1421">
        <v>7.8324676395415951</v>
      </c>
      <c r="H238" s="1421">
        <v>135.24063188831741</v>
      </c>
      <c r="I238" s="1421">
        <v>4.4554987208406898</v>
      </c>
      <c r="J238" s="1421">
        <v>0.63364991511035651</v>
      </c>
      <c r="K238" s="1421">
        <v>1.3274501823046609</v>
      </c>
      <c r="L238" s="1421">
        <v>3.7501591748376417</v>
      </c>
      <c r="M238" s="1421">
        <v>33.710000137358236</v>
      </c>
      <c r="N238" s="1421">
        <v>10.204894884384952</v>
      </c>
      <c r="O238" s="1421">
        <v>6.9283521343794483</v>
      </c>
      <c r="P238" s="1421">
        <v>6.9326741996233521</v>
      </c>
      <c r="Q238" s="1421"/>
      <c r="R238" s="1418">
        <v>14725</v>
      </c>
      <c r="S238" s="1419">
        <v>16145.965</v>
      </c>
      <c r="T238" s="1420">
        <v>9950.4150000000009</v>
      </c>
      <c r="U238" s="1420">
        <v>10997.014999999999</v>
      </c>
      <c r="V238" s="1420">
        <v>16550.525000000001</v>
      </c>
      <c r="W238" s="1420">
        <v>18587.370000000003</v>
      </c>
      <c r="X238" s="1420">
        <v>1879.9949999999999</v>
      </c>
      <c r="Y238" s="1420">
        <v>108.88</v>
      </c>
      <c r="Z238" s="1420">
        <v>3304.9050000000002</v>
      </c>
      <c r="AA238" s="1420">
        <v>9330.494999999999</v>
      </c>
      <c r="AB238" s="1420">
        <v>11092.695</v>
      </c>
      <c r="AC238" s="1420">
        <v>3926.5</v>
      </c>
      <c r="AD238" s="1420">
        <v>436.81399999999996</v>
      </c>
      <c r="AE238" s="1420">
        <v>1442.9349999999999</v>
      </c>
      <c r="AF238" s="1420">
        <v>2125.3249999999998</v>
      </c>
      <c r="AG238" s="1420">
        <v>11.115</v>
      </c>
      <c r="AH238" s="1420">
        <v>179.47000000000003</v>
      </c>
      <c r="AI238" s="1420">
        <v>2124</v>
      </c>
    </row>
    <row r="239" spans="1:35">
      <c r="A239" s="1423">
        <v>45057</v>
      </c>
      <c r="B239" s="1428">
        <v>1.0930003056338506</v>
      </c>
      <c r="C239" s="1427">
        <v>0.67350018677624213</v>
      </c>
      <c r="D239" s="1427">
        <v>1.3408000815945169</v>
      </c>
      <c r="E239" s="1427">
        <v>0.89359980797026561</v>
      </c>
      <c r="F239" s="1427">
        <v>1.2565999932081366</v>
      </c>
      <c r="G239" s="1427">
        <v>7.8339407805475005</v>
      </c>
      <c r="H239" s="1427">
        <v>134.55334704135251</v>
      </c>
      <c r="I239" s="1427">
        <v>4.4624983140797445</v>
      </c>
      <c r="J239" s="1427">
        <v>0.63380004754304353</v>
      </c>
      <c r="K239" s="1427">
        <v>1.328200409551388</v>
      </c>
      <c r="L239" s="1427">
        <v>3.7502547121752419</v>
      </c>
      <c r="M239" s="1427">
        <v>33.754979223384439</v>
      </c>
      <c r="N239" s="1427">
        <v>10.268257217280325</v>
      </c>
      <c r="O239" s="1427">
        <v>6.9382398401568279</v>
      </c>
      <c r="P239" s="1427">
        <v>6.9450471698113212</v>
      </c>
      <c r="Q239" s="1427"/>
      <c r="R239" s="1424">
        <v>14723.5</v>
      </c>
      <c r="S239" s="1425">
        <v>16092.79</v>
      </c>
      <c r="T239" s="1426">
        <v>9916.2800000000007</v>
      </c>
      <c r="U239" s="1426">
        <v>10981.130000000001</v>
      </c>
      <c r="V239" s="1426">
        <v>16476.615000000002</v>
      </c>
      <c r="W239" s="1426">
        <v>18501.55</v>
      </c>
      <c r="X239" s="1426">
        <v>1879.45</v>
      </c>
      <c r="Y239" s="1426">
        <v>109.42500000000001</v>
      </c>
      <c r="Z239" s="1426">
        <v>3299.3850000000002</v>
      </c>
      <c r="AA239" s="1426">
        <v>9331.755000000001</v>
      </c>
      <c r="AB239" s="1426">
        <v>11085.3</v>
      </c>
      <c r="AC239" s="1426">
        <v>3926</v>
      </c>
      <c r="AD239" s="1426">
        <v>436.1875</v>
      </c>
      <c r="AE239" s="1426">
        <v>1433.885</v>
      </c>
      <c r="AF239" s="1426">
        <v>2122.08</v>
      </c>
      <c r="AG239" s="1426">
        <v>11.085000000000001</v>
      </c>
      <c r="AH239" s="1426">
        <v>179.32499999999999</v>
      </c>
      <c r="AI239" s="1426">
        <v>2120</v>
      </c>
    </row>
    <row r="240" spans="1:35">
      <c r="A240" s="1429">
        <v>45058</v>
      </c>
      <c r="B240" s="1434">
        <v>1.090800338983051</v>
      </c>
      <c r="C240" s="1433">
        <v>0.66859999999999997</v>
      </c>
      <c r="D240" s="1433">
        <v>1.3493998829910203</v>
      </c>
      <c r="E240" s="1433">
        <v>0.8923499294287327</v>
      </c>
      <c r="F240" s="1433">
        <v>1.2518000000000002</v>
      </c>
      <c r="G240" s="1433">
        <v>7.8422407009633988</v>
      </c>
      <c r="H240" s="1433">
        <v>134.86330803693883</v>
      </c>
      <c r="I240" s="1433">
        <v>4.47399471613641</v>
      </c>
      <c r="J240" s="1433">
        <v>0.62454983050847457</v>
      </c>
      <c r="K240" s="1433">
        <v>1.33334960471834</v>
      </c>
      <c r="L240" s="1433">
        <v>3.7498411084276091</v>
      </c>
      <c r="M240" s="1433">
        <v>33.949995684322587</v>
      </c>
      <c r="N240" s="1433">
        <v>10.327576730394233</v>
      </c>
      <c r="O240" s="1433">
        <v>6.9482555167971132</v>
      </c>
      <c r="P240" s="1433">
        <v>6.9575471698113205</v>
      </c>
      <c r="Q240" s="1433"/>
      <c r="R240" s="1430">
        <v>14750</v>
      </c>
      <c r="S240" s="1431">
        <v>16089.305</v>
      </c>
      <c r="T240" s="1432">
        <v>9861.85</v>
      </c>
      <c r="U240" s="1432">
        <v>10930.785</v>
      </c>
      <c r="V240" s="1432">
        <v>16529.39</v>
      </c>
      <c r="W240" s="1432">
        <v>18464.050000000003</v>
      </c>
      <c r="X240" s="1432">
        <v>1880.8400000000001</v>
      </c>
      <c r="Y240" s="1432">
        <v>109.37</v>
      </c>
      <c r="Z240" s="1432">
        <v>3296.83</v>
      </c>
      <c r="AA240" s="1432">
        <v>9212.11</v>
      </c>
      <c r="AB240" s="1432">
        <v>11062.365000000002</v>
      </c>
      <c r="AC240" s="1432">
        <v>3933.5</v>
      </c>
      <c r="AD240" s="1432">
        <v>434.46249999999998</v>
      </c>
      <c r="AE240" s="1432">
        <v>1428.2150000000001</v>
      </c>
      <c r="AF240" s="1432">
        <v>2122.835</v>
      </c>
      <c r="AG240" s="1432">
        <v>11.05</v>
      </c>
      <c r="AH240" s="1432">
        <v>179.435</v>
      </c>
      <c r="AI240" s="1432">
        <v>2120</v>
      </c>
    </row>
    <row r="241" spans="1:35">
      <c r="A241" s="1438">
        <v>45061</v>
      </c>
      <c r="B241" s="1437">
        <v>1.0873999999999999</v>
      </c>
      <c r="C241" s="1437">
        <v>0.66915000000000002</v>
      </c>
      <c r="D241" s="1437">
        <v>1.3508999001429398</v>
      </c>
      <c r="E241" s="1437">
        <v>0.89664989184160671</v>
      </c>
      <c r="F241" s="1437">
        <v>1.2481500000000001</v>
      </c>
      <c r="G241" s="1437">
        <v>7.8396889550436217</v>
      </c>
      <c r="H241" s="1437">
        <v>135.96692696371153</v>
      </c>
      <c r="I241" s="1437">
        <v>4.4969971908960114</v>
      </c>
      <c r="J241" s="1437">
        <v>0.62265000000000004</v>
      </c>
      <c r="K241" s="1437">
        <v>1.3367498733248853</v>
      </c>
      <c r="L241" s="1437">
        <v>3.7501583681743318</v>
      </c>
      <c r="M241" s="1437">
        <v>33.730002723469816</v>
      </c>
      <c r="N241" s="1437">
        <v>10.39994097330799</v>
      </c>
      <c r="O241" s="1437">
        <v>6.9498413980451224</v>
      </c>
      <c r="P241" s="1437">
        <v>6.9581570286788903</v>
      </c>
      <c r="Q241" s="1437"/>
      <c r="R241" s="1439">
        <v>14800</v>
      </c>
      <c r="S241" s="1440">
        <v>16093.52</v>
      </c>
      <c r="T241" s="1435">
        <v>9903.42</v>
      </c>
      <c r="U241" s="1435">
        <v>10955.66</v>
      </c>
      <c r="V241" s="1440">
        <v>16505.885000000002</v>
      </c>
      <c r="W241" s="1440">
        <v>18472.620000000003</v>
      </c>
      <c r="X241" s="1440">
        <v>1887.83</v>
      </c>
      <c r="Y241" s="1440">
        <v>108.85</v>
      </c>
      <c r="Z241" s="1440">
        <v>3291.085</v>
      </c>
      <c r="AA241" s="1440">
        <v>9215.2200000000012</v>
      </c>
      <c r="AB241" s="1440">
        <v>11071.630000000001</v>
      </c>
      <c r="AC241" s="1440">
        <v>3946.5</v>
      </c>
      <c r="AD241" s="1436">
        <v>438.77850000000001</v>
      </c>
      <c r="AE241" s="1436">
        <v>1423.085</v>
      </c>
      <c r="AF241" s="1436">
        <v>2129.5450000000001</v>
      </c>
      <c r="AG241" s="1436">
        <v>11.07</v>
      </c>
      <c r="AH241" s="1436">
        <v>179.82</v>
      </c>
      <c r="AI241" s="1436">
        <v>2127</v>
      </c>
    </row>
    <row r="242" spans="1:35">
      <c r="A242" s="1441">
        <v>45062</v>
      </c>
      <c r="B242" s="1446">
        <v>1.0889001349527665</v>
      </c>
      <c r="C242" s="1445">
        <v>0.6687999325236168</v>
      </c>
      <c r="D242" s="1445">
        <v>1.3460001453171546</v>
      </c>
      <c r="E242" s="1445">
        <v>0.89299998282692328</v>
      </c>
      <c r="F242" s="1445">
        <v>1.2514500674763833</v>
      </c>
      <c r="G242" s="1445">
        <v>7.8387398776056401</v>
      </c>
      <c r="H242" s="1445">
        <v>135.79511614055986</v>
      </c>
      <c r="I242" s="1445">
        <v>4.5009954124469838</v>
      </c>
      <c r="J242" s="1445">
        <v>0.6248498650472335</v>
      </c>
      <c r="K242" s="1445">
        <v>1.3362498805309655</v>
      </c>
      <c r="L242" s="1445">
        <v>3.750474503353157</v>
      </c>
      <c r="M242" s="1445">
        <v>33.929969641606107</v>
      </c>
      <c r="N242" s="1445">
        <v>10.329937650949873</v>
      </c>
      <c r="O242" s="1445">
        <v>6.9629605267794439</v>
      </c>
      <c r="P242" s="1445">
        <v>6.9724770642201834</v>
      </c>
      <c r="Q242" s="1445"/>
      <c r="R242" s="1442">
        <v>14820</v>
      </c>
      <c r="S242" s="1443">
        <v>16137.5</v>
      </c>
      <c r="T242" s="1444">
        <v>9911.6150000000016</v>
      </c>
      <c r="U242" s="1444">
        <v>11010.400000000001</v>
      </c>
      <c r="V242" s="1444">
        <v>16595.745000000003</v>
      </c>
      <c r="W242" s="1444">
        <v>18546.490000000002</v>
      </c>
      <c r="X242" s="1444">
        <v>1890.6100000000001</v>
      </c>
      <c r="Y242" s="1444">
        <v>109.13500000000001</v>
      </c>
      <c r="Z242" s="1444">
        <v>3292.605</v>
      </c>
      <c r="AA242" s="1444">
        <v>9260.2749999999996</v>
      </c>
      <c r="AB242" s="1444">
        <v>11090.74</v>
      </c>
      <c r="AC242" s="1444">
        <v>3951.5</v>
      </c>
      <c r="AD242" s="1444">
        <v>436.78200000000004</v>
      </c>
      <c r="AE242" s="1444">
        <v>1434.665</v>
      </c>
      <c r="AF242" s="1444">
        <v>2128.4049999999997</v>
      </c>
      <c r="AG242" s="1444">
        <v>11.074999999999999</v>
      </c>
      <c r="AH242" s="1444">
        <v>180.28500000000003</v>
      </c>
      <c r="AI242" s="1444">
        <v>2125.5</v>
      </c>
    </row>
    <row r="243" spans="1:35">
      <c r="A243" s="1447">
        <v>45063</v>
      </c>
      <c r="B243" s="1452">
        <v>1.0832001345442315</v>
      </c>
      <c r="C243" s="1451">
        <v>0.66290010090817353</v>
      </c>
      <c r="D243" s="1451">
        <v>1.3536001529800374</v>
      </c>
      <c r="E243" s="1451">
        <v>0.89839983295142023</v>
      </c>
      <c r="F243" s="1451">
        <v>1.2422499159098552</v>
      </c>
      <c r="G243" s="1451">
        <v>7.834260462150219</v>
      </c>
      <c r="H243" s="1451">
        <v>136.97935864356799</v>
      </c>
      <c r="I243" s="1451">
        <v>4.5244943615029909</v>
      </c>
      <c r="J243" s="1451">
        <v>0.6230998990918265</v>
      </c>
      <c r="K243" s="1451">
        <v>1.3433499433380147</v>
      </c>
      <c r="L243" s="1451">
        <v>3.7504730667339472</v>
      </c>
      <c r="M243" s="1451">
        <v>34.230014645334215</v>
      </c>
      <c r="N243" s="1451">
        <v>10.439344354396955</v>
      </c>
      <c r="O243" s="1451">
        <v>7.0017027349738932</v>
      </c>
      <c r="P243" s="1451">
        <v>7.0200708382526562</v>
      </c>
      <c r="Q243" s="1451"/>
      <c r="R243" s="1448">
        <v>14865</v>
      </c>
      <c r="S243" s="1449">
        <v>16101.77</v>
      </c>
      <c r="T243" s="1450">
        <v>9854.01</v>
      </c>
      <c r="U243" s="1450">
        <v>10981.825000000001</v>
      </c>
      <c r="V243" s="1450">
        <v>16546.084999999999</v>
      </c>
      <c r="W243" s="1450">
        <v>18466.044999999998</v>
      </c>
      <c r="X243" s="1450">
        <v>1897.4349999999999</v>
      </c>
      <c r="Y243" s="1450">
        <v>108.52000000000001</v>
      </c>
      <c r="Z243" s="1450">
        <v>3285.45</v>
      </c>
      <c r="AA243" s="1450">
        <v>9262.380000000001</v>
      </c>
      <c r="AB243" s="1450">
        <v>11065.619999999999</v>
      </c>
      <c r="AC243" s="1450">
        <v>3963.5</v>
      </c>
      <c r="AD243" s="1450">
        <v>434.26800000000003</v>
      </c>
      <c r="AE243" s="1450">
        <v>1423.94</v>
      </c>
      <c r="AF243" s="1450">
        <v>2123.0550000000003</v>
      </c>
      <c r="AG243" s="1450">
        <v>11.1</v>
      </c>
      <c r="AH243" s="1450">
        <v>180.37</v>
      </c>
      <c r="AI243" s="1450">
        <v>2117.5</v>
      </c>
    </row>
    <row r="244" spans="1:35">
      <c r="A244" s="1453">
        <v>45065</v>
      </c>
      <c r="B244" s="1458">
        <v>1.0778000000000001</v>
      </c>
      <c r="C244" s="1457">
        <v>0.66500000000000004</v>
      </c>
      <c r="D244" s="1457">
        <v>1.3486003019780375</v>
      </c>
      <c r="E244" s="1457">
        <v>0.90289998771935032</v>
      </c>
      <c r="F244" s="1457">
        <v>1.2407001675041875</v>
      </c>
      <c r="G244" s="1457">
        <v>7.8121524115604144</v>
      </c>
      <c r="H244" s="1457">
        <v>138.10493198852598</v>
      </c>
      <c r="I244" s="1457">
        <v>4.5469986001032785</v>
      </c>
      <c r="J244" s="1457">
        <v>0.62610016750418762</v>
      </c>
      <c r="K244" s="1457">
        <v>1.3466503594902308</v>
      </c>
      <c r="L244" s="1457">
        <v>3.750471164719186</v>
      </c>
      <c r="M244" s="1457">
        <v>34.43998961608353</v>
      </c>
      <c r="N244" s="1457">
        <v>10.547777722810762</v>
      </c>
      <c r="O244" s="1457">
        <v>7.0224058268324123</v>
      </c>
      <c r="P244" s="1457">
        <v>7.0334590009425071</v>
      </c>
      <c r="Q244" s="1457"/>
      <c r="R244" s="1454">
        <v>14925</v>
      </c>
      <c r="S244" s="1455">
        <v>16086.165000000001</v>
      </c>
      <c r="T244" s="1456">
        <v>9925.125</v>
      </c>
      <c r="U244" s="1456">
        <v>11067.03</v>
      </c>
      <c r="V244" s="1456">
        <v>16530.07</v>
      </c>
      <c r="W244" s="1456">
        <v>18517.45</v>
      </c>
      <c r="X244" s="1456">
        <v>1910.4850000000001</v>
      </c>
      <c r="Y244" s="1456">
        <v>108.07</v>
      </c>
      <c r="Z244" s="1456">
        <v>3282.3850000000002</v>
      </c>
      <c r="AA244" s="1456">
        <v>9344.5450000000001</v>
      </c>
      <c r="AB244" s="1456">
        <v>11083.055</v>
      </c>
      <c r="AC244" s="1456">
        <v>3979.5</v>
      </c>
      <c r="AD244" s="1456">
        <v>433.36250000000001</v>
      </c>
      <c r="AE244" s="1456">
        <v>1414.99</v>
      </c>
      <c r="AF244" s="1456">
        <v>2125.34</v>
      </c>
      <c r="AG244" s="1456">
        <v>11.25</v>
      </c>
      <c r="AH244" s="1456">
        <v>180.32</v>
      </c>
      <c r="AI244" s="1456">
        <v>2122</v>
      </c>
    </row>
    <row r="245" spans="1:35" s="1459" customFormat="1">
      <c r="A245" s="1460">
        <v>45068</v>
      </c>
      <c r="B245" s="1465">
        <v>1.0807001343183344</v>
      </c>
      <c r="C245" s="1464">
        <v>0.66344996642041643</v>
      </c>
      <c r="D245" s="1464">
        <v>1.3495502934070978</v>
      </c>
      <c r="E245" s="1464">
        <v>0.89749995931413895</v>
      </c>
      <c r="F245" s="1464">
        <v>1.2433999328408327</v>
      </c>
      <c r="G245" s="1464">
        <v>7.8199469041885816</v>
      </c>
      <c r="H245" s="1464">
        <v>137.83208368045914</v>
      </c>
      <c r="I245" s="1464">
        <v>4.5504970707512138</v>
      </c>
      <c r="J245" s="1464">
        <v>0.62680020147750171</v>
      </c>
      <c r="K245" s="1464">
        <v>1.3450998707294883</v>
      </c>
      <c r="L245" s="1464">
        <v>3.7501574109054276</v>
      </c>
      <c r="M245" s="1464">
        <v>34.48499474271739</v>
      </c>
      <c r="N245" s="1464">
        <v>10.521072174272479</v>
      </c>
      <c r="O245" s="1464">
        <v>7.0294040585484687</v>
      </c>
      <c r="P245" s="1464">
        <v>7.0418538661622136</v>
      </c>
      <c r="Q245" s="1464"/>
      <c r="R245" s="1461">
        <v>14890</v>
      </c>
      <c r="S245" s="1462">
        <v>16091.625</v>
      </c>
      <c r="T245" s="1463">
        <v>9878.77</v>
      </c>
      <c r="U245" s="1463">
        <v>11033.305</v>
      </c>
      <c r="V245" s="1463">
        <v>16590.53</v>
      </c>
      <c r="W245" s="1463">
        <v>18514.224999999999</v>
      </c>
      <c r="X245" s="1463">
        <v>1904.105</v>
      </c>
      <c r="Y245" s="1463">
        <v>108.03</v>
      </c>
      <c r="Z245" s="1463">
        <v>3272.17</v>
      </c>
      <c r="AA245" s="1463">
        <v>9333.0550000000003</v>
      </c>
      <c r="AB245" s="1463">
        <v>11069.810000000001</v>
      </c>
      <c r="AC245" s="1463">
        <v>3970.5</v>
      </c>
      <c r="AD245" s="1463">
        <v>431.78200000000004</v>
      </c>
      <c r="AE245" s="1463">
        <v>1415.2550000000001</v>
      </c>
      <c r="AF245" s="1463">
        <v>2118.2449999999999</v>
      </c>
      <c r="AG245" s="1463">
        <v>11.305</v>
      </c>
      <c r="AH245" s="1463">
        <v>179.78</v>
      </c>
      <c r="AI245" s="1463">
        <v>2114.5</v>
      </c>
    </row>
    <row r="246" spans="1:35" s="1459" customFormat="1">
      <c r="A246" s="1466">
        <v>45069</v>
      </c>
      <c r="B246" s="1471">
        <v>1.0804002016129033</v>
      </c>
      <c r="C246" s="1470">
        <v>0.66280006720430107</v>
      </c>
      <c r="D246" s="1470">
        <v>1.3528502591144649</v>
      </c>
      <c r="E246" s="1470">
        <v>0.89949992519279853</v>
      </c>
      <c r="F246" s="1470">
        <v>1.2409502688172043</v>
      </c>
      <c r="G246" s="1470">
        <v>7.8326920141283232</v>
      </c>
      <c r="H246" s="1470">
        <v>138.36711921145618</v>
      </c>
      <c r="I246" s="1470">
        <v>4.5664973154949413</v>
      </c>
      <c r="J246" s="1470">
        <v>0.62649999999999995</v>
      </c>
      <c r="K246" s="1470">
        <v>1.3447498498678971</v>
      </c>
      <c r="L246" s="1470">
        <v>3.7504725897920603</v>
      </c>
      <c r="M246" s="1470">
        <v>34.690004709261395</v>
      </c>
      <c r="N246" s="1470">
        <v>10.570396496425033</v>
      </c>
      <c r="O246" s="1470">
        <v>7.0515478574051906</v>
      </c>
      <c r="P246" s="1470">
        <v>7.0638499881319721</v>
      </c>
      <c r="Q246" s="1470"/>
      <c r="R246" s="1467">
        <v>14880</v>
      </c>
      <c r="S246" s="1468">
        <v>16076.355</v>
      </c>
      <c r="T246" s="1469">
        <v>9862.4650000000001</v>
      </c>
      <c r="U246" s="1469">
        <v>10999</v>
      </c>
      <c r="V246" s="1469">
        <v>16542.525000000001</v>
      </c>
      <c r="W246" s="1469">
        <v>18465.34</v>
      </c>
      <c r="X246" s="1469">
        <v>1899.73</v>
      </c>
      <c r="Y246" s="1469">
        <v>107.54</v>
      </c>
      <c r="Z246" s="1469">
        <v>3258.5150000000003</v>
      </c>
      <c r="AA246" s="1469">
        <v>9322.32</v>
      </c>
      <c r="AB246" s="1469">
        <v>11065.255000000001</v>
      </c>
      <c r="AC246" s="1469">
        <v>3967.5</v>
      </c>
      <c r="AD246" s="1469">
        <v>428.94200000000001</v>
      </c>
      <c r="AE246" s="1469">
        <v>1407.7049999999999</v>
      </c>
      <c r="AF246" s="1469">
        <v>2110.1750000000002</v>
      </c>
      <c r="AG246" s="1469">
        <v>11.305</v>
      </c>
      <c r="AH246" s="1469">
        <v>179.655</v>
      </c>
      <c r="AI246" s="1469">
        <v>2106.5</v>
      </c>
    </row>
    <row r="247" spans="1:35">
      <c r="A247" s="1472">
        <v>45070</v>
      </c>
      <c r="B247" s="1477">
        <v>1.0785</v>
      </c>
      <c r="C247" s="1476">
        <v>0.65710033557046976</v>
      </c>
      <c r="D247" s="1476">
        <v>1.3547000135015406</v>
      </c>
      <c r="E247" s="1476">
        <v>0.90119977512343874</v>
      </c>
      <c r="F247" s="1476">
        <v>1.2410503355704698</v>
      </c>
      <c r="G247" s="1476">
        <v>7.8334060595864585</v>
      </c>
      <c r="H247" s="1476">
        <v>138.64334232809156</v>
      </c>
      <c r="I247" s="1476">
        <v>4.5889996442755301</v>
      </c>
      <c r="J247" s="1476">
        <v>0.61350000000000005</v>
      </c>
      <c r="K247" s="1476">
        <v>1.3474499058367642</v>
      </c>
      <c r="L247" s="1476">
        <v>3.7507866582756453</v>
      </c>
      <c r="M247" s="1476">
        <v>34.575017345520443</v>
      </c>
      <c r="N247" s="1476">
        <v>10.660179935251929</v>
      </c>
      <c r="O247" s="1476">
        <v>7.0520026030882095</v>
      </c>
      <c r="P247" s="1476">
        <v>7.0616113744075832</v>
      </c>
      <c r="Q247" s="1476"/>
      <c r="R247" s="1473">
        <v>14900</v>
      </c>
      <c r="S247" s="1474">
        <v>16069.650000000001</v>
      </c>
      <c r="T247" s="1475">
        <v>9790.7950000000001</v>
      </c>
      <c r="U247" s="1475">
        <v>10998.744999999999</v>
      </c>
      <c r="V247" s="1475">
        <v>16533.514999999999</v>
      </c>
      <c r="W247" s="1475">
        <v>18491.650000000001</v>
      </c>
      <c r="X247" s="1475">
        <v>1902.1100000000001</v>
      </c>
      <c r="Y247" s="1475">
        <v>107.47</v>
      </c>
      <c r="Z247" s="1475">
        <v>3246.8950000000004</v>
      </c>
      <c r="AA247" s="1475">
        <v>9141.1500000000015</v>
      </c>
      <c r="AB247" s="1475">
        <v>11057.924999999999</v>
      </c>
      <c r="AC247" s="1475">
        <v>3972.5</v>
      </c>
      <c r="AD247" s="1475">
        <v>430.947</v>
      </c>
      <c r="AE247" s="1475">
        <v>1397.7249999999999</v>
      </c>
      <c r="AF247" s="1475">
        <v>2112.875</v>
      </c>
      <c r="AG247" s="1475">
        <v>11.305</v>
      </c>
      <c r="AH247" s="1475">
        <v>180.03</v>
      </c>
      <c r="AI247" s="1475">
        <v>2110</v>
      </c>
    </row>
    <row r="248" spans="1:35">
      <c r="A248" s="1478">
        <v>45071</v>
      </c>
      <c r="B248" s="1483">
        <v>1.0721003344481606</v>
      </c>
      <c r="C248" s="1482">
        <v>0.65310033444816051</v>
      </c>
      <c r="D248" s="1482">
        <v>1.3595995229124349</v>
      </c>
      <c r="E248" s="1482">
        <v>0.90519984330052194</v>
      </c>
      <c r="F248" s="1482">
        <v>1.2354000000000003</v>
      </c>
      <c r="G248" s="1482">
        <v>7.8332333438999022</v>
      </c>
      <c r="H248" s="1482">
        <v>139.39393939393941</v>
      </c>
      <c r="I248" s="1482">
        <v>4.6254971635956359</v>
      </c>
      <c r="J248" s="1482">
        <v>0.60870000000000002</v>
      </c>
      <c r="K248" s="1482">
        <v>1.3528499662239968</v>
      </c>
      <c r="L248" s="1482">
        <v>3.7501567791295622</v>
      </c>
      <c r="M248" s="1482">
        <v>34.665018822293661</v>
      </c>
      <c r="N248" s="1482">
        <v>10.754699336014214</v>
      </c>
      <c r="O248" s="1482">
        <v>7.0703965570242859</v>
      </c>
      <c r="P248" s="1482">
        <v>7.0853080568720381</v>
      </c>
      <c r="Q248" s="1482"/>
      <c r="R248" s="1479">
        <v>14950</v>
      </c>
      <c r="S248" s="1480">
        <v>16027.900000000001</v>
      </c>
      <c r="T248" s="1481">
        <v>9763.85</v>
      </c>
      <c r="U248" s="1481">
        <v>10995.885</v>
      </c>
      <c r="V248" s="1481">
        <v>16515.690000000002</v>
      </c>
      <c r="W248" s="1481">
        <v>18469.230000000003</v>
      </c>
      <c r="X248" s="1481">
        <v>1908.5350000000001</v>
      </c>
      <c r="Y248" s="1481">
        <v>107.25</v>
      </c>
      <c r="Z248" s="1481">
        <v>3232.085</v>
      </c>
      <c r="AA248" s="1481">
        <v>9100.0650000000005</v>
      </c>
      <c r="AB248" s="1481">
        <v>11050.744999999999</v>
      </c>
      <c r="AC248" s="1481">
        <v>3986.5</v>
      </c>
      <c r="AD248" s="1481">
        <v>431.27050000000003</v>
      </c>
      <c r="AE248" s="1481">
        <v>1390.0900000000001</v>
      </c>
      <c r="AF248" s="1481">
        <v>2114.4499999999998</v>
      </c>
      <c r="AG248" s="1481">
        <v>11.254999999999999</v>
      </c>
      <c r="AH248" s="1481">
        <v>180.64</v>
      </c>
      <c r="AI248" s="1481">
        <v>2110</v>
      </c>
    </row>
    <row r="249" spans="1:35" s="1459" customFormat="1">
      <c r="A249" s="1484">
        <v>45072</v>
      </c>
      <c r="B249" s="1489">
        <v>1.0740999665663657</v>
      </c>
      <c r="C249" s="1488">
        <v>0.65184988298228019</v>
      </c>
      <c r="D249" s="1488">
        <v>1.362400302451956</v>
      </c>
      <c r="E249" s="1488">
        <v>0.90290005702367804</v>
      </c>
      <c r="F249" s="1488">
        <v>1.2350501504513542</v>
      </c>
      <c r="G249" s="1488">
        <v>7.8328571465982977</v>
      </c>
      <c r="H249" s="1488">
        <v>139.53162903526777</v>
      </c>
      <c r="I249" s="1488">
        <v>4.6112433552461178</v>
      </c>
      <c r="J249" s="1488">
        <v>0.60670010030090271</v>
      </c>
      <c r="K249" s="1488">
        <v>1.3512500079060099</v>
      </c>
      <c r="L249" s="1488">
        <v>3.7504702194357367</v>
      </c>
      <c r="M249" s="1488">
        <v>34.640026312985555</v>
      </c>
      <c r="N249" s="1488">
        <v>10.764103819079562</v>
      </c>
      <c r="O249" s="1488">
        <v>7.0473973403202548</v>
      </c>
      <c r="P249" s="1488">
        <v>7.0592400283219261</v>
      </c>
      <c r="Q249" s="1488"/>
      <c r="R249" s="1485">
        <v>14955</v>
      </c>
      <c r="S249" s="1486">
        <v>16063.165000000001</v>
      </c>
      <c r="T249" s="1487">
        <v>9748.4150000000009</v>
      </c>
      <c r="U249" s="1487">
        <v>10976.95</v>
      </c>
      <c r="V249" s="1487">
        <v>16563.294999999998</v>
      </c>
      <c r="W249" s="1487">
        <v>18470.175000000003</v>
      </c>
      <c r="X249" s="1487">
        <v>1909.2650000000001</v>
      </c>
      <c r="Y249" s="1487">
        <v>107.18</v>
      </c>
      <c r="Z249" s="1487">
        <v>3243.16</v>
      </c>
      <c r="AA249" s="1487">
        <v>9073.2000000000007</v>
      </c>
      <c r="AB249" s="1487">
        <v>11067.529999999999</v>
      </c>
      <c r="AC249" s="1487">
        <v>3987.5</v>
      </c>
      <c r="AD249" s="1487">
        <v>431.726</v>
      </c>
      <c r="AE249" s="1487">
        <v>1389.3400000000001</v>
      </c>
      <c r="AF249" s="1487">
        <v>2122.06</v>
      </c>
      <c r="AG249" s="1487">
        <v>11.285</v>
      </c>
      <c r="AH249" s="1487">
        <v>181.01500000000001</v>
      </c>
      <c r="AI249" s="1487">
        <v>2118.5</v>
      </c>
    </row>
    <row r="250" spans="1:35" s="1459" customFormat="1">
      <c r="A250" s="1484">
        <v>45075</v>
      </c>
      <c r="B250" s="1489">
        <v>1.0728500334001336</v>
      </c>
      <c r="C250" s="1488">
        <v>0.65339979959919847</v>
      </c>
      <c r="D250" s="1488">
        <v>1.3596995763314179</v>
      </c>
      <c r="E250" s="1488">
        <v>0.90440002392400864</v>
      </c>
      <c r="F250" s="1488">
        <v>1.234050100200401</v>
      </c>
      <c r="G250" s="1488">
        <v>7.8302964999045406</v>
      </c>
      <c r="H250" s="1488">
        <v>140.46446164672764</v>
      </c>
      <c r="I250" s="1488">
        <v>4.6089972429144748</v>
      </c>
      <c r="J250" s="1488">
        <v>0.60564996659986647</v>
      </c>
      <c r="K250" s="1488">
        <v>1.3528497957169696</v>
      </c>
      <c r="L250" s="1488">
        <v>3.7504697482149569</v>
      </c>
      <c r="M250" s="1488">
        <v>34.740029936298342</v>
      </c>
      <c r="N250" s="1488">
        <v>10.818506366803012</v>
      </c>
      <c r="O250" s="1488">
        <v>7.0763412904750647</v>
      </c>
      <c r="P250" s="1488">
        <v>7.0880681818181817</v>
      </c>
      <c r="Q250" s="1488"/>
      <c r="R250" s="1485">
        <v>14970</v>
      </c>
      <c r="S250" s="1486">
        <v>16060.565000000001</v>
      </c>
      <c r="T250" s="1487">
        <v>9781.3950000000004</v>
      </c>
      <c r="U250" s="1487">
        <v>11009.785</v>
      </c>
      <c r="V250" s="1487">
        <v>16552.41</v>
      </c>
      <c r="W250" s="1487">
        <v>18473.730000000003</v>
      </c>
      <c r="X250" s="1487">
        <v>1911.8050000000001</v>
      </c>
      <c r="Y250" s="1487">
        <v>106.575</v>
      </c>
      <c r="Z250" s="1487">
        <v>3247.9949999999999</v>
      </c>
      <c r="AA250" s="1487">
        <v>9066.5800000000017</v>
      </c>
      <c r="AB250" s="1487">
        <v>11065.53</v>
      </c>
      <c r="AC250" s="1487">
        <v>3991.5</v>
      </c>
      <c r="AD250" s="1487">
        <v>430.91499999999996</v>
      </c>
      <c r="AE250" s="1487">
        <v>1383.74</v>
      </c>
      <c r="AF250" s="1487">
        <v>2115.5</v>
      </c>
      <c r="AG250" s="1487">
        <v>11.31</v>
      </c>
      <c r="AH250" s="1487">
        <v>181.1</v>
      </c>
      <c r="AI250" s="1487">
        <v>2112</v>
      </c>
    </row>
    <row r="251" spans="1:35" s="1459" customFormat="1">
      <c r="A251" s="1484">
        <v>45076</v>
      </c>
      <c r="B251" s="1489">
        <v>1.069</v>
      </c>
      <c r="C251" s="1488">
        <v>0.65310010010010011</v>
      </c>
      <c r="D251" s="1488">
        <v>1.3586999639584094</v>
      </c>
      <c r="E251" s="1488">
        <v>0.90640005540623636</v>
      </c>
      <c r="F251" s="1488">
        <v>1.2355999332665999</v>
      </c>
      <c r="G251" s="1488">
        <v>7.8324068774647779</v>
      </c>
      <c r="H251" s="1488">
        <v>140.25645825533508</v>
      </c>
      <c r="I251" s="1488">
        <v>4.6139990300902936</v>
      </c>
      <c r="J251" s="1488">
        <v>0.60480013346680017</v>
      </c>
      <c r="K251" s="1488">
        <v>1.3545499454699863</v>
      </c>
      <c r="L251" s="1488">
        <v>3.7504692779376798</v>
      </c>
      <c r="M251" s="1488">
        <v>34.849971859548916</v>
      </c>
      <c r="N251" s="1488">
        <v>10.856020980338176</v>
      </c>
      <c r="O251" s="1488">
        <v>7.0918461516618638</v>
      </c>
      <c r="P251" s="1488">
        <v>7.1018957345971563</v>
      </c>
      <c r="Q251" s="1488"/>
      <c r="R251" s="1485">
        <v>14985</v>
      </c>
      <c r="S251" s="1486">
        <v>16018.965</v>
      </c>
      <c r="T251" s="1487">
        <v>9786.7049999999999</v>
      </c>
      <c r="U251" s="1487">
        <v>11028.924999999999</v>
      </c>
      <c r="V251" s="1487">
        <v>16532.434999999998</v>
      </c>
      <c r="W251" s="1487">
        <v>18515.465</v>
      </c>
      <c r="X251" s="1487">
        <v>1913.2049999999999</v>
      </c>
      <c r="Y251" s="1487">
        <v>106.84</v>
      </c>
      <c r="Z251" s="1487">
        <v>3247.7250000000004</v>
      </c>
      <c r="AA251" s="1487">
        <v>9062.93</v>
      </c>
      <c r="AB251" s="1487">
        <v>11062.715</v>
      </c>
      <c r="AC251" s="1487">
        <v>3995.5</v>
      </c>
      <c r="AD251" s="1487">
        <v>429.98599999999999</v>
      </c>
      <c r="AE251" s="1487">
        <v>1380.3400000000001</v>
      </c>
      <c r="AF251" s="1487">
        <v>2112.9899999999998</v>
      </c>
      <c r="AG251" s="1487">
        <v>11.315000000000001</v>
      </c>
      <c r="AH251" s="1487">
        <v>181.125</v>
      </c>
      <c r="AI251" s="1487">
        <v>2110</v>
      </c>
    </row>
    <row r="252" spans="1:35" s="1459" customFormat="1">
      <c r="A252" s="1490">
        <v>45077</v>
      </c>
      <c r="B252" s="1495">
        <v>1.0673999332888593</v>
      </c>
      <c r="C252" s="1494">
        <v>0.6476501000667112</v>
      </c>
      <c r="D252" s="1494">
        <v>1.3645998759206384</v>
      </c>
      <c r="E252" s="1494">
        <v>0.91164993129176053</v>
      </c>
      <c r="F252" s="1494">
        <v>1.236150100066711</v>
      </c>
      <c r="G252" s="1494">
        <v>7.8327480979851174</v>
      </c>
      <c r="H252" s="1494">
        <v>139.74735468232882</v>
      </c>
      <c r="I252" s="1494">
        <v>4.6234965539682955</v>
      </c>
      <c r="J252" s="1494">
        <v>0.59950000000000003</v>
      </c>
      <c r="K252" s="1494">
        <v>1.3548500513604764</v>
      </c>
      <c r="L252" s="1494">
        <v>3.7507819341924185</v>
      </c>
      <c r="M252" s="1494">
        <v>34.740006164670874</v>
      </c>
      <c r="N252" s="1494">
        <v>10.918056309201686</v>
      </c>
      <c r="O252" s="1494">
        <v>7.1082069204250704</v>
      </c>
      <c r="P252" s="1494">
        <v>7.1245247148288975</v>
      </c>
      <c r="Q252" s="1494"/>
      <c r="R252" s="1491">
        <v>14990</v>
      </c>
      <c r="S252" s="1492">
        <v>16000.325000000001</v>
      </c>
      <c r="T252" s="1493">
        <v>9708.2750000000015</v>
      </c>
      <c r="U252" s="1493">
        <v>10984.905000000001</v>
      </c>
      <c r="V252" s="1493">
        <v>16442.715</v>
      </c>
      <c r="W252" s="1493">
        <v>18529.89</v>
      </c>
      <c r="X252" s="1493">
        <v>1913.7600000000002</v>
      </c>
      <c r="Y252" s="1493">
        <v>107.265</v>
      </c>
      <c r="Z252" s="1493">
        <v>3242.1350000000002</v>
      </c>
      <c r="AA252" s="1493">
        <v>8986.505000000001</v>
      </c>
      <c r="AB252" s="1493">
        <v>11063.955</v>
      </c>
      <c r="AC252" s="1493">
        <v>3996.5</v>
      </c>
      <c r="AD252" s="1493">
        <v>431.49099999999999</v>
      </c>
      <c r="AE252" s="1493">
        <v>1372.9549999999999</v>
      </c>
      <c r="AF252" s="1493">
        <v>2108.83</v>
      </c>
      <c r="AG252" s="1493">
        <v>11.295000000000002</v>
      </c>
      <c r="AH252" s="1493">
        <v>181.29500000000002</v>
      </c>
      <c r="AI252" s="1493">
        <v>2104</v>
      </c>
    </row>
    <row r="253" spans="1:35" s="1459" customFormat="1">
      <c r="A253" s="1490">
        <v>45079</v>
      </c>
      <c r="B253" s="1495">
        <v>1.0673999332888593</v>
      </c>
      <c r="C253" s="1494">
        <v>0.6476501000667112</v>
      </c>
      <c r="D253" s="1494">
        <v>1.3645998759206384</v>
      </c>
      <c r="E253" s="1494">
        <v>0.91164993129176053</v>
      </c>
      <c r="F253" s="1494">
        <v>1.236150100066711</v>
      </c>
      <c r="G253" s="1494">
        <v>7.8327480979851174</v>
      </c>
      <c r="H253" s="1494">
        <v>139.74735468232882</v>
      </c>
      <c r="I253" s="1494">
        <v>4.6234965539682955</v>
      </c>
      <c r="J253" s="1494">
        <v>0.59950000000000003</v>
      </c>
      <c r="K253" s="1494">
        <v>1.3548500513604764</v>
      </c>
      <c r="L253" s="1494">
        <v>3.7507819341924185</v>
      </c>
      <c r="M253" s="1494">
        <v>34.740006164670874</v>
      </c>
      <c r="N253" s="1494">
        <v>10.918056309201686</v>
      </c>
      <c r="O253" s="1494">
        <v>7.1082069204250704</v>
      </c>
      <c r="P253" s="1494">
        <v>7.1245247148288975</v>
      </c>
      <c r="Q253" s="1494"/>
      <c r="R253" s="1491">
        <v>14990</v>
      </c>
      <c r="S253" s="1492">
        <v>16000.325000000001</v>
      </c>
      <c r="T253" s="1493">
        <v>9708.2750000000015</v>
      </c>
      <c r="U253" s="1493">
        <v>10984.905000000001</v>
      </c>
      <c r="V253" s="1493">
        <v>16442.715</v>
      </c>
      <c r="W253" s="1493">
        <v>18529.89</v>
      </c>
      <c r="X253" s="1493">
        <v>1913.7600000000002</v>
      </c>
      <c r="Y253" s="1493">
        <v>107.265</v>
      </c>
      <c r="Z253" s="1493">
        <v>3242.1350000000002</v>
      </c>
      <c r="AA253" s="1493">
        <v>8986.505000000001</v>
      </c>
      <c r="AB253" s="1493">
        <v>11063.955</v>
      </c>
      <c r="AC253" s="1493">
        <v>3996.5</v>
      </c>
      <c r="AD253" s="1493">
        <v>431.49099999999999</v>
      </c>
      <c r="AE253" s="1493">
        <v>1372.9549999999999</v>
      </c>
      <c r="AF253" s="1493">
        <v>2108.83</v>
      </c>
      <c r="AG253" s="1493">
        <v>11.295000000000002</v>
      </c>
      <c r="AH253" s="1493">
        <v>181.29500000000002</v>
      </c>
      <c r="AI253" s="1493">
        <v>2104</v>
      </c>
    </row>
    <row r="254" spans="1:35" s="1459" customFormat="1">
      <c r="A254" s="1501">
        <v>45082</v>
      </c>
      <c r="B254" s="1500">
        <v>1.069</v>
      </c>
      <c r="C254" s="1499">
        <v>0.65934989926124921</v>
      </c>
      <c r="D254" s="1499">
        <v>1.3430997461279897</v>
      </c>
      <c r="E254" s="1499">
        <v>0.9108501584200267</v>
      </c>
      <c r="F254" s="1499">
        <v>1.2398999328408329</v>
      </c>
      <c r="G254" s="1499">
        <v>7.8374608521725406</v>
      </c>
      <c r="H254" s="1499">
        <v>140.41208920741195</v>
      </c>
      <c r="I254" s="1499">
        <v>4.5774961802961691</v>
      </c>
      <c r="J254" s="1499">
        <v>0.60505003357958365</v>
      </c>
      <c r="K254" s="1499">
        <v>1.352250307071615</v>
      </c>
      <c r="L254" s="1499">
        <v>3.7506297229219143</v>
      </c>
      <c r="M254" s="1499">
        <v>34.889987581132694</v>
      </c>
      <c r="N254" s="1499">
        <v>10.861715552897067</v>
      </c>
      <c r="O254" s="1499">
        <v>7.1187137550378408</v>
      </c>
      <c r="P254" s="1499">
        <v>7.1295187933923865</v>
      </c>
      <c r="Q254" s="1499"/>
      <c r="R254" s="1498">
        <v>14890</v>
      </c>
      <c r="S254" s="1497">
        <v>15917.41</v>
      </c>
      <c r="T254" s="1496">
        <v>9817.7200000000012</v>
      </c>
      <c r="U254" s="1496">
        <v>11086.295</v>
      </c>
      <c r="V254" s="1496">
        <v>16347.365</v>
      </c>
      <c r="W254" s="1496">
        <v>18462.11</v>
      </c>
      <c r="X254" s="1496">
        <v>1899.85</v>
      </c>
      <c r="Y254" s="1496">
        <v>106.045</v>
      </c>
      <c r="Z254" s="1496">
        <v>3252.87</v>
      </c>
      <c r="AA254" s="1496">
        <v>9009.1949999999997</v>
      </c>
      <c r="AB254" s="1496">
        <v>11011.275000000001</v>
      </c>
      <c r="AC254" s="1496">
        <v>3970</v>
      </c>
      <c r="AD254" s="1496">
        <v>426.77</v>
      </c>
      <c r="AE254" s="1496">
        <v>1370.87</v>
      </c>
      <c r="AF254" s="1496">
        <v>2091.67</v>
      </c>
      <c r="AG254" s="1496">
        <v>11.39</v>
      </c>
      <c r="AH254" s="1496">
        <v>180.29500000000002</v>
      </c>
      <c r="AI254" s="1496">
        <v>2088.5</v>
      </c>
    </row>
    <row r="255" spans="1:35" s="1459" customFormat="1">
      <c r="A255" s="1507">
        <v>45083</v>
      </c>
      <c r="B255" s="1506">
        <v>1.0713001345895021</v>
      </c>
      <c r="C255" s="1505">
        <v>0.66640006729475099</v>
      </c>
      <c r="D255" s="1505">
        <v>1.3408000678520624</v>
      </c>
      <c r="E255" s="1505">
        <v>0.90599977929211295</v>
      </c>
      <c r="F255" s="1505">
        <v>1.2434000672947512</v>
      </c>
      <c r="G255" s="1505">
        <v>7.8418541816186096</v>
      </c>
      <c r="H255" s="1505">
        <v>139.31467679182489</v>
      </c>
      <c r="I255" s="1505">
        <v>4.601502455579709</v>
      </c>
      <c r="J255" s="1505">
        <v>0.60855013458950202</v>
      </c>
      <c r="K255" s="1505">
        <v>1.3487504770773684</v>
      </c>
      <c r="L255" s="1505">
        <v>3.7501577287066246</v>
      </c>
      <c r="M255" s="1505">
        <v>34.769993916420987</v>
      </c>
      <c r="N255" s="1505">
        <v>10.823015294974509</v>
      </c>
      <c r="O255" s="1505">
        <v>7.1180513975043702</v>
      </c>
      <c r="P255" s="1505">
        <v>7.1305182341650672</v>
      </c>
      <c r="Q255" s="1505"/>
      <c r="R255" s="1504">
        <v>14860</v>
      </c>
      <c r="S255" s="1503">
        <v>15919.52</v>
      </c>
      <c r="T255" s="1502">
        <v>9902.7049999999999</v>
      </c>
      <c r="U255" s="1502">
        <v>11082.935000000001</v>
      </c>
      <c r="V255" s="1502">
        <v>16401.77</v>
      </c>
      <c r="W255" s="1502">
        <v>18476.925000000003</v>
      </c>
      <c r="X255" s="1502">
        <v>1894.96</v>
      </c>
      <c r="Y255" s="1502">
        <v>106.66499999999999</v>
      </c>
      <c r="Z255" s="1502">
        <v>3229.38</v>
      </c>
      <c r="AA255" s="1502">
        <v>9043.0550000000003</v>
      </c>
      <c r="AB255" s="1502">
        <v>11017.605</v>
      </c>
      <c r="AC255" s="1502">
        <v>3962.5</v>
      </c>
      <c r="AD255" s="1502">
        <v>427.38</v>
      </c>
      <c r="AE255" s="1502">
        <v>1373</v>
      </c>
      <c r="AF255" s="1502">
        <v>2087.65</v>
      </c>
      <c r="AG255" s="1502">
        <v>11.425000000000001</v>
      </c>
      <c r="AH255" s="1502">
        <v>179.91000000000003</v>
      </c>
      <c r="AI255" s="1502">
        <v>2084</v>
      </c>
    </row>
    <row r="256" spans="1:35" s="1459" customFormat="1">
      <c r="A256" s="1507">
        <v>45084</v>
      </c>
      <c r="B256" s="1506">
        <v>1.0684002688623762</v>
      </c>
      <c r="C256" s="1505">
        <v>0.66735002520584774</v>
      </c>
      <c r="D256" s="1505">
        <v>1.3416001089331495</v>
      </c>
      <c r="E256" s="1505">
        <v>0.90790008857785098</v>
      </c>
      <c r="F256" s="1505">
        <v>1.2410999831961016</v>
      </c>
      <c r="G256" s="1505">
        <v>7.840455750370217</v>
      </c>
      <c r="H256" s="1505">
        <v>139.43298969072166</v>
      </c>
      <c r="I256" s="1505">
        <v>4.6025033410879566</v>
      </c>
      <c r="J256" s="1505">
        <v>0.60659989917660906</v>
      </c>
      <c r="K256" s="1505">
        <v>1.3487504736831608</v>
      </c>
      <c r="L256" s="1505">
        <v>3.7503150995714645</v>
      </c>
      <c r="M256" s="1505">
        <v>34.799989240131033</v>
      </c>
      <c r="N256" s="1505">
        <v>10.897550935200682</v>
      </c>
      <c r="O256" s="1505">
        <v>7.1262974866958215</v>
      </c>
      <c r="P256" s="1505">
        <v>7.1372031662269126</v>
      </c>
      <c r="Q256" s="1505"/>
      <c r="R256" s="1504">
        <v>14877.5</v>
      </c>
      <c r="S256" s="1503">
        <v>15895.125</v>
      </c>
      <c r="T256" s="1502">
        <v>9928.5</v>
      </c>
      <c r="U256" s="1502">
        <v>11089.369999999999</v>
      </c>
      <c r="V256" s="1502">
        <v>16386.715</v>
      </c>
      <c r="W256" s="1502">
        <v>18464.465</v>
      </c>
      <c r="X256" s="1502">
        <v>1897.5300000000002</v>
      </c>
      <c r="Y256" s="1502">
        <v>106.7</v>
      </c>
      <c r="Z256" s="1502">
        <v>3232.4800000000005</v>
      </c>
      <c r="AA256" s="1502">
        <v>9024.69</v>
      </c>
      <c r="AB256" s="1502">
        <v>11030.58</v>
      </c>
      <c r="AC256" s="1502">
        <v>3967</v>
      </c>
      <c r="AD256" s="1502">
        <v>427.5145</v>
      </c>
      <c r="AE256" s="1502">
        <v>1365.2150000000001</v>
      </c>
      <c r="AF256" s="1502">
        <v>2087.69</v>
      </c>
      <c r="AG256" s="1502">
        <v>11.4</v>
      </c>
      <c r="AH256" s="1502">
        <v>180.32499999999999</v>
      </c>
      <c r="AI256" s="1502">
        <v>2084.5</v>
      </c>
    </row>
    <row r="257" spans="1:35" s="990" customFormat="1">
      <c r="A257" s="989">
        <v>45085</v>
      </c>
      <c r="B257" s="1295">
        <v>1.0713001007049345</v>
      </c>
      <c r="C257" s="669">
        <v>0.66794998321584431</v>
      </c>
      <c r="D257" s="669">
        <v>1.3342996069213378</v>
      </c>
      <c r="E257" s="669">
        <v>0.90929985742398001</v>
      </c>
      <c r="F257" s="669">
        <v>1.2457002349781807</v>
      </c>
      <c r="G257" s="669">
        <v>7.8378648593183513</v>
      </c>
      <c r="H257" s="669">
        <v>139.72795497185743</v>
      </c>
      <c r="I257" s="669">
        <v>4.6205029973555023</v>
      </c>
      <c r="J257" s="669">
        <v>0.60730010070493456</v>
      </c>
      <c r="K257" s="669">
        <v>1.347399843956715</v>
      </c>
      <c r="L257" s="669">
        <v>3.7504721138109027</v>
      </c>
      <c r="M257" s="669">
        <v>34.870001264169225</v>
      </c>
      <c r="N257" s="669">
        <v>10.874286819809525</v>
      </c>
      <c r="O257" s="669">
        <v>7.1314006655016398</v>
      </c>
      <c r="P257" s="669">
        <v>7.1438848920863309</v>
      </c>
      <c r="Q257" s="669"/>
      <c r="R257" s="1296">
        <v>14895</v>
      </c>
      <c r="S257" s="1297">
        <v>15957.014999999999</v>
      </c>
      <c r="T257" s="668">
        <v>9949.1150000000016</v>
      </c>
      <c r="U257" s="668">
        <v>11163.16</v>
      </c>
      <c r="V257" s="668">
        <v>16380.735000000001</v>
      </c>
      <c r="W257" s="668">
        <v>18554.705000000002</v>
      </c>
      <c r="X257" s="668">
        <v>1900.3899999999999</v>
      </c>
      <c r="Y257" s="668">
        <v>106.6</v>
      </c>
      <c r="Z257" s="668">
        <v>3223.6750000000002</v>
      </c>
      <c r="AA257" s="668">
        <v>9045.7350000000006</v>
      </c>
      <c r="AB257" s="668">
        <v>11054.625</v>
      </c>
      <c r="AC257" s="668">
        <v>3971.5</v>
      </c>
      <c r="AD257" s="668">
        <v>427.15800000000002</v>
      </c>
      <c r="AE257" s="668">
        <v>1369.7450000000001</v>
      </c>
      <c r="AF257" s="668">
        <v>2088.65</v>
      </c>
      <c r="AG257" s="668">
        <v>11.425000000000001</v>
      </c>
      <c r="AH257" s="668">
        <v>180.47500000000002</v>
      </c>
      <c r="AI257" s="668">
        <v>2085</v>
      </c>
    </row>
    <row r="258" spans="1:35" s="990" customFormat="1">
      <c r="A258" s="989">
        <v>45086</v>
      </c>
      <c r="B258" s="1295">
        <v>1.0776000673854447</v>
      </c>
      <c r="C258" s="669">
        <v>0.67230020215633435</v>
      </c>
      <c r="D258" s="669">
        <v>1.333399823621034</v>
      </c>
      <c r="E258" s="669">
        <v>0.89959975691408189</v>
      </c>
      <c r="F258" s="669">
        <v>1.2549999999999999</v>
      </c>
      <c r="G258" s="669">
        <v>7.8369450700915451</v>
      </c>
      <c r="H258" s="669">
        <v>139.56550362080316</v>
      </c>
      <c r="I258" s="669">
        <v>4.6129934721790491</v>
      </c>
      <c r="J258" s="669">
        <v>0.61029986522911051</v>
      </c>
      <c r="K258" s="669">
        <v>1.3420997892794806</v>
      </c>
      <c r="L258" s="669">
        <v>3.7507898395046126</v>
      </c>
      <c r="M258" s="669">
        <v>34.60001888545505</v>
      </c>
      <c r="N258" s="669">
        <v>10.814907665175124</v>
      </c>
      <c r="O258" s="669">
        <v>7.1224079882317088</v>
      </c>
      <c r="P258" s="669">
        <v>7.1329007450132176</v>
      </c>
      <c r="Q258" s="669"/>
      <c r="R258" s="1296">
        <v>14840</v>
      </c>
      <c r="S258" s="1297">
        <v>15991.584999999999</v>
      </c>
      <c r="T258" s="668">
        <v>9976.9350000000013</v>
      </c>
      <c r="U258" s="668">
        <v>11129.445</v>
      </c>
      <c r="V258" s="668">
        <v>16496.224999999999</v>
      </c>
      <c r="W258" s="668">
        <v>18624.199999999997</v>
      </c>
      <c r="X258" s="668">
        <v>1893.595</v>
      </c>
      <c r="Y258" s="668">
        <v>106.33</v>
      </c>
      <c r="Z258" s="668">
        <v>3217</v>
      </c>
      <c r="AA258" s="668">
        <v>9056.85</v>
      </c>
      <c r="AB258" s="668">
        <v>11057.3</v>
      </c>
      <c r="AC258" s="668">
        <v>3956.5</v>
      </c>
      <c r="AD258" s="668">
        <v>428.9015</v>
      </c>
      <c r="AE258" s="668">
        <v>1372.1799999999998</v>
      </c>
      <c r="AF258" s="668">
        <v>2083.5650000000001</v>
      </c>
      <c r="AG258" s="668">
        <v>11.484999999999999</v>
      </c>
      <c r="AH258" s="668">
        <v>180.01499999999999</v>
      </c>
      <c r="AI258" s="668">
        <v>2080.5</v>
      </c>
    </row>
    <row r="259" spans="1:35" s="1459" customFormat="1">
      <c r="A259" s="1513">
        <v>45089</v>
      </c>
      <c r="B259" s="1512">
        <v>1.0770001682085788</v>
      </c>
      <c r="C259" s="1511">
        <v>0.67620016820857876</v>
      </c>
      <c r="D259" s="1511">
        <v>1.3321000484440757</v>
      </c>
      <c r="E259" s="1511">
        <v>0.90239994365502785</v>
      </c>
      <c r="F259" s="1511">
        <v>1.2590001682085785</v>
      </c>
      <c r="G259" s="1511">
        <v>7.8378998383639154</v>
      </c>
      <c r="H259" s="1511">
        <v>139.50159564482826</v>
      </c>
      <c r="I259" s="1511">
        <v>4.6185016632820961</v>
      </c>
      <c r="J259" s="1511">
        <v>0.61339983179142132</v>
      </c>
      <c r="K259" s="1511">
        <v>1.3418501506618967</v>
      </c>
      <c r="L259" s="1511">
        <v>3.7503154176129194</v>
      </c>
      <c r="M259" s="1511">
        <v>34.569983136593592</v>
      </c>
      <c r="N259" s="1511">
        <v>10.801706469758855</v>
      </c>
      <c r="O259" s="1511">
        <v>7.1419475592439268</v>
      </c>
      <c r="P259" s="1511">
        <v>7.150589367332211</v>
      </c>
      <c r="Q259" s="1511"/>
      <c r="R259" s="1510">
        <v>14862.5</v>
      </c>
      <c r="S259" s="1509">
        <v>16006.915000000001</v>
      </c>
      <c r="T259" s="1508">
        <v>10050.025000000001</v>
      </c>
      <c r="U259" s="1508">
        <v>11157.195</v>
      </c>
      <c r="V259" s="1508">
        <v>16469.97</v>
      </c>
      <c r="W259" s="1508">
        <v>18711.89</v>
      </c>
      <c r="X259" s="1508">
        <v>1896.2350000000001</v>
      </c>
      <c r="Y259" s="1508">
        <v>106.53999999999999</v>
      </c>
      <c r="Z259" s="1508">
        <v>3218.0349999999999</v>
      </c>
      <c r="AA259" s="1508">
        <v>9116.6549999999988</v>
      </c>
      <c r="AB259" s="1508">
        <v>11076.125</v>
      </c>
      <c r="AC259" s="1508">
        <v>3963</v>
      </c>
      <c r="AD259" s="1508">
        <v>429.92500000000001</v>
      </c>
      <c r="AE259" s="1508">
        <v>1375.94</v>
      </c>
      <c r="AF259" s="1508">
        <v>2081.0149999999999</v>
      </c>
      <c r="AG259" s="1508">
        <v>11.555</v>
      </c>
      <c r="AH259" s="1508">
        <v>180.26499999999999</v>
      </c>
      <c r="AI259" s="1508">
        <v>2078.5</v>
      </c>
    </row>
    <row r="260" spans="1:35" s="1459" customFormat="1">
      <c r="A260" s="1519">
        <v>45090</v>
      </c>
      <c r="B260" s="1518">
        <v>1.0799999999999998</v>
      </c>
      <c r="C260" s="1517">
        <v>0.67755013458950208</v>
      </c>
      <c r="D260" s="1517">
        <v>1.3354998508122644</v>
      </c>
      <c r="E260" s="1517">
        <v>0.90439988107689318</v>
      </c>
      <c r="F260" s="1517">
        <v>1.2565999327052491</v>
      </c>
      <c r="G260" s="1517">
        <v>7.8331321458881318</v>
      </c>
      <c r="H260" s="1517">
        <v>139.49777047641399</v>
      </c>
      <c r="I260" s="1517">
        <v>4.6164982338632257</v>
      </c>
      <c r="J260" s="1517">
        <v>0.61470020188425301</v>
      </c>
      <c r="K260" s="1517">
        <v>1.3404499257159814</v>
      </c>
      <c r="L260" s="1517">
        <v>3.7501577287066246</v>
      </c>
      <c r="M260" s="1517">
        <v>34.544964246194475</v>
      </c>
      <c r="N260" s="1517">
        <v>10.757903729068783</v>
      </c>
      <c r="O260" s="1517">
        <v>7.1510896268295792</v>
      </c>
      <c r="P260" s="1517">
        <v>7.16144578313253</v>
      </c>
      <c r="Q260" s="1517"/>
      <c r="R260" s="1516">
        <v>14860</v>
      </c>
      <c r="S260" s="1515">
        <v>16048.8</v>
      </c>
      <c r="T260" s="1514">
        <v>10068.395</v>
      </c>
      <c r="U260" s="1514">
        <v>11126.92</v>
      </c>
      <c r="V260" s="1514">
        <v>16430.785</v>
      </c>
      <c r="W260" s="1514">
        <v>18673.075000000001</v>
      </c>
      <c r="X260" s="1514">
        <v>1897.0700000000002</v>
      </c>
      <c r="Y260" s="1514">
        <v>106.52500000000001</v>
      </c>
      <c r="Z260" s="1514">
        <v>3218.8900000000003</v>
      </c>
      <c r="AA260" s="1514">
        <v>9134.4449999999997</v>
      </c>
      <c r="AB260" s="1514">
        <v>11085.830000000002</v>
      </c>
      <c r="AC260" s="1514">
        <v>3962.5</v>
      </c>
      <c r="AD260" s="1514">
        <v>430.16399999999999</v>
      </c>
      <c r="AE260" s="1514">
        <v>1381.31</v>
      </c>
      <c r="AF260" s="1514">
        <v>2078.0050000000001</v>
      </c>
      <c r="AG260" s="1514">
        <v>11.675000000000001</v>
      </c>
      <c r="AH260" s="1514">
        <v>180.405</v>
      </c>
      <c r="AI260" s="1514">
        <v>2075</v>
      </c>
    </row>
    <row r="261" spans="1:35" s="1459" customFormat="1">
      <c r="A261" s="1525">
        <v>45091</v>
      </c>
      <c r="B261" s="1524">
        <v>1.0790001678133914</v>
      </c>
      <c r="C261" s="1523">
        <v>0.67840006712535661</v>
      </c>
      <c r="D261" s="1523">
        <v>1.3293001487906022</v>
      </c>
      <c r="E261" s="1523">
        <v>0.904399823946334</v>
      </c>
      <c r="F261" s="1523">
        <v>1.2618999832186608</v>
      </c>
      <c r="G261" s="1523">
        <v>7.8313506352869435</v>
      </c>
      <c r="H261" s="1523">
        <v>139.98778425108063</v>
      </c>
      <c r="I261" s="1523">
        <v>4.6205045259078563</v>
      </c>
      <c r="J261" s="1523">
        <v>0.61630005034401747</v>
      </c>
      <c r="K261" s="1523">
        <v>1.341750251170063</v>
      </c>
      <c r="L261" s="1523">
        <v>3.7506294058408862</v>
      </c>
      <c r="M261" s="1523">
        <v>34.644986273399461</v>
      </c>
      <c r="N261" s="1523">
        <v>10.696502231205283</v>
      </c>
      <c r="O261" s="1523">
        <v>7.1607448424371762</v>
      </c>
      <c r="P261" s="1523">
        <v>7.1674284339668031</v>
      </c>
      <c r="Q261" s="1523"/>
      <c r="R261" s="1522">
        <v>14897.5</v>
      </c>
      <c r="S261" s="1521">
        <v>16074.404999999999</v>
      </c>
      <c r="T261" s="1520">
        <v>10106.465</v>
      </c>
      <c r="U261" s="1520">
        <v>11207.025000000001</v>
      </c>
      <c r="V261" s="1520">
        <v>16472.25</v>
      </c>
      <c r="W261" s="1520">
        <v>18799.154999999999</v>
      </c>
      <c r="X261" s="1520">
        <v>1902.29</v>
      </c>
      <c r="Y261" s="1520">
        <v>106.42</v>
      </c>
      <c r="Z261" s="1520">
        <v>3224.2150000000001</v>
      </c>
      <c r="AA261" s="1520">
        <v>9181.33</v>
      </c>
      <c r="AB261" s="1520">
        <v>11103.035</v>
      </c>
      <c r="AC261" s="1520">
        <v>3972</v>
      </c>
      <c r="AD261" s="1520">
        <v>430.00450000000001</v>
      </c>
      <c r="AE261" s="1520">
        <v>1392.7449999999999</v>
      </c>
      <c r="AF261" s="1520">
        <v>2080.44</v>
      </c>
      <c r="AG261" s="1520">
        <v>11.65</v>
      </c>
      <c r="AH261" s="1520">
        <v>181.20999999999998</v>
      </c>
      <c r="AI261" s="1520">
        <v>2078.5</v>
      </c>
    </row>
    <row r="262" spans="1:35" s="1459" customFormat="1">
      <c r="A262" s="1531">
        <v>45092</v>
      </c>
      <c r="B262" s="1530">
        <v>1.0827002341920375</v>
      </c>
      <c r="C262" s="1529">
        <v>0.68180026764804291</v>
      </c>
      <c r="D262" s="1529">
        <v>1.3328000349586893</v>
      </c>
      <c r="E262" s="1529">
        <v>0.90374988170219439</v>
      </c>
      <c r="F262" s="1529">
        <v>1.2655001672800268</v>
      </c>
      <c r="G262" s="1529">
        <v>7.8279885290766948</v>
      </c>
      <c r="H262" s="1529">
        <v>141.27044144058985</v>
      </c>
      <c r="I262" s="1529">
        <v>4.6329951717029241</v>
      </c>
      <c r="J262" s="1529">
        <v>0.61805018400802947</v>
      </c>
      <c r="K262" s="1529">
        <v>1.3423499972156006</v>
      </c>
      <c r="L262" s="1529">
        <v>3.7498431815330573</v>
      </c>
      <c r="M262" s="1529">
        <v>34.800001862830477</v>
      </c>
      <c r="N262" s="1529">
        <v>10.719754977029096</v>
      </c>
      <c r="O262" s="1529">
        <v>7.1516929342039459</v>
      </c>
      <c r="P262" s="1529">
        <v>7.1575670498084287</v>
      </c>
      <c r="Q262" s="1529"/>
      <c r="R262" s="1528">
        <v>14945</v>
      </c>
      <c r="S262" s="1527">
        <v>16180.955000000002</v>
      </c>
      <c r="T262" s="1526">
        <v>10189.505000000001</v>
      </c>
      <c r="U262" s="1526">
        <v>11213.235000000001</v>
      </c>
      <c r="V262" s="1526">
        <v>16536.654999999999</v>
      </c>
      <c r="W262" s="1526">
        <v>18912.900000000001</v>
      </c>
      <c r="X262" s="1526">
        <v>1909.1750000000002</v>
      </c>
      <c r="Y262" s="1526">
        <v>105.78999999999999</v>
      </c>
      <c r="Z262" s="1526">
        <v>3225.7750000000001</v>
      </c>
      <c r="AA262" s="1526">
        <v>9236.76</v>
      </c>
      <c r="AB262" s="1526">
        <v>11133.46</v>
      </c>
      <c r="AC262" s="1526">
        <v>3985.5</v>
      </c>
      <c r="AD262" s="1526">
        <v>429.45400000000001</v>
      </c>
      <c r="AE262" s="1526">
        <v>1394.155</v>
      </c>
      <c r="AF262" s="1526">
        <v>2089.7150000000001</v>
      </c>
      <c r="AG262" s="1526">
        <v>11.675000000000001</v>
      </c>
      <c r="AH262" s="1526">
        <v>182.11500000000001</v>
      </c>
      <c r="AI262" s="1526">
        <v>2088</v>
      </c>
    </row>
    <row r="263" spans="1:35">
      <c r="A263" s="1550">
        <v>45093</v>
      </c>
      <c r="B263" s="1549">
        <v>1.0942999665215936</v>
      </c>
      <c r="C263" s="1548">
        <v>0.68760026782725148</v>
      </c>
      <c r="D263" s="1548">
        <v>1.323400079306533</v>
      </c>
      <c r="E263" s="1548">
        <v>0.8907999186440515</v>
      </c>
      <c r="F263" s="1548">
        <v>1.2787502510880484</v>
      </c>
      <c r="G263" s="1548">
        <v>7.8238571327541182</v>
      </c>
      <c r="H263" s="1548">
        <v>141.14256012852621</v>
      </c>
      <c r="I263" s="1548">
        <v>4.61699927506774</v>
      </c>
      <c r="J263" s="1548">
        <v>0.62289989956478076</v>
      </c>
      <c r="K263" s="1548">
        <v>1.3373497104572956</v>
      </c>
      <c r="L263" s="1548">
        <v>3.7506278252134604</v>
      </c>
      <c r="M263" s="1548">
        <v>34.650002494057766</v>
      </c>
      <c r="N263" s="1548">
        <v>10.621464104998525</v>
      </c>
      <c r="O263" s="1548">
        <v>7.1230982019363767</v>
      </c>
      <c r="P263" s="1548">
        <v>7.1254770992366412</v>
      </c>
      <c r="Q263" s="1548"/>
      <c r="R263" s="1547">
        <v>14935</v>
      </c>
      <c r="S263" s="1546">
        <v>16343.369999999999</v>
      </c>
      <c r="T263" s="1545">
        <v>10269.310000000001</v>
      </c>
      <c r="U263" s="1545">
        <v>11285.325000000001</v>
      </c>
      <c r="V263" s="1545">
        <v>16765.830000000002</v>
      </c>
      <c r="W263" s="1545">
        <v>19098.135000000002</v>
      </c>
      <c r="X263" s="1545">
        <v>1908.905</v>
      </c>
      <c r="Y263" s="1545">
        <v>105.815</v>
      </c>
      <c r="Z263" s="1545">
        <v>3234.7849999999999</v>
      </c>
      <c r="AA263" s="1545">
        <v>9303.01</v>
      </c>
      <c r="AB263" s="1545">
        <v>11167.61</v>
      </c>
      <c r="AC263" s="1545">
        <v>3982</v>
      </c>
      <c r="AD263" s="1545">
        <v>431.02449999999999</v>
      </c>
      <c r="AE263" s="1545">
        <v>1406.115</v>
      </c>
      <c r="AF263" s="1545">
        <v>2096.6999999999998</v>
      </c>
      <c r="AG263" s="1545">
        <v>11.705000000000002</v>
      </c>
      <c r="AH263" s="1545">
        <v>182.32</v>
      </c>
      <c r="AI263" s="1545">
        <v>2096</v>
      </c>
    </row>
    <row r="264" spans="1:35" s="31" customFormat="1">
      <c r="A264" s="1550">
        <v>45096</v>
      </c>
      <c r="B264" s="1549">
        <v>1.092950081696622</v>
      </c>
      <c r="C264" s="1548">
        <v>0.68674980826302989</v>
      </c>
      <c r="D264" s="1548">
        <v>1.3191499095171106</v>
      </c>
      <c r="E264" s="1548">
        <v>0.89404991284287849</v>
      </c>
      <c r="F264" s="1548">
        <v>1.2813501617259664</v>
      </c>
      <c r="G264" s="1548">
        <v>7.8152526294941156</v>
      </c>
      <c r="H264" s="1548">
        <v>141.84561536278497</v>
      </c>
      <c r="I264" s="1548">
        <v>4.6244994070759198</v>
      </c>
      <c r="J264" s="1548">
        <v>0.62275034179199051</v>
      </c>
      <c r="K264" s="1548">
        <v>1.3393495162281517</v>
      </c>
      <c r="L264" s="1548">
        <v>3.7505002501250626</v>
      </c>
      <c r="M264" s="1548">
        <v>34.769976011510764</v>
      </c>
      <c r="N264" s="1548">
        <v>10.67824613127666</v>
      </c>
      <c r="O264" s="1548">
        <v>7.1563057054290953</v>
      </c>
      <c r="P264" s="1548">
        <v>7.1589878252566246</v>
      </c>
      <c r="Q264" s="1548"/>
      <c r="R264" s="1547">
        <v>14994.5</v>
      </c>
      <c r="S264" s="1546">
        <v>16388.239999999998</v>
      </c>
      <c r="T264" s="1545">
        <v>10297.470000000001</v>
      </c>
      <c r="U264" s="1545">
        <v>11366.79</v>
      </c>
      <c r="V264" s="1545">
        <v>16771.434999999998</v>
      </c>
      <c r="W264" s="1545">
        <v>19213.205000000002</v>
      </c>
      <c r="X264" s="1545">
        <v>1918.62</v>
      </c>
      <c r="Y264" s="1545">
        <v>105.71000000000001</v>
      </c>
      <c r="Z264" s="1545">
        <v>3242.4050000000002</v>
      </c>
      <c r="AA264" s="1545">
        <v>9337.8300000000017</v>
      </c>
      <c r="AB264" s="1545">
        <v>11195.36</v>
      </c>
      <c r="AC264" s="1545">
        <v>3998</v>
      </c>
      <c r="AD264" s="1545">
        <v>431.24850000000004</v>
      </c>
      <c r="AE264" s="1545">
        <v>1404.21</v>
      </c>
      <c r="AF264" s="1545">
        <v>2095.2849999999999</v>
      </c>
      <c r="AG264" s="1545">
        <v>11.695</v>
      </c>
      <c r="AH264" s="1545">
        <v>183.01</v>
      </c>
      <c r="AI264" s="1545">
        <v>2094.5</v>
      </c>
    </row>
    <row r="265" spans="1:35">
      <c r="A265" s="1556">
        <v>45097</v>
      </c>
      <c r="B265" s="1555">
        <v>1.0944</v>
      </c>
      <c r="C265" s="1554">
        <v>0.68059999999999998</v>
      </c>
      <c r="D265" s="1554">
        <v>1.3216499477948269</v>
      </c>
      <c r="E265" s="1554">
        <v>0.89569992380579311</v>
      </c>
      <c r="F265" s="1554">
        <v>1.2803500000000001</v>
      </c>
      <c r="G265" s="1554">
        <v>7.8209523312955396</v>
      </c>
      <c r="H265" s="1554">
        <v>141.76353841791891</v>
      </c>
      <c r="I265" s="1554">
        <v>4.637501932292472</v>
      </c>
      <c r="J265" s="1554">
        <v>0.61934999999999996</v>
      </c>
      <c r="K265" s="1554">
        <v>1.3407503643489116</v>
      </c>
      <c r="L265" s="1554">
        <v>3.751406777541578</v>
      </c>
      <c r="M265" s="1554">
        <v>34.689981417733286</v>
      </c>
      <c r="N265" s="1554">
        <v>10.714897994171094</v>
      </c>
      <c r="O265" s="1554">
        <v>7.1729493733233225</v>
      </c>
      <c r="P265" s="1554">
        <v>7.1770334928229662</v>
      </c>
      <c r="Q265" s="1554"/>
      <c r="R265" s="1553">
        <v>15000</v>
      </c>
      <c r="S265" s="1552">
        <v>16416</v>
      </c>
      <c r="T265" s="1551">
        <v>10209</v>
      </c>
      <c r="U265" s="1551">
        <v>11349.45</v>
      </c>
      <c r="V265" s="1551">
        <v>16746.68</v>
      </c>
      <c r="W265" s="1551">
        <v>19205.25</v>
      </c>
      <c r="X265" s="1551">
        <v>1917.9250000000002</v>
      </c>
      <c r="Y265" s="1551">
        <v>105.81</v>
      </c>
      <c r="Z265" s="1551">
        <v>3234.5</v>
      </c>
      <c r="AA265" s="1551">
        <v>9290.25</v>
      </c>
      <c r="AB265" s="1551">
        <v>11187.764999999999</v>
      </c>
      <c r="AC265" s="1551">
        <v>3998.5</v>
      </c>
      <c r="AD265" s="1551">
        <v>432.4015</v>
      </c>
      <c r="AE265" s="1551">
        <v>1399.92</v>
      </c>
      <c r="AF265" s="1551">
        <v>2091.19</v>
      </c>
      <c r="AG265" s="1551">
        <v>11.7</v>
      </c>
      <c r="AH265" s="1551">
        <v>182.72499999999999</v>
      </c>
      <c r="AI265" s="1551">
        <v>2090</v>
      </c>
    </row>
    <row r="266" spans="1:35">
      <c r="A266" s="1562">
        <v>45098</v>
      </c>
      <c r="B266" s="1561">
        <v>1.0913001003680161</v>
      </c>
      <c r="C266" s="1560">
        <v>0.67645031783205078</v>
      </c>
      <c r="D266" s="1560">
        <v>1.3234500381006611</v>
      </c>
      <c r="E266" s="1560">
        <v>0.89899982134295964</v>
      </c>
      <c r="F266" s="1560">
        <v>1.2737999330879894</v>
      </c>
      <c r="G266" s="1560">
        <v>7.8257955396369079</v>
      </c>
      <c r="H266" s="1560">
        <v>142.10326138632689</v>
      </c>
      <c r="I266" s="1560">
        <v>4.645495392582438</v>
      </c>
      <c r="J266" s="1560">
        <v>0.61645031783205084</v>
      </c>
      <c r="K266" s="1560">
        <v>1.3443997810458972</v>
      </c>
      <c r="L266" s="1560">
        <v>3.7507842891203413</v>
      </c>
      <c r="M266" s="1560">
        <v>34.859988570495545</v>
      </c>
      <c r="N266" s="1560">
        <v>10.805710505290785</v>
      </c>
      <c r="O266" s="1560">
        <v>7.1936905389371422</v>
      </c>
      <c r="P266" s="1560">
        <v>7.1972068384300503</v>
      </c>
      <c r="Q266" s="1560"/>
      <c r="R266" s="1559">
        <v>14945</v>
      </c>
      <c r="S266" s="1558">
        <v>16309.48</v>
      </c>
      <c r="T266" s="1557">
        <v>10109.549999999999</v>
      </c>
      <c r="U266" s="1557">
        <v>11292.455</v>
      </c>
      <c r="V266" s="1557">
        <v>16624.03</v>
      </c>
      <c r="W266" s="1557">
        <v>19036.940000000002</v>
      </c>
      <c r="X266" s="1557">
        <v>1909.71</v>
      </c>
      <c r="Y266" s="1557">
        <v>105.17</v>
      </c>
      <c r="Z266" s="1557">
        <v>3217.0950000000003</v>
      </c>
      <c r="AA266" s="1557">
        <v>9212.85</v>
      </c>
      <c r="AB266" s="1557">
        <v>11116.485000000001</v>
      </c>
      <c r="AC266" s="1557">
        <v>3984.5</v>
      </c>
      <c r="AD266" s="1557">
        <v>428.71500000000003</v>
      </c>
      <c r="AE266" s="1557">
        <v>1383.0650000000001</v>
      </c>
      <c r="AF266" s="1557">
        <v>2077.5150000000003</v>
      </c>
      <c r="AG266" s="1557">
        <v>11.555</v>
      </c>
      <c r="AH266" s="1557">
        <v>182.18</v>
      </c>
      <c r="AI266" s="1557">
        <v>2076.5</v>
      </c>
    </row>
    <row r="267" spans="1:35">
      <c r="A267" s="1568">
        <v>45099</v>
      </c>
      <c r="B267" s="1567">
        <v>1.0995003346720214</v>
      </c>
      <c r="C267" s="1566">
        <v>0.67864993306559562</v>
      </c>
      <c r="D267" s="1566">
        <v>1.3150499723390594</v>
      </c>
      <c r="E267" s="1566">
        <v>0.89309999551656627</v>
      </c>
      <c r="F267" s="1566">
        <v>1.2766499330655958</v>
      </c>
      <c r="G267" s="1566">
        <v>7.8284449218596484</v>
      </c>
      <c r="H267" s="1566">
        <v>141.7860871215716</v>
      </c>
      <c r="I267" s="1566">
        <v>4.651495857553388</v>
      </c>
      <c r="J267" s="1566">
        <v>0.62075033467202145</v>
      </c>
      <c r="K267" s="1566">
        <v>1.3414496725165785</v>
      </c>
      <c r="L267" s="1566">
        <v>3.7514124293785311</v>
      </c>
      <c r="M267" s="1566">
        <v>34.975021186341479</v>
      </c>
      <c r="N267" s="1566">
        <v>10.687001058685514</v>
      </c>
      <c r="O267" s="1566">
        <v>7.1794477495747113</v>
      </c>
      <c r="P267" s="1566">
        <v>7.1809661139149243</v>
      </c>
      <c r="Q267" s="1566"/>
      <c r="R267" s="1565">
        <v>14940</v>
      </c>
      <c r="S267" s="1564">
        <v>16426.535</v>
      </c>
      <c r="T267" s="1563">
        <v>10139.029999999999</v>
      </c>
      <c r="U267" s="1563">
        <v>11360.785</v>
      </c>
      <c r="V267" s="1563">
        <v>16728.25</v>
      </c>
      <c r="W267" s="1563">
        <v>19073.150000000001</v>
      </c>
      <c r="X267" s="1563">
        <v>1908.4250000000002</v>
      </c>
      <c r="Y267" s="1563">
        <v>105.37</v>
      </c>
      <c r="Z267" s="1563">
        <v>3211.87</v>
      </c>
      <c r="AA267" s="1563">
        <v>9274.01</v>
      </c>
      <c r="AB267" s="1563">
        <v>11137.205</v>
      </c>
      <c r="AC267" s="1563">
        <v>3982.5</v>
      </c>
      <c r="AD267" s="1563">
        <v>427.16200000000003</v>
      </c>
      <c r="AE267" s="1563">
        <v>1397.96</v>
      </c>
      <c r="AF267" s="1563">
        <v>2080.94</v>
      </c>
      <c r="AG267" s="1563">
        <v>11.545000000000002</v>
      </c>
      <c r="AH267" s="1563">
        <v>182.37</v>
      </c>
      <c r="AI267" s="1563">
        <v>2080.5</v>
      </c>
    </row>
    <row r="268" spans="1:35">
      <c r="A268" s="1574">
        <v>45100</v>
      </c>
      <c r="B268" s="1573">
        <v>1.0868000533546751</v>
      </c>
      <c r="C268" s="1572">
        <v>0.66935007336267849</v>
      </c>
      <c r="D268" s="1572">
        <v>1.3195998956218837</v>
      </c>
      <c r="E268" s="1572">
        <v>0.89994976270832416</v>
      </c>
      <c r="F268" s="1572">
        <v>1.2710000666933441</v>
      </c>
      <c r="G268" s="1572">
        <v>7.8282933756578394</v>
      </c>
      <c r="H268" s="1572">
        <v>142.88164665523158</v>
      </c>
      <c r="I268" s="1572">
        <v>4.6754996211329836</v>
      </c>
      <c r="J268" s="1572">
        <v>0.61394991329865278</v>
      </c>
      <c r="K268" s="1572">
        <v>1.351549901612864</v>
      </c>
      <c r="L268" s="1572">
        <v>3.7513134851138354</v>
      </c>
      <c r="M268" s="1572">
        <v>35.25498969554539</v>
      </c>
      <c r="N268" s="1572">
        <v>10.78666235027517</v>
      </c>
      <c r="O268" s="1572">
        <v>7.1794528025435005</v>
      </c>
      <c r="P268" s="1572">
        <v>7.2138561462593218</v>
      </c>
      <c r="Q268" s="1572"/>
      <c r="R268" s="1571">
        <v>14994</v>
      </c>
      <c r="S268" s="1570">
        <v>16295.48</v>
      </c>
      <c r="T268" s="1569">
        <v>10036.235000000001</v>
      </c>
      <c r="U268" s="1569">
        <v>11362.535</v>
      </c>
      <c r="V268" s="1569">
        <v>16660.93</v>
      </c>
      <c r="W268" s="1569">
        <v>19057.375</v>
      </c>
      <c r="X268" s="1569">
        <v>1915.3600000000001</v>
      </c>
      <c r="Y268" s="1569">
        <v>104.94</v>
      </c>
      <c r="Z268" s="1569">
        <v>3206.9300000000003</v>
      </c>
      <c r="AA268" s="1569">
        <v>9205.5650000000005</v>
      </c>
      <c r="AB268" s="1569">
        <v>11093.93</v>
      </c>
      <c r="AC268" s="1569">
        <v>3997</v>
      </c>
      <c r="AD268" s="1569">
        <v>425.30150000000003</v>
      </c>
      <c r="AE268" s="1569">
        <v>1390.05</v>
      </c>
      <c r="AF268" s="1569">
        <v>2088.46</v>
      </c>
      <c r="AG268" s="1569">
        <v>11.465</v>
      </c>
      <c r="AH268" s="1569">
        <v>182.79500000000002</v>
      </c>
      <c r="AI268" s="1569">
        <v>2078.5</v>
      </c>
    </row>
    <row r="269" spans="1:35" s="31" customFormat="1">
      <c r="A269" s="1574">
        <v>45103</v>
      </c>
      <c r="B269" s="1573">
        <v>1.0902001332001332</v>
      </c>
      <c r="C269" s="1572">
        <v>0.66780019980019978</v>
      </c>
      <c r="D269" s="1572">
        <v>1.3147997502624782</v>
      </c>
      <c r="E269" s="1572">
        <v>0.89540009445979019</v>
      </c>
      <c r="F269" s="1572">
        <v>1.2742500832500834</v>
      </c>
      <c r="G269" s="1572">
        <v>7.8289569733247122</v>
      </c>
      <c r="H269" s="1572">
        <v>143.18409383493062</v>
      </c>
      <c r="I269" s="1572">
        <v>4.6764993062336195</v>
      </c>
      <c r="J269" s="1572">
        <v>0.61580019980019973</v>
      </c>
      <c r="K269" s="1572">
        <v>1.35354958575433</v>
      </c>
      <c r="L269" s="1572">
        <v>3.7514053716427234</v>
      </c>
      <c r="M269" s="1572">
        <v>35.230021656550107</v>
      </c>
      <c r="N269" s="1572">
        <v>10.713941681621469</v>
      </c>
      <c r="O269" s="1572">
        <v>7.2344013490725123</v>
      </c>
      <c r="P269" s="1572">
        <v>7.2378886478669555</v>
      </c>
      <c r="Q269" s="1572"/>
      <c r="R269" s="1571">
        <v>15015</v>
      </c>
      <c r="S269" s="1570">
        <v>16369.355</v>
      </c>
      <c r="T269" s="1569">
        <v>10027.02</v>
      </c>
      <c r="U269" s="1569">
        <v>11419.990000000002</v>
      </c>
      <c r="V269" s="1569">
        <v>16769.04</v>
      </c>
      <c r="W269" s="1569">
        <v>19132.865000000002</v>
      </c>
      <c r="X269" s="1569">
        <v>1917.88</v>
      </c>
      <c r="Y269" s="1569">
        <v>104.86500000000001</v>
      </c>
      <c r="Z269" s="1569">
        <v>3210.7350000000001</v>
      </c>
      <c r="AA269" s="1569">
        <v>9246.24</v>
      </c>
      <c r="AB269" s="1569">
        <v>11093.055</v>
      </c>
      <c r="AC269" s="1569">
        <v>4002.5</v>
      </c>
      <c r="AD269" s="1569">
        <v>426.19900000000001</v>
      </c>
      <c r="AE269" s="1569">
        <v>1401.4450000000002</v>
      </c>
      <c r="AF269" s="1569">
        <v>2075.5</v>
      </c>
      <c r="AG269" s="1569">
        <v>11.484999999999999</v>
      </c>
      <c r="AH269" s="1569">
        <v>183.07499999999999</v>
      </c>
      <c r="AI269" s="1569">
        <v>2074.5</v>
      </c>
    </row>
    <row r="270" spans="1:35">
      <c r="A270" s="1580">
        <v>45104</v>
      </c>
      <c r="B270" s="1579">
        <v>1.0939999999999999</v>
      </c>
      <c r="C270" s="1578">
        <v>0.67090011672502925</v>
      </c>
      <c r="D270" s="1578">
        <v>1.3123003485025069</v>
      </c>
      <c r="E270" s="1578">
        <v>0.89439995561556984</v>
      </c>
      <c r="F270" s="1578">
        <v>1.273500083375021</v>
      </c>
      <c r="G270" s="1578">
        <v>7.833092562937729</v>
      </c>
      <c r="H270" s="1578">
        <v>143.52383687535897</v>
      </c>
      <c r="I270" s="1578">
        <v>4.6649947259189188</v>
      </c>
      <c r="J270" s="1578">
        <v>0.61924995831248952</v>
      </c>
      <c r="K270" s="1578">
        <v>1.3495498350025115</v>
      </c>
      <c r="L270" s="1578">
        <v>3.751407481546353</v>
      </c>
      <c r="M270" s="1578">
        <v>35.21002719573886</v>
      </c>
      <c r="N270" s="1578">
        <v>10.684506841505131</v>
      </c>
      <c r="O270" s="1578">
        <v>7.2095964453335384</v>
      </c>
      <c r="P270" s="1578">
        <v>7.2131344719749819</v>
      </c>
      <c r="Q270" s="1578"/>
      <c r="R270" s="1577">
        <v>14992.5</v>
      </c>
      <c r="S270" s="1576">
        <v>16401.794999999998</v>
      </c>
      <c r="T270" s="1575">
        <v>10058.470000000001</v>
      </c>
      <c r="U270" s="1575">
        <v>11424.595000000001</v>
      </c>
      <c r="V270" s="1575">
        <v>16762.635000000002</v>
      </c>
      <c r="W270" s="1575">
        <v>19092.95</v>
      </c>
      <c r="X270" s="1575">
        <v>1913.9950000000001</v>
      </c>
      <c r="Y270" s="1575">
        <v>104.46000000000001</v>
      </c>
      <c r="Z270" s="1575">
        <v>3213.83</v>
      </c>
      <c r="AA270" s="1575">
        <v>9284.1049999999996</v>
      </c>
      <c r="AB270" s="1575">
        <v>11109.26</v>
      </c>
      <c r="AC270" s="1575">
        <v>3996.5</v>
      </c>
      <c r="AD270" s="1575">
        <v>425.80200000000002</v>
      </c>
      <c r="AE270" s="1575">
        <v>1403.2</v>
      </c>
      <c r="AF270" s="1575">
        <v>2079.52</v>
      </c>
      <c r="AG270" s="1575">
        <v>11.53</v>
      </c>
      <c r="AH270" s="1575">
        <v>182.82499999999999</v>
      </c>
      <c r="AI270" s="1575">
        <v>2078.5</v>
      </c>
    </row>
    <row r="271" spans="1:35" s="1385" customFormat="1">
      <c r="A271" s="1581">
        <v>45107</v>
      </c>
      <c r="B271" s="1582">
        <v>1.0939999999999999</v>
      </c>
      <c r="C271" s="1583">
        <v>0.67090011672502925</v>
      </c>
      <c r="D271" s="1583">
        <v>1.3123003485025069</v>
      </c>
      <c r="E271" s="1583">
        <v>0.89439995561556984</v>
      </c>
      <c r="F271" s="1583">
        <v>1.273500083375021</v>
      </c>
      <c r="G271" s="1583">
        <v>7.833092562937729</v>
      </c>
      <c r="H271" s="1583">
        <v>143.52383687535897</v>
      </c>
      <c r="I271" s="1583">
        <v>4.6649947259189188</v>
      </c>
      <c r="J271" s="1583">
        <v>0.61924995831248952</v>
      </c>
      <c r="K271" s="1583">
        <v>1.3495498350025115</v>
      </c>
      <c r="L271" s="1583">
        <v>3.751407481546353</v>
      </c>
      <c r="M271" s="1583">
        <v>35.21002719573886</v>
      </c>
      <c r="N271" s="1583">
        <v>10.684506841505131</v>
      </c>
      <c r="O271" s="1583">
        <v>7.2095964453335384</v>
      </c>
      <c r="P271" s="1583">
        <v>7.2131344719749819</v>
      </c>
      <c r="Q271" s="1583"/>
      <c r="R271" s="1584">
        <v>14992.5</v>
      </c>
      <c r="S271" s="1585">
        <v>16401.794999999998</v>
      </c>
      <c r="T271" s="1586">
        <v>10058.470000000001</v>
      </c>
      <c r="U271" s="1586">
        <v>11424.595000000001</v>
      </c>
      <c r="V271" s="1586">
        <v>16762.635000000002</v>
      </c>
      <c r="W271" s="1586">
        <v>19092.95</v>
      </c>
      <c r="X271" s="1586">
        <v>1913.9950000000001</v>
      </c>
      <c r="Y271" s="1586">
        <v>104.46000000000001</v>
      </c>
      <c r="Z271" s="1586">
        <v>3213.83</v>
      </c>
      <c r="AA271" s="1586">
        <v>9284.1049999999996</v>
      </c>
      <c r="AB271" s="1586">
        <v>11109.26</v>
      </c>
      <c r="AC271" s="1586">
        <v>3996.5</v>
      </c>
      <c r="AD271" s="1586">
        <v>425.80200000000002</v>
      </c>
      <c r="AE271" s="1586">
        <v>1403.2</v>
      </c>
      <c r="AF271" s="1586">
        <v>2079.52</v>
      </c>
      <c r="AG271" s="1586">
        <v>11.53</v>
      </c>
      <c r="AH271" s="1586">
        <v>182.82499999999999</v>
      </c>
      <c r="AI271" s="1586">
        <v>2078.5</v>
      </c>
    </row>
    <row r="272" spans="1:35">
      <c r="A272" s="1592">
        <v>45110</v>
      </c>
      <c r="B272" s="1591">
        <v>1.0875500831946756</v>
      </c>
      <c r="C272" s="1590">
        <v>0.6641500831946755</v>
      </c>
      <c r="D272" s="1590">
        <v>1.3269498435038189</v>
      </c>
      <c r="E272" s="1590">
        <v>0.89894967975852502</v>
      </c>
      <c r="F272" s="1590">
        <v>1.2665500831946757</v>
      </c>
      <c r="G272" s="1590">
        <v>7.8334971285866599</v>
      </c>
      <c r="H272" s="1590">
        <v>144.83323693850008</v>
      </c>
      <c r="I272" s="1590">
        <v>4.6739947022875352</v>
      </c>
      <c r="J272" s="1590">
        <v>0.61335008319467543</v>
      </c>
      <c r="K272" s="1590">
        <v>1.3530495846520501</v>
      </c>
      <c r="L272" s="1590">
        <v>3.7510922481587818</v>
      </c>
      <c r="M272" s="1590">
        <v>35.19497783477685</v>
      </c>
      <c r="N272" s="1590">
        <v>10.842386696156998</v>
      </c>
      <c r="O272" s="1590">
        <v>7.2532156727387713</v>
      </c>
      <c r="P272" s="1590">
        <v>7.26371766980904</v>
      </c>
      <c r="Q272" s="1590"/>
      <c r="R272" s="1589">
        <v>15025</v>
      </c>
      <c r="S272" s="1588">
        <v>16340.44</v>
      </c>
      <c r="T272" s="1587">
        <v>9978.8549999999996</v>
      </c>
      <c r="U272" s="1587">
        <v>11322.96</v>
      </c>
      <c r="V272" s="1587">
        <v>16713.95</v>
      </c>
      <c r="W272" s="1587">
        <v>19029.915000000001</v>
      </c>
      <c r="X272" s="1587">
        <v>1918.0450000000001</v>
      </c>
      <c r="Y272" s="1587">
        <v>103.74000000000001</v>
      </c>
      <c r="Z272" s="1587">
        <v>3214.5950000000003</v>
      </c>
      <c r="AA272" s="1587">
        <v>9215.5849999999991</v>
      </c>
      <c r="AB272" s="1587">
        <v>11104.545</v>
      </c>
      <c r="AC272" s="1587">
        <v>4005.5</v>
      </c>
      <c r="AD272" s="1587">
        <v>426.90750000000003</v>
      </c>
      <c r="AE272" s="1587">
        <v>1385.7649999999999</v>
      </c>
      <c r="AF272" s="1587">
        <v>2071.4949999999999</v>
      </c>
      <c r="AG272" s="1587">
        <v>11.48</v>
      </c>
      <c r="AH272" s="1587">
        <v>183.42500000000001</v>
      </c>
      <c r="AI272" s="1587">
        <v>2068.5</v>
      </c>
    </row>
    <row r="273" spans="1:35">
      <c r="A273" s="1598">
        <v>45111</v>
      </c>
      <c r="B273" s="1597">
        <v>1.0903001500750376</v>
      </c>
      <c r="C273" s="1596">
        <v>0.66800000000000004</v>
      </c>
      <c r="D273" s="1596">
        <v>1.3233502806906048</v>
      </c>
      <c r="E273" s="1596">
        <v>0.8964999279451451</v>
      </c>
      <c r="F273" s="1596">
        <v>1.2696001334000335</v>
      </c>
      <c r="G273" s="1596">
        <v>7.8304537667655545</v>
      </c>
      <c r="H273" s="1596">
        <v>144.49209714726291</v>
      </c>
      <c r="I273" s="1596">
        <v>4.652501505061351</v>
      </c>
      <c r="J273" s="1596">
        <v>0.61699983324995822</v>
      </c>
      <c r="K273" s="1596">
        <v>1.3490501310358014</v>
      </c>
      <c r="L273" s="1596">
        <v>3.75</v>
      </c>
      <c r="M273" s="1596">
        <v>34.980004759660481</v>
      </c>
      <c r="N273" s="1596">
        <v>10.844445408877363</v>
      </c>
      <c r="O273" s="1596">
        <v>7.217492399789144</v>
      </c>
      <c r="P273" s="1596">
        <v>7.2235605878101659</v>
      </c>
      <c r="Q273" s="1596"/>
      <c r="R273" s="1595">
        <v>14992.5</v>
      </c>
      <c r="S273" s="1594">
        <v>16346.325000000001</v>
      </c>
      <c r="T273" s="1593">
        <v>10014.99</v>
      </c>
      <c r="U273" s="1593">
        <v>11329.2</v>
      </c>
      <c r="V273" s="1593">
        <v>16723.37</v>
      </c>
      <c r="W273" s="1593">
        <v>19034.480000000003</v>
      </c>
      <c r="X273" s="1593">
        <v>1914.6399999999999</v>
      </c>
      <c r="Y273" s="1593">
        <v>103.76</v>
      </c>
      <c r="Z273" s="1593">
        <v>3222.46</v>
      </c>
      <c r="AA273" s="1593">
        <v>9250.369999999999</v>
      </c>
      <c r="AB273" s="1593">
        <v>11113.375</v>
      </c>
      <c r="AC273" s="1593">
        <v>3998</v>
      </c>
      <c r="AD273" s="1593">
        <v>428.60199999999998</v>
      </c>
      <c r="AE273" s="1593">
        <v>1382.5050000000001</v>
      </c>
      <c r="AF273" s="1593">
        <v>2077.2449999999999</v>
      </c>
      <c r="AG273" s="1593">
        <v>11.524999999999999</v>
      </c>
      <c r="AH273" s="1593">
        <v>182.89</v>
      </c>
      <c r="AI273" s="1593">
        <v>2075.5</v>
      </c>
    </row>
    <row r="274" spans="1:35">
      <c r="A274" s="1604">
        <v>45112</v>
      </c>
      <c r="B274" s="1603">
        <v>1.0887002997002997</v>
      </c>
      <c r="C274" s="1602">
        <v>0.66820013320013327</v>
      </c>
      <c r="D274" s="1602">
        <v>1.3250000551531824</v>
      </c>
      <c r="E274" s="1602">
        <v>0.89719994741685283</v>
      </c>
      <c r="F274" s="1602">
        <v>1.271100233100233</v>
      </c>
      <c r="G274" s="1602">
        <v>7.8267328668048002</v>
      </c>
      <c r="H274" s="1602">
        <v>144.45139256337484</v>
      </c>
      <c r="I274" s="1602">
        <v>4.6504929243749009</v>
      </c>
      <c r="J274" s="1602">
        <v>0.61960006660006661</v>
      </c>
      <c r="K274" s="1602">
        <v>1.3520498209873431</v>
      </c>
      <c r="L274" s="1602">
        <v>3.7504683402023229</v>
      </c>
      <c r="M274" s="1602">
        <v>34.86500983372072</v>
      </c>
      <c r="N274" s="1602">
        <v>10.859424157608105</v>
      </c>
      <c r="O274" s="1602">
        <v>7.2431433746825249</v>
      </c>
      <c r="P274" s="1602">
        <v>7.2536231884057969</v>
      </c>
      <c r="Q274" s="1602"/>
      <c r="R274" s="1601">
        <v>15015</v>
      </c>
      <c r="S274" s="1600">
        <v>16346.835000000001</v>
      </c>
      <c r="T274" s="1599">
        <v>10033.025000000001</v>
      </c>
      <c r="U274" s="1599">
        <v>11332.075000000001</v>
      </c>
      <c r="V274" s="1599">
        <v>16735.400000000001</v>
      </c>
      <c r="W274" s="1599">
        <v>19085.57</v>
      </c>
      <c r="X274" s="1599">
        <v>1918.4250000000002</v>
      </c>
      <c r="Y274" s="1599">
        <v>103.94500000000001</v>
      </c>
      <c r="Z274" s="1599">
        <v>3228.69</v>
      </c>
      <c r="AA274" s="1599">
        <v>9303.2950000000001</v>
      </c>
      <c r="AB274" s="1599">
        <v>11105.36</v>
      </c>
      <c r="AC274" s="1599">
        <v>4003.5</v>
      </c>
      <c r="AD274" s="1599">
        <v>430.661</v>
      </c>
      <c r="AE274" s="1599">
        <v>1382.67</v>
      </c>
      <c r="AF274" s="1599">
        <v>2072.9949999999999</v>
      </c>
      <c r="AG274" s="1599">
        <v>11.555</v>
      </c>
      <c r="AH274" s="1599">
        <v>182.72</v>
      </c>
      <c r="AI274" s="1599">
        <v>2070</v>
      </c>
    </row>
    <row r="275" spans="1:35">
      <c r="A275" s="1610">
        <v>45113</v>
      </c>
      <c r="B275" s="1609">
        <v>1.0856000531755792</v>
      </c>
      <c r="C275" s="1608">
        <v>0.66714978895942045</v>
      </c>
      <c r="D275" s="1608">
        <v>1.3297500923652397</v>
      </c>
      <c r="E275" s="1608">
        <v>0.8979000853764546</v>
      </c>
      <c r="F275" s="1608">
        <v>1.2724002127023164</v>
      </c>
      <c r="G275" s="1608">
        <v>7.8171520615208738</v>
      </c>
      <c r="H275" s="1608">
        <v>143.91830487396567</v>
      </c>
      <c r="I275" s="1608">
        <v>4.6589948376188008</v>
      </c>
      <c r="J275" s="1608">
        <v>0.61995014789457947</v>
      </c>
      <c r="K275" s="1608">
        <v>1.3517496057827516</v>
      </c>
      <c r="L275" s="1608">
        <v>3.751277895524249</v>
      </c>
      <c r="M275" s="1608">
        <v>35.099978185729263</v>
      </c>
      <c r="N275" s="1608">
        <v>10.960625676182705</v>
      </c>
      <c r="O275" s="1608">
        <v>7.2487370300149596</v>
      </c>
      <c r="P275" s="1608">
        <v>7.259107358262967</v>
      </c>
      <c r="Q275" s="1608"/>
      <c r="R275" s="1607">
        <v>15044.5</v>
      </c>
      <c r="S275" s="1606">
        <v>16332.310000000001</v>
      </c>
      <c r="T275" s="1605">
        <v>10036.935000000001</v>
      </c>
      <c r="U275" s="1605">
        <v>11313.779999999999</v>
      </c>
      <c r="V275" s="1605">
        <v>16755.205000000002</v>
      </c>
      <c r="W275" s="1605">
        <v>19142.625</v>
      </c>
      <c r="X275" s="1605">
        <v>1924.5500000000002</v>
      </c>
      <c r="Y275" s="1605">
        <v>104.535</v>
      </c>
      <c r="Z275" s="1605">
        <v>3229.13</v>
      </c>
      <c r="AA275" s="1605">
        <v>9326.84</v>
      </c>
      <c r="AB275" s="1605">
        <v>11129.65</v>
      </c>
      <c r="AC275" s="1605">
        <v>4010.5</v>
      </c>
      <c r="AD275" s="1605">
        <v>428.61850000000004</v>
      </c>
      <c r="AE275" s="1605">
        <v>1372.595</v>
      </c>
      <c r="AF275" s="1605">
        <v>2075.4650000000001</v>
      </c>
      <c r="AG275" s="1605">
        <v>11.545000000000002</v>
      </c>
      <c r="AH275" s="1605">
        <v>182.29500000000002</v>
      </c>
      <c r="AI275" s="1605">
        <v>2072.5</v>
      </c>
    </row>
    <row r="276" spans="1:35" s="1459" customFormat="1">
      <c r="A276" s="1617">
        <v>45114</v>
      </c>
      <c r="B276" s="1616">
        <v>1.0875999339279816</v>
      </c>
      <c r="C276" s="1615">
        <v>0.66319986785596308</v>
      </c>
      <c r="D276" s="1615">
        <v>1.3378000327047248</v>
      </c>
      <c r="E276" s="1615">
        <v>0.89575002567106521</v>
      </c>
      <c r="F276" s="1615">
        <v>1.2731499834819955</v>
      </c>
      <c r="G276" s="1615">
        <v>7.8257497414684591</v>
      </c>
      <c r="H276" s="1615">
        <v>143.28315819369499</v>
      </c>
      <c r="I276" s="1615">
        <v>4.6654932291008402</v>
      </c>
      <c r="J276" s="1615">
        <v>0.61744995044598605</v>
      </c>
      <c r="K276" s="1615">
        <v>1.3522502435792683</v>
      </c>
      <c r="L276" s="1615">
        <v>3.7513942248110053</v>
      </c>
      <c r="M276" s="1615">
        <v>35.229995891579598</v>
      </c>
      <c r="N276" s="1615">
        <v>10.950291392788797</v>
      </c>
      <c r="O276" s="1615">
        <v>7.2437409961759158</v>
      </c>
      <c r="P276" s="1615">
        <v>7.2520364159080017</v>
      </c>
      <c r="Q276" s="1615"/>
      <c r="R276" s="1614">
        <v>15135</v>
      </c>
      <c r="S276" s="1613">
        <v>16460.825000000001</v>
      </c>
      <c r="T276" s="1612">
        <v>10037.530000000001</v>
      </c>
      <c r="U276" s="1612">
        <v>11313.35</v>
      </c>
      <c r="V276" s="1612">
        <v>16896.455000000002</v>
      </c>
      <c r="W276" s="1612">
        <v>19269.125</v>
      </c>
      <c r="X276" s="1612">
        <v>1934</v>
      </c>
      <c r="Y276" s="1612">
        <v>105.63</v>
      </c>
      <c r="Z276" s="1612">
        <v>3244.03</v>
      </c>
      <c r="AA276" s="1612">
        <v>9345.1049999999996</v>
      </c>
      <c r="AB276" s="1612">
        <v>11192.455</v>
      </c>
      <c r="AC276" s="1612">
        <v>4034.5</v>
      </c>
      <c r="AD276" s="1612">
        <v>429.60550000000001</v>
      </c>
      <c r="AE276" s="1612">
        <v>1382.155</v>
      </c>
      <c r="AF276" s="1612">
        <v>2089.3900000000003</v>
      </c>
      <c r="AG276" s="1612">
        <v>11.59</v>
      </c>
      <c r="AH276" s="1612">
        <v>182.92000000000002</v>
      </c>
      <c r="AI276" s="1612">
        <v>2087</v>
      </c>
    </row>
    <row r="277" spans="1:35" s="1459" customFormat="1">
      <c r="A277" s="1617">
        <v>45117</v>
      </c>
      <c r="B277" s="1616">
        <v>1.0953999802560137</v>
      </c>
      <c r="C277" s="1615">
        <v>0.66504985356543478</v>
      </c>
      <c r="D277" s="1615">
        <v>1.3277002156109303</v>
      </c>
      <c r="E277" s="1615">
        <v>0.89050005318561298</v>
      </c>
      <c r="F277" s="1615">
        <v>1.2814001776958768</v>
      </c>
      <c r="G277" s="1615">
        <v>7.8285443426021821</v>
      </c>
      <c r="H277" s="1615">
        <v>142.29058388350424</v>
      </c>
      <c r="I277" s="1615">
        <v>4.6674970855981703</v>
      </c>
      <c r="J277" s="1615">
        <v>0.61870018756786993</v>
      </c>
      <c r="K277" s="1615">
        <v>1.3481500146841834</v>
      </c>
      <c r="L277" s="1615">
        <v>3.751265275891865</v>
      </c>
      <c r="M277" s="1615">
        <v>35.160001203277538</v>
      </c>
      <c r="N277" s="1615">
        <v>10.840167369986837</v>
      </c>
      <c r="O277" s="1615">
        <v>7.2318430502771216</v>
      </c>
      <c r="P277" s="1615">
        <v>7.2371993331745657</v>
      </c>
      <c r="Q277" s="1615"/>
      <c r="R277" s="1614">
        <v>15194.5</v>
      </c>
      <c r="S277" s="1613">
        <v>16644.055</v>
      </c>
      <c r="T277" s="1612">
        <v>10105.099999999999</v>
      </c>
      <c r="U277" s="1612">
        <v>11444.225</v>
      </c>
      <c r="V277" s="1612">
        <v>17062.885000000002</v>
      </c>
      <c r="W277" s="1612">
        <v>19470.235000000001</v>
      </c>
      <c r="X277" s="1612">
        <v>1940.9099999999999</v>
      </c>
      <c r="Y277" s="1612">
        <v>106.785</v>
      </c>
      <c r="Z277" s="1612">
        <v>3255.3850000000002</v>
      </c>
      <c r="AA277" s="1612">
        <v>9400.84</v>
      </c>
      <c r="AB277" s="1612">
        <v>11270.630000000001</v>
      </c>
      <c r="AC277" s="1612">
        <v>4050.5</v>
      </c>
      <c r="AD277" s="1612">
        <v>432.15300000000002</v>
      </c>
      <c r="AE277" s="1612">
        <v>1401.6849999999999</v>
      </c>
      <c r="AF277" s="1612">
        <v>2101.0550000000003</v>
      </c>
      <c r="AG277" s="1612">
        <v>11.64</v>
      </c>
      <c r="AH277" s="1612">
        <v>183.89000000000001</v>
      </c>
      <c r="AI277" s="1612">
        <v>2099.5</v>
      </c>
    </row>
    <row r="278" spans="1:35" s="1459" customFormat="1">
      <c r="A278" s="1617">
        <v>45118</v>
      </c>
      <c r="B278" s="1616">
        <v>1.1008500660501983</v>
      </c>
      <c r="C278" s="1615">
        <v>0.6673500660501982</v>
      </c>
      <c r="D278" s="1615">
        <v>1.3270998791672932</v>
      </c>
      <c r="E278" s="1615">
        <v>0.88244997021585636</v>
      </c>
      <c r="F278" s="1615">
        <v>1.2873999339498019</v>
      </c>
      <c r="G278" s="1615">
        <v>7.8266556038905817</v>
      </c>
      <c r="H278" s="1615">
        <v>140.5365265014388</v>
      </c>
      <c r="I278" s="1615">
        <v>4.6584973730567159</v>
      </c>
      <c r="J278" s="1615">
        <v>0.61930019815059445</v>
      </c>
      <c r="K278" s="1615">
        <v>1.3417501420181375</v>
      </c>
      <c r="L278" s="1615">
        <v>3.7507741855567942</v>
      </c>
      <c r="M278" s="1615">
        <v>34.830019612015668</v>
      </c>
      <c r="N278" s="1615">
        <v>10.72150639289293</v>
      </c>
      <c r="O278" s="1615">
        <v>7.2026127311175214</v>
      </c>
      <c r="P278" s="1615">
        <v>7.2060923369823895</v>
      </c>
      <c r="Q278" s="1615"/>
      <c r="R278" s="1614">
        <v>15140</v>
      </c>
      <c r="S278" s="1613">
        <v>16666.870000000003</v>
      </c>
      <c r="T278" s="1612">
        <v>10103.68</v>
      </c>
      <c r="U278" s="1612">
        <v>11408.334999999999</v>
      </c>
      <c r="V278" s="1612">
        <v>17156.78</v>
      </c>
      <c r="W278" s="1612">
        <v>19491.235000000001</v>
      </c>
      <c r="X278" s="1612">
        <v>1934.415</v>
      </c>
      <c r="Y278" s="1612">
        <v>107.72999999999999</v>
      </c>
      <c r="Z278" s="1612">
        <v>3249.9749999999999</v>
      </c>
      <c r="AA278" s="1612">
        <v>9376.2049999999999</v>
      </c>
      <c r="AB278" s="1612">
        <v>11283.77</v>
      </c>
      <c r="AC278" s="1612">
        <v>4036.5</v>
      </c>
      <c r="AD278" s="1612">
        <v>434.6825</v>
      </c>
      <c r="AE278" s="1612">
        <v>1412.115</v>
      </c>
      <c r="AF278" s="1612">
        <v>2102.0150000000003</v>
      </c>
      <c r="AG278" s="1612">
        <v>11.705000000000002</v>
      </c>
      <c r="AH278" s="1612">
        <v>183.785</v>
      </c>
      <c r="AI278" s="1612">
        <v>2101</v>
      </c>
    </row>
    <row r="279" spans="1:35" s="1459" customFormat="1">
      <c r="A279" s="1623">
        <v>45119</v>
      </c>
      <c r="B279" s="1622">
        <v>1.1027501243574864</v>
      </c>
      <c r="C279" s="1621">
        <v>0.66879986735201458</v>
      </c>
      <c r="D279" s="1621">
        <v>1.3217998570150511</v>
      </c>
      <c r="E279" s="1621">
        <v>0.87870005425765219</v>
      </c>
      <c r="F279" s="1621">
        <v>1.2940500746144918</v>
      </c>
      <c r="G279" s="1621">
        <v>7.8293561260070668</v>
      </c>
      <c r="H279" s="1621">
        <v>139.5677126724058</v>
      </c>
      <c r="I279" s="1621">
        <v>4.6509942068863408</v>
      </c>
      <c r="J279" s="1621">
        <v>0.62059990051401104</v>
      </c>
      <c r="K279" s="1621">
        <v>1.3375999318669045</v>
      </c>
      <c r="L279" s="1621">
        <v>3.751555113212242</v>
      </c>
      <c r="M279" s="1621">
        <v>34.899964237808163</v>
      </c>
      <c r="N279" s="1621">
        <v>10.659168192518962</v>
      </c>
      <c r="O279" s="1621">
        <v>7.1895019681425563</v>
      </c>
      <c r="P279" s="1621">
        <v>7.1934637404580153</v>
      </c>
      <c r="Q279" s="1621"/>
      <c r="R279" s="1620">
        <v>15077.5</v>
      </c>
      <c r="S279" s="1619">
        <v>16626.715</v>
      </c>
      <c r="T279" s="1618">
        <v>10083.83</v>
      </c>
      <c r="U279" s="1618">
        <v>11406.795</v>
      </c>
      <c r="V279" s="1618">
        <v>17158.87</v>
      </c>
      <c r="W279" s="1618">
        <v>19511.04</v>
      </c>
      <c r="X279" s="1618">
        <v>1925.7650000000001</v>
      </c>
      <c r="Y279" s="1618">
        <v>108.03</v>
      </c>
      <c r="Z279" s="1618">
        <v>3241.7799999999997</v>
      </c>
      <c r="AA279" s="1618">
        <v>9357.0950000000012</v>
      </c>
      <c r="AB279" s="1618">
        <v>11272.055</v>
      </c>
      <c r="AC279" s="1618">
        <v>4019</v>
      </c>
      <c r="AD279" s="1618">
        <v>432.02049999999997</v>
      </c>
      <c r="AE279" s="1618">
        <v>1414.5100000000002</v>
      </c>
      <c r="AF279" s="1618">
        <v>2097.1549999999997</v>
      </c>
      <c r="AG279" s="1618">
        <v>11.700000000000001</v>
      </c>
      <c r="AH279" s="1618">
        <v>183.23500000000001</v>
      </c>
      <c r="AI279" s="1618">
        <v>2096</v>
      </c>
    </row>
    <row r="280" spans="1:35">
      <c r="A280" s="1629">
        <v>45120</v>
      </c>
      <c r="B280" s="1628">
        <v>1.1156001336228494</v>
      </c>
      <c r="C280" s="1627">
        <v>0.68420010021713706</v>
      </c>
      <c r="D280" s="1627">
        <v>1.3155998010009724</v>
      </c>
      <c r="E280" s="1627">
        <v>0.86339994698750289</v>
      </c>
      <c r="F280" s="1627">
        <v>1.3026998496742943</v>
      </c>
      <c r="G280" s="1627">
        <v>7.8205620563623874</v>
      </c>
      <c r="H280" s="1627">
        <v>138.3765543382795</v>
      </c>
      <c r="I280" s="1627">
        <v>4.607000609444543</v>
      </c>
      <c r="J280" s="1627">
        <v>0.635200267245699</v>
      </c>
      <c r="K280" s="1627">
        <v>1.3261500757989904</v>
      </c>
      <c r="L280" s="1627">
        <v>3.7512531328320802</v>
      </c>
      <c r="M280" s="1627">
        <v>34.500006338735083</v>
      </c>
      <c r="N280" s="1627">
        <v>10.354405335104323</v>
      </c>
      <c r="O280" s="1627">
        <v>7.1599930158077152</v>
      </c>
      <c r="P280" s="1627">
        <v>7.1631969370662842</v>
      </c>
      <c r="Q280" s="1627"/>
      <c r="R280" s="1626">
        <v>14967.5</v>
      </c>
      <c r="S280" s="1625">
        <v>16697.744999999999</v>
      </c>
      <c r="T280" s="1624">
        <v>10240.764999999999</v>
      </c>
      <c r="U280" s="1624">
        <v>11376.939999999999</v>
      </c>
      <c r="V280" s="1624">
        <v>17335.535</v>
      </c>
      <c r="W280" s="1624">
        <v>19498.16</v>
      </c>
      <c r="X280" s="1624">
        <v>1913.865</v>
      </c>
      <c r="Y280" s="1624">
        <v>108.16499999999999</v>
      </c>
      <c r="Z280" s="1624">
        <v>3248.86</v>
      </c>
      <c r="AA280" s="1624">
        <v>9507.36</v>
      </c>
      <c r="AB280" s="1624">
        <v>11286.43</v>
      </c>
      <c r="AC280" s="1624">
        <v>3990</v>
      </c>
      <c r="AD280" s="1624">
        <v>433.84050000000002</v>
      </c>
      <c r="AE280" s="1624">
        <v>1445.52</v>
      </c>
      <c r="AF280" s="1624">
        <v>2090.4349999999999</v>
      </c>
      <c r="AG280" s="1624">
        <v>11.805</v>
      </c>
      <c r="AH280" s="1624">
        <v>182.33499999999998</v>
      </c>
      <c r="AI280" s="1624">
        <v>2089.5</v>
      </c>
    </row>
    <row r="281" spans="1:35" s="1216" customFormat="1">
      <c r="A281" s="1217">
        <v>45121</v>
      </c>
      <c r="B281" s="1631">
        <v>1.1222002339963231</v>
      </c>
      <c r="C281" s="1220">
        <v>0.68750025071034593</v>
      </c>
      <c r="D281" s="1220">
        <v>1.3114994145052756</v>
      </c>
      <c r="E281" s="1220">
        <v>0.85809985740884531</v>
      </c>
      <c r="F281" s="1220">
        <v>1.3114999164298848</v>
      </c>
      <c r="G281" s="1220">
        <v>7.817542759332575</v>
      </c>
      <c r="H281" s="1220">
        <v>138.23937153419593</v>
      </c>
      <c r="I281" s="1220">
        <v>4.5289937352578722</v>
      </c>
      <c r="J281" s="1220">
        <v>0.63809994985793084</v>
      </c>
      <c r="K281" s="1220">
        <v>1.3195498489012867</v>
      </c>
      <c r="L281" s="1220">
        <v>3.7515675946827187</v>
      </c>
      <c r="M281" s="1220">
        <v>34.599975017233483</v>
      </c>
      <c r="N281" s="1220">
        <v>10.243985960106155</v>
      </c>
      <c r="O281" s="1220">
        <v>7.1369949946797595</v>
      </c>
      <c r="P281" s="1220">
        <v>7.1396181384248214</v>
      </c>
      <c r="Q281" s="1220"/>
      <c r="R281" s="1630">
        <v>14957.5</v>
      </c>
      <c r="S281" s="1632">
        <v>16785.310000000001</v>
      </c>
      <c r="T281" s="1222">
        <v>10283.285</v>
      </c>
      <c r="U281" s="1222">
        <v>11404.885</v>
      </c>
      <c r="V281" s="1222">
        <v>17430.955000000002</v>
      </c>
      <c r="W281" s="1222">
        <v>19616.760000000002</v>
      </c>
      <c r="X281" s="1222">
        <v>1913.325</v>
      </c>
      <c r="Y281" s="1222">
        <v>108.2</v>
      </c>
      <c r="Z281" s="1222">
        <v>3302.6099999999997</v>
      </c>
      <c r="AA281" s="1222">
        <v>9544.380000000001</v>
      </c>
      <c r="AB281" s="1222">
        <v>11335.305</v>
      </c>
      <c r="AC281" s="1222">
        <v>3987</v>
      </c>
      <c r="AD281" s="1222">
        <v>432.298</v>
      </c>
      <c r="AE281" s="1222">
        <v>1460.125</v>
      </c>
      <c r="AF281" s="1222">
        <v>2095.77</v>
      </c>
      <c r="AG281" s="1222">
        <v>11.824999999999999</v>
      </c>
      <c r="AH281" s="1222">
        <v>182.16500000000002</v>
      </c>
      <c r="AI281" s="1222">
        <v>2095</v>
      </c>
    </row>
    <row r="282" spans="1:35" s="990" customFormat="1" ht="17.149999999999999" customHeight="1">
      <c r="A282" s="989">
        <v>45124</v>
      </c>
      <c r="B282" s="1633">
        <v>1.1245001666111296</v>
      </c>
      <c r="C282" s="669">
        <v>0.68175008330556475</v>
      </c>
      <c r="D282" s="669">
        <v>1.3220998169942471</v>
      </c>
      <c r="E282" s="669">
        <v>0.85939978900174452</v>
      </c>
      <c r="F282" s="669">
        <v>1.3103002332555815</v>
      </c>
      <c r="G282" s="669">
        <v>7.813598421137594</v>
      </c>
      <c r="H282" s="669">
        <v>138.66555771185656</v>
      </c>
      <c r="I282" s="669">
        <v>4.5525016762793582</v>
      </c>
      <c r="J282" s="669">
        <v>0.63455014995001657</v>
      </c>
      <c r="K282" s="669">
        <v>1.3216503144919993</v>
      </c>
      <c r="L282" s="669">
        <v>3.7517189648706086</v>
      </c>
      <c r="M282" s="669">
        <v>34.669993877008743</v>
      </c>
      <c r="N282" s="669">
        <v>10.18085348187903</v>
      </c>
      <c r="O282" s="669">
        <v>7.171996472553551</v>
      </c>
      <c r="P282" s="669">
        <v>7.1811438143096433</v>
      </c>
      <c r="Q282" s="669"/>
      <c r="R282" s="1634">
        <v>15005</v>
      </c>
      <c r="S282" s="1635">
        <v>16873.125</v>
      </c>
      <c r="T282" s="668">
        <v>10229.66</v>
      </c>
      <c r="U282" s="668">
        <v>11349.37</v>
      </c>
      <c r="V282" s="668">
        <v>17459.86</v>
      </c>
      <c r="W282" s="668">
        <v>19661.055</v>
      </c>
      <c r="X282" s="668">
        <v>1920.37</v>
      </c>
      <c r="Y282" s="668">
        <v>108.21000000000001</v>
      </c>
      <c r="Z282" s="668">
        <v>3295.99</v>
      </c>
      <c r="AA282" s="668">
        <v>9521.4249999999993</v>
      </c>
      <c r="AB282" s="668">
        <v>11353.23</v>
      </c>
      <c r="AC282" s="668">
        <v>3999.5</v>
      </c>
      <c r="AD282" s="668">
        <v>432.79500000000002</v>
      </c>
      <c r="AE282" s="668">
        <v>1473.845</v>
      </c>
      <c r="AF282" s="668">
        <v>2092.165</v>
      </c>
      <c r="AG282" s="668">
        <v>11.844999999999999</v>
      </c>
      <c r="AH282" s="668">
        <v>182.8</v>
      </c>
      <c r="AI282" s="668">
        <v>2089.5</v>
      </c>
    </row>
    <row r="283" spans="1:35" s="1636" customFormat="1">
      <c r="A283" s="1642">
        <v>45125</v>
      </c>
      <c r="B283" s="1641">
        <v>1.1254001333777925</v>
      </c>
      <c r="C283" s="1640">
        <v>0.68069989996665559</v>
      </c>
      <c r="D283" s="1640">
        <v>1.3205502542246379</v>
      </c>
      <c r="E283" s="1640">
        <v>0.85750002287429195</v>
      </c>
      <c r="F283" s="1640">
        <v>1.3088999666555519</v>
      </c>
      <c r="G283" s="1640">
        <v>7.8148615265950232</v>
      </c>
      <c r="H283" s="1640">
        <v>138.23461627103021</v>
      </c>
      <c r="I283" s="1640">
        <v>4.5374975224567544</v>
      </c>
      <c r="J283" s="1640">
        <v>0.63060020006668893</v>
      </c>
      <c r="K283" s="1640">
        <v>1.3216495808533124</v>
      </c>
      <c r="L283" s="1640">
        <v>3.7520330289002879</v>
      </c>
      <c r="M283" s="1640">
        <v>34.225001711820696</v>
      </c>
      <c r="N283" s="1640">
        <v>10.198598925389376</v>
      </c>
      <c r="O283" s="1640">
        <v>7.1731996440906611</v>
      </c>
      <c r="P283" s="1640">
        <v>7.1797941106056982</v>
      </c>
      <c r="Q283" s="1640"/>
      <c r="R283" s="1639">
        <v>14995</v>
      </c>
      <c r="S283" s="1638">
        <v>16875.375</v>
      </c>
      <c r="T283" s="1637">
        <v>10207.095000000001</v>
      </c>
      <c r="U283" s="1637">
        <v>11355.115</v>
      </c>
      <c r="V283" s="1637">
        <v>17486.88</v>
      </c>
      <c r="W283" s="1637">
        <v>19626.955000000002</v>
      </c>
      <c r="X283" s="1637">
        <v>1918.7800000000002</v>
      </c>
      <c r="Y283" s="1637">
        <v>108.47499999999999</v>
      </c>
      <c r="Z283" s="1637">
        <v>3304.6850000000004</v>
      </c>
      <c r="AA283" s="1637">
        <v>9455.85</v>
      </c>
      <c r="AB283" s="1637">
        <v>11345.67</v>
      </c>
      <c r="AC283" s="1637">
        <v>3996.5</v>
      </c>
      <c r="AD283" s="1637">
        <v>438.13</v>
      </c>
      <c r="AE283" s="1637">
        <v>1470.3</v>
      </c>
      <c r="AF283" s="1637">
        <v>2090.42</v>
      </c>
      <c r="AG283" s="1637">
        <v>11.885000000000002</v>
      </c>
      <c r="AH283" s="1637">
        <v>182.85500000000002</v>
      </c>
      <c r="AI283" s="1637">
        <v>2088.5</v>
      </c>
    </row>
    <row r="284" spans="1:35" s="1385" customFormat="1">
      <c r="A284" s="1649">
        <v>45126</v>
      </c>
      <c r="B284" s="1650">
        <v>1.1254001333777925</v>
      </c>
      <c r="C284" s="1651">
        <v>0.68069989996665559</v>
      </c>
      <c r="D284" s="1651">
        <v>1.3205502542246379</v>
      </c>
      <c r="E284" s="1651">
        <v>0.85750002287429195</v>
      </c>
      <c r="F284" s="1651">
        <v>1.3088999666555519</v>
      </c>
      <c r="G284" s="1651">
        <v>7.8148615265950232</v>
      </c>
      <c r="H284" s="1651">
        <v>138.23461627103021</v>
      </c>
      <c r="I284" s="1651">
        <v>4.5374975224567544</v>
      </c>
      <c r="J284" s="1651">
        <v>0.63060020006668893</v>
      </c>
      <c r="K284" s="1651">
        <v>1.3216495808533124</v>
      </c>
      <c r="L284" s="1651">
        <v>3.7520330289002879</v>
      </c>
      <c r="M284" s="1651">
        <v>34.225001711820696</v>
      </c>
      <c r="N284" s="1651">
        <v>10.198598925389376</v>
      </c>
      <c r="O284" s="1651">
        <v>7.1731996440906611</v>
      </c>
      <c r="P284" s="1651">
        <v>7.1797941106056982</v>
      </c>
      <c r="Q284" s="1651"/>
      <c r="R284" s="1652">
        <v>14995</v>
      </c>
      <c r="S284" s="1653">
        <v>16875.375</v>
      </c>
      <c r="T284" s="1654">
        <v>10207.095000000001</v>
      </c>
      <c r="U284" s="1654">
        <v>11355.115</v>
      </c>
      <c r="V284" s="1654">
        <v>17486.88</v>
      </c>
      <c r="W284" s="1654">
        <v>19626.955000000002</v>
      </c>
      <c r="X284" s="1654">
        <v>1918.7800000000002</v>
      </c>
      <c r="Y284" s="1654">
        <v>108.47499999999999</v>
      </c>
      <c r="Z284" s="1654">
        <v>3304.6850000000004</v>
      </c>
      <c r="AA284" s="1654">
        <v>9455.85</v>
      </c>
      <c r="AB284" s="1654">
        <v>11345.67</v>
      </c>
      <c r="AC284" s="1654">
        <v>3996.5</v>
      </c>
      <c r="AD284" s="1654">
        <v>438.13</v>
      </c>
      <c r="AE284" s="1654">
        <v>1470.3</v>
      </c>
      <c r="AF284" s="1654">
        <v>2090.42</v>
      </c>
      <c r="AG284" s="1654">
        <v>11.885000000000002</v>
      </c>
      <c r="AH284" s="1654">
        <v>182.85500000000002</v>
      </c>
      <c r="AI284" s="1654">
        <v>2088.5</v>
      </c>
    </row>
    <row r="285" spans="1:35">
      <c r="A285" s="1648">
        <v>45127</v>
      </c>
      <c r="B285" s="1647">
        <v>1.1205998331943285</v>
      </c>
      <c r="C285" s="1646">
        <v>0.68230025020850715</v>
      </c>
      <c r="D285" s="1646">
        <v>1.3142497113912017</v>
      </c>
      <c r="E285" s="1646">
        <v>0.85849976342925627</v>
      </c>
      <c r="F285" s="1646">
        <v>1.2910001668056712</v>
      </c>
      <c r="G285" s="1646">
        <v>7.8122556633966829</v>
      </c>
      <c r="H285" s="1646">
        <v>139.62642071920999</v>
      </c>
      <c r="I285" s="1646">
        <v>4.5515006665917577</v>
      </c>
      <c r="J285" s="1646">
        <v>0.62759999999999994</v>
      </c>
      <c r="K285" s="1646">
        <v>1.3243496990114321</v>
      </c>
      <c r="L285" s="1646">
        <v>3.7510949818545862</v>
      </c>
      <c r="M285" s="1646">
        <v>34.064977452905666</v>
      </c>
      <c r="N285" s="1646">
        <v>10.266008637489168</v>
      </c>
      <c r="O285" s="1646">
        <v>7.1870429424317246</v>
      </c>
      <c r="P285" s="1646">
        <v>7.1934245260379166</v>
      </c>
      <c r="Q285" s="1646"/>
      <c r="R285" s="1645">
        <v>14987.5</v>
      </c>
      <c r="S285" s="1644">
        <v>16794.989999999998</v>
      </c>
      <c r="T285" s="1643">
        <v>10225.975</v>
      </c>
      <c r="U285" s="1643">
        <v>11403.845000000001</v>
      </c>
      <c r="V285" s="1643">
        <v>17457.78</v>
      </c>
      <c r="W285" s="1643">
        <v>19348.864999999998</v>
      </c>
      <c r="X285" s="1643">
        <v>1918.46</v>
      </c>
      <c r="Y285" s="1643">
        <v>107.34</v>
      </c>
      <c r="Z285" s="1643">
        <v>3292.87</v>
      </c>
      <c r="AA285" s="1643">
        <v>9406.1549999999988</v>
      </c>
      <c r="AB285" s="1643">
        <v>11316.875</v>
      </c>
      <c r="AC285" s="1643">
        <v>3995.5</v>
      </c>
      <c r="AD285" s="1643">
        <v>439.96799999999996</v>
      </c>
      <c r="AE285" s="1643">
        <v>1459.915</v>
      </c>
      <c r="AF285" s="1643">
        <v>2085.3500000000004</v>
      </c>
      <c r="AG285" s="1643">
        <v>11.77</v>
      </c>
      <c r="AH285" s="1643">
        <v>182.66500000000002</v>
      </c>
      <c r="AI285" s="1643">
        <v>2083.5</v>
      </c>
    </row>
    <row r="286" spans="1:35">
      <c r="A286" s="1660">
        <v>45128</v>
      </c>
      <c r="B286" s="1659">
        <v>1.1128</v>
      </c>
      <c r="C286" s="1658">
        <v>0.67569983361064889</v>
      </c>
      <c r="D286" s="1658">
        <v>1.317300117789864</v>
      </c>
      <c r="E286" s="1658">
        <v>0.86649990268095933</v>
      </c>
      <c r="F286" s="1658">
        <v>1.2869500831946756</v>
      </c>
      <c r="G286" s="1658">
        <v>7.8165643533451252</v>
      </c>
      <c r="H286" s="1658">
        <v>141.37184794881446</v>
      </c>
      <c r="I286" s="1658">
        <v>4.5574980321618312</v>
      </c>
      <c r="J286" s="1658">
        <v>0.62080000000000002</v>
      </c>
      <c r="K286" s="1658">
        <v>1.328149792313615</v>
      </c>
      <c r="L286" s="1658">
        <v>3.7506240639041439</v>
      </c>
      <c r="M286" s="1658">
        <v>34.414990963917511</v>
      </c>
      <c r="N286" s="1658">
        <v>10.383982749803032</v>
      </c>
      <c r="O286" s="1658">
        <v>7.1758452214363153</v>
      </c>
      <c r="P286" s="1658">
        <v>7.1804062126642769</v>
      </c>
      <c r="Q286" s="1658"/>
      <c r="R286" s="1657">
        <v>15025</v>
      </c>
      <c r="S286" s="1656">
        <v>16719.82</v>
      </c>
      <c r="T286" s="1655">
        <v>10152.39</v>
      </c>
      <c r="U286" s="1655">
        <v>11405.905000000001</v>
      </c>
      <c r="V286" s="1655">
        <v>17339.875</v>
      </c>
      <c r="W286" s="1655">
        <v>19336.425000000003</v>
      </c>
      <c r="X286" s="1655">
        <v>1922.2</v>
      </c>
      <c r="Y286" s="1655">
        <v>106.28</v>
      </c>
      <c r="Z286" s="1655">
        <v>3296.7650000000003</v>
      </c>
      <c r="AA286" s="1655">
        <v>9327.52</v>
      </c>
      <c r="AB286" s="1655">
        <v>11312.73</v>
      </c>
      <c r="AC286" s="1655">
        <v>4006</v>
      </c>
      <c r="AD286" s="1655">
        <v>436.58300000000003</v>
      </c>
      <c r="AE286" s="1655">
        <v>1446.94</v>
      </c>
      <c r="AF286" s="1655">
        <v>2093.83</v>
      </c>
      <c r="AG286" s="1655">
        <v>11.705000000000002</v>
      </c>
      <c r="AH286" s="1655">
        <v>183.2</v>
      </c>
      <c r="AI286" s="1655">
        <v>2092.5</v>
      </c>
    </row>
    <row r="287" spans="1:35" s="87" customFormat="1">
      <c r="A287" s="2446">
        <v>45131</v>
      </c>
      <c r="B287" s="2447">
        <v>1.1081001830587451</v>
      </c>
      <c r="C287" s="2448">
        <v>0.67345015809618902</v>
      </c>
      <c r="D287" s="2448">
        <v>1.3205995508774768</v>
      </c>
      <c r="E287" s="2448">
        <v>0.86774994129799454</v>
      </c>
      <c r="F287" s="2448">
        <v>1.2849502413047096</v>
      </c>
      <c r="G287" s="2448">
        <v>7.8126422046498805</v>
      </c>
      <c r="H287" s="2448">
        <v>141.43482558960599</v>
      </c>
      <c r="I287" s="2448">
        <v>4.5779927227514579</v>
      </c>
      <c r="J287" s="2448">
        <v>0.6196501913795972</v>
      </c>
      <c r="K287" s="2448">
        <v>1.3315499560581867</v>
      </c>
      <c r="L287" s="2448">
        <v>3.7509363295880149</v>
      </c>
      <c r="M287" s="2448">
        <v>34.46001743359178</v>
      </c>
      <c r="N287" s="2448">
        <v>10.42432863784609</v>
      </c>
      <c r="O287" s="2448">
        <v>7.2030149814080939</v>
      </c>
      <c r="P287" s="2448">
        <v>7.2084932821497123</v>
      </c>
      <c r="Q287" s="2448"/>
      <c r="R287" s="2449">
        <v>15022.5</v>
      </c>
      <c r="S287" s="2450">
        <v>16646.435000000001</v>
      </c>
      <c r="T287" s="2451">
        <v>10116.905000000001</v>
      </c>
      <c r="U287" s="2451">
        <v>11375.514999999999</v>
      </c>
      <c r="V287" s="2451">
        <v>17312.014999999999</v>
      </c>
      <c r="W287" s="2451">
        <v>19303.165000000001</v>
      </c>
      <c r="X287" s="2451">
        <v>1922.845</v>
      </c>
      <c r="Y287" s="2451">
        <v>106.215</v>
      </c>
      <c r="Z287" s="2451">
        <v>3281.46</v>
      </c>
      <c r="AA287" s="2451">
        <v>9308.6949999999997</v>
      </c>
      <c r="AB287" s="2451">
        <v>11281.965</v>
      </c>
      <c r="AC287" s="2451">
        <v>4005</v>
      </c>
      <c r="AD287" s="2451">
        <v>435.94</v>
      </c>
      <c r="AE287" s="2451">
        <v>1441.1</v>
      </c>
      <c r="AF287" s="2451">
        <v>2085.585</v>
      </c>
      <c r="AG287" s="2451">
        <v>11.71</v>
      </c>
      <c r="AH287" s="2451">
        <v>183.40500000000003</v>
      </c>
      <c r="AI287" s="2451">
        <v>2084</v>
      </c>
    </row>
    <row r="288" spans="1:35" s="1459" customFormat="1">
      <c r="A288" s="1666">
        <v>45132</v>
      </c>
      <c r="B288" s="1665">
        <v>1.1070998832749708</v>
      </c>
      <c r="C288" s="1664">
        <v>0.67660030015007511</v>
      </c>
      <c r="D288" s="1664">
        <v>1.3165497571067781</v>
      </c>
      <c r="E288" s="1664">
        <v>0.86814980296169797</v>
      </c>
      <c r="F288" s="1664">
        <v>1.2857001834250459</v>
      </c>
      <c r="G288" s="1664">
        <v>7.8138436762199603</v>
      </c>
      <c r="H288" s="1664">
        <v>141.39866075638969</v>
      </c>
      <c r="I288" s="1664">
        <v>4.5609973502559997</v>
      </c>
      <c r="J288" s="1664">
        <v>0.62089978322494577</v>
      </c>
      <c r="K288" s="1664">
        <v>1.3284498715632425</v>
      </c>
      <c r="L288" s="1664">
        <v>3.7509382036527397</v>
      </c>
      <c r="M288" s="1664">
        <v>34.550025810257729</v>
      </c>
      <c r="N288" s="1664">
        <v>10.376366039851337</v>
      </c>
      <c r="O288" s="1664">
        <v>7.1421936073972976</v>
      </c>
      <c r="P288" s="1664">
        <v>7.1409859490354846</v>
      </c>
      <c r="Q288" s="1664"/>
      <c r="R288" s="1663">
        <v>14992.5</v>
      </c>
      <c r="S288" s="1662">
        <v>16598.195</v>
      </c>
      <c r="T288" s="1661">
        <v>10143.93</v>
      </c>
      <c r="U288" s="1661">
        <v>11387.720000000001</v>
      </c>
      <c r="V288" s="1661">
        <v>17269.485000000001</v>
      </c>
      <c r="W288" s="1661">
        <v>19275.86</v>
      </c>
      <c r="X288" s="1661">
        <v>1918.71</v>
      </c>
      <c r="Y288" s="1661">
        <v>106.03</v>
      </c>
      <c r="Z288" s="1661">
        <v>3287.11</v>
      </c>
      <c r="AA288" s="1661">
        <v>9308.84</v>
      </c>
      <c r="AB288" s="1661">
        <v>11285.71</v>
      </c>
      <c r="AC288" s="1661">
        <v>3997</v>
      </c>
      <c r="AD288" s="1661">
        <v>433.93600000000004</v>
      </c>
      <c r="AE288" s="1661">
        <v>1444.87</v>
      </c>
      <c r="AF288" s="1661">
        <v>2099.145</v>
      </c>
      <c r="AG288" s="1661">
        <v>11.75</v>
      </c>
      <c r="AH288" s="1661">
        <v>183.22499999999999</v>
      </c>
      <c r="AI288" s="1661">
        <v>2099.5</v>
      </c>
    </row>
    <row r="289" spans="1:35" s="1459" customFormat="1">
      <c r="A289" s="1672">
        <v>45133</v>
      </c>
      <c r="B289" s="1671">
        <v>1.1069498917929081</v>
      </c>
      <c r="C289" s="1670">
        <v>0.67665024138505081</v>
      </c>
      <c r="D289" s="1670">
        <v>1.3186999423082495</v>
      </c>
      <c r="E289" s="1670">
        <v>0.86169995455526116</v>
      </c>
      <c r="F289" s="1670">
        <v>1.2903998668220411</v>
      </c>
      <c r="G289" s="1670">
        <v>7.804947767787537</v>
      </c>
      <c r="H289" s="1670">
        <v>140.65280509506414</v>
      </c>
      <c r="I289" s="1670">
        <v>4.5529995831280559</v>
      </c>
      <c r="J289" s="1670">
        <v>0.62210021641418345</v>
      </c>
      <c r="K289" s="1670">
        <v>1.3265499014196975</v>
      </c>
      <c r="L289" s="1670">
        <v>3.7510927938054204</v>
      </c>
      <c r="M289" s="1670">
        <v>34.2699815043649</v>
      </c>
      <c r="N289" s="1670">
        <v>10.364473339130674</v>
      </c>
      <c r="O289" s="1670">
        <v>7.1473615325123445</v>
      </c>
      <c r="P289" s="1670">
        <v>7.1494882170911689</v>
      </c>
      <c r="Q289" s="1670"/>
      <c r="R289" s="1669">
        <v>15017.5</v>
      </c>
      <c r="S289" s="1668">
        <v>16623.62</v>
      </c>
      <c r="T289" s="1667">
        <v>10161.595000000001</v>
      </c>
      <c r="U289" s="1667">
        <v>11388.11</v>
      </c>
      <c r="V289" s="1667">
        <v>17427.760000000002</v>
      </c>
      <c r="W289" s="1667">
        <v>19378.580000000002</v>
      </c>
      <c r="X289" s="1667">
        <v>1924.1</v>
      </c>
      <c r="Y289" s="1667">
        <v>106.77000000000001</v>
      </c>
      <c r="Z289" s="1667">
        <v>3298.375</v>
      </c>
      <c r="AA289" s="1667">
        <v>9342.39</v>
      </c>
      <c r="AB289" s="1667">
        <v>11320.720000000001</v>
      </c>
      <c r="AC289" s="1667">
        <v>4003.5</v>
      </c>
      <c r="AD289" s="1667">
        <v>438.2115</v>
      </c>
      <c r="AE289" s="1667">
        <v>1448.94</v>
      </c>
      <c r="AF289" s="1667">
        <v>2101.125</v>
      </c>
      <c r="AG289" s="1667">
        <v>11.8</v>
      </c>
      <c r="AH289" s="1667">
        <v>183.11500000000001</v>
      </c>
      <c r="AI289" s="1667">
        <v>2100.5</v>
      </c>
    </row>
    <row r="290" spans="1:35">
      <c r="A290" s="1678">
        <v>45134</v>
      </c>
      <c r="B290" s="1677">
        <v>1.1128499999999999</v>
      </c>
      <c r="C290" s="1676">
        <v>0.68140000000000001</v>
      </c>
      <c r="D290" s="1676">
        <v>1.3171002194727999</v>
      </c>
      <c r="E290" s="1676">
        <v>0.85679989238593346</v>
      </c>
      <c r="F290" s="1676">
        <v>1.2983</v>
      </c>
      <c r="G290" s="1676">
        <v>7.8002106056863534</v>
      </c>
      <c r="H290" s="1676">
        <v>139.98413513135179</v>
      </c>
      <c r="I290" s="1676">
        <v>4.5174939954975644</v>
      </c>
      <c r="J290" s="1676">
        <v>0.62549999999999994</v>
      </c>
      <c r="K290" s="1676">
        <v>1.3222499404987527</v>
      </c>
      <c r="L290" s="1676">
        <v>3.751406777541578</v>
      </c>
      <c r="M290" s="1676">
        <v>34.055035207230567</v>
      </c>
      <c r="N290" s="1676">
        <v>10.317184646653621</v>
      </c>
      <c r="O290" s="1676">
        <v>7.1361118181147818</v>
      </c>
      <c r="P290" s="1676">
        <v>7.1377587437544614</v>
      </c>
      <c r="Q290" s="1676"/>
      <c r="R290" s="1675">
        <v>15000</v>
      </c>
      <c r="S290" s="1674">
        <v>16692.75</v>
      </c>
      <c r="T290" s="1673">
        <v>10221</v>
      </c>
      <c r="U290" s="1673">
        <v>11388.655000000001</v>
      </c>
      <c r="V290" s="1673">
        <v>17507.005000000001</v>
      </c>
      <c r="W290" s="1673">
        <v>19474.5</v>
      </c>
      <c r="X290" s="1673">
        <v>1923.0250000000001</v>
      </c>
      <c r="Y290" s="1673">
        <v>107.155</v>
      </c>
      <c r="Z290" s="1673">
        <v>3320.4250000000002</v>
      </c>
      <c r="AA290" s="1673">
        <v>9382.5</v>
      </c>
      <c r="AB290" s="1673">
        <v>11344.3</v>
      </c>
      <c r="AC290" s="1673">
        <v>3998.5</v>
      </c>
      <c r="AD290" s="1673">
        <v>440.46350000000001</v>
      </c>
      <c r="AE290" s="1673">
        <v>1453.885</v>
      </c>
      <c r="AF290" s="1673">
        <v>2101.9850000000001</v>
      </c>
      <c r="AG290" s="1673">
        <v>11.754999999999999</v>
      </c>
      <c r="AH290" s="1673">
        <v>183.03500000000003</v>
      </c>
      <c r="AI290" s="1673">
        <v>2101.5</v>
      </c>
    </row>
    <row r="291" spans="1:35">
      <c r="A291" s="1684">
        <v>45135</v>
      </c>
      <c r="B291" s="1683">
        <v>1.0951498890324292</v>
      </c>
      <c r="C291" s="1682">
        <v>0.6628500447182748</v>
      </c>
      <c r="D291" s="1682">
        <v>1.3244995340625707</v>
      </c>
      <c r="E291" s="1682">
        <v>0.87289993962651713</v>
      </c>
      <c r="F291" s="1682">
        <v>1.2777501739044024</v>
      </c>
      <c r="G291" s="1682">
        <v>7.7987600103332468</v>
      </c>
      <c r="H291" s="1682">
        <v>139.77035973887681</v>
      </c>
      <c r="I291" s="1682">
        <v>4.5544996597967229</v>
      </c>
      <c r="J291" s="1682">
        <v>0.61250024843486039</v>
      </c>
      <c r="K291" s="1682">
        <v>1.3339996924496385</v>
      </c>
      <c r="L291" s="1682">
        <v>3.7515844414067354</v>
      </c>
      <c r="M291" s="1682">
        <v>34.550005321723965</v>
      </c>
      <c r="N291" s="1682">
        <v>10.579008785178384</v>
      </c>
      <c r="O291" s="1682">
        <v>7.161801825738741</v>
      </c>
      <c r="P291" s="1682">
        <v>7.1639772187944946</v>
      </c>
      <c r="Q291" s="1682"/>
      <c r="R291" s="1681">
        <v>15094.5</v>
      </c>
      <c r="S291" s="1680">
        <v>16530.740000000002</v>
      </c>
      <c r="T291" s="1679">
        <v>10005.39</v>
      </c>
      <c r="U291" s="1679">
        <v>11396.380000000001</v>
      </c>
      <c r="V291" s="1679">
        <v>17292.36</v>
      </c>
      <c r="W291" s="1679">
        <v>19287</v>
      </c>
      <c r="X291" s="1679">
        <v>1935.5</v>
      </c>
      <c r="Y291" s="1679">
        <v>107.995</v>
      </c>
      <c r="Z291" s="1679">
        <v>3314.1949999999997</v>
      </c>
      <c r="AA291" s="1679">
        <v>9245.3850000000002</v>
      </c>
      <c r="AB291" s="1679">
        <v>11315.220000000001</v>
      </c>
      <c r="AC291" s="1679">
        <v>4023.5</v>
      </c>
      <c r="AD291" s="1679">
        <v>436.88850000000002</v>
      </c>
      <c r="AE291" s="1679">
        <v>1426.835</v>
      </c>
      <c r="AF291" s="1679">
        <v>2107.64</v>
      </c>
      <c r="AG291" s="1679">
        <v>11.774999999999999</v>
      </c>
      <c r="AH291" s="1679">
        <v>183.375</v>
      </c>
      <c r="AI291" s="1679">
        <v>2107</v>
      </c>
    </row>
    <row r="292" spans="1:35">
      <c r="A292" s="1690">
        <v>45138</v>
      </c>
      <c r="B292" s="1689">
        <v>1.1019499336870027</v>
      </c>
      <c r="C292" s="1688">
        <v>0.66905006631299746</v>
      </c>
      <c r="D292" s="1688">
        <v>1.3244003641222752</v>
      </c>
      <c r="E292" s="1688">
        <v>0.87019997864893961</v>
      </c>
      <c r="F292" s="1688">
        <v>1.2856498673740051</v>
      </c>
      <c r="G292" s="1688">
        <v>7.800840607824119</v>
      </c>
      <c r="H292" s="1688">
        <v>142.17026491939285</v>
      </c>
      <c r="I292" s="1688">
        <v>4.4994979837295999</v>
      </c>
      <c r="J292" s="1688">
        <v>0.61910013262599461</v>
      </c>
      <c r="K292" s="1688">
        <v>1.3307001706614143</v>
      </c>
      <c r="L292" s="1688">
        <v>3.7512437810945274</v>
      </c>
      <c r="M292" s="1688">
        <v>34.240004722759274</v>
      </c>
      <c r="N292" s="1688">
        <v>10.531277825305096</v>
      </c>
      <c r="O292" s="1688">
        <v>7.1475969286188255</v>
      </c>
      <c r="P292" s="1688">
        <v>7.1520037941664691</v>
      </c>
      <c r="Q292" s="1688"/>
      <c r="R292" s="1687">
        <v>15080</v>
      </c>
      <c r="S292" s="1686">
        <v>16617.404999999999</v>
      </c>
      <c r="T292" s="1685">
        <v>10089.275000000001</v>
      </c>
      <c r="U292" s="1685">
        <v>11386.285</v>
      </c>
      <c r="V292" s="1685">
        <v>17329.349999999999</v>
      </c>
      <c r="W292" s="1685">
        <v>19387.599999999999</v>
      </c>
      <c r="X292" s="1685">
        <v>1933.125</v>
      </c>
      <c r="Y292" s="1685">
        <v>106.07</v>
      </c>
      <c r="Z292" s="1685">
        <v>3351.4850000000001</v>
      </c>
      <c r="AA292" s="1685">
        <v>9336.0299999999988</v>
      </c>
      <c r="AB292" s="1685">
        <v>11332.380000000001</v>
      </c>
      <c r="AC292" s="1685">
        <v>4020</v>
      </c>
      <c r="AD292" s="1685">
        <v>440.4205</v>
      </c>
      <c r="AE292" s="1685">
        <v>1431.925</v>
      </c>
      <c r="AF292" s="1685">
        <v>2109.8000000000002</v>
      </c>
      <c r="AG292" s="1685">
        <v>11.835000000000001</v>
      </c>
      <c r="AH292" s="1685">
        <v>183.315</v>
      </c>
      <c r="AI292" s="1685">
        <v>2108.5</v>
      </c>
    </row>
    <row r="293" spans="1:35">
      <c r="A293" s="1696">
        <v>45139</v>
      </c>
      <c r="B293" s="1695">
        <v>1.0980000000000001</v>
      </c>
      <c r="C293" s="1694">
        <v>0.66444988422097251</v>
      </c>
      <c r="D293" s="1694">
        <v>1.3245497385295877</v>
      </c>
      <c r="E293" s="1694">
        <v>0.87379993421208557</v>
      </c>
      <c r="F293" s="1694">
        <v>1.2818001984783327</v>
      </c>
      <c r="G293" s="1694">
        <v>7.7945920022277635</v>
      </c>
      <c r="H293" s="1694">
        <v>142.71551317156076</v>
      </c>
      <c r="I293" s="1694">
        <v>4.5129978218776641</v>
      </c>
      <c r="J293" s="1694">
        <v>0.61670029771749912</v>
      </c>
      <c r="K293" s="1694">
        <v>1.3333503879859969</v>
      </c>
      <c r="L293" s="1694">
        <v>3.7520168797319102</v>
      </c>
      <c r="M293" s="1694">
        <v>34.189986846525073</v>
      </c>
      <c r="N293" s="1694">
        <v>10.574144938891726</v>
      </c>
      <c r="O293" s="1694">
        <v>7.165238991414987</v>
      </c>
      <c r="P293" s="1694">
        <v>7.1720047449584818</v>
      </c>
      <c r="Q293" s="1694"/>
      <c r="R293" s="1693">
        <v>15115</v>
      </c>
      <c r="S293" s="1692">
        <v>16596.27</v>
      </c>
      <c r="T293" s="1691">
        <v>10043.16</v>
      </c>
      <c r="U293" s="1691">
        <v>11411.424999999999</v>
      </c>
      <c r="V293" s="1691">
        <v>17298.010000000002</v>
      </c>
      <c r="W293" s="1691">
        <v>19374.41</v>
      </c>
      <c r="X293" s="1691">
        <v>1939.165</v>
      </c>
      <c r="Y293" s="1691">
        <v>105.91</v>
      </c>
      <c r="Z293" s="1691">
        <v>3349.2150000000001</v>
      </c>
      <c r="AA293" s="1691">
        <v>9321.4249999999993</v>
      </c>
      <c r="AB293" s="1691">
        <v>11336.105</v>
      </c>
      <c r="AC293" s="1691">
        <v>4028.5</v>
      </c>
      <c r="AD293" s="1691">
        <v>442.08850000000001</v>
      </c>
      <c r="AE293" s="1691">
        <v>1429.43</v>
      </c>
      <c r="AF293" s="1691">
        <v>2109.4899999999998</v>
      </c>
      <c r="AG293" s="1691">
        <v>11.74</v>
      </c>
      <c r="AH293" s="1691">
        <v>183.715</v>
      </c>
      <c r="AI293" s="1691">
        <v>2107.5</v>
      </c>
    </row>
    <row r="294" spans="1:35">
      <c r="A294" s="1696">
        <v>45140</v>
      </c>
      <c r="B294" s="1695">
        <v>1.0990003294892916</v>
      </c>
      <c r="C294" s="1694">
        <v>0.65815024711696868</v>
      </c>
      <c r="D294" s="1694">
        <v>1.3304996102754023</v>
      </c>
      <c r="E294" s="1694">
        <v>0.8768999981508534</v>
      </c>
      <c r="F294" s="1694">
        <v>1.2792500823723232</v>
      </c>
      <c r="G294" s="1770">
        <v>7.8002518697473588</v>
      </c>
      <c r="H294" s="1694">
        <v>142.64228979649386</v>
      </c>
      <c r="I294" s="1694">
        <v>4.5434947933196401</v>
      </c>
      <c r="J294" s="1694">
        <v>0.61070016474464583</v>
      </c>
      <c r="K294" s="1694">
        <v>1.3378501387440958</v>
      </c>
      <c r="L294" s="1694">
        <v>3.7520089009766351</v>
      </c>
      <c r="M294" s="1694">
        <v>34.324968672104376</v>
      </c>
      <c r="N294" s="1694">
        <v>10.634905617402701</v>
      </c>
      <c r="O294" s="1694">
        <v>7.1833639444833643</v>
      </c>
      <c r="P294" s="1694">
        <v>7.1919431279620856</v>
      </c>
      <c r="Q294" s="1694"/>
      <c r="R294" s="1693">
        <v>15175</v>
      </c>
      <c r="S294" s="1692">
        <v>16677.330000000002</v>
      </c>
      <c r="T294" s="1691">
        <v>9987.43</v>
      </c>
      <c r="U294" s="1691">
        <v>11405.490000000002</v>
      </c>
      <c r="V294" s="1691">
        <v>17305.28</v>
      </c>
      <c r="W294" s="1691">
        <v>19412.620000000003</v>
      </c>
      <c r="X294" s="1691">
        <v>1945.45</v>
      </c>
      <c r="Y294" s="1691">
        <v>106.38500000000001</v>
      </c>
      <c r="Z294" s="1691">
        <v>3339.94</v>
      </c>
      <c r="AA294" s="1691">
        <v>9267.375</v>
      </c>
      <c r="AB294" s="1691">
        <v>11342.825000000001</v>
      </c>
      <c r="AC294" s="1691">
        <v>4044.5</v>
      </c>
      <c r="AD294" s="1691">
        <v>442.09800000000001</v>
      </c>
      <c r="AE294" s="1691">
        <v>1426.905</v>
      </c>
      <c r="AF294" s="1691">
        <v>2112.5200000000004</v>
      </c>
      <c r="AG294" s="1691">
        <v>11.695</v>
      </c>
      <c r="AH294" s="1691">
        <v>183.77</v>
      </c>
      <c r="AI294" s="1691">
        <v>2110</v>
      </c>
    </row>
    <row r="295" spans="1:35">
      <c r="A295" s="1703">
        <v>45141</v>
      </c>
      <c r="B295" s="1702">
        <v>1.0918001317089234</v>
      </c>
      <c r="C295" s="1701">
        <v>0.65280013170892326</v>
      </c>
      <c r="D295" s="1701">
        <v>1.3368995727379898</v>
      </c>
      <c r="E295" s="1701">
        <v>0.87850000679774454</v>
      </c>
      <c r="F295" s="1701">
        <v>1.2688001317089235</v>
      </c>
      <c r="G295" s="1701">
        <v>7.8051513484895993</v>
      </c>
      <c r="H295" s="1701">
        <v>142.91092183897229</v>
      </c>
      <c r="I295" s="1701">
        <v>4.5554977222511388</v>
      </c>
      <c r="J295" s="1701">
        <v>0.60735001646361542</v>
      </c>
      <c r="K295" s="1701">
        <v>1.3434504248214076</v>
      </c>
      <c r="L295" s="1701">
        <v>3.7512351778656128</v>
      </c>
      <c r="M295" s="1701">
        <v>34.64000401490992</v>
      </c>
      <c r="N295" s="1701">
        <v>10.731600446649422</v>
      </c>
      <c r="O295" s="1701">
        <v>7.1891015398454226</v>
      </c>
      <c r="P295" s="1701">
        <v>7.2000948316737787</v>
      </c>
      <c r="Q295" s="1701"/>
      <c r="R295" s="1700">
        <v>15185</v>
      </c>
      <c r="S295" s="1699">
        <v>16578.985000000001</v>
      </c>
      <c r="T295" s="1698">
        <v>9912.77</v>
      </c>
      <c r="U295" s="1698">
        <v>11358.369999999999</v>
      </c>
      <c r="V295" s="1698">
        <v>17285.145</v>
      </c>
      <c r="W295" s="1698">
        <v>19266.730000000003</v>
      </c>
      <c r="X295" s="1698">
        <v>1945.51</v>
      </c>
      <c r="Y295" s="1698">
        <v>106.255</v>
      </c>
      <c r="Z295" s="1698">
        <v>3333.335</v>
      </c>
      <c r="AA295" s="1698">
        <v>9222.61</v>
      </c>
      <c r="AB295" s="1698">
        <v>11302.985000000001</v>
      </c>
      <c r="AC295" s="1698">
        <v>4048</v>
      </c>
      <c r="AD295" s="1698">
        <v>438.36599999999999</v>
      </c>
      <c r="AE295" s="1698">
        <v>1414.98</v>
      </c>
      <c r="AF295" s="1698">
        <v>2112.2250000000004</v>
      </c>
      <c r="AG295" s="1698">
        <v>11.664999999999999</v>
      </c>
      <c r="AH295" s="1698">
        <v>183.44</v>
      </c>
      <c r="AI295" s="1698">
        <v>2109</v>
      </c>
    </row>
    <row r="296" spans="1:35">
      <c r="A296" s="1709">
        <v>45142</v>
      </c>
      <c r="B296" s="1708">
        <v>1.0948002636783127</v>
      </c>
      <c r="C296" s="1707">
        <v>0.65620006591957813</v>
      </c>
      <c r="D296" s="1707">
        <v>1.3362001005893549</v>
      </c>
      <c r="E296" s="1707">
        <v>0.87689990161610853</v>
      </c>
      <c r="F296" s="1707">
        <v>1.2706001977587342</v>
      </c>
      <c r="G296" s="1707">
        <v>7.8085992392149191</v>
      </c>
      <c r="H296" s="1707">
        <v>142.65563287568176</v>
      </c>
      <c r="I296" s="1707">
        <v>4.5504994450610434</v>
      </c>
      <c r="J296" s="1707">
        <v>0.60905009887936723</v>
      </c>
      <c r="K296" s="1707">
        <v>1.3424499578991056</v>
      </c>
      <c r="L296" s="1707">
        <v>3.7517002596760234</v>
      </c>
      <c r="M296" s="1707">
        <v>34.764992546266427</v>
      </c>
      <c r="N296" s="1707">
        <v>10.708701437591989</v>
      </c>
      <c r="O296" s="1707">
        <v>7.1816430197933094</v>
      </c>
      <c r="P296" s="1707">
        <v>7.18957345971564</v>
      </c>
      <c r="Q296" s="1707"/>
      <c r="R296" s="1706">
        <v>15170</v>
      </c>
      <c r="S296" s="1705">
        <v>16608.120000000003</v>
      </c>
      <c r="T296" s="1704">
        <v>9954.5550000000003</v>
      </c>
      <c r="U296" s="1704">
        <v>11353.09</v>
      </c>
      <c r="V296" s="1704">
        <v>17299.580000000002</v>
      </c>
      <c r="W296" s="1704">
        <v>19275.004999999997</v>
      </c>
      <c r="X296" s="1704">
        <v>1942.73</v>
      </c>
      <c r="Y296" s="1704">
        <v>106.34</v>
      </c>
      <c r="Z296" s="1704">
        <v>3333.7</v>
      </c>
      <c r="AA296" s="1704">
        <v>9239.2900000000009</v>
      </c>
      <c r="AB296" s="1704">
        <v>11300.235000000001</v>
      </c>
      <c r="AC296" s="1704">
        <v>4043.5</v>
      </c>
      <c r="AD296" s="1704">
        <v>436.35850000000005</v>
      </c>
      <c r="AE296" s="1704">
        <v>1416.605</v>
      </c>
      <c r="AF296" s="1704">
        <v>2112.33</v>
      </c>
      <c r="AG296" s="1704">
        <v>11.585000000000001</v>
      </c>
      <c r="AH296" s="1704">
        <v>183.23000000000002</v>
      </c>
      <c r="AI296" s="1704">
        <v>2110</v>
      </c>
    </row>
    <row r="297" spans="1:35" s="31" customFormat="1">
      <c r="A297" s="1709">
        <v>45145</v>
      </c>
      <c r="B297" s="1708">
        <v>1.0993002963450773</v>
      </c>
      <c r="C297" s="1707">
        <v>0.65789990121830744</v>
      </c>
      <c r="D297" s="1707">
        <v>1.337599675840184</v>
      </c>
      <c r="E297" s="1707">
        <v>0.87389999959714848</v>
      </c>
      <c r="F297" s="1707">
        <v>1.2744000658544616</v>
      </c>
      <c r="G297" s="1707">
        <v>7.8059538068482661</v>
      </c>
      <c r="H297" s="1707">
        <v>142.11511464670099</v>
      </c>
      <c r="I297" s="1707">
        <v>4.55999843845954</v>
      </c>
      <c r="J297" s="1707">
        <v>0.61084985182746143</v>
      </c>
      <c r="K297" s="1707">
        <v>1.3402500888130822</v>
      </c>
      <c r="L297" s="1707">
        <v>3.7516985793699815</v>
      </c>
      <c r="M297" s="1707">
        <v>34.760016252625313</v>
      </c>
      <c r="N297" s="1707">
        <v>10.593212949043052</v>
      </c>
      <c r="O297" s="1707">
        <v>7.1917913646406353</v>
      </c>
      <c r="P297" s="1707">
        <v>7.2000948316737787</v>
      </c>
      <c r="Q297" s="1707"/>
      <c r="R297" s="1706">
        <v>15185</v>
      </c>
      <c r="S297" s="1705">
        <v>16692.875</v>
      </c>
      <c r="T297" s="1704">
        <v>9990.2099999999991</v>
      </c>
      <c r="U297" s="1704">
        <v>11352.424999999999</v>
      </c>
      <c r="V297" s="1704">
        <v>17376.13</v>
      </c>
      <c r="W297" s="1704">
        <v>19351.764999999999</v>
      </c>
      <c r="X297" s="1704">
        <v>1945.31</v>
      </c>
      <c r="Y297" s="1704">
        <v>106.85</v>
      </c>
      <c r="Z297" s="1704">
        <v>3330.0450000000001</v>
      </c>
      <c r="AA297" s="1704">
        <v>9275.755000000001</v>
      </c>
      <c r="AB297" s="1704">
        <v>11329.975</v>
      </c>
      <c r="AC297" s="1704">
        <v>4047.5</v>
      </c>
      <c r="AD297" s="1704">
        <v>436.85250000000002</v>
      </c>
      <c r="AE297" s="1704">
        <v>1433.4650000000001</v>
      </c>
      <c r="AF297" s="1704">
        <v>2111.4349999999999</v>
      </c>
      <c r="AG297" s="1704">
        <v>11.645</v>
      </c>
      <c r="AH297" s="1704">
        <v>183.55500000000001</v>
      </c>
      <c r="AI297" s="1704">
        <v>2109</v>
      </c>
    </row>
    <row r="298" spans="1:35">
      <c r="A298" s="1715">
        <v>45146</v>
      </c>
      <c r="B298" s="1714">
        <v>1.0978002299983574</v>
      </c>
      <c r="C298" s="1713">
        <v>0.65239986857236731</v>
      </c>
      <c r="D298" s="1713">
        <v>1.3423496654380356</v>
      </c>
      <c r="E298" s="1713">
        <v>0.87490006994026182</v>
      </c>
      <c r="F298" s="1713">
        <v>1.2754999178577295</v>
      </c>
      <c r="G298" s="1713">
        <v>7.8087115818317567</v>
      </c>
      <c r="H298" s="1713">
        <v>143.09558512388924</v>
      </c>
      <c r="I298" s="1713">
        <v>4.5805007773381474</v>
      </c>
      <c r="J298" s="1713">
        <v>0.60604994250041078</v>
      </c>
      <c r="K298" s="1713">
        <v>1.3455502011583182</v>
      </c>
      <c r="L298" s="1713">
        <v>3.7518491124260356</v>
      </c>
      <c r="M298" s="1713">
        <v>35.000017249885289</v>
      </c>
      <c r="N298" s="1713">
        <v>10.639525127946976</v>
      </c>
      <c r="O298" s="1713">
        <v>7.2129399217916816</v>
      </c>
      <c r="P298" s="1713">
        <v>7.227499406316789</v>
      </c>
      <c r="Q298" s="1713"/>
      <c r="R298" s="1712">
        <v>15217.5</v>
      </c>
      <c r="S298" s="1711">
        <v>16705.775000000001</v>
      </c>
      <c r="T298" s="1710">
        <v>9927.8950000000004</v>
      </c>
      <c r="U298" s="1710">
        <v>11336.465</v>
      </c>
      <c r="V298" s="1710">
        <v>17393.415000000001</v>
      </c>
      <c r="W298" s="1710">
        <v>19409.919999999998</v>
      </c>
      <c r="X298" s="1710">
        <v>1948.7850000000001</v>
      </c>
      <c r="Y298" s="1710">
        <v>106.345</v>
      </c>
      <c r="Z298" s="1710">
        <v>3322.2350000000001</v>
      </c>
      <c r="AA298" s="1710">
        <v>9222.5650000000005</v>
      </c>
      <c r="AB298" s="1710">
        <v>11309.5</v>
      </c>
      <c r="AC298" s="1710">
        <v>4056</v>
      </c>
      <c r="AD298" s="1710">
        <v>434.78550000000001</v>
      </c>
      <c r="AE298" s="1710">
        <v>1430.28</v>
      </c>
      <c r="AF298" s="1710">
        <v>2109.75</v>
      </c>
      <c r="AG298" s="1710">
        <v>11.56</v>
      </c>
      <c r="AH298" s="1710">
        <v>183.8</v>
      </c>
      <c r="AI298" s="1710">
        <v>2105.5</v>
      </c>
    </row>
    <row r="299" spans="1:35">
      <c r="A299" s="1721">
        <v>45147</v>
      </c>
      <c r="B299" s="1720">
        <v>1.0983999868338765</v>
      </c>
      <c r="C299" s="1719">
        <v>0.65665020901221149</v>
      </c>
      <c r="D299" s="1719">
        <v>1.3412504828651841</v>
      </c>
      <c r="E299" s="1719">
        <v>0.87359989234199009</v>
      </c>
      <c r="F299" s="1719">
        <v>1.2770998321319245</v>
      </c>
      <c r="G299" s="1719">
        <v>7.8173004183842032</v>
      </c>
      <c r="H299" s="1719">
        <v>143.24579188080531</v>
      </c>
      <c r="I299" s="1719">
        <v>4.5704958478757964</v>
      </c>
      <c r="J299" s="1719">
        <v>0.60870017445113733</v>
      </c>
      <c r="K299" s="1719">
        <v>1.344049987458011</v>
      </c>
      <c r="L299" s="1719">
        <v>3.7521304186735827</v>
      </c>
      <c r="M299" s="1719">
        <v>34.869987891169735</v>
      </c>
      <c r="N299" s="1719">
        <v>10.652113698279521</v>
      </c>
      <c r="O299" s="1719">
        <v>7.1987943956457965</v>
      </c>
      <c r="P299" s="1719">
        <v>7.2095396298054109</v>
      </c>
      <c r="Q299" s="1719"/>
      <c r="R299" s="1718">
        <v>15190.5</v>
      </c>
      <c r="S299" s="1717">
        <v>16685.245000000003</v>
      </c>
      <c r="T299" s="1716">
        <v>9974.8449999999993</v>
      </c>
      <c r="U299" s="1716">
        <v>11325.625</v>
      </c>
      <c r="V299" s="1716">
        <v>17388.395</v>
      </c>
      <c r="W299" s="1716">
        <v>19399.785</v>
      </c>
      <c r="X299" s="1716">
        <v>1943.19</v>
      </c>
      <c r="Y299" s="1716">
        <v>106.045</v>
      </c>
      <c r="Z299" s="1716">
        <v>3323.6000000000004</v>
      </c>
      <c r="AA299" s="1716">
        <v>9246.4600000000009</v>
      </c>
      <c r="AB299" s="1716">
        <v>11302.035</v>
      </c>
      <c r="AC299" s="1716">
        <v>4048.5</v>
      </c>
      <c r="AD299" s="1716">
        <v>435.63249999999999</v>
      </c>
      <c r="AE299" s="1716">
        <v>1426.0549999999998</v>
      </c>
      <c r="AF299" s="1716">
        <v>2110.145</v>
      </c>
      <c r="AG299" s="1716">
        <v>11.58</v>
      </c>
      <c r="AH299" s="1716">
        <v>183.44</v>
      </c>
      <c r="AI299" s="1716">
        <v>2107</v>
      </c>
    </row>
    <row r="300" spans="1:35">
      <c r="A300" s="1727">
        <v>45148</v>
      </c>
      <c r="B300" s="1726">
        <v>1.1008001317089233</v>
      </c>
      <c r="C300" s="1725">
        <v>0.65515014817253869</v>
      </c>
      <c r="D300" s="1725">
        <v>1.3406500364849276</v>
      </c>
      <c r="E300" s="1725">
        <v>0.87399984286996568</v>
      </c>
      <c r="F300" s="1725">
        <v>1.2745498847546921</v>
      </c>
      <c r="G300" s="1725">
        <v>7.8165013885421466</v>
      </c>
      <c r="H300" s="1725">
        <v>143.81777714637494</v>
      </c>
      <c r="I300" s="1725">
        <v>4.5730031696317655</v>
      </c>
      <c r="J300" s="1725">
        <v>0.60654988475469207</v>
      </c>
      <c r="K300" s="1725">
        <v>1.3462500044328285</v>
      </c>
      <c r="L300" s="1725">
        <v>3.7516985793699815</v>
      </c>
      <c r="M300" s="1725">
        <v>35.08998958970016</v>
      </c>
      <c r="N300" s="1725">
        <v>10.641801923023014</v>
      </c>
      <c r="O300" s="1725">
        <v>7.2104540900392688</v>
      </c>
      <c r="P300" s="1725">
        <v>7.2206371849738469</v>
      </c>
      <c r="Q300" s="1725"/>
      <c r="R300" s="1724">
        <v>15185</v>
      </c>
      <c r="S300" s="1723">
        <v>16715.650000000001</v>
      </c>
      <c r="T300" s="1722">
        <v>9948.4549999999999</v>
      </c>
      <c r="U300" s="1722">
        <v>11326.595000000001</v>
      </c>
      <c r="V300" s="1722">
        <v>17374.145</v>
      </c>
      <c r="W300" s="1722">
        <v>19354.04</v>
      </c>
      <c r="X300" s="1722">
        <v>1942.6849999999999</v>
      </c>
      <c r="Y300" s="1722">
        <v>105.58500000000001</v>
      </c>
      <c r="Z300" s="1722">
        <v>3320.5749999999998</v>
      </c>
      <c r="AA300" s="1722">
        <v>9210.4599999999991</v>
      </c>
      <c r="AB300" s="1722">
        <v>11279.48</v>
      </c>
      <c r="AC300" s="1722">
        <v>4047.5</v>
      </c>
      <c r="AD300" s="1722">
        <v>432.74450000000002</v>
      </c>
      <c r="AE300" s="1722">
        <v>1426.92</v>
      </c>
      <c r="AF300" s="1722">
        <v>2105.9700000000003</v>
      </c>
      <c r="AG300" s="1722">
        <v>11.55</v>
      </c>
      <c r="AH300" s="1722">
        <v>183.32</v>
      </c>
      <c r="AI300" s="1722">
        <v>2103</v>
      </c>
    </row>
    <row r="301" spans="1:35">
      <c r="A301" s="1733">
        <v>45149</v>
      </c>
      <c r="B301" s="1732">
        <v>1.0992500821557674</v>
      </c>
      <c r="C301" s="1731">
        <v>0.65234998356884655</v>
      </c>
      <c r="D301" s="1731">
        <v>1.3442000176694053</v>
      </c>
      <c r="E301" s="1731">
        <v>0.87674993438061199</v>
      </c>
      <c r="F301" s="1731">
        <v>1.2706000657246139</v>
      </c>
      <c r="G301" s="1731">
        <v>7.8134829441142104</v>
      </c>
      <c r="H301" s="1731">
        <v>144.62927756653991</v>
      </c>
      <c r="I301" s="1731">
        <v>4.5860014678821654</v>
      </c>
      <c r="J301" s="1731">
        <v>0.60105027932960886</v>
      </c>
      <c r="K301" s="1731">
        <v>1.3492500200636093</v>
      </c>
      <c r="L301" s="1731">
        <v>3.7516952287017631</v>
      </c>
      <c r="M301" s="1731">
        <v>35.079993452041968</v>
      </c>
      <c r="N301" s="1731">
        <v>10.710527149408861</v>
      </c>
      <c r="O301" s="1731">
        <v>7.2353497838668108</v>
      </c>
      <c r="P301" s="1731">
        <v>7.2504169644984513</v>
      </c>
      <c r="Q301" s="1731"/>
      <c r="R301" s="1730">
        <v>15215</v>
      </c>
      <c r="S301" s="1729">
        <v>16725.09</v>
      </c>
      <c r="T301" s="1728">
        <v>9925.505000000001</v>
      </c>
      <c r="U301" s="1728">
        <v>11319</v>
      </c>
      <c r="V301" s="1728">
        <v>17353.865000000002</v>
      </c>
      <c r="W301" s="1728">
        <v>19332.18</v>
      </c>
      <c r="X301" s="1728">
        <v>1947.2750000000001</v>
      </c>
      <c r="Y301" s="1728">
        <v>105.2</v>
      </c>
      <c r="Z301" s="1728">
        <v>3317.7049999999999</v>
      </c>
      <c r="AA301" s="1728">
        <v>9144.98</v>
      </c>
      <c r="AB301" s="1728">
        <v>11276.635</v>
      </c>
      <c r="AC301" s="1728">
        <v>4055.5</v>
      </c>
      <c r="AD301" s="1728">
        <v>433.72300000000001</v>
      </c>
      <c r="AE301" s="1728">
        <v>1420.5650000000001</v>
      </c>
      <c r="AF301" s="1728">
        <v>2102.87</v>
      </c>
      <c r="AG301" s="1728">
        <v>11.49</v>
      </c>
      <c r="AH301" s="1728">
        <v>183.8</v>
      </c>
      <c r="AI301" s="1728">
        <v>2098.5</v>
      </c>
    </row>
    <row r="302" spans="1:35" s="1459" customFormat="1">
      <c r="A302" s="1739">
        <v>45152</v>
      </c>
      <c r="B302" s="1738">
        <v>1.0952001305909238</v>
      </c>
      <c r="C302" s="1737">
        <v>0.64960006529546199</v>
      </c>
      <c r="D302" s="1737">
        <v>1.3445999365232937</v>
      </c>
      <c r="E302" s="1737">
        <v>0.87599983526741587</v>
      </c>
      <c r="F302" s="1737">
        <v>1.2693000326477311</v>
      </c>
      <c r="G302" s="1737">
        <v>7.8161482695001796</v>
      </c>
      <c r="H302" s="1737">
        <v>144.79531057955941</v>
      </c>
      <c r="I302" s="1737">
        <v>4.6125002823518786</v>
      </c>
      <c r="J302" s="1737">
        <v>0.59880019588638589</v>
      </c>
      <c r="K302" s="1737">
        <v>1.3534502376160187</v>
      </c>
      <c r="L302" s="1737">
        <v>3.7513778322106552</v>
      </c>
      <c r="M302" s="1737">
        <v>35.155012602090707</v>
      </c>
      <c r="N302" s="1737">
        <v>10.830554681394995</v>
      </c>
      <c r="O302" s="1737">
        <v>7.2547524194350634</v>
      </c>
      <c r="P302" s="1737">
        <v>7.2686283815851924</v>
      </c>
      <c r="Q302" s="1737"/>
      <c r="R302" s="1736">
        <v>15315</v>
      </c>
      <c r="S302" s="1735">
        <v>16772.989999999998</v>
      </c>
      <c r="T302" s="1734">
        <v>9948.625</v>
      </c>
      <c r="U302" s="1734">
        <v>11390.005000000001</v>
      </c>
      <c r="V302" s="1734">
        <v>17482.88</v>
      </c>
      <c r="W302" s="1734">
        <v>19439.330000000002</v>
      </c>
      <c r="X302" s="1734">
        <v>1959.405</v>
      </c>
      <c r="Y302" s="1734">
        <v>105.77000000000001</v>
      </c>
      <c r="Z302" s="1734">
        <v>3320.3249999999998</v>
      </c>
      <c r="AA302" s="1734">
        <v>9170.625</v>
      </c>
      <c r="AB302" s="1734">
        <v>11315.525</v>
      </c>
      <c r="AC302" s="1734">
        <v>4082.5</v>
      </c>
      <c r="AD302" s="1734">
        <v>435.642</v>
      </c>
      <c r="AE302" s="1734">
        <v>1414.0550000000001</v>
      </c>
      <c r="AF302" s="1734">
        <v>2111.0299999999997</v>
      </c>
      <c r="AG302" s="1734">
        <v>11.524999999999999</v>
      </c>
      <c r="AH302" s="1734">
        <v>184.59500000000003</v>
      </c>
      <c r="AI302" s="1734">
        <v>2107</v>
      </c>
    </row>
    <row r="303" spans="1:35">
      <c r="A303" s="1745">
        <v>45153</v>
      </c>
      <c r="B303" s="1744">
        <v>1.0924002607561929</v>
      </c>
      <c r="C303" s="1743">
        <v>0.6467998696219035</v>
      </c>
      <c r="D303" s="1743">
        <v>1.3492000668443318</v>
      </c>
      <c r="E303" s="1743">
        <v>0.87730008895960154</v>
      </c>
      <c r="F303" s="1743">
        <v>1.2692001303780964</v>
      </c>
      <c r="G303" s="1743">
        <v>7.8212432921621859</v>
      </c>
      <c r="H303" s="1743">
        <v>145.79670199116094</v>
      </c>
      <c r="I303" s="1743">
        <v>4.635001208605269</v>
      </c>
      <c r="J303" s="1743">
        <v>0.59629986962190362</v>
      </c>
      <c r="K303" s="1743">
        <v>1.357349752487184</v>
      </c>
      <c r="L303" s="1743">
        <v>3.7510698129355666</v>
      </c>
      <c r="M303" s="1743">
        <v>35.369989923933765</v>
      </c>
      <c r="N303" s="1743">
        <v>10.84815761651692</v>
      </c>
      <c r="O303" s="1743">
        <v>7.2845905267081861</v>
      </c>
      <c r="P303" s="1743">
        <v>7.309983321420062</v>
      </c>
      <c r="Q303" s="1743"/>
      <c r="R303" s="1742">
        <v>15340</v>
      </c>
      <c r="S303" s="1741">
        <v>16757.419999999998</v>
      </c>
      <c r="T303" s="1740">
        <v>9921.91</v>
      </c>
      <c r="U303" s="1740">
        <v>11369.7</v>
      </c>
      <c r="V303" s="1740">
        <v>17485.465</v>
      </c>
      <c r="W303" s="1740">
        <v>19469.53</v>
      </c>
      <c r="X303" s="1740">
        <v>1961.325</v>
      </c>
      <c r="Y303" s="1740">
        <v>105.215</v>
      </c>
      <c r="Z303" s="1740">
        <v>3309.6000000000004</v>
      </c>
      <c r="AA303" s="1740">
        <v>9147.2400000000016</v>
      </c>
      <c r="AB303" s="1740">
        <v>11301.435000000001</v>
      </c>
      <c r="AC303" s="1740">
        <v>4089.5</v>
      </c>
      <c r="AD303" s="1740">
        <v>433.70100000000002</v>
      </c>
      <c r="AE303" s="1740">
        <v>1414.0650000000001</v>
      </c>
      <c r="AF303" s="1740">
        <v>2105.8150000000001</v>
      </c>
      <c r="AG303" s="1740">
        <v>11.46</v>
      </c>
      <c r="AH303" s="1740">
        <v>183.82</v>
      </c>
      <c r="AI303" s="1740">
        <v>2098.5</v>
      </c>
    </row>
    <row r="304" spans="1:35">
      <c r="A304" s="1751">
        <v>45154</v>
      </c>
      <c r="B304" s="1750">
        <v>1.0924001308686406</v>
      </c>
      <c r="C304" s="1749">
        <v>0.64759986913135936</v>
      </c>
      <c r="D304" s="1749">
        <v>1.3487996279051706</v>
      </c>
      <c r="E304" s="1749">
        <v>0.8784000101160413</v>
      </c>
      <c r="F304" s="1749">
        <v>1.2741001145100603</v>
      </c>
      <c r="G304" s="1749">
        <v>7.8264031320975995</v>
      </c>
      <c r="H304" s="1749">
        <v>145.36764006468184</v>
      </c>
      <c r="I304" s="1749">
        <v>4.6285009048026469</v>
      </c>
      <c r="J304" s="1749">
        <v>0.59920006543432036</v>
      </c>
      <c r="K304" s="1749">
        <v>1.3564501612740023</v>
      </c>
      <c r="L304" s="1749">
        <v>3.7507669652718123</v>
      </c>
      <c r="M304" s="1749">
        <v>35.290015459947888</v>
      </c>
      <c r="N304" s="1749">
        <v>10.83131637791425</v>
      </c>
      <c r="O304" s="1749">
        <v>7.2886957848851077</v>
      </c>
      <c r="P304" s="1749">
        <v>7.3069567296198903</v>
      </c>
      <c r="Q304" s="1749"/>
      <c r="R304" s="1748">
        <v>15282.5</v>
      </c>
      <c r="S304" s="1747">
        <v>16694.605</v>
      </c>
      <c r="T304" s="1746">
        <v>9896.9449999999997</v>
      </c>
      <c r="U304" s="1746">
        <v>11330.445</v>
      </c>
      <c r="V304" s="1746">
        <v>17398.11</v>
      </c>
      <c r="W304" s="1746">
        <v>19471.434999999998</v>
      </c>
      <c r="X304" s="1746">
        <v>1952.6849999999999</v>
      </c>
      <c r="Y304" s="1746">
        <v>105.13</v>
      </c>
      <c r="Z304" s="1746">
        <v>3301.8249999999998</v>
      </c>
      <c r="AA304" s="1746">
        <v>9157.2750000000015</v>
      </c>
      <c r="AB304" s="1746">
        <v>11266.54</v>
      </c>
      <c r="AC304" s="1746">
        <v>4074.5</v>
      </c>
      <c r="AD304" s="1746">
        <v>433.05449999999996</v>
      </c>
      <c r="AE304" s="1746">
        <v>1410.9549999999999</v>
      </c>
      <c r="AF304" s="1746">
        <v>2096.7399999999998</v>
      </c>
      <c r="AG304" s="1746">
        <v>11.455000000000002</v>
      </c>
      <c r="AH304" s="1746">
        <v>183.87</v>
      </c>
      <c r="AI304" s="1746">
        <v>2091.5</v>
      </c>
    </row>
    <row r="305" spans="1:35">
      <c r="A305" s="1757">
        <v>45156</v>
      </c>
      <c r="B305" s="1756">
        <v>1.0873002944062808</v>
      </c>
      <c r="C305" s="1755">
        <v>0.63994995093228657</v>
      </c>
      <c r="D305" s="1755">
        <v>1.3552003652878968</v>
      </c>
      <c r="E305" s="1755">
        <v>0.87979983042915921</v>
      </c>
      <c r="F305" s="1755">
        <v>1.2714000654236177</v>
      </c>
      <c r="G305" s="1755">
        <v>7.8291468611702992</v>
      </c>
      <c r="H305" s="1755">
        <v>145.30848940013308</v>
      </c>
      <c r="I305" s="1755">
        <v>4.6424959224397933</v>
      </c>
      <c r="J305" s="1755">
        <v>0.59280013084723593</v>
      </c>
      <c r="K305" s="1755">
        <v>1.357950272456264</v>
      </c>
      <c r="L305" s="1755">
        <v>3.75</v>
      </c>
      <c r="M305" s="1755">
        <v>35.380019836883875</v>
      </c>
      <c r="N305" s="1755">
        <v>10.953102662496102</v>
      </c>
      <c r="O305" s="1755">
        <v>7.286951422707542</v>
      </c>
      <c r="P305" s="1755">
        <v>7.3064053537284899</v>
      </c>
      <c r="Q305" s="1755"/>
      <c r="R305" s="1754">
        <v>15285</v>
      </c>
      <c r="S305" s="1753">
        <v>16619.385000000002</v>
      </c>
      <c r="T305" s="1752">
        <v>9781.6350000000002</v>
      </c>
      <c r="U305" s="1752">
        <v>11278.775000000001</v>
      </c>
      <c r="V305" s="1752">
        <v>17373.27</v>
      </c>
      <c r="W305" s="1752">
        <v>19433.349999999999</v>
      </c>
      <c r="X305" s="1752">
        <v>1952.3200000000002</v>
      </c>
      <c r="Y305" s="1752">
        <v>105.19</v>
      </c>
      <c r="Z305" s="1752">
        <v>3292.41</v>
      </c>
      <c r="AA305" s="1752">
        <v>9060.9500000000007</v>
      </c>
      <c r="AB305" s="1752">
        <v>11255.935000000001</v>
      </c>
      <c r="AC305" s="1752">
        <v>4076</v>
      </c>
      <c r="AD305" s="1752">
        <v>432.02350000000001</v>
      </c>
      <c r="AE305" s="1752">
        <v>1395.4950000000001</v>
      </c>
      <c r="AF305" s="1752">
        <v>2097.585</v>
      </c>
      <c r="AG305" s="1752">
        <v>11.405000000000001</v>
      </c>
      <c r="AH305" s="1752">
        <v>183.91</v>
      </c>
      <c r="AI305" s="1752">
        <v>2092</v>
      </c>
    </row>
    <row r="306" spans="1:35" s="31" customFormat="1">
      <c r="A306" s="1757">
        <v>45159</v>
      </c>
      <c r="B306" s="1756">
        <v>1.0888</v>
      </c>
      <c r="C306" s="1755">
        <v>0.64010016313213702</v>
      </c>
      <c r="D306" s="1755">
        <v>1.3531996881238957</v>
      </c>
      <c r="E306" s="1755">
        <v>0.87919993666318219</v>
      </c>
      <c r="F306" s="1755">
        <v>1.272899836867863</v>
      </c>
      <c r="G306" s="1755">
        <v>7.8361490632414306</v>
      </c>
      <c r="H306" s="1755">
        <v>145.45368261199695</v>
      </c>
      <c r="I306" s="1755">
        <v>4.6525042312742393</v>
      </c>
      <c r="J306" s="1755">
        <v>0.5914502446982054</v>
      </c>
      <c r="K306" s="1755">
        <v>1.3573502397616377</v>
      </c>
      <c r="L306" s="1755">
        <v>3.7506118453255017</v>
      </c>
      <c r="M306" s="1755">
        <v>35.254968765132887</v>
      </c>
      <c r="N306" s="1755">
        <v>10.952922089524503</v>
      </c>
      <c r="O306" s="1755">
        <v>7.3095928568703004</v>
      </c>
      <c r="P306" s="1755">
        <v>7.3220258002866698</v>
      </c>
      <c r="Q306" s="1755"/>
      <c r="R306" s="1754">
        <v>15325</v>
      </c>
      <c r="S306" s="1753">
        <v>16685.86</v>
      </c>
      <c r="T306" s="1752">
        <v>9809.5349999999999</v>
      </c>
      <c r="U306" s="1752">
        <v>11325.01</v>
      </c>
      <c r="V306" s="1752">
        <v>17430.620000000003</v>
      </c>
      <c r="W306" s="1752">
        <v>19507.190000000002</v>
      </c>
      <c r="X306" s="1752">
        <v>1955.6799999999998</v>
      </c>
      <c r="Y306" s="1752">
        <v>105.36000000000001</v>
      </c>
      <c r="Z306" s="1752">
        <v>3293.9250000000002</v>
      </c>
      <c r="AA306" s="1752">
        <v>9063.9749999999985</v>
      </c>
      <c r="AB306" s="1752">
        <v>11290.380000000001</v>
      </c>
      <c r="AC306" s="1752">
        <v>4086</v>
      </c>
      <c r="AD306" s="1752">
        <v>434.69050000000004</v>
      </c>
      <c r="AE306" s="1752">
        <v>1399.17</v>
      </c>
      <c r="AF306" s="1752">
        <v>2096.5600000000004</v>
      </c>
      <c r="AG306" s="1752">
        <v>11.414999999999999</v>
      </c>
      <c r="AH306" s="1752">
        <v>184.405</v>
      </c>
      <c r="AI306" s="1752">
        <v>2093</v>
      </c>
    </row>
    <row r="307" spans="1:35">
      <c r="A307" s="1763">
        <v>45160</v>
      </c>
      <c r="B307" s="1762">
        <v>1.0926000652954619</v>
      </c>
      <c r="C307" s="1761">
        <v>0.64439993470453805</v>
      </c>
      <c r="D307" s="1761">
        <v>1.3529504523306923</v>
      </c>
      <c r="E307" s="1761">
        <v>0.87769997332227634</v>
      </c>
      <c r="F307" s="1761">
        <v>1.279600065295462</v>
      </c>
      <c r="G307" s="1761">
        <v>7.8362647905340586</v>
      </c>
      <c r="H307" s="1761">
        <v>145.76690620092324</v>
      </c>
      <c r="I307" s="1761">
        <v>4.6480008133622057</v>
      </c>
      <c r="J307" s="1761">
        <v>0.59610022853411682</v>
      </c>
      <c r="K307" s="1761">
        <v>1.3544497188731934</v>
      </c>
      <c r="L307" s="1761">
        <v>3.7513778322106552</v>
      </c>
      <c r="M307" s="1761">
        <v>34.999994286648011</v>
      </c>
      <c r="N307" s="1761">
        <v>10.885286915977524</v>
      </c>
      <c r="O307" s="1761">
        <v>7.2879464551266651</v>
      </c>
      <c r="P307" s="1761">
        <v>7.2945939509407003</v>
      </c>
      <c r="Q307" s="1761"/>
      <c r="R307" s="1760">
        <v>15315</v>
      </c>
      <c r="S307" s="1759">
        <v>16733.169999999998</v>
      </c>
      <c r="T307" s="1758">
        <v>9868.9850000000006</v>
      </c>
      <c r="U307" s="1758">
        <v>11319.705</v>
      </c>
      <c r="V307" s="1758">
        <v>17449.014999999999</v>
      </c>
      <c r="W307" s="1758">
        <v>19597.075000000001</v>
      </c>
      <c r="X307" s="1758">
        <v>1954.375</v>
      </c>
      <c r="Y307" s="1758">
        <v>105.065</v>
      </c>
      <c r="Z307" s="1758">
        <v>3294.9650000000001</v>
      </c>
      <c r="AA307" s="1758">
        <v>9129.2749999999996</v>
      </c>
      <c r="AB307" s="1758">
        <v>11307.174999999999</v>
      </c>
      <c r="AC307" s="1758">
        <v>4082.5</v>
      </c>
      <c r="AD307" s="1758">
        <v>437.57150000000001</v>
      </c>
      <c r="AE307" s="1758">
        <v>1406.9450000000002</v>
      </c>
      <c r="AF307" s="1758">
        <v>2101.415</v>
      </c>
      <c r="AG307" s="1758">
        <v>11.465</v>
      </c>
      <c r="AH307" s="1758">
        <v>184.495</v>
      </c>
      <c r="AI307" s="1758">
        <v>2099.5</v>
      </c>
    </row>
    <row r="308" spans="1:35">
      <c r="A308" s="1769">
        <v>45161</v>
      </c>
      <c r="B308" s="1768">
        <v>1.0818499509643675</v>
      </c>
      <c r="C308" s="1767">
        <v>0.64294998365478917</v>
      </c>
      <c r="D308" s="1767">
        <v>1.3553995991845449</v>
      </c>
      <c r="E308" s="1767">
        <v>0.88059997098251808</v>
      </c>
      <c r="F308" s="1767">
        <v>1.2719999999999998</v>
      </c>
      <c r="G308" s="1767">
        <v>7.840292799950789</v>
      </c>
      <c r="H308" s="1767">
        <v>145.39664432720184</v>
      </c>
      <c r="I308" s="1767">
        <v>4.6574937841718294</v>
      </c>
      <c r="J308" s="1767">
        <v>0.59460019614253024</v>
      </c>
      <c r="K308" s="1767">
        <v>1.3568502975844605</v>
      </c>
      <c r="L308" s="1767">
        <v>3.7510729613733904</v>
      </c>
      <c r="M308" s="1767">
        <v>34.969991426121751</v>
      </c>
      <c r="N308" s="1767">
        <v>10.96753838100633</v>
      </c>
      <c r="O308" s="1767">
        <v>7.2903459518203206</v>
      </c>
      <c r="P308" s="1767">
        <v>7.2989739918873777</v>
      </c>
      <c r="Q308" s="1767"/>
      <c r="R308" s="1766">
        <v>15295</v>
      </c>
      <c r="S308" s="1765">
        <v>16546.895</v>
      </c>
      <c r="T308" s="1764">
        <v>9833.92</v>
      </c>
      <c r="U308" s="1764">
        <v>11284.494999999999</v>
      </c>
      <c r="V308" s="1764">
        <v>17368.84</v>
      </c>
      <c r="W308" s="1764">
        <v>19455.239999999998</v>
      </c>
      <c r="X308" s="1764">
        <v>1950.8200000000002</v>
      </c>
      <c r="Y308" s="1764">
        <v>105.19500000000001</v>
      </c>
      <c r="Z308" s="1764">
        <v>3283.9549999999999</v>
      </c>
      <c r="AA308" s="1764">
        <v>9094.41</v>
      </c>
      <c r="AB308" s="1764">
        <v>11272.43</v>
      </c>
      <c r="AC308" s="1764">
        <v>4077.5</v>
      </c>
      <c r="AD308" s="1764">
        <v>437.375</v>
      </c>
      <c r="AE308" s="1764">
        <v>1394.5700000000002</v>
      </c>
      <c r="AF308" s="1764">
        <v>2097.9800000000005</v>
      </c>
      <c r="AG308" s="1764">
        <v>11.42</v>
      </c>
      <c r="AH308" s="1764">
        <v>184.59</v>
      </c>
      <c r="AI308" s="1764">
        <v>2095.5</v>
      </c>
    </row>
    <row r="309" spans="1:35">
      <c r="A309" s="1776">
        <v>45162</v>
      </c>
      <c r="B309" s="1775">
        <v>1.0856001967858313</v>
      </c>
      <c r="C309" s="1774">
        <v>0.64575008199409634</v>
      </c>
      <c r="D309" s="1774">
        <v>1.353800030992208</v>
      </c>
      <c r="E309" s="1774">
        <v>0.87939991987625521</v>
      </c>
      <c r="F309" s="1774">
        <v>1.2703000983929156</v>
      </c>
      <c r="G309" s="1774">
        <v>7.8418361573202473</v>
      </c>
      <c r="H309" s="1774">
        <v>145.33581200247866</v>
      </c>
      <c r="I309" s="1774">
        <v>4.6440005726940683</v>
      </c>
      <c r="J309" s="1774">
        <v>0.59490029517874721</v>
      </c>
      <c r="K309" s="1774">
        <v>1.3532994941882244</v>
      </c>
      <c r="L309" s="1774">
        <v>3.7516918912267752</v>
      </c>
      <c r="M309" s="1774">
        <v>34.889974710775959</v>
      </c>
      <c r="N309" s="1774">
        <v>10.947974678544627</v>
      </c>
      <c r="O309" s="1774">
        <v>7.2810027676884896</v>
      </c>
      <c r="P309" s="1774">
        <v>7.2838031533683711</v>
      </c>
      <c r="Q309" s="1774"/>
      <c r="R309" s="1773">
        <v>15245</v>
      </c>
      <c r="S309" s="1772">
        <v>16549.974999999999</v>
      </c>
      <c r="T309" s="1771">
        <v>9844.4599999999991</v>
      </c>
      <c r="U309" s="1771">
        <v>11260.895</v>
      </c>
      <c r="V309" s="1771">
        <v>17335.685000000001</v>
      </c>
      <c r="W309" s="1771">
        <v>19365.724999999999</v>
      </c>
      <c r="X309" s="1771">
        <v>1944.06</v>
      </c>
      <c r="Y309" s="1771">
        <v>104.89500000000001</v>
      </c>
      <c r="Z309" s="1771">
        <v>3282.7300000000005</v>
      </c>
      <c r="AA309" s="1771">
        <v>9069.255000000001</v>
      </c>
      <c r="AB309" s="1771">
        <v>11265.060000000001</v>
      </c>
      <c r="AC309" s="1771">
        <v>4063.5</v>
      </c>
      <c r="AD309" s="1771">
        <v>436.94499999999999</v>
      </c>
      <c r="AE309" s="1771">
        <v>1392.4949999999999</v>
      </c>
      <c r="AF309" s="1771">
        <v>2093.8050000000003</v>
      </c>
      <c r="AG309" s="1771">
        <v>11.54</v>
      </c>
      <c r="AH309" s="1771">
        <v>184.85500000000002</v>
      </c>
      <c r="AI309" s="1771">
        <v>2093</v>
      </c>
    </row>
    <row r="310" spans="1:35" s="31" customFormat="1">
      <c r="A310" s="1776">
        <v>45163</v>
      </c>
      <c r="B310" s="1775">
        <v>1.0771000326904216</v>
      </c>
      <c r="C310" s="1774">
        <v>0.64169990192873483</v>
      </c>
      <c r="D310" s="1774">
        <v>1.3585502283865494</v>
      </c>
      <c r="E310" s="1774">
        <v>0.88670007855368471</v>
      </c>
      <c r="F310" s="1774">
        <v>1.2576498855835241</v>
      </c>
      <c r="G310" s="1774">
        <v>7.843650079359584</v>
      </c>
      <c r="H310" s="1774">
        <v>146.04917641441872</v>
      </c>
      <c r="I310" s="1774">
        <v>4.64750236629125</v>
      </c>
      <c r="J310" s="1774">
        <v>0.59050016345210854</v>
      </c>
      <c r="K310" s="1774">
        <v>1.3565500435701348</v>
      </c>
      <c r="L310" s="1774">
        <v>3.7519931313626884</v>
      </c>
      <c r="M310" s="1774">
        <v>35.124987082180297</v>
      </c>
      <c r="N310" s="1774">
        <v>11.036309059947468</v>
      </c>
      <c r="O310" s="1774">
        <v>7.2884526036144432</v>
      </c>
      <c r="P310" s="1774">
        <v>7.2920143027413591</v>
      </c>
      <c r="Q310" s="1774"/>
      <c r="R310" s="1773">
        <v>15295</v>
      </c>
      <c r="S310" s="1772">
        <v>16474.244999999999</v>
      </c>
      <c r="T310" s="1771">
        <v>9814.7999999999993</v>
      </c>
      <c r="U310" s="1771">
        <v>11258.325000000001</v>
      </c>
      <c r="V310" s="1771">
        <v>17249.349999999999</v>
      </c>
      <c r="W310" s="1771">
        <v>19235.755000000001</v>
      </c>
      <c r="X310" s="1771">
        <v>1949.9850000000001</v>
      </c>
      <c r="Y310" s="1771">
        <v>104.72499999999999</v>
      </c>
      <c r="Z310" s="1771">
        <v>3291.0150000000003</v>
      </c>
      <c r="AA310" s="1771">
        <v>9031.7000000000007</v>
      </c>
      <c r="AB310" s="1771">
        <v>11274.924999999999</v>
      </c>
      <c r="AC310" s="1771">
        <v>4076.5</v>
      </c>
      <c r="AD310" s="1771">
        <v>435.44499999999999</v>
      </c>
      <c r="AE310" s="1771">
        <v>1385.88</v>
      </c>
      <c r="AF310" s="1771">
        <v>2098.5250000000001</v>
      </c>
      <c r="AG310" s="1771">
        <v>11.54</v>
      </c>
      <c r="AH310" s="1771">
        <v>184.97</v>
      </c>
      <c r="AI310" s="1771">
        <v>2097.5</v>
      </c>
    </row>
    <row r="311" spans="1:35" s="31" customFormat="1">
      <c r="A311" s="1776">
        <v>45166</v>
      </c>
      <c r="B311" s="1775">
        <v>1.0808001962066711</v>
      </c>
      <c r="C311" s="1774">
        <v>0.64070013080444732</v>
      </c>
      <c r="D311" s="1774">
        <v>1.360199875544825</v>
      </c>
      <c r="E311" s="1774">
        <v>0.88339988202076147</v>
      </c>
      <c r="F311" s="1774">
        <v>1.2575000000000003</v>
      </c>
      <c r="G311" s="1774">
        <v>7.8459343794579164</v>
      </c>
      <c r="H311" s="1774">
        <v>146.54717975751186</v>
      </c>
      <c r="I311" s="1774">
        <v>4.6529957654391048</v>
      </c>
      <c r="J311" s="1774">
        <v>0.58980019620667112</v>
      </c>
      <c r="K311" s="1774">
        <v>1.3568996661884831</v>
      </c>
      <c r="L311" s="1774">
        <v>3.7516869095816463</v>
      </c>
      <c r="M311" s="1774">
        <v>35.274996164507449</v>
      </c>
      <c r="N311" s="1774">
        <v>11.029199607594204</v>
      </c>
      <c r="O311" s="1774">
        <v>7.2951083650416875</v>
      </c>
      <c r="P311" s="1774">
        <v>7.3000716161375028</v>
      </c>
      <c r="Q311" s="1774"/>
      <c r="R311" s="1773">
        <v>15290</v>
      </c>
      <c r="S311" s="1772">
        <v>16525.435000000001</v>
      </c>
      <c r="T311" s="1771">
        <v>9796.3050000000003</v>
      </c>
      <c r="U311" s="1771">
        <v>11240.994999999999</v>
      </c>
      <c r="V311" s="1771">
        <v>17308.129999999997</v>
      </c>
      <c r="W311" s="1771">
        <v>19227.175000000003</v>
      </c>
      <c r="X311" s="1771">
        <v>1948.7800000000002</v>
      </c>
      <c r="Y311" s="1771">
        <v>104.33500000000001</v>
      </c>
      <c r="Z311" s="1771">
        <v>3286.0550000000003</v>
      </c>
      <c r="AA311" s="1771">
        <v>9018.0450000000019</v>
      </c>
      <c r="AB311" s="1771">
        <v>11268.334999999999</v>
      </c>
      <c r="AC311" s="1771">
        <v>4075.5</v>
      </c>
      <c r="AD311" s="1771">
        <v>433.45150000000001</v>
      </c>
      <c r="AE311" s="1771">
        <v>1386.3200000000002</v>
      </c>
      <c r="AF311" s="1771">
        <v>2095.9250000000002</v>
      </c>
      <c r="AG311" s="1771">
        <v>11.530000000000001</v>
      </c>
      <c r="AH311" s="1771">
        <v>185.01499999999999</v>
      </c>
      <c r="AI311" s="1771">
        <v>2094.5</v>
      </c>
    </row>
    <row r="312" spans="1:35">
      <c r="A312" s="1782">
        <v>45167</v>
      </c>
      <c r="B312" s="1781">
        <v>1.0820000000000001</v>
      </c>
      <c r="C312" s="1780">
        <v>0.6435999344692005</v>
      </c>
      <c r="D312" s="1780">
        <v>1.3602998364698524</v>
      </c>
      <c r="E312" s="1780">
        <v>0.88384990189903201</v>
      </c>
      <c r="F312" s="1780">
        <v>1.2612001965923985</v>
      </c>
      <c r="G312" s="1780">
        <v>7.8458390317638225</v>
      </c>
      <c r="H312" s="1780">
        <v>146.45616392341282</v>
      </c>
      <c r="I312" s="1780">
        <v>4.648499137925783</v>
      </c>
      <c r="J312" s="1780">
        <v>0.592100262123198</v>
      </c>
      <c r="K312" s="1780">
        <v>1.3544494908388267</v>
      </c>
      <c r="L312" s="1780">
        <v>3.7512291052114062</v>
      </c>
      <c r="M312" s="1780">
        <v>35.170001786156703</v>
      </c>
      <c r="N312" s="1780">
        <v>10.993008705800145</v>
      </c>
      <c r="O312" s="1780">
        <v>7.2902906800369776</v>
      </c>
      <c r="P312" s="1780">
        <v>7.2979435676709707</v>
      </c>
      <c r="Q312" s="1780"/>
      <c r="R312" s="1779">
        <v>15260</v>
      </c>
      <c r="S312" s="1778">
        <v>16511.32</v>
      </c>
      <c r="T312" s="1777">
        <v>9821.3349999999991</v>
      </c>
      <c r="U312" s="1777">
        <v>11218.115000000002</v>
      </c>
      <c r="V312" s="1777">
        <v>17265.375</v>
      </c>
      <c r="W312" s="1777">
        <v>19245.915000000001</v>
      </c>
      <c r="X312" s="1777">
        <v>1944.98</v>
      </c>
      <c r="Y312" s="1777">
        <v>104.19500000000001</v>
      </c>
      <c r="Z312" s="1777">
        <v>3282.7799999999997</v>
      </c>
      <c r="AA312" s="1777">
        <v>9035.4500000000007</v>
      </c>
      <c r="AB312" s="1777">
        <v>11266.57</v>
      </c>
      <c r="AC312" s="1777">
        <v>4068</v>
      </c>
      <c r="AD312" s="1777">
        <v>433.89250000000004</v>
      </c>
      <c r="AE312" s="1777">
        <v>1388.155</v>
      </c>
      <c r="AF312" s="1777">
        <v>2093.1949999999997</v>
      </c>
      <c r="AG312" s="1777">
        <v>11.530000000000001</v>
      </c>
      <c r="AH312" s="1777">
        <v>184.57</v>
      </c>
      <c r="AI312" s="1777">
        <v>2091</v>
      </c>
    </row>
    <row r="313" spans="1:35">
      <c r="A313" s="1788">
        <v>45168</v>
      </c>
      <c r="B313" s="1787">
        <v>1.0865000000000002</v>
      </c>
      <c r="C313" s="1786">
        <v>0.64655019685039361</v>
      </c>
      <c r="D313" s="1786">
        <v>1.3559002345689612</v>
      </c>
      <c r="E313" s="1786">
        <v>0.87959986286553327</v>
      </c>
      <c r="F313" s="1786">
        <v>1.2642001312335958</v>
      </c>
      <c r="G313" s="1786">
        <v>7.8464485038202518</v>
      </c>
      <c r="H313" s="1786">
        <v>146.4187923331892</v>
      </c>
      <c r="I313" s="1786">
        <v>4.6445006552281107</v>
      </c>
      <c r="J313" s="1786">
        <v>0.59504986876640431</v>
      </c>
      <c r="K313" s="1786">
        <v>1.352549475887078</v>
      </c>
      <c r="L313" s="1786">
        <v>3.7513846153846155</v>
      </c>
      <c r="M313" s="1786">
        <v>35.110029857348231</v>
      </c>
      <c r="N313" s="1786">
        <v>10.891198782243915</v>
      </c>
      <c r="O313" s="1786">
        <v>7.2923545117854784</v>
      </c>
      <c r="P313" s="1786">
        <v>7.3023478677527551</v>
      </c>
      <c r="Q313" s="1786"/>
      <c r="R313" s="1785">
        <v>15240</v>
      </c>
      <c r="S313" s="1784">
        <v>16558.260000000002</v>
      </c>
      <c r="T313" s="1783">
        <v>9853.4249999999993</v>
      </c>
      <c r="U313" s="1783">
        <v>11239.764999999999</v>
      </c>
      <c r="V313" s="1783">
        <v>17326.059999999998</v>
      </c>
      <c r="W313" s="1783">
        <v>19266.41</v>
      </c>
      <c r="X313" s="1783">
        <v>1942.2800000000002</v>
      </c>
      <c r="Y313" s="1783">
        <v>104.08500000000001</v>
      </c>
      <c r="Z313" s="1783">
        <v>3281.3</v>
      </c>
      <c r="AA313" s="1783">
        <v>9068.5600000000013</v>
      </c>
      <c r="AB313" s="1783">
        <v>11267.61</v>
      </c>
      <c r="AC313" s="1783">
        <v>4062.5</v>
      </c>
      <c r="AD313" s="1783">
        <v>434.06399999999996</v>
      </c>
      <c r="AE313" s="1783">
        <v>1399.2950000000001</v>
      </c>
      <c r="AF313" s="1783">
        <v>2089.86</v>
      </c>
      <c r="AG313" s="1783">
        <v>11.504999999999999</v>
      </c>
      <c r="AH313" s="1783">
        <v>184.13499999999999</v>
      </c>
      <c r="AI313" s="1783">
        <v>2087</v>
      </c>
    </row>
    <row r="314" spans="1:35">
      <c r="A314" s="1794">
        <v>45169</v>
      </c>
      <c r="B314" s="1793">
        <v>1.0893000656598819</v>
      </c>
      <c r="C314" s="1792">
        <v>0.64830006565988185</v>
      </c>
      <c r="D314" s="1792">
        <v>1.3538999296380962</v>
      </c>
      <c r="E314" s="1792">
        <v>0.88014993177826695</v>
      </c>
      <c r="F314" s="1792">
        <v>1.2709001969796452</v>
      </c>
      <c r="G314" s="1792">
        <v>7.8437633583461652</v>
      </c>
      <c r="H314" s="1792">
        <v>145.91616766467067</v>
      </c>
      <c r="I314" s="1792">
        <v>4.6399965877897715</v>
      </c>
      <c r="J314" s="1792">
        <v>0.59610013131976358</v>
      </c>
      <c r="K314" s="1792">
        <v>1.3507496971234263</v>
      </c>
      <c r="L314" s="1792">
        <v>3.7507696096539833</v>
      </c>
      <c r="M314" s="1792">
        <v>34.94000780013306</v>
      </c>
      <c r="N314" s="1792">
        <v>10.879814835981254</v>
      </c>
      <c r="O314" s="1792">
        <v>7.2896972597822183</v>
      </c>
      <c r="P314" s="1792">
        <v>7.295808383233533</v>
      </c>
      <c r="Q314" s="1792"/>
      <c r="R314" s="1791">
        <v>15230</v>
      </c>
      <c r="S314" s="1790">
        <v>16590.04</v>
      </c>
      <c r="T314" s="1789">
        <v>9873.61</v>
      </c>
      <c r="U314" s="1789">
        <v>11248.985000000001</v>
      </c>
      <c r="V314" s="1789">
        <v>17303.87</v>
      </c>
      <c r="W314" s="1789">
        <v>19355.809999999998</v>
      </c>
      <c r="X314" s="1789">
        <v>1941.67</v>
      </c>
      <c r="Y314" s="1789">
        <v>104.375</v>
      </c>
      <c r="Z314" s="1789">
        <v>3282.33</v>
      </c>
      <c r="AA314" s="1789">
        <v>9078.6049999999996</v>
      </c>
      <c r="AB314" s="1789">
        <v>11275.220000000001</v>
      </c>
      <c r="AC314" s="1789">
        <v>4060.5</v>
      </c>
      <c r="AD314" s="1789">
        <v>435.89</v>
      </c>
      <c r="AE314" s="1789">
        <v>1399.8400000000001</v>
      </c>
      <c r="AF314" s="1789">
        <v>2089.25</v>
      </c>
      <c r="AG314" s="1789">
        <v>11.504999999999999</v>
      </c>
      <c r="AH314" s="1789">
        <v>184.315</v>
      </c>
      <c r="AI314" s="1789">
        <v>2087.5</v>
      </c>
    </row>
    <row r="315" spans="1:35">
      <c r="A315" s="1800">
        <v>45170</v>
      </c>
      <c r="B315" s="1799">
        <v>1.0856000656167979</v>
      </c>
      <c r="C315" s="1798">
        <v>0.64780019685039369</v>
      </c>
      <c r="D315" s="1798">
        <v>1.3499998671259974</v>
      </c>
      <c r="E315" s="1798">
        <v>0.88180002927761247</v>
      </c>
      <c r="F315" s="1798">
        <v>1.2684002624671915</v>
      </c>
      <c r="G315" s="1798">
        <v>7.8433996299603459</v>
      </c>
      <c r="H315" s="1798">
        <v>145.42678562908534</v>
      </c>
      <c r="I315" s="1798">
        <v>4.6424986634538783</v>
      </c>
      <c r="J315" s="1798">
        <v>0.59660006561679801</v>
      </c>
      <c r="K315" s="1798">
        <v>1.3501996062803772</v>
      </c>
      <c r="L315" s="1798">
        <v>3.7504614248800294</v>
      </c>
      <c r="M315" s="1798">
        <v>35.054991943562385</v>
      </c>
      <c r="N315" s="1798">
        <v>10.933901551839178</v>
      </c>
      <c r="O315" s="1798">
        <v>7.2604446307725654</v>
      </c>
      <c r="P315" s="1798">
        <v>7.2640610104861771</v>
      </c>
      <c r="Q315" s="1798"/>
      <c r="R315" s="1797">
        <v>15240</v>
      </c>
      <c r="S315" s="1796">
        <v>16544.544999999998</v>
      </c>
      <c r="T315" s="1795">
        <v>9872.4750000000004</v>
      </c>
      <c r="U315" s="1795">
        <v>11288.89</v>
      </c>
      <c r="V315" s="1795">
        <v>17282.830000000002</v>
      </c>
      <c r="W315" s="1795">
        <v>19330.419999999998</v>
      </c>
      <c r="X315" s="1795">
        <v>1943.0349999999999</v>
      </c>
      <c r="Y315" s="1795">
        <v>104.795</v>
      </c>
      <c r="Z315" s="1795">
        <v>3282.7150000000001</v>
      </c>
      <c r="AA315" s="1795">
        <v>9092.1850000000013</v>
      </c>
      <c r="AB315" s="1795">
        <v>11287.220000000001</v>
      </c>
      <c r="AC315" s="1795">
        <v>4063.5</v>
      </c>
      <c r="AD315" s="1795">
        <v>434.74549999999999</v>
      </c>
      <c r="AE315" s="1795">
        <v>1393.83</v>
      </c>
      <c r="AF315" s="1795">
        <v>2099.0450000000001</v>
      </c>
      <c r="AG315" s="1795">
        <v>11.56</v>
      </c>
      <c r="AH315" s="1795">
        <v>184.22500000000002</v>
      </c>
      <c r="AI315" s="1795">
        <v>2098</v>
      </c>
    </row>
    <row r="316" spans="1:35">
      <c r="A316" s="1806">
        <v>45173</v>
      </c>
      <c r="B316" s="1805">
        <v>1.0795003280839894</v>
      </c>
      <c r="C316" s="1804">
        <v>0.64649999999999996</v>
      </c>
      <c r="D316" s="1804">
        <v>1.3591997488512801</v>
      </c>
      <c r="E316" s="1804">
        <v>0.88409969326265558</v>
      </c>
      <c r="F316" s="1804">
        <v>1.2621000656167978</v>
      </c>
      <c r="G316" s="1804">
        <v>7.8368656651179771</v>
      </c>
      <c r="H316" s="1804">
        <v>146.40472645179884</v>
      </c>
      <c r="I316" s="1804">
        <v>4.6549915162474171</v>
      </c>
      <c r="J316" s="1804">
        <v>0.59470013123359577</v>
      </c>
      <c r="K316" s="1804">
        <v>1.3537497268516792</v>
      </c>
      <c r="L316" s="1804">
        <v>3.7513846153846155</v>
      </c>
      <c r="M316" s="1804">
        <v>35.249993928396712</v>
      </c>
      <c r="N316" s="1804">
        <v>11.017212587382256</v>
      </c>
      <c r="O316" s="1804">
        <v>7.2713913215658295</v>
      </c>
      <c r="P316" s="1804">
        <v>7.2727272727272725</v>
      </c>
      <c r="Q316" s="1804"/>
      <c r="R316" s="1803">
        <v>15240</v>
      </c>
      <c r="S316" s="1802">
        <v>16451.584999999999</v>
      </c>
      <c r="T316" s="1801">
        <v>9852.66</v>
      </c>
      <c r="U316" s="1801">
        <v>11212.48</v>
      </c>
      <c r="V316" s="1801">
        <v>17237.875</v>
      </c>
      <c r="W316" s="1801">
        <v>19234.404999999999</v>
      </c>
      <c r="X316" s="1801">
        <v>1944.655</v>
      </c>
      <c r="Y316" s="1801">
        <v>104.095</v>
      </c>
      <c r="Z316" s="1801">
        <v>3273.9050000000002</v>
      </c>
      <c r="AA316" s="1801">
        <v>9063.23</v>
      </c>
      <c r="AB316" s="1801">
        <v>11257.619999999999</v>
      </c>
      <c r="AC316" s="1801">
        <v>4062.5</v>
      </c>
      <c r="AD316" s="1801">
        <v>432.34050000000002</v>
      </c>
      <c r="AE316" s="1801">
        <v>1383.29</v>
      </c>
      <c r="AF316" s="1801">
        <v>2095.8850000000002</v>
      </c>
      <c r="AG316" s="1801">
        <v>11.545000000000002</v>
      </c>
      <c r="AH316" s="1801">
        <v>184.28500000000003</v>
      </c>
      <c r="AI316" s="1801">
        <v>2095.5</v>
      </c>
    </row>
    <row r="317" spans="1:35">
      <c r="A317" s="1812">
        <v>45174</v>
      </c>
      <c r="B317" s="1811">
        <v>1.0756000655093352</v>
      </c>
      <c r="C317" s="1810">
        <v>0.63765018015067143</v>
      </c>
      <c r="D317" s="1810">
        <v>1.3657999749476584</v>
      </c>
      <c r="E317" s="1810">
        <v>0.88749999999999996</v>
      </c>
      <c r="F317" s="1810">
        <v>1.2563003603013432</v>
      </c>
      <c r="G317" s="1810">
        <v>7.8364635551825126</v>
      </c>
      <c r="H317" s="1810">
        <v>146.91304557047303</v>
      </c>
      <c r="I317" s="1810">
        <v>4.6609975420222591</v>
      </c>
      <c r="J317" s="1810">
        <v>0.58820013101867019</v>
      </c>
      <c r="K317" s="1810">
        <v>1.360849869241628</v>
      </c>
      <c r="L317" s="1810">
        <v>3.7510750706474996</v>
      </c>
      <c r="M317" s="1810">
        <v>35.454980420210617</v>
      </c>
      <c r="N317" s="1810">
        <v>11.078814534185382</v>
      </c>
      <c r="O317" s="1810">
        <v>7.2995493072242335</v>
      </c>
      <c r="P317" s="1810">
        <v>7.303827751196172</v>
      </c>
      <c r="Q317" s="1810"/>
      <c r="R317" s="1809">
        <v>15265</v>
      </c>
      <c r="S317" s="1808">
        <v>16419.035</v>
      </c>
      <c r="T317" s="1807">
        <v>9733.73</v>
      </c>
      <c r="U317" s="1807">
        <v>11176.6</v>
      </c>
      <c r="V317" s="1807">
        <v>17200</v>
      </c>
      <c r="W317" s="1807">
        <v>19177.425000000003</v>
      </c>
      <c r="X317" s="1807">
        <v>1947.9450000000002</v>
      </c>
      <c r="Y317" s="1807">
        <v>103.905</v>
      </c>
      <c r="Z317" s="1807">
        <v>3275.05</v>
      </c>
      <c r="AA317" s="1807">
        <v>8978.875</v>
      </c>
      <c r="AB317" s="1807">
        <v>11217.255000000001</v>
      </c>
      <c r="AC317" s="1807">
        <v>4069.5</v>
      </c>
      <c r="AD317" s="1807">
        <v>430.54599999999999</v>
      </c>
      <c r="AE317" s="1807">
        <v>1377.855</v>
      </c>
      <c r="AF317" s="1807">
        <v>2091.2250000000004</v>
      </c>
      <c r="AG317" s="1807">
        <v>11.45</v>
      </c>
      <c r="AH317" s="1807">
        <v>183.92000000000002</v>
      </c>
      <c r="AI317" s="1807">
        <v>2090</v>
      </c>
    </row>
    <row r="318" spans="1:35">
      <c r="A318" s="1818">
        <v>45175</v>
      </c>
      <c r="B318" s="1817">
        <v>1.0728997874775217</v>
      </c>
      <c r="C318" s="1816">
        <v>0.63830014713094652</v>
      </c>
      <c r="D318" s="1816">
        <v>1.3662996397632732</v>
      </c>
      <c r="E318" s="1816">
        <v>0.88989974698158592</v>
      </c>
      <c r="F318" s="1816">
        <v>1.2554000326957659</v>
      </c>
      <c r="G318" s="1816">
        <v>7.8430115523187975</v>
      </c>
      <c r="H318" s="1816">
        <v>147.3691818444637</v>
      </c>
      <c r="I318" s="1816">
        <v>4.6724974219913689</v>
      </c>
      <c r="J318" s="1816">
        <v>0.58810004904364888</v>
      </c>
      <c r="K318" s="1816">
        <v>1.3628500922825744</v>
      </c>
      <c r="L318" s="1816">
        <v>3.7509197939661516</v>
      </c>
      <c r="M318" s="1816">
        <v>35.540025959266963</v>
      </c>
      <c r="N318" s="1816">
        <v>11.109294976571864</v>
      </c>
      <c r="O318" s="1816">
        <v>7.3105495640201923</v>
      </c>
      <c r="P318" s="1816">
        <v>7.3152355895718726</v>
      </c>
      <c r="Q318" s="1816"/>
      <c r="R318" s="1815">
        <v>15292.5</v>
      </c>
      <c r="S318" s="1814">
        <v>16407.32</v>
      </c>
      <c r="T318" s="1813">
        <v>9761.2049999999999</v>
      </c>
      <c r="U318" s="1813">
        <v>11192.64</v>
      </c>
      <c r="V318" s="1813">
        <v>17184.519999999997</v>
      </c>
      <c r="W318" s="1813">
        <v>19198.205000000002</v>
      </c>
      <c r="X318" s="1813">
        <v>1949.825</v>
      </c>
      <c r="Y318" s="1813">
        <v>103.77000000000001</v>
      </c>
      <c r="Z318" s="1813">
        <v>3272.875</v>
      </c>
      <c r="AA318" s="1813">
        <v>8993.52</v>
      </c>
      <c r="AB318" s="1813">
        <v>11220.970000000001</v>
      </c>
      <c r="AC318" s="1813">
        <v>4077</v>
      </c>
      <c r="AD318" s="1813">
        <v>430.28949999999998</v>
      </c>
      <c r="AE318" s="1813">
        <v>1376.5500000000002</v>
      </c>
      <c r="AF318" s="1813">
        <v>2091.84</v>
      </c>
      <c r="AG318" s="1813">
        <v>11.47</v>
      </c>
      <c r="AH318" s="1813">
        <v>183.94</v>
      </c>
      <c r="AI318" s="1813">
        <v>2090.5</v>
      </c>
    </row>
    <row r="319" spans="1:35">
      <c r="A319" s="1824">
        <v>45176</v>
      </c>
      <c r="B319" s="1823">
        <v>1.0715999999999999</v>
      </c>
      <c r="C319" s="1822">
        <v>0.63869983686786302</v>
      </c>
      <c r="D319" s="1822">
        <v>1.36400027235503</v>
      </c>
      <c r="E319" s="1822">
        <v>0.89154999675667779</v>
      </c>
      <c r="F319" s="1822">
        <v>1.2472502446982057</v>
      </c>
      <c r="G319" s="1822">
        <v>7.8385338744862754</v>
      </c>
      <c r="H319" s="1822">
        <v>147.44083124879739</v>
      </c>
      <c r="I319" s="1822">
        <v>4.6764977380398376</v>
      </c>
      <c r="J319" s="1822">
        <v>0.58860000000000012</v>
      </c>
      <c r="K319" s="1822">
        <v>1.3646494787617796</v>
      </c>
      <c r="L319" s="1822">
        <v>3.7510708603598091</v>
      </c>
      <c r="M319" s="1822">
        <v>35.600002323001782</v>
      </c>
      <c r="N319" s="1822">
        <v>11.106963867035327</v>
      </c>
      <c r="O319" s="1822">
        <v>7.3268917245566811</v>
      </c>
      <c r="P319" s="1822">
        <v>7.3325358851674638</v>
      </c>
      <c r="Q319" s="1822"/>
      <c r="R319" s="1821">
        <v>15325</v>
      </c>
      <c r="S319" s="1820">
        <v>16422.269999999997</v>
      </c>
      <c r="T319" s="1819">
        <v>9788.0750000000007</v>
      </c>
      <c r="U319" s="1819">
        <v>11235.334999999999</v>
      </c>
      <c r="V319" s="1819">
        <v>17189.165000000001</v>
      </c>
      <c r="W319" s="1819">
        <v>19114.11</v>
      </c>
      <c r="X319" s="1819">
        <v>1955.085</v>
      </c>
      <c r="Y319" s="1819">
        <v>103.94</v>
      </c>
      <c r="Z319" s="1819">
        <v>3277.0250000000001</v>
      </c>
      <c r="AA319" s="1819">
        <v>9020.2950000000019</v>
      </c>
      <c r="AB319" s="1819">
        <v>11229.990000000002</v>
      </c>
      <c r="AC319" s="1819">
        <v>4085.5</v>
      </c>
      <c r="AD319" s="1819">
        <v>430.47750000000002</v>
      </c>
      <c r="AE319" s="1819">
        <v>1379.7650000000001</v>
      </c>
      <c r="AF319" s="1819">
        <v>2091.61</v>
      </c>
      <c r="AG319" s="1819">
        <v>11.475000000000001</v>
      </c>
      <c r="AH319" s="1819">
        <v>184.28000000000003</v>
      </c>
      <c r="AI319" s="1819">
        <v>2090</v>
      </c>
    </row>
    <row r="320" spans="1:35">
      <c r="A320" s="1830">
        <v>45177</v>
      </c>
      <c r="B320" s="1829">
        <v>1.0708998368678631</v>
      </c>
      <c r="C320" s="1828">
        <v>0.63950016313213709</v>
      </c>
      <c r="D320" s="1828">
        <v>1.3665002790959788</v>
      </c>
      <c r="E320" s="1828">
        <v>0.89090005903484559</v>
      </c>
      <c r="F320" s="1828">
        <v>1.2493500815660685</v>
      </c>
      <c r="G320" s="1828">
        <v>7.8377320953211429</v>
      </c>
      <c r="H320" s="1828">
        <v>147.39828796768299</v>
      </c>
      <c r="I320" s="1828">
        <v>4.6770043977574796</v>
      </c>
      <c r="J320" s="1828">
        <v>0.59015008156606852</v>
      </c>
      <c r="K320" s="1828">
        <v>1.3638497495900663</v>
      </c>
      <c r="L320" s="1828">
        <v>3.7510708603598091</v>
      </c>
      <c r="M320" s="1828">
        <v>35.504987495062316</v>
      </c>
      <c r="N320" s="1828">
        <v>11.115301763216873</v>
      </c>
      <c r="O320" s="1828">
        <v>7.3449942605999174</v>
      </c>
      <c r="P320" s="1828">
        <v>7.3554115670746336</v>
      </c>
      <c r="Q320" s="1828"/>
      <c r="R320" s="1827">
        <v>15325</v>
      </c>
      <c r="S320" s="1826">
        <v>16411.54</v>
      </c>
      <c r="T320" s="1825">
        <v>9800.34</v>
      </c>
      <c r="U320" s="1825">
        <v>11214.779999999999</v>
      </c>
      <c r="V320" s="1825">
        <v>17201.705000000002</v>
      </c>
      <c r="W320" s="1825">
        <v>19146.29</v>
      </c>
      <c r="X320" s="1825">
        <v>1955.2849999999999</v>
      </c>
      <c r="Y320" s="1825">
        <v>103.97</v>
      </c>
      <c r="Z320" s="1825">
        <v>3276.67</v>
      </c>
      <c r="AA320" s="1825">
        <v>9044.0499999999993</v>
      </c>
      <c r="AB320" s="1825">
        <v>11236.575000000001</v>
      </c>
      <c r="AC320" s="1825">
        <v>4085.5</v>
      </c>
      <c r="AD320" s="1825">
        <v>431.62950000000001</v>
      </c>
      <c r="AE320" s="1825">
        <v>1378.73</v>
      </c>
      <c r="AF320" s="1825">
        <v>2086.4549999999999</v>
      </c>
      <c r="AG320" s="1825">
        <v>11.495000000000001</v>
      </c>
      <c r="AH320" s="1825">
        <v>184.71</v>
      </c>
      <c r="AI320" s="1825">
        <v>2083.5</v>
      </c>
    </row>
    <row r="321" spans="1:35">
      <c r="A321" s="1836">
        <v>45180</v>
      </c>
      <c r="B321" s="1835">
        <v>1.0725500815660687</v>
      </c>
      <c r="C321" s="1834">
        <v>0.64339999999999997</v>
      </c>
      <c r="D321" s="1834">
        <v>1.359899513852562</v>
      </c>
      <c r="E321" s="1834">
        <v>0.89080011288312022</v>
      </c>
      <c r="F321" s="1834">
        <v>1.2523001631321371</v>
      </c>
      <c r="G321" s="1834">
        <v>7.8382532331196249</v>
      </c>
      <c r="H321" s="1834">
        <v>146.16815298774381</v>
      </c>
      <c r="I321" s="1834">
        <v>4.673502839934434</v>
      </c>
      <c r="J321" s="1834">
        <v>0.59225024469820553</v>
      </c>
      <c r="K321" s="1834">
        <v>1.3599495953428935</v>
      </c>
      <c r="L321" s="1834">
        <v>3.7510708603598091</v>
      </c>
      <c r="M321" s="1834">
        <v>35.469980129867572</v>
      </c>
      <c r="N321" s="1834">
        <v>11.065501269012625</v>
      </c>
      <c r="O321" s="1834">
        <v>7.2934860721781467</v>
      </c>
      <c r="P321" s="1834">
        <v>7.3045757864632987</v>
      </c>
      <c r="Q321" s="1834"/>
      <c r="R321" s="1833">
        <v>15325</v>
      </c>
      <c r="S321" s="1832">
        <v>16436.830000000002</v>
      </c>
      <c r="T321" s="1831">
        <v>9860.1049999999996</v>
      </c>
      <c r="U321" s="1831">
        <v>11269.215</v>
      </c>
      <c r="V321" s="1831">
        <v>17203.635000000002</v>
      </c>
      <c r="W321" s="1831">
        <v>19191.5</v>
      </c>
      <c r="X321" s="1831">
        <v>1955.155</v>
      </c>
      <c r="Y321" s="1831">
        <v>104.845</v>
      </c>
      <c r="Z321" s="1831">
        <v>3279.125</v>
      </c>
      <c r="AA321" s="1831">
        <v>9076.2350000000006</v>
      </c>
      <c r="AB321" s="1831">
        <v>11268.800000000001</v>
      </c>
      <c r="AC321" s="1831">
        <v>4085.5</v>
      </c>
      <c r="AD321" s="1831">
        <v>432.05549999999999</v>
      </c>
      <c r="AE321" s="1831">
        <v>1384.9349999999999</v>
      </c>
      <c r="AF321" s="1831">
        <v>2101.19</v>
      </c>
      <c r="AG321" s="1831">
        <v>11.524999999999999</v>
      </c>
      <c r="AH321" s="1831">
        <v>184.95499999999998</v>
      </c>
      <c r="AI321" s="1831">
        <v>2098</v>
      </c>
    </row>
    <row r="322" spans="1:35">
      <c r="A322" s="1842">
        <v>45181</v>
      </c>
      <c r="B322" s="1841">
        <v>1.0713500651890484</v>
      </c>
      <c r="C322" s="1840">
        <v>0.64279986962190361</v>
      </c>
      <c r="D322" s="1840">
        <v>1.3584495963394476</v>
      </c>
      <c r="E322" s="1840">
        <v>0.89104997227812255</v>
      </c>
      <c r="F322" s="1840">
        <v>1.2485498696219033</v>
      </c>
      <c r="G322" s="1840">
        <v>7.8302459840638665</v>
      </c>
      <c r="H322" s="1840">
        <v>146.80830701502535</v>
      </c>
      <c r="I322" s="1840">
        <v>4.677499519748257</v>
      </c>
      <c r="J322" s="1840">
        <v>0.59075032594524124</v>
      </c>
      <c r="K322" s="1840">
        <v>1.3622496122606018</v>
      </c>
      <c r="L322" s="1840">
        <v>3.7510698129355666</v>
      </c>
      <c r="M322" s="1840">
        <v>35.630005388631837</v>
      </c>
      <c r="N322" s="1840">
        <v>11.092150170648464</v>
      </c>
      <c r="O322" s="1840">
        <v>7.2956597007542978</v>
      </c>
      <c r="P322" s="1840">
        <v>7.309983321420062</v>
      </c>
      <c r="Q322" s="1840"/>
      <c r="R322" s="1839">
        <v>15340</v>
      </c>
      <c r="S322" s="1838">
        <v>16434.510000000002</v>
      </c>
      <c r="T322" s="1837">
        <v>9860.5500000000011</v>
      </c>
      <c r="U322" s="1837">
        <v>11292.285</v>
      </c>
      <c r="V322" s="1837">
        <v>17215.645</v>
      </c>
      <c r="W322" s="1837">
        <v>19152.754999999997</v>
      </c>
      <c r="X322" s="1837">
        <v>1959.0700000000002</v>
      </c>
      <c r="Y322" s="1837">
        <v>104.49000000000001</v>
      </c>
      <c r="Z322" s="1837">
        <v>3279.5299999999997</v>
      </c>
      <c r="AA322" s="1837">
        <v>9062.11</v>
      </c>
      <c r="AB322" s="1837">
        <v>11260.785</v>
      </c>
      <c r="AC322" s="1837">
        <v>4089.5</v>
      </c>
      <c r="AD322" s="1837">
        <v>430.53600000000006</v>
      </c>
      <c r="AE322" s="1837">
        <v>1382.96</v>
      </c>
      <c r="AF322" s="1837">
        <v>2102.62</v>
      </c>
      <c r="AG322" s="1837">
        <v>11.56</v>
      </c>
      <c r="AH322" s="1837">
        <v>184.85500000000002</v>
      </c>
      <c r="AI322" s="1837">
        <v>2098.5</v>
      </c>
    </row>
    <row r="323" spans="1:35">
      <c r="A323" s="1848">
        <v>45182</v>
      </c>
      <c r="B323" s="1847">
        <v>1.0744502277163304</v>
      </c>
      <c r="C323" s="1846">
        <v>0.6412000650618086</v>
      </c>
      <c r="D323" s="1846">
        <v>1.3562498676398957</v>
      </c>
      <c r="E323" s="1846">
        <v>0.89194961790375582</v>
      </c>
      <c r="F323" s="1846">
        <v>1.2469502277163305</v>
      </c>
      <c r="G323" s="1846">
        <v>7.8262640663984921</v>
      </c>
      <c r="H323" s="1846">
        <v>147.26453961866437</v>
      </c>
      <c r="I323" s="1846">
        <v>4.6829916303331105</v>
      </c>
      <c r="J323" s="1846">
        <v>0.59020006506180867</v>
      </c>
      <c r="K323" s="1846">
        <v>1.3614498865532241</v>
      </c>
      <c r="L323" s="1846">
        <v>3.7510677242220867</v>
      </c>
      <c r="M323" s="1846">
        <v>35.714991117725859</v>
      </c>
      <c r="N323" s="1846">
        <v>11.095109705874922</v>
      </c>
      <c r="O323" s="1846">
        <v>7.2841012760209951</v>
      </c>
      <c r="P323" s="1846">
        <v>7.2878141299193935</v>
      </c>
      <c r="Q323" s="1846"/>
      <c r="R323" s="1845">
        <v>15370</v>
      </c>
      <c r="S323" s="1844">
        <v>16514.3</v>
      </c>
      <c r="T323" s="1843">
        <v>9855.244999999999</v>
      </c>
      <c r="U323" s="1843">
        <v>11332.720000000001</v>
      </c>
      <c r="V323" s="1843">
        <v>17231.915000000001</v>
      </c>
      <c r="W323" s="1843">
        <v>19165.625</v>
      </c>
      <c r="X323" s="1843">
        <v>1963.9</v>
      </c>
      <c r="Y323" s="1843">
        <v>104.37</v>
      </c>
      <c r="Z323" s="1843">
        <v>3282.09</v>
      </c>
      <c r="AA323" s="1843">
        <v>9071.375</v>
      </c>
      <c r="AB323" s="1843">
        <v>11289.435000000001</v>
      </c>
      <c r="AC323" s="1843">
        <v>4097.5</v>
      </c>
      <c r="AD323" s="1843">
        <v>430.35149999999999</v>
      </c>
      <c r="AE323" s="1843">
        <v>1385.2950000000001</v>
      </c>
      <c r="AF323" s="1843">
        <v>2110.0749999999998</v>
      </c>
      <c r="AG323" s="1843">
        <v>11.565000000000001</v>
      </c>
      <c r="AH323" s="1843">
        <v>185.34500000000003</v>
      </c>
      <c r="AI323" s="1843">
        <v>2109</v>
      </c>
    </row>
    <row r="324" spans="1:35">
      <c r="A324" s="1854">
        <v>45183</v>
      </c>
      <c r="B324" s="1853">
        <v>1.0734001953760988</v>
      </c>
      <c r="C324" s="1852">
        <v>0.64309996743731679</v>
      </c>
      <c r="D324" s="1852">
        <v>1.3537997645948958</v>
      </c>
      <c r="E324" s="1852">
        <v>0.89359992155176204</v>
      </c>
      <c r="F324" s="1852">
        <v>1.2486001302507326</v>
      </c>
      <c r="G324" s="1852">
        <v>7.824562655102655</v>
      </c>
      <c r="H324" s="1852">
        <v>147.27604066756189</v>
      </c>
      <c r="I324" s="1852">
        <v>4.6815023491354992</v>
      </c>
      <c r="J324" s="1852">
        <v>0.59200032562683169</v>
      </c>
      <c r="K324" s="1852">
        <v>1.3609499971637644</v>
      </c>
      <c r="L324" s="1852">
        <v>3.7510687675583241</v>
      </c>
      <c r="M324" s="1852">
        <v>35.780030292438546</v>
      </c>
      <c r="N324" s="1852">
        <v>11.120485810607734</v>
      </c>
      <c r="O324" s="1852">
        <v>7.2762511313610929</v>
      </c>
      <c r="P324" s="1852">
        <v>7.2807017543859649</v>
      </c>
      <c r="Q324" s="1852"/>
      <c r="R324" s="1851">
        <v>15355</v>
      </c>
      <c r="S324" s="1850">
        <v>16482.059999999998</v>
      </c>
      <c r="T324" s="1849">
        <v>9874.7999999999993</v>
      </c>
      <c r="U324" s="1849">
        <v>11342.150000000001</v>
      </c>
      <c r="V324" s="1849">
        <v>17183.305</v>
      </c>
      <c r="W324" s="1849">
        <v>19172.254999999997</v>
      </c>
      <c r="X324" s="1849">
        <v>1962.4099999999999</v>
      </c>
      <c r="Y324" s="1849">
        <v>104.25999999999999</v>
      </c>
      <c r="Z324" s="1849">
        <v>3279.9300000000003</v>
      </c>
      <c r="AA324" s="1849">
        <v>9090.1650000000009</v>
      </c>
      <c r="AB324" s="1849">
        <v>11282.56</v>
      </c>
      <c r="AC324" s="1849">
        <v>4093.5</v>
      </c>
      <c r="AD324" s="1849">
        <v>429.15</v>
      </c>
      <c r="AE324" s="1849">
        <v>1380.7850000000001</v>
      </c>
      <c r="AF324" s="1849">
        <v>2110.29</v>
      </c>
      <c r="AG324" s="1849">
        <v>11.585000000000001</v>
      </c>
      <c r="AH324" s="1849">
        <v>185.04500000000002</v>
      </c>
      <c r="AI324" s="1849">
        <v>2109</v>
      </c>
    </row>
    <row r="325" spans="1:35" s="31" customFormat="1">
      <c r="A325" s="1854">
        <v>45184</v>
      </c>
      <c r="B325" s="1853">
        <v>1.0663501058459535</v>
      </c>
      <c r="C325" s="1852">
        <v>0.64609998371600719</v>
      </c>
      <c r="D325" s="1852">
        <v>1.3503998423763872</v>
      </c>
      <c r="E325" s="1852">
        <v>0.8947997577731448</v>
      </c>
      <c r="F325" s="1852">
        <v>1.2436000651359713</v>
      </c>
      <c r="G325" s="1852">
        <v>7.8262997316041814</v>
      </c>
      <c r="H325" s="1852">
        <v>147.75516096434242</v>
      </c>
      <c r="I325" s="1852">
        <v>4.6840033011506739</v>
      </c>
      <c r="J325" s="1852">
        <v>0.59225012212994632</v>
      </c>
      <c r="K325" s="1852">
        <v>1.3616498557640073</v>
      </c>
      <c r="L325" s="1852">
        <v>3.750916198387491</v>
      </c>
      <c r="M325" s="1852">
        <v>35.795015394013298</v>
      </c>
      <c r="N325" s="1852">
        <v>11.168175519126478</v>
      </c>
      <c r="O325" s="1852">
        <v>7.2674040184330044</v>
      </c>
      <c r="P325" s="1852">
        <v>7.2743425728500357</v>
      </c>
      <c r="Q325" s="1852"/>
      <c r="R325" s="1851">
        <v>15352.5</v>
      </c>
      <c r="S325" s="1850">
        <v>16371.14</v>
      </c>
      <c r="T325" s="1849">
        <v>9919.25</v>
      </c>
      <c r="U325" s="1849">
        <v>11368.855</v>
      </c>
      <c r="V325" s="1849">
        <v>17157.47</v>
      </c>
      <c r="W325" s="1849">
        <v>19092.37</v>
      </c>
      <c r="X325" s="1849">
        <v>1961.655</v>
      </c>
      <c r="Y325" s="1849">
        <v>103.905</v>
      </c>
      <c r="Z325" s="1849">
        <v>3277.645</v>
      </c>
      <c r="AA325" s="1849">
        <v>9092.52</v>
      </c>
      <c r="AB325" s="1849">
        <v>11274.924999999999</v>
      </c>
      <c r="AC325" s="1849">
        <v>4093</v>
      </c>
      <c r="AD325" s="1849">
        <v>428.90050000000002</v>
      </c>
      <c r="AE325" s="1849">
        <v>1374.665</v>
      </c>
      <c r="AF325" s="1849">
        <v>2112.5150000000003</v>
      </c>
      <c r="AG325" s="1849">
        <v>11.565000000000001</v>
      </c>
      <c r="AH325" s="1849">
        <v>184.88</v>
      </c>
      <c r="AI325" s="1849">
        <v>2110.5</v>
      </c>
    </row>
    <row r="326" spans="1:35">
      <c r="A326" s="1860">
        <v>45187</v>
      </c>
      <c r="B326" s="1859">
        <v>1.0662000650618089</v>
      </c>
      <c r="C326" s="1858">
        <v>0.64379993493819143</v>
      </c>
      <c r="D326" s="1858">
        <v>1.3508994203964719</v>
      </c>
      <c r="E326" s="1858">
        <v>0.89605003422129936</v>
      </c>
      <c r="F326" s="1858">
        <v>1.2379499024072871</v>
      </c>
      <c r="G326" s="1858">
        <v>7.8219426611399063</v>
      </c>
      <c r="H326" s="1858">
        <v>147.71744353676115</v>
      </c>
      <c r="I326" s="1858">
        <v>4.6907450105518871</v>
      </c>
      <c r="J326" s="1858">
        <v>0.59065029277813919</v>
      </c>
      <c r="K326" s="1858">
        <v>1.3644502561562273</v>
      </c>
      <c r="L326" s="1858">
        <v>3.7510677242220867</v>
      </c>
      <c r="M326" s="1858">
        <v>35.699976192273517</v>
      </c>
      <c r="N326" s="1858">
        <v>11.200419742470505</v>
      </c>
      <c r="O326" s="1858">
        <v>7.2914442942195032</v>
      </c>
      <c r="P326" s="1858">
        <v>7.2947318462268624</v>
      </c>
      <c r="Q326" s="1858"/>
      <c r="R326" s="1857">
        <v>15370</v>
      </c>
      <c r="S326" s="1856">
        <v>16387.495000000003</v>
      </c>
      <c r="T326" s="1855">
        <v>9895.2050000000017</v>
      </c>
      <c r="U326" s="1855">
        <v>11377.605</v>
      </c>
      <c r="V326" s="1855">
        <v>17153.059999999998</v>
      </c>
      <c r="W326" s="1855">
        <v>19027.29</v>
      </c>
      <c r="X326" s="1855">
        <v>1964.9850000000001</v>
      </c>
      <c r="Y326" s="1855">
        <v>104.05000000000001</v>
      </c>
      <c r="Z326" s="1855">
        <v>3276.665</v>
      </c>
      <c r="AA326" s="1855">
        <v>9078.2950000000001</v>
      </c>
      <c r="AB326" s="1855">
        <v>11264.61</v>
      </c>
      <c r="AC326" s="1855">
        <v>4097.5</v>
      </c>
      <c r="AD326" s="1855">
        <v>430.53250000000003</v>
      </c>
      <c r="AE326" s="1855">
        <v>1372.27</v>
      </c>
      <c r="AF326" s="1855">
        <v>2107.9499999999998</v>
      </c>
      <c r="AG326" s="1855">
        <v>11.585000000000001</v>
      </c>
      <c r="AH326" s="1855">
        <v>184.70499999999998</v>
      </c>
      <c r="AI326" s="1855">
        <v>2107</v>
      </c>
    </row>
    <row r="327" spans="1:35">
      <c r="A327" s="1866">
        <v>45188</v>
      </c>
      <c r="B327" s="1865">
        <v>1.0695000000000001</v>
      </c>
      <c r="C327" s="1864">
        <v>0.64515019505851756</v>
      </c>
      <c r="D327" s="1864">
        <v>1.3458997313451122</v>
      </c>
      <c r="E327" s="1864">
        <v>0.89494987582425001</v>
      </c>
      <c r="F327" s="1864">
        <v>1.2388998699609883</v>
      </c>
      <c r="G327" s="1864">
        <v>7.8149810850018921</v>
      </c>
      <c r="H327" s="1864">
        <v>147.65036240579849</v>
      </c>
      <c r="I327" s="1864">
        <v>4.6954950114181742</v>
      </c>
      <c r="J327" s="1864">
        <v>0.59360013003901169</v>
      </c>
      <c r="K327" s="1864">
        <v>1.3636504692535831</v>
      </c>
      <c r="L327" s="1864">
        <v>3.7507621021826605</v>
      </c>
      <c r="M327" s="1864">
        <v>35.934999240645332</v>
      </c>
      <c r="N327" s="1864">
        <v>11.111191382685902</v>
      </c>
      <c r="O327" s="1864">
        <v>7.2956517820507045</v>
      </c>
      <c r="P327" s="1864">
        <v>7.2994779307071669</v>
      </c>
      <c r="Q327" s="1864"/>
      <c r="R327" s="1863">
        <v>15380</v>
      </c>
      <c r="S327" s="1862">
        <v>16448.910000000003</v>
      </c>
      <c r="T327" s="1861">
        <v>9922.41</v>
      </c>
      <c r="U327" s="1861">
        <v>11427.3</v>
      </c>
      <c r="V327" s="1861">
        <v>17185.32</v>
      </c>
      <c r="W327" s="1861">
        <v>19054.28</v>
      </c>
      <c r="X327" s="1861">
        <v>1968.0150000000001</v>
      </c>
      <c r="Y327" s="1861">
        <v>104.16500000000001</v>
      </c>
      <c r="Z327" s="1861">
        <v>3275.48</v>
      </c>
      <c r="AA327" s="1861">
        <v>9129.57</v>
      </c>
      <c r="AB327" s="1861">
        <v>11278.55</v>
      </c>
      <c r="AC327" s="1861">
        <v>4100.5</v>
      </c>
      <c r="AD327" s="1861">
        <v>427.995</v>
      </c>
      <c r="AE327" s="1861">
        <v>1384.19</v>
      </c>
      <c r="AF327" s="1861">
        <v>2108.105</v>
      </c>
      <c r="AG327" s="1861">
        <v>11.59</v>
      </c>
      <c r="AH327" s="1861">
        <v>184.64</v>
      </c>
      <c r="AI327" s="1861">
        <v>2107</v>
      </c>
    </row>
    <row r="328" spans="1:35">
      <c r="A328" s="1872">
        <v>45189</v>
      </c>
      <c r="B328" s="1871">
        <v>1.0690500650195056</v>
      </c>
      <c r="C328" s="1870">
        <v>0.64605039011703502</v>
      </c>
      <c r="D328" s="1870">
        <v>1.3449999103624897</v>
      </c>
      <c r="E328" s="1870">
        <v>0.89755003272439393</v>
      </c>
      <c r="F328" s="1870">
        <v>1.2360500650195057</v>
      </c>
      <c r="G328" s="1870">
        <v>7.8226128442420126</v>
      </c>
      <c r="H328" s="1870">
        <v>148.14101329223658</v>
      </c>
      <c r="I328" s="1870">
        <v>4.688502651381782</v>
      </c>
      <c r="J328" s="1870">
        <v>0.59385013003901177</v>
      </c>
      <c r="K328" s="1870">
        <v>1.3649496375295476</v>
      </c>
      <c r="L328" s="1870">
        <v>3.7512195121951217</v>
      </c>
      <c r="M328" s="1870">
        <v>36.140020255329951</v>
      </c>
      <c r="N328" s="1870">
        <v>11.138349453040414</v>
      </c>
      <c r="O328" s="1870">
        <v>7.2992873940167664</v>
      </c>
      <c r="P328" s="1870">
        <v>7.3098859315589353</v>
      </c>
      <c r="Q328" s="1870"/>
      <c r="R328" s="1869">
        <v>15380</v>
      </c>
      <c r="S328" s="1868">
        <v>16441.989999999998</v>
      </c>
      <c r="T328" s="1867">
        <v>9936.255000000001</v>
      </c>
      <c r="U328" s="1867">
        <v>11434.945</v>
      </c>
      <c r="V328" s="1867">
        <v>17135.535000000003</v>
      </c>
      <c r="W328" s="1867">
        <v>19010.449999999997</v>
      </c>
      <c r="X328" s="1867">
        <v>1966.095</v>
      </c>
      <c r="Y328" s="1867">
        <v>103.82</v>
      </c>
      <c r="Z328" s="1867">
        <v>3280.3650000000002</v>
      </c>
      <c r="AA328" s="1867">
        <v>9133.4150000000009</v>
      </c>
      <c r="AB328" s="1867">
        <v>11267.815000000001</v>
      </c>
      <c r="AC328" s="1867">
        <v>4100</v>
      </c>
      <c r="AD328" s="1867">
        <v>425.56700000000001</v>
      </c>
      <c r="AE328" s="1867">
        <v>1380.8150000000001</v>
      </c>
      <c r="AF328" s="1867">
        <v>2107.0550000000003</v>
      </c>
      <c r="AG328" s="1867">
        <v>11.57</v>
      </c>
      <c r="AH328" s="1867">
        <v>184.93</v>
      </c>
      <c r="AI328" s="1867">
        <v>2104</v>
      </c>
    </row>
    <row r="329" spans="1:35">
      <c r="A329" s="1878">
        <v>45190</v>
      </c>
      <c r="B329" s="1877">
        <v>1.0655502439024391</v>
      </c>
      <c r="C329" s="1876">
        <v>0.641350243902439</v>
      </c>
      <c r="D329" s="1876">
        <v>1.3489001528753508</v>
      </c>
      <c r="E329" s="1876">
        <v>0.90529975726190259</v>
      </c>
      <c r="F329" s="1876">
        <v>1.2315499186991872</v>
      </c>
      <c r="G329" s="1876">
        <v>7.821143794590057</v>
      </c>
      <c r="H329" s="1876">
        <v>148.25707535798659</v>
      </c>
      <c r="I329" s="1876">
        <v>4.6899951346066731</v>
      </c>
      <c r="J329" s="1876">
        <v>0.5918003252032521</v>
      </c>
      <c r="K329" s="1876">
        <v>1.3673497338225851</v>
      </c>
      <c r="L329" s="1876">
        <v>3.7513724533365864</v>
      </c>
      <c r="M329" s="1876">
        <v>36.134979129846201</v>
      </c>
      <c r="N329" s="1876">
        <v>11.12574442989153</v>
      </c>
      <c r="O329" s="1876">
        <v>7.3037604271571626</v>
      </c>
      <c r="P329" s="1876">
        <v>7.3075095057034218</v>
      </c>
      <c r="Q329" s="1876"/>
      <c r="R329" s="1875">
        <v>15375</v>
      </c>
      <c r="S329" s="1874">
        <v>16382.835000000001</v>
      </c>
      <c r="T329" s="1873">
        <v>9860.76</v>
      </c>
      <c r="U329" s="1873">
        <v>11398.174999999999</v>
      </c>
      <c r="V329" s="1873">
        <v>16983.324999999997</v>
      </c>
      <c r="W329" s="1873">
        <v>18935.080000000002</v>
      </c>
      <c r="X329" s="1873">
        <v>1965.825</v>
      </c>
      <c r="Y329" s="1873">
        <v>103.705</v>
      </c>
      <c r="Z329" s="1873">
        <v>3278.2550000000001</v>
      </c>
      <c r="AA329" s="1873">
        <v>9098.93</v>
      </c>
      <c r="AB329" s="1873">
        <v>11244.380000000001</v>
      </c>
      <c r="AC329" s="1873">
        <v>4098.5</v>
      </c>
      <c r="AD329" s="1873">
        <v>425.488</v>
      </c>
      <c r="AE329" s="1873">
        <v>1381.9299999999998</v>
      </c>
      <c r="AF329" s="1873">
        <v>2105.08</v>
      </c>
      <c r="AG329" s="1873">
        <v>11.484999999999999</v>
      </c>
      <c r="AH329" s="1873">
        <v>184.97500000000002</v>
      </c>
      <c r="AI329" s="1873">
        <v>2104</v>
      </c>
    </row>
    <row r="330" spans="1:35">
      <c r="A330" s="1884">
        <v>45191</v>
      </c>
      <c r="B330" s="1883">
        <v>1.0646</v>
      </c>
      <c r="C330" s="1882">
        <v>0.64319999999999999</v>
      </c>
      <c r="D330" s="1882">
        <v>1.3471001861407705</v>
      </c>
      <c r="E330" s="1882">
        <v>0.9056498413124765</v>
      </c>
      <c r="F330" s="1882">
        <v>1.2265999999999999</v>
      </c>
      <c r="G330" s="1882">
        <v>7.820248722056915</v>
      </c>
      <c r="H330" s="1882">
        <v>148.2642237222758</v>
      </c>
      <c r="I330" s="1882">
        <v>4.6889939020206137</v>
      </c>
      <c r="J330" s="1882">
        <v>0.5953001626016261</v>
      </c>
      <c r="K330" s="1882">
        <v>1.3651504395784417</v>
      </c>
      <c r="L330" s="1882">
        <v>3.7513724533365864</v>
      </c>
      <c r="M330" s="1882">
        <v>36.029976940814755</v>
      </c>
      <c r="N330" s="1882">
        <v>11.163307388475834</v>
      </c>
      <c r="O330" s="1882">
        <v>7.3007951337529411</v>
      </c>
      <c r="P330" s="1882">
        <v>7.300569800569801</v>
      </c>
      <c r="Q330" s="1882"/>
      <c r="R330" s="1881">
        <v>15375</v>
      </c>
      <c r="S330" s="1880">
        <v>16368.225</v>
      </c>
      <c r="T330" s="1879">
        <v>9889.2000000000007</v>
      </c>
      <c r="U330" s="1879">
        <v>11413.404999999999</v>
      </c>
      <c r="V330" s="1879">
        <v>16976.760000000002</v>
      </c>
      <c r="W330" s="1879">
        <v>18858.974999999999</v>
      </c>
      <c r="X330" s="1879">
        <v>1966.0500000000002</v>
      </c>
      <c r="Y330" s="1879">
        <v>103.7</v>
      </c>
      <c r="Z330" s="1879">
        <v>3278.9549999999999</v>
      </c>
      <c r="AA330" s="1879">
        <v>9152.7400000000016</v>
      </c>
      <c r="AB330" s="1879">
        <v>11262.494999999999</v>
      </c>
      <c r="AC330" s="1879">
        <v>4098.5</v>
      </c>
      <c r="AD330" s="1879">
        <v>426.72800000000001</v>
      </c>
      <c r="AE330" s="1879">
        <v>1377.2800000000002</v>
      </c>
      <c r="AF330" s="1879">
        <v>2105.9349999999999</v>
      </c>
      <c r="AG330" s="1879">
        <v>11.51</v>
      </c>
      <c r="AH330" s="1879">
        <v>185.60000000000002</v>
      </c>
      <c r="AI330" s="1879">
        <v>2106</v>
      </c>
    </row>
    <row r="331" spans="1:35">
      <c r="A331" s="1890">
        <v>45194</v>
      </c>
      <c r="B331" s="1889">
        <v>1.0638000000000001</v>
      </c>
      <c r="C331" s="1888">
        <v>0.6422000000000001</v>
      </c>
      <c r="D331" s="1888">
        <v>1.3474494706448508</v>
      </c>
      <c r="E331" s="1888">
        <v>0.90995009750942513</v>
      </c>
      <c r="F331" s="1888">
        <v>1.2242</v>
      </c>
      <c r="G331" s="1888">
        <v>7.8146011255055381</v>
      </c>
      <c r="H331" s="1888">
        <v>148.44088871752854</v>
      </c>
      <c r="I331" s="1888">
        <v>4.6844961428953837</v>
      </c>
      <c r="J331" s="1888">
        <v>0.5951003246753247</v>
      </c>
      <c r="K331" s="1888">
        <v>1.3664002186240347</v>
      </c>
      <c r="L331" s="1888">
        <v>3.7510656436487637</v>
      </c>
      <c r="M331" s="1888">
        <v>36.080022678871394</v>
      </c>
      <c r="N331" s="1888">
        <v>11.104901660327018</v>
      </c>
      <c r="O331" s="1888">
        <v>7.3110520319027739</v>
      </c>
      <c r="P331" s="1888">
        <v>7.3124406457739788</v>
      </c>
      <c r="Q331" s="1888"/>
      <c r="R331" s="1887">
        <v>15400</v>
      </c>
      <c r="S331" s="1886">
        <v>16382.52</v>
      </c>
      <c r="T331" s="1885">
        <v>9889.880000000001</v>
      </c>
      <c r="U331" s="1885">
        <v>11429</v>
      </c>
      <c r="V331" s="1885">
        <v>16924.005000000001</v>
      </c>
      <c r="W331" s="1885">
        <v>18852.68</v>
      </c>
      <c r="X331" s="1885">
        <v>1970.67</v>
      </c>
      <c r="Y331" s="1885">
        <v>103.745</v>
      </c>
      <c r="Z331" s="1885">
        <v>3287.44</v>
      </c>
      <c r="AA331" s="1885">
        <v>9164.5450000000001</v>
      </c>
      <c r="AB331" s="1885">
        <v>11270.490000000002</v>
      </c>
      <c r="AC331" s="1885">
        <v>4105.5</v>
      </c>
      <c r="AD331" s="1885">
        <v>426.82900000000001</v>
      </c>
      <c r="AE331" s="1885">
        <v>1386.7750000000001</v>
      </c>
      <c r="AF331" s="1885">
        <v>2106.3999999999996</v>
      </c>
      <c r="AG331" s="1885">
        <v>11.515000000000001</v>
      </c>
      <c r="AH331" s="1885">
        <v>185.31</v>
      </c>
      <c r="AI331" s="1885">
        <v>2106</v>
      </c>
    </row>
    <row r="332" spans="1:35">
      <c r="A332" s="1896">
        <v>45195</v>
      </c>
      <c r="B332" s="1895">
        <v>1.0585003227888961</v>
      </c>
      <c r="C332" s="1894">
        <v>0.6404499677211104</v>
      </c>
      <c r="D332" s="1894">
        <v>1.3495999773469338</v>
      </c>
      <c r="E332" s="1894">
        <v>0.9132998928390863</v>
      </c>
      <c r="F332" s="1894">
        <v>1.2172998708844416</v>
      </c>
      <c r="G332" s="1894">
        <v>7.8184543788896681</v>
      </c>
      <c r="H332" s="1894">
        <v>148.88504421376396</v>
      </c>
      <c r="I332" s="1894">
        <v>4.6915012349642531</v>
      </c>
      <c r="J332" s="1894">
        <v>0.59524983860555203</v>
      </c>
      <c r="K332" s="1894">
        <v>1.3680494652772444</v>
      </c>
      <c r="L332" s="1894">
        <v>3.751513683700654</v>
      </c>
      <c r="M332" s="1894">
        <v>36.349982986612225</v>
      </c>
      <c r="N332" s="1894">
        <v>11.092730645011137</v>
      </c>
      <c r="O332" s="1894">
        <v>7.3122086504986132</v>
      </c>
      <c r="P332" s="1894">
        <v>7.3100519112789053</v>
      </c>
      <c r="Q332" s="1894"/>
      <c r="R332" s="1893">
        <v>15490</v>
      </c>
      <c r="S332" s="1892">
        <v>16396.169999999998</v>
      </c>
      <c r="T332" s="1891">
        <v>9920.57</v>
      </c>
      <c r="U332" s="1891">
        <v>11477.475</v>
      </c>
      <c r="V332" s="1891">
        <v>16960.474999999999</v>
      </c>
      <c r="W332" s="1891">
        <v>18855.974999999999</v>
      </c>
      <c r="X332" s="1891">
        <v>1981.21</v>
      </c>
      <c r="Y332" s="1891">
        <v>104.03999999999999</v>
      </c>
      <c r="Z332" s="1891">
        <v>3301.7150000000001</v>
      </c>
      <c r="AA332" s="1891">
        <v>9220.42</v>
      </c>
      <c r="AB332" s="1891">
        <v>11322.689999999999</v>
      </c>
      <c r="AC332" s="1891">
        <v>4129</v>
      </c>
      <c r="AD332" s="1891">
        <v>426.13499999999999</v>
      </c>
      <c r="AE332" s="1891">
        <v>1396.4099999999999</v>
      </c>
      <c r="AF332" s="1891">
        <v>2118.375</v>
      </c>
      <c r="AG332" s="1891">
        <v>11.455000000000002</v>
      </c>
      <c r="AH332" s="1891">
        <v>186.10500000000002</v>
      </c>
      <c r="AI332" s="1891">
        <v>2119</v>
      </c>
    </row>
    <row r="333" spans="1:35">
      <c r="A333" s="1902">
        <v>45196</v>
      </c>
      <c r="B333" s="1901">
        <v>1.0566001932989688</v>
      </c>
      <c r="C333" s="1900">
        <v>0.63795006443298974</v>
      </c>
      <c r="D333" s="1900">
        <v>1.3522497270668639</v>
      </c>
      <c r="E333" s="1900">
        <v>0.91629995480492177</v>
      </c>
      <c r="F333" s="1900">
        <v>1.2148002577319588</v>
      </c>
      <c r="G333" s="1900">
        <v>7.8208461833061218</v>
      </c>
      <c r="H333" s="1900">
        <v>149.04446365120523</v>
      </c>
      <c r="I333" s="1900">
        <v>4.704498676859747</v>
      </c>
      <c r="J333" s="1900">
        <v>0.5935499355670103</v>
      </c>
      <c r="K333" s="1900">
        <v>1.36970040892441</v>
      </c>
      <c r="L333" s="1900">
        <v>3.7510574018126888</v>
      </c>
      <c r="M333" s="1900">
        <v>36.559970601260751</v>
      </c>
      <c r="N333" s="1900">
        <v>11.008224250011526</v>
      </c>
      <c r="O333" s="1900">
        <v>7.3081034247317138</v>
      </c>
      <c r="P333" s="1900">
        <v>7.3138548539114048</v>
      </c>
      <c r="Q333" s="1900"/>
      <c r="R333" s="1899">
        <v>15520</v>
      </c>
      <c r="S333" s="1898">
        <v>16398.434999999998</v>
      </c>
      <c r="T333" s="1897">
        <v>9900.9850000000006</v>
      </c>
      <c r="U333" s="1897">
        <v>11477.170000000002</v>
      </c>
      <c r="V333" s="1897">
        <v>16937.684999999998</v>
      </c>
      <c r="W333" s="1897">
        <v>18853.7</v>
      </c>
      <c r="X333" s="1897">
        <v>1984.44</v>
      </c>
      <c r="Y333" s="1897">
        <v>104.13</v>
      </c>
      <c r="Z333" s="1897">
        <v>3298.9700000000003</v>
      </c>
      <c r="AA333" s="1897">
        <v>9211.8950000000004</v>
      </c>
      <c r="AB333" s="1897">
        <v>11330.945</v>
      </c>
      <c r="AC333" s="1897">
        <v>4137.5</v>
      </c>
      <c r="AD333" s="1897">
        <v>424.50800000000004</v>
      </c>
      <c r="AE333" s="1897">
        <v>1409.855</v>
      </c>
      <c r="AF333" s="1897">
        <v>2123.67</v>
      </c>
      <c r="AG333" s="1897">
        <v>11.475000000000001</v>
      </c>
      <c r="AH333" s="1897">
        <v>186.47</v>
      </c>
      <c r="AI333" s="1897">
        <v>2122</v>
      </c>
    </row>
    <row r="334" spans="1:35">
      <c r="A334" s="1908">
        <v>45198</v>
      </c>
      <c r="B334" s="1907">
        <v>1.0606001294079586</v>
      </c>
      <c r="C334" s="1906">
        <v>0.64795017793594301</v>
      </c>
      <c r="D334" s="1906">
        <v>1.3444999469333569</v>
      </c>
      <c r="E334" s="1906">
        <v>0.9096500598879933</v>
      </c>
      <c r="F334" s="1906">
        <v>1.2243002264639276</v>
      </c>
      <c r="G334" s="1906">
        <v>7.8288443906367924</v>
      </c>
      <c r="H334" s="1906">
        <v>148.77027482312172</v>
      </c>
      <c r="I334" s="1906">
        <v>4.6880000242665805</v>
      </c>
      <c r="J334" s="1906">
        <v>0.60274991912002585</v>
      </c>
      <c r="K334" s="1906">
        <v>1.3617501948346888</v>
      </c>
      <c r="L334" s="1906">
        <v>3.7507584031064192</v>
      </c>
      <c r="M334" s="1906">
        <v>36.459973648792904</v>
      </c>
      <c r="N334" s="1906">
        <v>10.834513410821193</v>
      </c>
      <c r="O334" s="1906">
        <v>7.3014943142359057</v>
      </c>
      <c r="P334" s="1906">
        <v>7.2900943396226419</v>
      </c>
      <c r="Q334" s="1906"/>
      <c r="R334" s="1905">
        <v>15455</v>
      </c>
      <c r="S334" s="1904">
        <v>16391.575000000001</v>
      </c>
      <c r="T334" s="1903">
        <v>10014.07</v>
      </c>
      <c r="U334" s="1903">
        <v>11494.98</v>
      </c>
      <c r="V334" s="1903">
        <v>16990.05</v>
      </c>
      <c r="W334" s="1903">
        <v>18921.560000000001</v>
      </c>
      <c r="X334" s="1903">
        <v>1974.1100000000001</v>
      </c>
      <c r="Y334" s="1903">
        <v>103.88500000000001</v>
      </c>
      <c r="Z334" s="1903">
        <v>3296.7150000000001</v>
      </c>
      <c r="AA334" s="1903">
        <v>9315.5</v>
      </c>
      <c r="AB334" s="1903">
        <v>11349.365000000002</v>
      </c>
      <c r="AC334" s="1903">
        <v>4120.5</v>
      </c>
      <c r="AD334" s="1903">
        <v>423.8895</v>
      </c>
      <c r="AE334" s="1903">
        <v>1426.46</v>
      </c>
      <c r="AF334" s="1903">
        <v>2116.69</v>
      </c>
      <c r="AG334" s="1903">
        <v>11.5</v>
      </c>
      <c r="AH334" s="1903">
        <v>186.04000000000002</v>
      </c>
      <c r="AI334" s="1903">
        <v>2120</v>
      </c>
    </row>
    <row r="335" spans="1:35" s="1385" customFormat="1">
      <c r="A335" s="1927">
        <v>45199</v>
      </c>
      <c r="B335" s="1928">
        <v>1.0606001294079586</v>
      </c>
      <c r="C335" s="1929">
        <v>0.64795017793594301</v>
      </c>
      <c r="D335" s="1929">
        <v>1.3444999469333569</v>
      </c>
      <c r="E335" s="1929">
        <v>0.9096500598879933</v>
      </c>
      <c r="F335" s="1929">
        <v>1.2243002264639276</v>
      </c>
      <c r="G335" s="1929">
        <v>7.8288443906367924</v>
      </c>
      <c r="H335" s="1929">
        <v>148.77027482312172</v>
      </c>
      <c r="I335" s="1929">
        <v>4.6880000242665805</v>
      </c>
      <c r="J335" s="1929">
        <v>0.60274991912002585</v>
      </c>
      <c r="K335" s="1929">
        <v>1.3617501948346888</v>
      </c>
      <c r="L335" s="1929">
        <v>3.7507584031064192</v>
      </c>
      <c r="M335" s="1929">
        <v>36.459973648792904</v>
      </c>
      <c r="N335" s="1929">
        <v>10.834513410821193</v>
      </c>
      <c r="O335" s="1929">
        <v>7.3014943142359057</v>
      </c>
      <c r="P335" s="1929">
        <v>7.2900943396226419</v>
      </c>
      <c r="Q335" s="1929"/>
      <c r="R335" s="1930">
        <v>15455</v>
      </c>
      <c r="S335" s="1931">
        <v>16391.575000000001</v>
      </c>
      <c r="T335" s="1932">
        <v>10014.07</v>
      </c>
      <c r="U335" s="1932">
        <v>11494.98</v>
      </c>
      <c r="V335" s="1932">
        <v>16990.05</v>
      </c>
      <c r="W335" s="1932">
        <v>18921.560000000001</v>
      </c>
      <c r="X335" s="1932">
        <v>1974.1100000000001</v>
      </c>
      <c r="Y335" s="1932">
        <v>103.88500000000001</v>
      </c>
      <c r="Z335" s="1932">
        <v>3296.7150000000001</v>
      </c>
      <c r="AA335" s="1932">
        <v>9315.5</v>
      </c>
      <c r="AB335" s="1932">
        <v>11349.365000000002</v>
      </c>
      <c r="AC335" s="1932">
        <v>4120.5</v>
      </c>
      <c r="AD335" s="1932">
        <v>423.8895</v>
      </c>
      <c r="AE335" s="1932">
        <v>1426.46</v>
      </c>
      <c r="AF335" s="1932">
        <v>2116.69</v>
      </c>
      <c r="AG335" s="1932">
        <v>11.5</v>
      </c>
      <c r="AH335" s="1932">
        <v>186.04000000000002</v>
      </c>
      <c r="AI335" s="1932">
        <v>2120</v>
      </c>
    </row>
    <row r="336" spans="1:35">
      <c r="A336" s="1914">
        <v>45201</v>
      </c>
      <c r="B336" s="1913">
        <v>1.0572002575660013</v>
      </c>
      <c r="C336" s="1912">
        <v>0.6411001287830006</v>
      </c>
      <c r="D336" s="1912">
        <v>1.3582999297672349</v>
      </c>
      <c r="E336" s="1912">
        <v>0.91184999862018845</v>
      </c>
      <c r="F336" s="1912">
        <v>1.2194500965872503</v>
      </c>
      <c r="G336" s="1912">
        <v>7.832338530516112</v>
      </c>
      <c r="H336" s="1912">
        <v>149.75169953232728</v>
      </c>
      <c r="I336" s="1912">
        <v>4.7115002472551639</v>
      </c>
      <c r="J336" s="1912">
        <v>0.59920025756600126</v>
      </c>
      <c r="K336" s="1912">
        <v>1.3690496917434314</v>
      </c>
      <c r="L336" s="1912">
        <v>3.7507547397657288</v>
      </c>
      <c r="M336" s="1912">
        <v>36.879995155493233</v>
      </c>
      <c r="N336" s="1912">
        <v>10.936196133248359</v>
      </c>
      <c r="O336" s="1912">
        <v>7.3015007334411557</v>
      </c>
      <c r="P336" s="1912">
        <v>7.3013634226610247</v>
      </c>
      <c r="Q336" s="1912"/>
      <c r="R336" s="1911">
        <v>15530</v>
      </c>
      <c r="S336" s="1910">
        <v>16418.32</v>
      </c>
      <c r="T336" s="1909">
        <v>9956.2849999999999</v>
      </c>
      <c r="U336" s="1909">
        <v>11433.41</v>
      </c>
      <c r="V336" s="1909">
        <v>17031.309999999998</v>
      </c>
      <c r="W336" s="1909">
        <v>18938.059999999998</v>
      </c>
      <c r="X336" s="1909">
        <v>1982.8050000000001</v>
      </c>
      <c r="Y336" s="1909">
        <v>103.705</v>
      </c>
      <c r="Z336" s="1909">
        <v>3296.1900000000005</v>
      </c>
      <c r="AA336" s="1909">
        <v>9305.58</v>
      </c>
      <c r="AB336" s="1909">
        <v>11343.635</v>
      </c>
      <c r="AC336" s="1909">
        <v>4140.5</v>
      </c>
      <c r="AD336" s="1909">
        <v>421.09550000000002</v>
      </c>
      <c r="AE336" s="1909">
        <v>1420.0550000000001</v>
      </c>
      <c r="AF336" s="1909">
        <v>2126.96</v>
      </c>
      <c r="AG336" s="1909">
        <v>11.475000000000001</v>
      </c>
      <c r="AH336" s="1909">
        <v>186.69</v>
      </c>
      <c r="AI336" s="1909">
        <v>2127</v>
      </c>
    </row>
    <row r="337" spans="1:35">
      <c r="A337" s="1920">
        <v>45202</v>
      </c>
      <c r="B337" s="1919">
        <v>1.0483000641848523</v>
      </c>
      <c r="C337" s="1918">
        <v>0.63180006418485235</v>
      </c>
      <c r="D337" s="1918">
        <v>1.3707000115691303</v>
      </c>
      <c r="E337" s="1918">
        <v>0.92129982514226039</v>
      </c>
      <c r="F337" s="1918">
        <v>1.2083498074454428</v>
      </c>
      <c r="G337" s="1918">
        <v>7.8316447710701658</v>
      </c>
      <c r="H337" s="1918">
        <v>149.79328910681667</v>
      </c>
      <c r="I337" s="1918">
        <v>4.723996416069471</v>
      </c>
      <c r="J337" s="1918">
        <v>0.59080006418485242</v>
      </c>
      <c r="K337" s="1918">
        <v>1.3737499140304128</v>
      </c>
      <c r="L337" s="1918">
        <v>3.7510533285181173</v>
      </c>
      <c r="M337" s="1918">
        <v>37.069995193749016</v>
      </c>
      <c r="N337" s="1918">
        <v>11.049096853347704</v>
      </c>
      <c r="O337" s="1918">
        <v>7.3014935725298882</v>
      </c>
      <c r="P337" s="1918">
        <v>7.3231492361927142</v>
      </c>
      <c r="Q337" s="1918"/>
      <c r="R337" s="1917">
        <v>15580</v>
      </c>
      <c r="S337" s="1916">
        <v>16332.514999999999</v>
      </c>
      <c r="T337" s="1915">
        <v>9843.4449999999997</v>
      </c>
      <c r="U337" s="1915">
        <v>11366.455</v>
      </c>
      <c r="V337" s="1915">
        <v>16910.89</v>
      </c>
      <c r="W337" s="1915">
        <v>18826.09</v>
      </c>
      <c r="X337" s="1915">
        <v>1989.365</v>
      </c>
      <c r="Y337" s="1915">
        <v>104.00999999999999</v>
      </c>
      <c r="Z337" s="1915">
        <v>3298.0550000000003</v>
      </c>
      <c r="AA337" s="1915">
        <v>9204.6650000000009</v>
      </c>
      <c r="AB337" s="1915">
        <v>11341.220000000001</v>
      </c>
      <c r="AC337" s="1915">
        <v>4153.5</v>
      </c>
      <c r="AD337" s="1915">
        <v>420.286</v>
      </c>
      <c r="AE337" s="1915">
        <v>1410.0700000000002</v>
      </c>
      <c r="AF337" s="1915">
        <v>2133.81</v>
      </c>
      <c r="AG337" s="1915">
        <v>11.46</v>
      </c>
      <c r="AH337" s="1915">
        <v>187.27500000000001</v>
      </c>
      <c r="AI337" s="1915">
        <v>2127.5</v>
      </c>
    </row>
    <row r="338" spans="1:35" s="990" customFormat="1" ht="15.65" customHeight="1">
      <c r="A338" s="989">
        <v>45203</v>
      </c>
      <c r="B338" s="1633">
        <v>1.0484001919385799</v>
      </c>
      <c r="C338" s="669">
        <v>0.63185028790786946</v>
      </c>
      <c r="D338" s="669">
        <v>1.3705999729036857</v>
      </c>
      <c r="E338" s="669">
        <v>0.91969984715800668</v>
      </c>
      <c r="F338" s="669">
        <v>1.2084001919385796</v>
      </c>
      <c r="G338" s="669">
        <v>7.8301513428484109</v>
      </c>
      <c r="H338" s="669">
        <v>148.85005475929719</v>
      </c>
      <c r="I338" s="669">
        <v>4.7329931715293645</v>
      </c>
      <c r="J338" s="669">
        <v>0.58960012795905314</v>
      </c>
      <c r="K338" s="669">
        <v>1.3727499043773859</v>
      </c>
      <c r="L338" s="669">
        <v>3.7504499100179962</v>
      </c>
      <c r="M338" s="669">
        <v>37.089990092724975</v>
      </c>
      <c r="N338" s="669">
        <v>11.079998582213872</v>
      </c>
      <c r="O338" s="669">
        <v>7.3015035117756009</v>
      </c>
      <c r="P338" s="669">
        <v>7.3174157303370784</v>
      </c>
      <c r="Q338" s="669"/>
      <c r="R338" s="1634">
        <v>15630</v>
      </c>
      <c r="S338" s="1635">
        <v>16386.495000000003</v>
      </c>
      <c r="T338" s="668">
        <v>9875.82</v>
      </c>
      <c r="U338" s="668">
        <v>11403.764999999999</v>
      </c>
      <c r="V338" s="668">
        <v>16994.675000000003</v>
      </c>
      <c r="W338" s="668">
        <v>18887.294999999998</v>
      </c>
      <c r="X338" s="668">
        <v>1996.13</v>
      </c>
      <c r="Y338" s="668">
        <v>105.005</v>
      </c>
      <c r="Z338" s="668">
        <v>3302.3500000000004</v>
      </c>
      <c r="AA338" s="668">
        <v>9215.4500000000007</v>
      </c>
      <c r="AB338" s="668">
        <v>11385.905000000001</v>
      </c>
      <c r="AC338" s="668">
        <v>4167.5</v>
      </c>
      <c r="AD338" s="668">
        <v>421.40750000000003</v>
      </c>
      <c r="AE338" s="668">
        <v>1410.65</v>
      </c>
      <c r="AF338" s="668">
        <v>2140.6550000000002</v>
      </c>
      <c r="AG338" s="668">
        <v>11.504999999999999</v>
      </c>
      <c r="AH338" s="668">
        <v>187.79500000000002</v>
      </c>
      <c r="AI338" s="668">
        <v>2136</v>
      </c>
    </row>
    <row r="339" spans="1:35" s="990" customFormat="1" ht="15.65" customHeight="1">
      <c r="A339" s="989">
        <v>45204</v>
      </c>
      <c r="B339" s="1633">
        <v>1.0508501440922191</v>
      </c>
      <c r="C339" s="669">
        <v>0.6341002241434518</v>
      </c>
      <c r="D339" s="669">
        <v>1.3758000169166573</v>
      </c>
      <c r="E339" s="669">
        <v>0.91749965333026218</v>
      </c>
      <c r="F339" s="669">
        <v>1.2131501761127121</v>
      </c>
      <c r="G339" s="669">
        <v>7.8288531970950768</v>
      </c>
      <c r="H339" s="669">
        <v>149.05498281786942</v>
      </c>
      <c r="I339" s="669">
        <v>4.729503591424197</v>
      </c>
      <c r="J339" s="669">
        <v>0.59315017611271215</v>
      </c>
      <c r="K339" s="669">
        <v>1.3717499453144835</v>
      </c>
      <c r="L339" s="669">
        <v>3.7504503422601179</v>
      </c>
      <c r="M339" s="669">
        <v>37.02500580923882</v>
      </c>
      <c r="N339" s="669">
        <v>11.05232424397926</v>
      </c>
      <c r="O339" s="669">
        <v>7.3015056579070423</v>
      </c>
      <c r="P339" s="669">
        <v>7.3206751054852317</v>
      </c>
      <c r="Q339" s="669"/>
      <c r="R339" s="1634">
        <v>15615</v>
      </c>
      <c r="S339" s="1635">
        <v>16409.025000000001</v>
      </c>
      <c r="T339" s="668">
        <v>9901.4750000000004</v>
      </c>
      <c r="U339" s="668">
        <v>11349.76</v>
      </c>
      <c r="V339" s="668">
        <v>17019.080000000002</v>
      </c>
      <c r="W339" s="668">
        <v>18943.34</v>
      </c>
      <c r="X339" s="668">
        <v>1994.5450000000001</v>
      </c>
      <c r="Y339" s="668">
        <v>104.75999999999999</v>
      </c>
      <c r="Z339" s="668">
        <v>3301.6150000000002</v>
      </c>
      <c r="AA339" s="668">
        <v>9262.0400000000009</v>
      </c>
      <c r="AB339" s="668">
        <v>11383.27</v>
      </c>
      <c r="AC339" s="668">
        <v>4163.5</v>
      </c>
      <c r="AD339" s="668">
        <v>421.74200000000002</v>
      </c>
      <c r="AE339" s="668">
        <v>1412.825</v>
      </c>
      <c r="AF339" s="668">
        <v>2138.6</v>
      </c>
      <c r="AG339" s="668">
        <v>11.555</v>
      </c>
      <c r="AH339" s="668">
        <v>187.56</v>
      </c>
      <c r="AI339" s="668">
        <v>2133</v>
      </c>
    </row>
    <row r="340" spans="1:35" s="1459" customFormat="1">
      <c r="A340" s="1926">
        <v>45205</v>
      </c>
      <c r="B340" s="1925">
        <v>1.0550000000000002</v>
      </c>
      <c r="C340" s="1924">
        <v>0.63670019218449703</v>
      </c>
      <c r="D340" s="1924">
        <v>1.3697001444722159</v>
      </c>
      <c r="E340" s="1924">
        <v>0.91239969302221735</v>
      </c>
      <c r="F340" s="1924">
        <v>1.2203500960922486</v>
      </c>
      <c r="G340" s="1924">
        <v>7.8314114350647559</v>
      </c>
      <c r="H340" s="1924">
        <v>148.89355207935901</v>
      </c>
      <c r="I340" s="1924">
        <v>4.715997836864541</v>
      </c>
      <c r="J340" s="1924">
        <v>0.59654996796925053</v>
      </c>
      <c r="K340" s="1924">
        <v>1.366849905695237</v>
      </c>
      <c r="L340" s="1924">
        <v>3.750600672753484</v>
      </c>
      <c r="M340" s="1924">
        <v>36.980005685587038</v>
      </c>
      <c r="N340" s="1924">
        <v>11.007026586799325</v>
      </c>
      <c r="O340" s="1924">
        <v>7.3014892980092796</v>
      </c>
      <c r="P340" s="1924">
        <v>7.3046326626111373</v>
      </c>
      <c r="Q340" s="1924"/>
      <c r="R340" s="1923">
        <v>15610</v>
      </c>
      <c r="S340" s="1922">
        <v>16468.550000000003</v>
      </c>
      <c r="T340" s="1921">
        <v>9938.89</v>
      </c>
      <c r="U340" s="1921">
        <v>11396.654999999999</v>
      </c>
      <c r="V340" s="1921">
        <v>17108.73</v>
      </c>
      <c r="W340" s="1921">
        <v>19049.665000000001</v>
      </c>
      <c r="X340" s="1921">
        <v>1993.2550000000001</v>
      </c>
      <c r="Y340" s="1921">
        <v>104.84</v>
      </c>
      <c r="Z340" s="1921">
        <v>3310.01</v>
      </c>
      <c r="AA340" s="1921">
        <v>9312.1450000000004</v>
      </c>
      <c r="AB340" s="1921">
        <v>11420.42</v>
      </c>
      <c r="AC340" s="1921">
        <v>4162</v>
      </c>
      <c r="AD340" s="1921">
        <v>422.12</v>
      </c>
      <c r="AE340" s="1921">
        <v>1418.1849999999999</v>
      </c>
      <c r="AF340" s="1921">
        <v>2137.92</v>
      </c>
      <c r="AG340" s="1921">
        <v>11.574999999999999</v>
      </c>
      <c r="AH340" s="1921">
        <v>187.59</v>
      </c>
      <c r="AI340" s="1921">
        <v>2137</v>
      </c>
    </row>
    <row r="341" spans="1:35">
      <c r="A341" s="1938">
        <v>45208</v>
      </c>
      <c r="B341" s="1937">
        <v>1.0523001912045888</v>
      </c>
      <c r="C341" s="1936">
        <v>0.63549999999999995</v>
      </c>
      <c r="D341" s="1936">
        <v>1.3671498889463012</v>
      </c>
      <c r="E341" s="1936">
        <v>0.91189994557079046</v>
      </c>
      <c r="F341" s="1936">
        <v>1.2170500318674315</v>
      </c>
      <c r="G341" s="1936">
        <v>7.8303572319762038</v>
      </c>
      <c r="H341" s="1936">
        <v>149.17284654877352</v>
      </c>
      <c r="I341" s="1936">
        <v>4.7324963239452549</v>
      </c>
      <c r="J341" s="1936">
        <v>0.59729987253027406</v>
      </c>
      <c r="K341" s="1936">
        <v>1.3701997705854176</v>
      </c>
      <c r="L341" s="1936">
        <v>3.7504481893151667</v>
      </c>
      <c r="M341" s="1936">
        <v>37.124979148255022</v>
      </c>
      <c r="N341" s="1936">
        <v>11.043696154062729</v>
      </c>
      <c r="O341" s="1936">
        <v>7.2957910864869753</v>
      </c>
      <c r="P341" s="1936">
        <v>7.2976744186046512</v>
      </c>
      <c r="Q341" s="1936"/>
      <c r="R341" s="1935">
        <v>15690</v>
      </c>
      <c r="S341" s="1934">
        <v>16510.59</v>
      </c>
      <c r="T341" s="1933">
        <v>9970.994999999999</v>
      </c>
      <c r="U341" s="1933">
        <v>11476.43</v>
      </c>
      <c r="V341" s="1933">
        <v>17205.834999999999</v>
      </c>
      <c r="W341" s="1933">
        <v>19095.514999999999</v>
      </c>
      <c r="X341" s="1933">
        <v>2003.7400000000002</v>
      </c>
      <c r="Y341" s="1933">
        <v>105.18</v>
      </c>
      <c r="Z341" s="1933">
        <v>3315.375</v>
      </c>
      <c r="AA341" s="1933">
        <v>9371.6350000000002</v>
      </c>
      <c r="AB341" s="1933">
        <v>11450.885</v>
      </c>
      <c r="AC341" s="1933">
        <v>4183.5</v>
      </c>
      <c r="AD341" s="1933">
        <v>422.62649999999996</v>
      </c>
      <c r="AE341" s="1933">
        <v>1420.72</v>
      </c>
      <c r="AF341" s="1933">
        <v>2150.5550000000003</v>
      </c>
      <c r="AG341" s="1933">
        <v>11.585000000000001</v>
      </c>
      <c r="AH341" s="1933">
        <v>188.44499999999999</v>
      </c>
      <c r="AI341" s="1933">
        <v>2150</v>
      </c>
    </row>
    <row r="342" spans="1:35">
      <c r="A342" s="1944">
        <v>45209</v>
      </c>
      <c r="B342" s="1943">
        <v>1.0571000953288847</v>
      </c>
      <c r="C342" s="1942">
        <v>0.63975023832221167</v>
      </c>
      <c r="D342" s="1942">
        <v>1.3606495144984618</v>
      </c>
      <c r="E342" s="1942">
        <v>0.90569986539694092</v>
      </c>
      <c r="F342" s="1942">
        <v>1.2231503018748013</v>
      </c>
      <c r="G342" s="1942">
        <v>7.8201489978182099</v>
      </c>
      <c r="H342" s="1942">
        <v>148.96336268105654</v>
      </c>
      <c r="I342" s="1942">
        <v>4.7349938160709932</v>
      </c>
      <c r="J342" s="1942">
        <v>0.60035017476962182</v>
      </c>
      <c r="K342" s="1942">
        <v>1.3664998671277537</v>
      </c>
      <c r="L342" s="1942">
        <v>3.7508939213349226</v>
      </c>
      <c r="M342" s="1942">
        <v>36.90499923774231</v>
      </c>
      <c r="N342" s="1942">
        <v>10.961528413939638</v>
      </c>
      <c r="O342" s="1942">
        <v>7.2952090852823153</v>
      </c>
      <c r="P342" s="1942">
        <v>7.2982374768089056</v>
      </c>
      <c r="Q342" s="1942"/>
      <c r="R342" s="1941">
        <v>15735</v>
      </c>
      <c r="S342" s="1940">
        <v>16633.47</v>
      </c>
      <c r="T342" s="1939">
        <v>10066.470000000001</v>
      </c>
      <c r="U342" s="1939">
        <v>11564.330000000002</v>
      </c>
      <c r="V342" s="1939">
        <v>17373.305</v>
      </c>
      <c r="W342" s="1939">
        <v>19246.27</v>
      </c>
      <c r="X342" s="1939">
        <v>2012.1100000000001</v>
      </c>
      <c r="Y342" s="1939">
        <v>105.63</v>
      </c>
      <c r="Z342" s="1939">
        <v>3323.13</v>
      </c>
      <c r="AA342" s="1939">
        <v>9446.51</v>
      </c>
      <c r="AB342" s="1939">
        <v>11514.82</v>
      </c>
      <c r="AC342" s="1939">
        <v>4195</v>
      </c>
      <c r="AD342" s="1939">
        <v>426.36500000000001</v>
      </c>
      <c r="AE342" s="1939">
        <v>1435.4749999999999</v>
      </c>
      <c r="AF342" s="1939">
        <v>2156.895</v>
      </c>
      <c r="AG342" s="1939">
        <v>11.655000000000001</v>
      </c>
      <c r="AH342" s="1939">
        <v>189.01499999999999</v>
      </c>
      <c r="AI342" s="1939">
        <v>2156</v>
      </c>
    </row>
    <row r="343" spans="1:35">
      <c r="A343" s="1950">
        <v>45210</v>
      </c>
      <c r="B343" s="1949">
        <v>1.0600000000000003</v>
      </c>
      <c r="C343" s="1948">
        <v>0.64179990441293611</v>
      </c>
      <c r="D343" s="1948">
        <v>1.3596003117312041</v>
      </c>
      <c r="E343" s="1948">
        <v>0.90424978672266854</v>
      </c>
      <c r="F343" s="1948">
        <v>1.2276498327226382</v>
      </c>
      <c r="G343" s="1948">
        <v>7.8192540254770408</v>
      </c>
      <c r="H343" s="1948">
        <v>148.7652272835</v>
      </c>
      <c r="I343" s="1948">
        <v>4.7275038749414433</v>
      </c>
      <c r="J343" s="1948">
        <v>0.6024001911741278</v>
      </c>
      <c r="K343" s="1948">
        <v>1.3631499121781385</v>
      </c>
      <c r="L343" s="1948">
        <v>3.7510457750687225</v>
      </c>
      <c r="M343" s="1948">
        <v>36.439992151207683</v>
      </c>
      <c r="N343" s="1948">
        <v>10.904308913147709</v>
      </c>
      <c r="O343" s="1948">
        <v>7.2989051060940104</v>
      </c>
      <c r="P343" s="1948">
        <v>7.2988372093023255</v>
      </c>
      <c r="Q343" s="1948"/>
      <c r="R343" s="1947">
        <v>15692.5</v>
      </c>
      <c r="S343" s="1946">
        <v>16634.050000000003</v>
      </c>
      <c r="T343" s="1945">
        <v>10071.445</v>
      </c>
      <c r="U343" s="1945">
        <v>11541.995000000001</v>
      </c>
      <c r="V343" s="1945">
        <v>17354.165000000001</v>
      </c>
      <c r="W343" s="1945">
        <v>19264.895</v>
      </c>
      <c r="X343" s="1945">
        <v>2006.905</v>
      </c>
      <c r="Y343" s="1945">
        <v>105.48500000000001</v>
      </c>
      <c r="Z343" s="1945">
        <v>3319.4049999999997</v>
      </c>
      <c r="AA343" s="1945">
        <v>9453.1650000000009</v>
      </c>
      <c r="AB343" s="1945">
        <v>11511.94</v>
      </c>
      <c r="AC343" s="1945">
        <v>4183.5</v>
      </c>
      <c r="AD343" s="1945">
        <v>430.6395</v>
      </c>
      <c r="AE343" s="1945">
        <v>1439.1100000000001</v>
      </c>
      <c r="AF343" s="1945">
        <v>2149.98</v>
      </c>
      <c r="AG343" s="1945">
        <v>11.715</v>
      </c>
      <c r="AH343" s="1945">
        <v>188.67500000000001</v>
      </c>
      <c r="AI343" s="1945">
        <v>2150</v>
      </c>
    </row>
    <row r="344" spans="1:35">
      <c r="A344" s="1956">
        <v>45211</v>
      </c>
      <c r="B344" s="1955">
        <v>1.0619999999999998</v>
      </c>
      <c r="C344" s="1954">
        <v>0.64100000000000001</v>
      </c>
      <c r="D344" s="1954">
        <v>1.359099927627279</v>
      </c>
      <c r="E344" s="1954">
        <v>0.90145007638482322</v>
      </c>
      <c r="F344" s="1954">
        <v>1.2295</v>
      </c>
      <c r="G344" s="1954">
        <v>7.8209505769757994</v>
      </c>
      <c r="H344" s="1954">
        <v>149.17993819824102</v>
      </c>
      <c r="I344" s="1954">
        <v>4.7180023815537826</v>
      </c>
      <c r="J344" s="1954">
        <v>0.59994996813256851</v>
      </c>
      <c r="K344" s="1954">
        <v>1.3624498741752793</v>
      </c>
      <c r="L344" s="1954">
        <v>3.7508964857757592</v>
      </c>
      <c r="M344" s="1954">
        <v>36.169992046751275</v>
      </c>
      <c r="N344" s="1954">
        <v>10.90670216500471</v>
      </c>
      <c r="O344" s="1954">
        <v>7.2989474908414262</v>
      </c>
      <c r="P344" s="1954">
        <v>7.2959776796093934</v>
      </c>
      <c r="Q344" s="1954"/>
      <c r="R344" s="1953">
        <v>15690</v>
      </c>
      <c r="S344" s="1952">
        <v>16662.78</v>
      </c>
      <c r="T344" s="1951">
        <v>10057.290000000001</v>
      </c>
      <c r="U344" s="1951">
        <v>11544.405000000001</v>
      </c>
      <c r="V344" s="1951">
        <v>17405.29</v>
      </c>
      <c r="W344" s="1951">
        <v>19290.855</v>
      </c>
      <c r="X344" s="1951">
        <v>2006.15</v>
      </c>
      <c r="Y344" s="1951">
        <v>105.175</v>
      </c>
      <c r="Z344" s="1951">
        <v>3325.5600000000004</v>
      </c>
      <c r="AA344" s="1951">
        <v>9413.2150000000001</v>
      </c>
      <c r="AB344" s="1951">
        <v>11516.02</v>
      </c>
      <c r="AC344" s="1951">
        <v>4183</v>
      </c>
      <c r="AD344" s="1951">
        <v>433.78499999999997</v>
      </c>
      <c r="AE344" s="1951">
        <v>1438.5650000000001</v>
      </c>
      <c r="AF344" s="1951">
        <v>2149.625</v>
      </c>
      <c r="AG344" s="1951">
        <v>11.725000000000001</v>
      </c>
      <c r="AH344" s="1951">
        <v>188.66500000000002</v>
      </c>
      <c r="AI344" s="1951">
        <v>2150.5</v>
      </c>
    </row>
    <row r="345" spans="1:35">
      <c r="A345" s="1962">
        <v>45212</v>
      </c>
      <c r="B345" s="1961">
        <v>1.0552000637653438</v>
      </c>
      <c r="C345" s="1960">
        <v>0.63265008767734732</v>
      </c>
      <c r="D345" s="1960">
        <v>1.3669001415492319</v>
      </c>
      <c r="E345" s="1960">
        <v>0.90650000823696797</v>
      </c>
      <c r="F345" s="1960">
        <v>1.2210999521759924</v>
      </c>
      <c r="G345" s="1960">
        <v>7.8224565481430863</v>
      </c>
      <c r="H345" s="1960">
        <v>149.65645576868022</v>
      </c>
      <c r="I345" s="1960">
        <v>4.7309975745435677</v>
      </c>
      <c r="J345" s="1960">
        <v>0.59219990435198466</v>
      </c>
      <c r="K345" s="1960">
        <v>1.3679499766011425</v>
      </c>
      <c r="L345" s="1960">
        <v>3.7508969146137288</v>
      </c>
      <c r="M345" s="1960">
        <v>36.39002589591513</v>
      </c>
      <c r="N345" s="1960">
        <v>10.948599354219391</v>
      </c>
      <c r="O345" s="1960">
        <v>7.3069987839141195</v>
      </c>
      <c r="P345" s="1960">
        <v>7.3060796645702304</v>
      </c>
      <c r="Q345" s="1960"/>
      <c r="R345" s="1959">
        <v>15682.5</v>
      </c>
      <c r="S345" s="1958">
        <v>16548.175000000003</v>
      </c>
      <c r="T345" s="1957">
        <v>9921.5349999999999</v>
      </c>
      <c r="U345" s="1957">
        <v>11473.04</v>
      </c>
      <c r="V345" s="1957">
        <v>17300.055</v>
      </c>
      <c r="W345" s="1957">
        <v>19149.900000000001</v>
      </c>
      <c r="X345" s="1957">
        <v>2004.8050000000001</v>
      </c>
      <c r="Y345" s="1957">
        <v>104.78999999999999</v>
      </c>
      <c r="Z345" s="1957">
        <v>3314.84</v>
      </c>
      <c r="AA345" s="1957">
        <v>9287.1749999999993</v>
      </c>
      <c r="AB345" s="1957">
        <v>11464.235000000001</v>
      </c>
      <c r="AC345" s="1957">
        <v>4181</v>
      </c>
      <c r="AD345" s="1957">
        <v>430.95600000000002</v>
      </c>
      <c r="AE345" s="1957">
        <v>1432.375</v>
      </c>
      <c r="AF345" s="1957">
        <v>2146.23</v>
      </c>
      <c r="AG345" s="1957">
        <v>11.625</v>
      </c>
      <c r="AH345" s="1957">
        <v>188.405</v>
      </c>
      <c r="AI345" s="1957">
        <v>2146.5</v>
      </c>
    </row>
    <row r="346" spans="1:35">
      <c r="A346" s="1968">
        <v>45215</v>
      </c>
      <c r="B346" s="1967">
        <v>1.0534001272264633</v>
      </c>
      <c r="C346" s="1966">
        <v>0.63265012722646308</v>
      </c>
      <c r="D346" s="1966">
        <v>1.3646502627950068</v>
      </c>
      <c r="E346" s="1966">
        <v>0.90334989379030273</v>
      </c>
      <c r="F346" s="1966">
        <v>1.2174999999999998</v>
      </c>
      <c r="G346" s="1966">
        <v>7.8188921743931283</v>
      </c>
      <c r="H346" s="1966">
        <v>149.57895237642134</v>
      </c>
      <c r="I346" s="1966">
        <v>4.7375011489645757</v>
      </c>
      <c r="J346" s="1966">
        <v>0.59265012722646315</v>
      </c>
      <c r="K346" s="1966">
        <v>1.3697496198770538</v>
      </c>
      <c r="L346" s="1966">
        <v>3.7513423219186253</v>
      </c>
      <c r="M346" s="1966">
        <v>36.304975652340595</v>
      </c>
      <c r="N346" s="1966">
        <v>10.985785567529037</v>
      </c>
      <c r="O346" s="1966">
        <v>7.311406864443633</v>
      </c>
      <c r="P346" s="1966">
        <v>7.3150302466263382</v>
      </c>
      <c r="Q346" s="1966"/>
      <c r="R346" s="1965">
        <v>15720</v>
      </c>
      <c r="S346" s="1964">
        <v>16559.45</v>
      </c>
      <c r="T346" s="1963">
        <v>9945.26</v>
      </c>
      <c r="U346" s="1963">
        <v>11519.435000000001</v>
      </c>
      <c r="V346" s="1963">
        <v>17401.895</v>
      </c>
      <c r="W346" s="1963">
        <v>19139.099999999999</v>
      </c>
      <c r="X346" s="1963">
        <v>2010.5149999999999</v>
      </c>
      <c r="Y346" s="1963">
        <v>105.095</v>
      </c>
      <c r="Z346" s="1963">
        <v>3318.2049999999999</v>
      </c>
      <c r="AA346" s="1963">
        <v>9316.4600000000009</v>
      </c>
      <c r="AB346" s="1963">
        <v>11476.55</v>
      </c>
      <c r="AC346" s="1963">
        <v>4190.5</v>
      </c>
      <c r="AD346" s="1963">
        <v>432.99850000000004</v>
      </c>
      <c r="AE346" s="1963">
        <v>1430.94</v>
      </c>
      <c r="AF346" s="1963">
        <v>2150.0650000000001</v>
      </c>
      <c r="AG346" s="1963">
        <v>11.594999999999999</v>
      </c>
      <c r="AH346" s="1963">
        <v>188.785</v>
      </c>
      <c r="AI346" s="1963">
        <v>2149</v>
      </c>
    </row>
    <row r="347" spans="1:35">
      <c r="A347" s="1974">
        <v>45216</v>
      </c>
      <c r="B347" s="1973">
        <v>1.0549000954502068</v>
      </c>
      <c r="C347" s="1972">
        <v>0.63580019090041362</v>
      </c>
      <c r="D347" s="1972">
        <v>1.3625998213836696</v>
      </c>
      <c r="E347" s="1972">
        <v>0.90189981479919157</v>
      </c>
      <c r="F347" s="1972">
        <v>1.2176500159083681</v>
      </c>
      <c r="G347" s="1972">
        <v>7.8212485131415885</v>
      </c>
      <c r="H347" s="1972">
        <v>149.60255128754343</v>
      </c>
      <c r="I347" s="1972">
        <v>4.7344961444661529</v>
      </c>
      <c r="J347" s="1972">
        <v>0.58965001590836774</v>
      </c>
      <c r="K347" s="1972">
        <v>1.3693497440365974</v>
      </c>
      <c r="L347" s="1972">
        <v>3.7510442773600667</v>
      </c>
      <c r="M347" s="1972">
        <v>36.389992346870841</v>
      </c>
      <c r="N347" s="1972">
        <v>10.927802791926707</v>
      </c>
      <c r="O347" s="1972">
        <v>7.3145415786191039</v>
      </c>
      <c r="P347" s="1972">
        <v>7.3178114086146682</v>
      </c>
      <c r="Q347" s="1972"/>
      <c r="R347" s="1971">
        <v>15715</v>
      </c>
      <c r="S347" s="1970">
        <v>16577.755000000001</v>
      </c>
      <c r="T347" s="1969">
        <v>9991.6</v>
      </c>
      <c r="U347" s="1969">
        <v>11533.1</v>
      </c>
      <c r="V347" s="1969">
        <v>17424.330000000002</v>
      </c>
      <c r="W347" s="1969">
        <v>19135.370000000003</v>
      </c>
      <c r="X347" s="1969">
        <v>2009.27</v>
      </c>
      <c r="Y347" s="1969">
        <v>105.045</v>
      </c>
      <c r="Z347" s="1969">
        <v>3319.2550000000001</v>
      </c>
      <c r="AA347" s="1969">
        <v>9266.3499999999985</v>
      </c>
      <c r="AB347" s="1969">
        <v>11476.25</v>
      </c>
      <c r="AC347" s="1969">
        <v>4189.5</v>
      </c>
      <c r="AD347" s="1969">
        <v>431.84950000000003</v>
      </c>
      <c r="AE347" s="1969">
        <v>1438.075</v>
      </c>
      <c r="AF347" s="1969">
        <v>2148.46</v>
      </c>
      <c r="AG347" s="1969">
        <v>11.625</v>
      </c>
      <c r="AH347" s="1969">
        <v>188.82499999999999</v>
      </c>
      <c r="AI347" s="1969">
        <v>2147.5</v>
      </c>
    </row>
    <row r="348" spans="1:35">
      <c r="A348" s="1980">
        <v>45217</v>
      </c>
      <c r="B348" s="1979">
        <v>1.0578998728544182</v>
      </c>
      <c r="C348" s="1978">
        <v>0.63819993642720918</v>
      </c>
      <c r="D348" s="1978">
        <v>1.3630004726743534</v>
      </c>
      <c r="E348" s="1978">
        <v>0.89930011239822127</v>
      </c>
      <c r="F348" s="1978">
        <v>1.2190000000000001</v>
      </c>
      <c r="G348" s="1978">
        <v>7.8281100314766654</v>
      </c>
      <c r="H348" s="1978">
        <v>149.7596039415433</v>
      </c>
      <c r="I348" s="1978">
        <v>4.7425014660148364</v>
      </c>
      <c r="J348" s="1978">
        <v>0.59050031786395418</v>
      </c>
      <c r="K348" s="1978">
        <v>1.3684502192521719</v>
      </c>
      <c r="L348" s="1978">
        <v>3.7510432812686298</v>
      </c>
      <c r="M348" s="1978">
        <v>36.319975986792734</v>
      </c>
      <c r="N348" s="1978">
        <v>10.927746959786864</v>
      </c>
      <c r="O348" s="1978">
        <v>7.3109403830691084</v>
      </c>
      <c r="P348" s="1978">
        <v>7.3145780051150897</v>
      </c>
      <c r="Q348" s="1978"/>
      <c r="R348" s="1977">
        <v>15730</v>
      </c>
      <c r="S348" s="1976">
        <v>16640.764999999999</v>
      </c>
      <c r="T348" s="1975">
        <v>10038.885</v>
      </c>
      <c r="U348" s="1975">
        <v>11540.715</v>
      </c>
      <c r="V348" s="1975">
        <v>17491.38</v>
      </c>
      <c r="W348" s="1975">
        <v>19174.870000000003</v>
      </c>
      <c r="X348" s="1975">
        <v>2009.4250000000002</v>
      </c>
      <c r="Y348" s="1975">
        <v>105.035</v>
      </c>
      <c r="Z348" s="1975">
        <v>3316.8150000000001</v>
      </c>
      <c r="AA348" s="1975">
        <v>9288.57</v>
      </c>
      <c r="AB348" s="1975">
        <v>11494.755000000001</v>
      </c>
      <c r="AC348" s="1975">
        <v>4193.5</v>
      </c>
      <c r="AD348" s="1975">
        <v>433.09500000000003</v>
      </c>
      <c r="AE348" s="1975">
        <v>1439.4549999999999</v>
      </c>
      <c r="AF348" s="1975">
        <v>2151.5699999999997</v>
      </c>
      <c r="AG348" s="1975">
        <v>11.655000000000001</v>
      </c>
      <c r="AH348" s="1975">
        <v>188.94</v>
      </c>
      <c r="AI348" s="1975">
        <v>2150.5</v>
      </c>
    </row>
    <row r="349" spans="1:35">
      <c r="A349" s="1986">
        <v>45218</v>
      </c>
      <c r="B349" s="1985">
        <v>1.0538001896933291</v>
      </c>
      <c r="C349" s="1984">
        <v>0.62980018969332918</v>
      </c>
      <c r="D349" s="1984">
        <v>1.3732500613251883</v>
      </c>
      <c r="E349" s="1984">
        <v>0.89969982509471313</v>
      </c>
      <c r="F349" s="1984">
        <v>1.2119500474233322</v>
      </c>
      <c r="G349" s="1984">
        <v>7.8264376718141841</v>
      </c>
      <c r="H349" s="1984">
        <v>149.80581604622526</v>
      </c>
      <c r="I349" s="1984">
        <v>4.7654919922257539</v>
      </c>
      <c r="J349" s="1984">
        <v>0.58190009484666461</v>
      </c>
      <c r="K349" s="1984">
        <v>1.374250038777052</v>
      </c>
      <c r="L349" s="1984">
        <v>3.7507411360132812</v>
      </c>
      <c r="M349" s="1984">
        <v>36.485025913250304</v>
      </c>
      <c r="N349" s="1984">
        <v>11.051519016089864</v>
      </c>
      <c r="O349" s="1984">
        <v>7.316796709639064</v>
      </c>
      <c r="P349" s="1984">
        <v>7.3319425127491886</v>
      </c>
      <c r="Q349" s="1984"/>
      <c r="R349" s="1983">
        <v>15815</v>
      </c>
      <c r="S349" s="1982">
        <v>16665.849999999999</v>
      </c>
      <c r="T349" s="1981">
        <v>9960.2900000000009</v>
      </c>
      <c r="U349" s="1981">
        <v>11516.475</v>
      </c>
      <c r="V349" s="1981">
        <v>17578.084999999999</v>
      </c>
      <c r="W349" s="1981">
        <v>19166.989999999998</v>
      </c>
      <c r="X349" s="1981">
        <v>2020.7150000000001</v>
      </c>
      <c r="Y349" s="1981">
        <v>105.57</v>
      </c>
      <c r="Z349" s="1981">
        <v>3318.65</v>
      </c>
      <c r="AA349" s="1981">
        <v>9202.75</v>
      </c>
      <c r="AB349" s="1981">
        <v>11508.095000000001</v>
      </c>
      <c r="AC349" s="1981">
        <v>4216.5</v>
      </c>
      <c r="AD349" s="1981">
        <v>433.46550000000002</v>
      </c>
      <c r="AE349" s="1981">
        <v>1431.0250000000001</v>
      </c>
      <c r="AF349" s="1981">
        <v>2161.4650000000001</v>
      </c>
      <c r="AG349" s="1981">
        <v>11.645</v>
      </c>
      <c r="AH349" s="1981">
        <v>189.92000000000002</v>
      </c>
      <c r="AI349" s="1981">
        <v>2157</v>
      </c>
    </row>
    <row r="350" spans="1:35">
      <c r="A350" s="1992">
        <v>45219</v>
      </c>
      <c r="B350" s="1991">
        <v>1.0569999999999999</v>
      </c>
      <c r="C350" s="1990">
        <v>0.6301502362204725</v>
      </c>
      <c r="D350" s="1990">
        <v>1.3718997765639762</v>
      </c>
      <c r="E350" s="1990">
        <v>0.89089996890969547</v>
      </c>
      <c r="F350" s="1990">
        <v>1.2103499212598425</v>
      </c>
      <c r="G350" s="1990">
        <v>7.8217382735514391</v>
      </c>
      <c r="H350" s="1990">
        <v>149.96929762410844</v>
      </c>
      <c r="I350" s="1990">
        <v>4.7677540649796075</v>
      </c>
      <c r="J350" s="1990">
        <v>0.58210015748031496</v>
      </c>
      <c r="K350" s="1990">
        <v>1.3732004046508028</v>
      </c>
      <c r="L350" s="1990">
        <v>3.751181474480151</v>
      </c>
      <c r="M350" s="1990">
        <v>36.534987284673718</v>
      </c>
      <c r="N350" s="1990">
        <v>11.010160557616951</v>
      </c>
      <c r="O350" s="1990">
        <v>7.3178601885357351</v>
      </c>
      <c r="P350" s="1990">
        <v>7.3359519408502774</v>
      </c>
      <c r="Q350" s="1990"/>
      <c r="R350" s="1989">
        <v>15875</v>
      </c>
      <c r="S350" s="1988">
        <v>16779.875</v>
      </c>
      <c r="T350" s="1987">
        <v>10003.635</v>
      </c>
      <c r="U350" s="1987">
        <v>11571.545000000002</v>
      </c>
      <c r="V350" s="1987">
        <v>17819.060000000001</v>
      </c>
      <c r="W350" s="1987">
        <v>19214.305</v>
      </c>
      <c r="X350" s="1987">
        <v>2029.6</v>
      </c>
      <c r="Y350" s="1987">
        <v>105.855</v>
      </c>
      <c r="Z350" s="1987">
        <v>3329.66</v>
      </c>
      <c r="AA350" s="1987">
        <v>9240.84</v>
      </c>
      <c r="AB350" s="1987">
        <v>11560.584999999999</v>
      </c>
      <c r="AC350" s="1987">
        <v>4232</v>
      </c>
      <c r="AD350" s="1987">
        <v>434.51499999999999</v>
      </c>
      <c r="AE350" s="1987">
        <v>1441.85</v>
      </c>
      <c r="AF350" s="1987">
        <v>2169.3500000000004</v>
      </c>
      <c r="AG350" s="1987">
        <v>11.73</v>
      </c>
      <c r="AH350" s="1987">
        <v>191.13</v>
      </c>
      <c r="AI350" s="1987">
        <v>2164</v>
      </c>
    </row>
    <row r="351" spans="1:35">
      <c r="A351" s="1998">
        <v>45222</v>
      </c>
      <c r="B351" s="1997">
        <v>1.0598001255098839</v>
      </c>
      <c r="C351" s="1996">
        <v>0.63044995293379358</v>
      </c>
      <c r="D351" s="1996">
        <v>1.3732996421750792</v>
      </c>
      <c r="E351" s="1996">
        <v>0.89314990177312825</v>
      </c>
      <c r="F351" s="1996">
        <v>1.2168999058675871</v>
      </c>
      <c r="G351" s="1996">
        <v>7.8247952957929758</v>
      </c>
      <c r="H351" s="1996">
        <v>149.91297803283314</v>
      </c>
      <c r="I351" s="1996">
        <v>4.7819967649874409</v>
      </c>
      <c r="J351" s="1996">
        <v>0.58199999999999996</v>
      </c>
      <c r="K351" s="1996">
        <v>1.372399567653227</v>
      </c>
      <c r="L351" s="1996">
        <v>3.7511770244821094</v>
      </c>
      <c r="M351" s="1996">
        <v>36.510022213032023</v>
      </c>
      <c r="N351" s="1996">
        <v>11.015903411231589</v>
      </c>
      <c r="O351" s="1996">
        <v>7.3178068163292487</v>
      </c>
      <c r="P351" s="1996">
        <v>7.3247529303608365</v>
      </c>
      <c r="Q351" s="1996"/>
      <c r="R351" s="1995">
        <v>15935</v>
      </c>
      <c r="S351" s="1994">
        <v>16887.915000000001</v>
      </c>
      <c r="T351" s="1993">
        <v>10046.220000000001</v>
      </c>
      <c r="U351" s="1993">
        <v>11603.44</v>
      </c>
      <c r="V351" s="1993">
        <v>17841.349999999999</v>
      </c>
      <c r="W351" s="1993">
        <v>19391.3</v>
      </c>
      <c r="X351" s="1993">
        <v>2036.4749999999999</v>
      </c>
      <c r="Y351" s="1993">
        <v>106.295</v>
      </c>
      <c r="Z351" s="1993">
        <v>3332.29</v>
      </c>
      <c r="AA351" s="1993">
        <v>9274.17</v>
      </c>
      <c r="AB351" s="1993">
        <v>11611.05</v>
      </c>
      <c r="AC351" s="1993">
        <v>4248</v>
      </c>
      <c r="AD351" s="1993">
        <v>436.45550000000003</v>
      </c>
      <c r="AE351" s="1993">
        <v>1446.5450000000001</v>
      </c>
      <c r="AF351" s="1993">
        <v>2177.5650000000001</v>
      </c>
      <c r="AG351" s="1993">
        <v>11.795000000000002</v>
      </c>
      <c r="AH351" s="1993">
        <v>191.66500000000002</v>
      </c>
      <c r="AI351" s="1993">
        <v>2175.5</v>
      </c>
    </row>
    <row r="352" spans="1:35">
      <c r="A352" s="2004">
        <v>45223</v>
      </c>
      <c r="B352" s="2003">
        <v>1.0663</v>
      </c>
      <c r="C352" s="2002">
        <v>0.63650000000000007</v>
      </c>
      <c r="D352" s="2002">
        <v>1.3678999197815158</v>
      </c>
      <c r="E352" s="2002">
        <v>0.89119994872086095</v>
      </c>
      <c r="F352" s="2002">
        <v>1.2262498422712933</v>
      </c>
      <c r="G352" s="2002">
        <v>7.8216563652738191</v>
      </c>
      <c r="H352" s="2002">
        <v>149.47894563115952</v>
      </c>
      <c r="I352" s="2002">
        <v>4.7834976874731208</v>
      </c>
      <c r="J352" s="2002">
        <v>0.58590031545741328</v>
      </c>
      <c r="K352" s="2002">
        <v>1.3650495637870006</v>
      </c>
      <c r="L352" s="2002">
        <v>3.7510353804283518</v>
      </c>
      <c r="M352" s="2002">
        <v>36.165003684951479</v>
      </c>
      <c r="N352" s="2002">
        <v>10.969503396393559</v>
      </c>
      <c r="O352" s="2002">
        <v>7.3067401796950993</v>
      </c>
      <c r="P352" s="2002">
        <v>7.3142593447161977</v>
      </c>
      <c r="Q352" s="2002"/>
      <c r="R352" s="2001">
        <v>15850</v>
      </c>
      <c r="S352" s="2000">
        <v>16900.855</v>
      </c>
      <c r="T352" s="1999">
        <v>10088.525000000001</v>
      </c>
      <c r="U352" s="1999">
        <v>11587.105</v>
      </c>
      <c r="V352" s="1999">
        <v>17785.010000000002</v>
      </c>
      <c r="W352" s="1999">
        <v>19436.059999999998</v>
      </c>
      <c r="X352" s="1999">
        <v>2026.4250000000002</v>
      </c>
      <c r="Y352" s="1999">
        <v>106.035</v>
      </c>
      <c r="Z352" s="1999">
        <v>3313.4750000000004</v>
      </c>
      <c r="AA352" s="1999">
        <v>9286.52</v>
      </c>
      <c r="AB352" s="1999">
        <v>11611.3</v>
      </c>
      <c r="AC352" s="1999">
        <v>4225.5</v>
      </c>
      <c r="AD352" s="1999">
        <v>438.26900000000001</v>
      </c>
      <c r="AE352" s="1999">
        <v>1444.915</v>
      </c>
      <c r="AF352" s="1999">
        <v>2169.23</v>
      </c>
      <c r="AG352" s="1999">
        <v>11.815000000000001</v>
      </c>
      <c r="AH352" s="1999">
        <v>190.91</v>
      </c>
      <c r="AI352" s="1999">
        <v>2167</v>
      </c>
    </row>
    <row r="353" spans="1:35">
      <c r="A353" s="2010">
        <v>45224</v>
      </c>
      <c r="B353" s="2009">
        <v>1.0587000630119723</v>
      </c>
      <c r="C353" s="2008">
        <v>0.63575015752993069</v>
      </c>
      <c r="D353" s="2008">
        <v>1.3757000401787631</v>
      </c>
      <c r="E353" s="2008">
        <v>0.89469995980333505</v>
      </c>
      <c r="F353" s="2008">
        <v>1.2142000630119725</v>
      </c>
      <c r="G353" s="2008">
        <v>7.8223580441640372</v>
      </c>
      <c r="H353" s="2008">
        <v>149.90790157275774</v>
      </c>
      <c r="I353" s="2008">
        <v>4.7809989184759845</v>
      </c>
      <c r="J353" s="2008">
        <v>0.58420006301197236</v>
      </c>
      <c r="K353" s="2008">
        <v>1.3686497282967254</v>
      </c>
      <c r="L353" s="2008">
        <v>3.7513296300673677</v>
      </c>
      <c r="M353" s="2008">
        <v>36.139968938300171</v>
      </c>
      <c r="N353" s="2008">
        <v>11.143019638957737</v>
      </c>
      <c r="O353" s="2008">
        <v>7.3155553506810795</v>
      </c>
      <c r="P353" s="2008">
        <v>7.3217993079584778</v>
      </c>
      <c r="Q353" s="2008"/>
      <c r="R353" s="2007">
        <v>15870</v>
      </c>
      <c r="S353" s="2006">
        <v>16801.57</v>
      </c>
      <c r="T353" s="2005">
        <v>10089.355</v>
      </c>
      <c r="U353" s="2005">
        <v>11535.945</v>
      </c>
      <c r="V353" s="2005">
        <v>17737.79</v>
      </c>
      <c r="W353" s="2005">
        <v>19269.355000000003</v>
      </c>
      <c r="X353" s="2005">
        <v>2028.8000000000002</v>
      </c>
      <c r="Y353" s="2005">
        <v>105.86500000000001</v>
      </c>
      <c r="Z353" s="2005">
        <v>3319.3900000000003</v>
      </c>
      <c r="AA353" s="2005">
        <v>9271.255000000001</v>
      </c>
      <c r="AB353" s="2005">
        <v>11595.369999999999</v>
      </c>
      <c r="AC353" s="2005">
        <v>4230.5</v>
      </c>
      <c r="AD353" s="2005">
        <v>439.12599999999998</v>
      </c>
      <c r="AE353" s="2005">
        <v>1424.21</v>
      </c>
      <c r="AF353" s="2005">
        <v>2169.35</v>
      </c>
      <c r="AG353" s="2005">
        <v>11.754999999999999</v>
      </c>
      <c r="AH353" s="2005">
        <v>190.87</v>
      </c>
      <c r="AI353" s="2005">
        <v>2167.5</v>
      </c>
    </row>
    <row r="354" spans="1:35">
      <c r="A354" s="2016">
        <v>45225</v>
      </c>
      <c r="B354" s="2015">
        <v>1.0548002512562813</v>
      </c>
      <c r="C354" s="2014">
        <v>0.63075000000000003</v>
      </c>
      <c r="D354" s="2014">
        <v>1.3802999464613557</v>
      </c>
      <c r="E354" s="2014">
        <v>0.89809980246881527</v>
      </c>
      <c r="F354" s="2014">
        <v>1.2089999999999999</v>
      </c>
      <c r="G354" s="2014">
        <v>7.8212510071334522</v>
      </c>
      <c r="H354" s="2014">
        <v>150.47970130913558</v>
      </c>
      <c r="I354" s="2014">
        <v>4.7874947749546664</v>
      </c>
      <c r="J354" s="2014">
        <v>0.58000031407035169</v>
      </c>
      <c r="K354" s="2014">
        <v>1.3716499259894921</v>
      </c>
      <c r="L354" s="2014">
        <v>3.7516201248969012</v>
      </c>
      <c r="M354" s="2014">
        <v>36.260024461850669</v>
      </c>
      <c r="N354" s="2014">
        <v>11.189636934236281</v>
      </c>
      <c r="O354" s="2014">
        <v>7.3191532401735087</v>
      </c>
      <c r="P354" s="2014">
        <v>7.3262770363552692</v>
      </c>
      <c r="Q354" s="2014"/>
      <c r="R354" s="2013">
        <v>15920</v>
      </c>
      <c r="S354" s="2012">
        <v>16792.419999999998</v>
      </c>
      <c r="T354" s="2011">
        <v>10041.540000000001</v>
      </c>
      <c r="U354" s="2011">
        <v>11533.725</v>
      </c>
      <c r="V354" s="2011">
        <v>17726.315000000002</v>
      </c>
      <c r="W354" s="2011">
        <v>19247.28</v>
      </c>
      <c r="X354" s="2011">
        <v>2035.48</v>
      </c>
      <c r="Y354" s="2011">
        <v>105.795</v>
      </c>
      <c r="Z354" s="2011">
        <v>3325.33</v>
      </c>
      <c r="AA354" s="2011">
        <v>9233.6049999999996</v>
      </c>
      <c r="AB354" s="2011">
        <v>11606.46</v>
      </c>
      <c r="AC354" s="2011">
        <v>4243.5</v>
      </c>
      <c r="AD354" s="2011">
        <v>439.05100000000004</v>
      </c>
      <c r="AE354" s="2011">
        <v>1422.7450000000001</v>
      </c>
      <c r="AF354" s="2011">
        <v>2175.1149999999998</v>
      </c>
      <c r="AG354" s="2011">
        <v>11.725000000000001</v>
      </c>
      <c r="AH354" s="2011">
        <v>191.26</v>
      </c>
      <c r="AI354" s="2011">
        <v>2173</v>
      </c>
    </row>
    <row r="355" spans="1:35" s="31" customFormat="1">
      <c r="A355" s="2016">
        <v>45226</v>
      </c>
      <c r="B355" s="2015">
        <v>1.0558999372647428</v>
      </c>
      <c r="C355" s="2014">
        <v>0.63430018820577161</v>
      </c>
      <c r="D355" s="2014">
        <v>1.3812998516879111</v>
      </c>
      <c r="E355" s="2014">
        <v>0.89989996093282465</v>
      </c>
      <c r="F355" s="2014">
        <v>1.2118999372647425</v>
      </c>
      <c r="G355" s="2014">
        <v>7.8193983870651254</v>
      </c>
      <c r="H355" s="2014">
        <v>150.15778813998398</v>
      </c>
      <c r="I355" s="2014">
        <v>4.7779984263179589</v>
      </c>
      <c r="J355" s="2014">
        <v>0.58195012547051439</v>
      </c>
      <c r="K355" s="2014">
        <v>1.3695493503876881</v>
      </c>
      <c r="L355" s="2014">
        <v>3.7514709343374912</v>
      </c>
      <c r="M355" s="2014">
        <v>36.264980064498879</v>
      </c>
      <c r="N355" s="2014">
        <v>11.165201555002977</v>
      </c>
      <c r="O355" s="2014">
        <v>7.3174986457577784</v>
      </c>
      <c r="P355" s="2014">
        <v>7.3220027560863574</v>
      </c>
      <c r="Q355" s="2014">
        <v>1356.26</v>
      </c>
      <c r="R355" s="2013">
        <v>15940</v>
      </c>
      <c r="S355" s="2012">
        <v>16831.045000000002</v>
      </c>
      <c r="T355" s="2011">
        <v>10110.744999999999</v>
      </c>
      <c r="U355" s="2011">
        <v>11539.855</v>
      </c>
      <c r="V355" s="2011">
        <v>17713.080000000002</v>
      </c>
      <c r="W355" s="2011">
        <v>19317.684999999998</v>
      </c>
      <c r="X355" s="2011">
        <v>2038.52</v>
      </c>
      <c r="Y355" s="2011">
        <v>106.155</v>
      </c>
      <c r="Z355" s="2011">
        <v>3336.125</v>
      </c>
      <c r="AA355" s="2011">
        <v>9276.2849999999999</v>
      </c>
      <c r="AB355" s="2011">
        <v>11638.865</v>
      </c>
      <c r="AC355" s="2011">
        <v>4249</v>
      </c>
      <c r="AD355" s="2011">
        <v>439.54250000000002</v>
      </c>
      <c r="AE355" s="2011">
        <v>1427.65</v>
      </c>
      <c r="AF355" s="2011">
        <v>2178.34</v>
      </c>
      <c r="AG355" s="2011">
        <v>11.76</v>
      </c>
      <c r="AH355" s="2011">
        <v>191.51500000000001</v>
      </c>
      <c r="AI355" s="2011">
        <v>2177</v>
      </c>
    </row>
    <row r="356" spans="1:35" s="31" customFormat="1">
      <c r="A356" s="2016">
        <v>45229</v>
      </c>
      <c r="B356" s="2015">
        <v>1.055700125865324</v>
      </c>
      <c r="C356" s="2014">
        <v>0.63560006293266214</v>
      </c>
      <c r="D356" s="2014">
        <v>1.3856001353336318</v>
      </c>
      <c r="E356" s="2014">
        <v>0.90350005344808371</v>
      </c>
      <c r="F356" s="2014">
        <v>1.2098499056010068</v>
      </c>
      <c r="G356" s="2014">
        <v>7.8219605603851416</v>
      </c>
      <c r="H356" s="2014">
        <v>149.52479533264327</v>
      </c>
      <c r="I356" s="2014">
        <v>4.7645034002182856</v>
      </c>
      <c r="J356" s="2014">
        <v>0.58265009439899318</v>
      </c>
      <c r="K356" s="2014">
        <v>1.367549908256249</v>
      </c>
      <c r="L356" s="2014">
        <v>3.7516231849840631</v>
      </c>
      <c r="M356" s="2014">
        <v>36.040000090723723</v>
      </c>
      <c r="N356" s="2014">
        <v>11.170317464780812</v>
      </c>
      <c r="O356" s="2014">
        <v>7.3182470288331567</v>
      </c>
      <c r="P356" s="2014">
        <v>7.331026528258362</v>
      </c>
      <c r="Q356" s="2014">
        <v>1346.4949999999999</v>
      </c>
      <c r="R356" s="2013">
        <v>15890</v>
      </c>
      <c r="S356" s="2012">
        <v>16775.074999999997</v>
      </c>
      <c r="T356" s="2011">
        <v>10099.685000000001</v>
      </c>
      <c r="U356" s="2011">
        <v>11467.955</v>
      </c>
      <c r="V356" s="2011">
        <v>17587.16</v>
      </c>
      <c r="W356" s="2011">
        <v>19224.514999999999</v>
      </c>
      <c r="X356" s="2011">
        <v>2031.46</v>
      </c>
      <c r="Y356" s="2011">
        <v>106.27000000000001</v>
      </c>
      <c r="Z356" s="2011">
        <v>3335.08</v>
      </c>
      <c r="AA356" s="2011">
        <v>9258.3100000000013</v>
      </c>
      <c r="AB356" s="2011">
        <v>11619.32</v>
      </c>
      <c r="AC356" s="2011">
        <v>4235.5</v>
      </c>
      <c r="AD356" s="2011">
        <v>440.899</v>
      </c>
      <c r="AE356" s="2011">
        <v>1422.52</v>
      </c>
      <c r="AF356" s="2011">
        <v>2171.2849999999999</v>
      </c>
      <c r="AG356" s="2011">
        <v>11.754999999999999</v>
      </c>
      <c r="AH356" s="2011">
        <v>190.89499999999998</v>
      </c>
      <c r="AI356" s="2011">
        <v>2167.5</v>
      </c>
    </row>
    <row r="357" spans="1:35" s="31" customFormat="1">
      <c r="A357" s="2016">
        <v>45230</v>
      </c>
      <c r="B357" s="2015">
        <v>1.0621000944287062</v>
      </c>
      <c r="C357" s="2014">
        <v>0.63589990557129372</v>
      </c>
      <c r="D357" s="2014">
        <v>1.3836999535717924</v>
      </c>
      <c r="E357" s="2014">
        <v>0.90209987384231216</v>
      </c>
      <c r="F357" s="2014">
        <v>1.2157000314762354</v>
      </c>
      <c r="G357" s="2014">
        <v>7.8234466998451069</v>
      </c>
      <c r="H357" s="2014">
        <v>150.28382213812677</v>
      </c>
      <c r="I357" s="2014">
        <v>4.7640041027117483</v>
      </c>
      <c r="J357" s="2014">
        <v>0.58429996852376453</v>
      </c>
      <c r="K357" s="2014">
        <v>1.3662500542930656</v>
      </c>
      <c r="L357" s="2014">
        <v>3.7517713745866792</v>
      </c>
      <c r="M357" s="2014">
        <v>35.939971085122409</v>
      </c>
      <c r="N357" s="2014">
        <v>11.138652913685082</v>
      </c>
      <c r="O357" s="2014">
        <v>7.3182867331002166</v>
      </c>
      <c r="P357" s="2014">
        <v>7.3321024694207244</v>
      </c>
      <c r="Q357" s="2014">
        <v>1353.15</v>
      </c>
      <c r="R357" s="2013">
        <v>15885</v>
      </c>
      <c r="S357" s="2012">
        <v>16871.46</v>
      </c>
      <c r="T357" s="2011">
        <v>10101.27</v>
      </c>
      <c r="U357" s="2011">
        <v>11480.09</v>
      </c>
      <c r="V357" s="2011">
        <v>17608.915000000001</v>
      </c>
      <c r="W357" s="2011">
        <v>19311.395</v>
      </c>
      <c r="X357" s="2011">
        <v>2030.4349999999999</v>
      </c>
      <c r="Y357" s="2011">
        <v>105.7</v>
      </c>
      <c r="Z357" s="2011">
        <v>3334.38</v>
      </c>
      <c r="AA357" s="2011">
        <v>9281.6049999999996</v>
      </c>
      <c r="AB357" s="2011">
        <v>11626.715</v>
      </c>
      <c r="AC357" s="2011">
        <v>4234</v>
      </c>
      <c r="AD357" s="2011">
        <v>441.98700000000002</v>
      </c>
      <c r="AE357" s="2011">
        <v>1426.115</v>
      </c>
      <c r="AF357" s="2011">
        <v>2170.59</v>
      </c>
      <c r="AG357" s="2011">
        <v>11.774999999999999</v>
      </c>
      <c r="AH357" s="2011">
        <v>190.82999999999998</v>
      </c>
      <c r="AI357" s="2011">
        <v>2166.5</v>
      </c>
    </row>
    <row r="358" spans="1:35" s="31" customFormat="1">
      <c r="A358" s="2016">
        <v>45231</v>
      </c>
      <c r="B358" s="2015">
        <v>1.0564499529337934</v>
      </c>
      <c r="C358" s="2014">
        <v>0.6336002510197678</v>
      </c>
      <c r="D358" s="2014">
        <v>1.3877494857445425</v>
      </c>
      <c r="E358" s="2014">
        <v>0.90939986172100007</v>
      </c>
      <c r="F358" s="2014">
        <v>1.2152500784436775</v>
      </c>
      <c r="G358" s="2014">
        <v>7.8240076988039355</v>
      </c>
      <c r="H358" s="2014">
        <v>151.38704161124832</v>
      </c>
      <c r="I358" s="2014">
        <v>4.7700012272987156</v>
      </c>
      <c r="J358" s="2014">
        <v>0.58140006275494194</v>
      </c>
      <c r="K358" s="2014">
        <v>1.3704497156327591</v>
      </c>
      <c r="L358" s="2014">
        <v>3.7516185991759858</v>
      </c>
      <c r="M358" s="2014">
        <v>36.274979597458135</v>
      </c>
      <c r="N358" s="2014">
        <v>11.185399666578924</v>
      </c>
      <c r="O358" s="2014">
        <v>7.319352993998911</v>
      </c>
      <c r="P358" s="2014">
        <v>7.3365561694290973</v>
      </c>
      <c r="Q358" s="2014">
        <v>1348.82</v>
      </c>
      <c r="R358" s="2013">
        <v>15935</v>
      </c>
      <c r="S358" s="2012">
        <v>16834.53</v>
      </c>
      <c r="T358" s="2011">
        <v>10096.42</v>
      </c>
      <c r="U358" s="2011">
        <v>11482.62</v>
      </c>
      <c r="V358" s="2011">
        <v>17522.544999999998</v>
      </c>
      <c r="W358" s="2011">
        <v>19365.010000000002</v>
      </c>
      <c r="X358" s="2011">
        <v>2036.68</v>
      </c>
      <c r="Y358" s="2011">
        <v>105.26</v>
      </c>
      <c r="Z358" s="2011">
        <v>3340.67</v>
      </c>
      <c r="AA358" s="2011">
        <v>9264.61</v>
      </c>
      <c r="AB358" s="2011">
        <v>11627.57</v>
      </c>
      <c r="AC358" s="2011">
        <v>4247.5</v>
      </c>
      <c r="AD358" s="2011">
        <v>439.2835</v>
      </c>
      <c r="AE358" s="2011">
        <v>1424.625</v>
      </c>
      <c r="AF358" s="2011">
        <v>2177.105</v>
      </c>
      <c r="AG358" s="2011">
        <v>11.725000000000001</v>
      </c>
      <c r="AH358" s="2011">
        <v>191.375</v>
      </c>
      <c r="AI358" s="2011">
        <v>2172</v>
      </c>
    </row>
    <row r="359" spans="1:35" s="31" customFormat="1">
      <c r="A359" s="2016">
        <v>45232</v>
      </c>
      <c r="B359" s="2015">
        <v>1.0603500473036895</v>
      </c>
      <c r="C359" s="2014">
        <v>0.64275023651844843</v>
      </c>
      <c r="D359" s="2014">
        <v>1.3839999825417852</v>
      </c>
      <c r="E359" s="2014">
        <v>0.90439972927902146</v>
      </c>
      <c r="F359" s="2014">
        <v>1.2169501734468624</v>
      </c>
      <c r="G359" s="2014">
        <v>7.8229463224011093</v>
      </c>
      <c r="H359" s="2014">
        <v>150.38414113629895</v>
      </c>
      <c r="I359" s="2014">
        <v>4.7530041654363222</v>
      </c>
      <c r="J359" s="2014">
        <v>0.58840018921475867</v>
      </c>
      <c r="K359" s="2014">
        <v>1.3661502351665424</v>
      </c>
      <c r="L359" s="2014">
        <v>3.7513308884419732</v>
      </c>
      <c r="M359" s="2014">
        <v>36.014978414863933</v>
      </c>
      <c r="N359" s="2014">
        <v>11.137648835657334</v>
      </c>
      <c r="O359" s="2014">
        <v>7.3192518713602821</v>
      </c>
      <c r="P359" s="2014">
        <v>7.3334875115633675</v>
      </c>
      <c r="Q359" s="2014">
        <v>1338.5394681300129</v>
      </c>
      <c r="R359" s="2013">
        <v>15855</v>
      </c>
      <c r="S359" s="2012">
        <v>16811.849999999999</v>
      </c>
      <c r="T359" s="2011">
        <v>10190.805</v>
      </c>
      <c r="U359" s="2011">
        <v>11455.924999999999</v>
      </c>
      <c r="V359" s="2011">
        <v>17530.965</v>
      </c>
      <c r="W359" s="2011">
        <v>19294.745000000003</v>
      </c>
      <c r="X359" s="2011">
        <v>2026.73</v>
      </c>
      <c r="Y359" s="2011">
        <v>105.43</v>
      </c>
      <c r="Z359" s="2011">
        <v>3335.7849999999999</v>
      </c>
      <c r="AA359" s="2011">
        <v>9329.0849999999991</v>
      </c>
      <c r="AB359" s="2011">
        <v>11605.605</v>
      </c>
      <c r="AC359" s="2011">
        <v>4226.5</v>
      </c>
      <c r="AD359" s="2011">
        <v>440.23349999999999</v>
      </c>
      <c r="AE359" s="2011">
        <v>1423.5500000000002</v>
      </c>
      <c r="AF359" s="2011">
        <v>2166.2049999999999</v>
      </c>
      <c r="AG359" s="2011">
        <v>11.844999999999999</v>
      </c>
      <c r="AH359" s="2011">
        <v>190.45</v>
      </c>
      <c r="AI359" s="2011">
        <v>2162</v>
      </c>
    </row>
    <row r="360" spans="1:35" s="31" customFormat="1">
      <c r="A360" s="2016">
        <v>45233</v>
      </c>
      <c r="B360" s="2015">
        <v>1.0629500953591864</v>
      </c>
      <c r="C360" s="2014">
        <v>0.64425015893197712</v>
      </c>
      <c r="D360" s="2014">
        <v>1.373099984898519</v>
      </c>
      <c r="E360" s="2014">
        <v>0.90600004722950034</v>
      </c>
      <c r="F360" s="2014">
        <v>1.2198499682136044</v>
      </c>
      <c r="G360" s="2014">
        <v>7.8248000895399876</v>
      </c>
      <c r="H360" s="2014">
        <v>150.34647550776583</v>
      </c>
      <c r="I360" s="2014">
        <v>4.733496332518337</v>
      </c>
      <c r="J360" s="2014">
        <v>0.59085028607755885</v>
      </c>
      <c r="K360" s="2014">
        <v>1.3624497418014825</v>
      </c>
      <c r="L360" s="2014">
        <v>3.751937984496124</v>
      </c>
      <c r="M360" s="2014">
        <v>35.775001847882329</v>
      </c>
      <c r="N360" s="2014">
        <v>11.104287116062036</v>
      </c>
      <c r="O360" s="2014">
        <v>7.3152583360461323</v>
      </c>
      <c r="P360" s="2014">
        <v>7.3213870141959507</v>
      </c>
      <c r="Q360" s="2014">
        <v>1321.2935741285173</v>
      </c>
      <c r="R360" s="2013">
        <v>15730</v>
      </c>
      <c r="S360" s="2012">
        <v>16720.205000000002</v>
      </c>
      <c r="T360" s="2011">
        <v>10134.055</v>
      </c>
      <c r="U360" s="2011">
        <v>11455.83</v>
      </c>
      <c r="V360" s="2011">
        <v>17362.03</v>
      </c>
      <c r="W360" s="2011">
        <v>19188.239999999998</v>
      </c>
      <c r="X360" s="2011">
        <v>2010.2750000000001</v>
      </c>
      <c r="Y360" s="2011">
        <v>104.625</v>
      </c>
      <c r="Z360" s="2011">
        <v>3323.125</v>
      </c>
      <c r="AA360" s="2011">
        <v>9294.0750000000007</v>
      </c>
      <c r="AB360" s="2011">
        <v>11545.380000000001</v>
      </c>
      <c r="AC360" s="2011">
        <v>4192.5</v>
      </c>
      <c r="AD360" s="2011">
        <v>439.6925</v>
      </c>
      <c r="AE360" s="2011">
        <v>1416.5700000000002</v>
      </c>
      <c r="AF360" s="2011">
        <v>2150.3000000000002</v>
      </c>
      <c r="AG360" s="2011">
        <v>11.905000000000001</v>
      </c>
      <c r="AH360" s="2011">
        <v>188.89</v>
      </c>
      <c r="AI360" s="2011">
        <v>2148.5</v>
      </c>
    </row>
    <row r="361" spans="1:35">
      <c r="A361" s="2023">
        <v>45236</v>
      </c>
      <c r="B361" s="2022">
        <v>1.0733000804505231</v>
      </c>
      <c r="C361" s="2021">
        <v>0.65060016090104589</v>
      </c>
      <c r="D361" s="2021">
        <v>1.3653999094859592</v>
      </c>
      <c r="E361" s="2021">
        <v>0.89799992370974102</v>
      </c>
      <c r="F361" s="2021">
        <v>1.238299919549477</v>
      </c>
      <c r="G361" s="2021">
        <v>7.8210532939029758</v>
      </c>
      <c r="H361" s="2021">
        <v>149.72295832329559</v>
      </c>
      <c r="I361" s="2021">
        <v>4.6529979082097901</v>
      </c>
      <c r="J361" s="2021">
        <v>0.5988</v>
      </c>
      <c r="K361" s="2021">
        <v>1.3513495883765236</v>
      </c>
      <c r="L361" s="2021">
        <v>3.7512071463061325</v>
      </c>
      <c r="M361" s="2021">
        <v>35.445016025823818</v>
      </c>
      <c r="N361" s="2021">
        <v>10.881897704908848</v>
      </c>
      <c r="O361" s="2021">
        <v>7.2814055280102723</v>
      </c>
      <c r="P361" s="2021">
        <v>7.2860492379835877</v>
      </c>
      <c r="Q361" s="2020">
        <v>1298.0367585630743</v>
      </c>
      <c r="R361" s="2019">
        <v>15537.5</v>
      </c>
      <c r="S361" s="2018">
        <v>16676.400000000001</v>
      </c>
      <c r="T361" s="2020">
        <v>10108.700000000001</v>
      </c>
      <c r="U361" s="2020">
        <v>11379.45</v>
      </c>
      <c r="V361" s="2020">
        <v>17302.34</v>
      </c>
      <c r="W361" s="2020">
        <v>19240.084999999999</v>
      </c>
      <c r="X361" s="2020">
        <v>1986.625</v>
      </c>
      <c r="Y361" s="2020">
        <v>103.77500000000001</v>
      </c>
      <c r="Z361" s="2020">
        <v>3339.2449999999999</v>
      </c>
      <c r="AA361" s="2020">
        <v>9303.8549999999996</v>
      </c>
      <c r="AB361" s="2020">
        <v>11497.764999999999</v>
      </c>
      <c r="AC361" s="2020">
        <v>4142</v>
      </c>
      <c r="AD361" s="2020">
        <v>438.35500000000002</v>
      </c>
      <c r="AE361" s="2020">
        <v>1427.83</v>
      </c>
      <c r="AF361" s="2020">
        <v>2133.86</v>
      </c>
      <c r="AG361" s="2020">
        <v>11.97</v>
      </c>
      <c r="AH361" s="2020">
        <v>186.72</v>
      </c>
      <c r="AI361" s="2020">
        <v>2132.5</v>
      </c>
    </row>
    <row r="362" spans="1:35">
      <c r="A362" s="2029">
        <v>45237</v>
      </c>
      <c r="B362" s="2028">
        <v>1.0697002559181064</v>
      </c>
      <c r="C362" s="2027">
        <v>0.64240019193857967</v>
      </c>
      <c r="D362" s="2027">
        <v>1.3737996282918343</v>
      </c>
      <c r="E362" s="2027">
        <v>0.90040008180218267</v>
      </c>
      <c r="F362" s="2027">
        <v>1.2315</v>
      </c>
      <c r="G362" s="2027">
        <v>7.8188507840111248</v>
      </c>
      <c r="H362" s="2027">
        <v>150.4838010879507</v>
      </c>
      <c r="I362" s="2027">
        <v>4.6729949921518799</v>
      </c>
      <c r="J362" s="2027">
        <v>0.59180006397952645</v>
      </c>
      <c r="K362" s="2027">
        <v>1.3542498361340369</v>
      </c>
      <c r="L362" s="2027">
        <v>3.75135005400216</v>
      </c>
      <c r="M362" s="2027">
        <v>35.590024774118334</v>
      </c>
      <c r="N362" s="2027">
        <v>10.943883713358469</v>
      </c>
      <c r="O362" s="2027">
        <v>7.2843530883932708</v>
      </c>
      <c r="P362" s="2027">
        <v>7.2901119402985071</v>
      </c>
      <c r="Q362" s="2026">
        <v>1311.7918590012589</v>
      </c>
      <c r="R362" s="2025">
        <v>15630</v>
      </c>
      <c r="S362" s="2024">
        <v>16719.415000000001</v>
      </c>
      <c r="T362" s="2026">
        <v>10040.715</v>
      </c>
      <c r="U362" s="2026">
        <v>11377.205</v>
      </c>
      <c r="V362" s="2026">
        <v>17358.95</v>
      </c>
      <c r="W362" s="2026">
        <v>19248.345000000001</v>
      </c>
      <c r="X362" s="2026">
        <v>1999.0150000000001</v>
      </c>
      <c r="Y362" s="2026">
        <v>103.86500000000001</v>
      </c>
      <c r="Z362" s="2026">
        <v>3344.75</v>
      </c>
      <c r="AA362" s="2026">
        <v>9249.8349999999991</v>
      </c>
      <c r="AB362" s="2026">
        <v>11541.445</v>
      </c>
      <c r="AC362" s="2026">
        <v>4166.5</v>
      </c>
      <c r="AD362" s="2026">
        <v>439.16800000000001</v>
      </c>
      <c r="AE362" s="2026">
        <v>1428.1950000000002</v>
      </c>
      <c r="AF362" s="2026">
        <v>2145.6950000000002</v>
      </c>
      <c r="AG362" s="2026">
        <v>11.914999999999999</v>
      </c>
      <c r="AH362" s="2026">
        <v>187.715</v>
      </c>
      <c r="AI362" s="2026">
        <v>2144</v>
      </c>
    </row>
    <row r="363" spans="1:35">
      <c r="A363" s="2035">
        <v>45238</v>
      </c>
      <c r="B363" s="2034">
        <v>1.068050159744409</v>
      </c>
      <c r="C363" s="2033">
        <v>0.64410000000000001</v>
      </c>
      <c r="D363" s="2033">
        <v>1.3771001877783899</v>
      </c>
      <c r="E363" s="2033">
        <v>0.90159974904993567</v>
      </c>
      <c r="F363" s="2033">
        <v>1.2273000000000001</v>
      </c>
      <c r="G363" s="2033">
        <v>7.8158944829273898</v>
      </c>
      <c r="H363" s="2033">
        <v>150.67635873489624</v>
      </c>
      <c r="I363" s="2033">
        <v>4.6824953960448621</v>
      </c>
      <c r="J363" s="2033">
        <v>0.59380000000000011</v>
      </c>
      <c r="K363" s="2033">
        <v>1.3550000584424944</v>
      </c>
      <c r="L363" s="2033">
        <v>3.7511984659635664</v>
      </c>
      <c r="M363" s="2033">
        <v>35.554969914588554</v>
      </c>
      <c r="N363" s="2033">
        <v>10.953899133137119</v>
      </c>
      <c r="O363" s="2033">
        <v>7.2790528394120013</v>
      </c>
      <c r="P363" s="2033">
        <v>7.2841517337677448</v>
      </c>
      <c r="Q363" s="2032">
        <v>1310.1716199246546</v>
      </c>
      <c r="R363" s="2031">
        <v>15650</v>
      </c>
      <c r="S363" s="2030">
        <v>16714.985000000001</v>
      </c>
      <c r="T363" s="2032">
        <v>10080.165000000001</v>
      </c>
      <c r="U363" s="2032">
        <v>11364.46</v>
      </c>
      <c r="V363" s="2032">
        <v>17358.035</v>
      </c>
      <c r="W363" s="2032">
        <v>19207.245000000003</v>
      </c>
      <c r="X363" s="2032">
        <v>2002.33</v>
      </c>
      <c r="Y363" s="2032">
        <v>103.86500000000001</v>
      </c>
      <c r="Z363" s="2032">
        <v>3342.2350000000001</v>
      </c>
      <c r="AA363" s="2032">
        <v>9292.9700000000012</v>
      </c>
      <c r="AB363" s="2032">
        <v>11549.815000000001</v>
      </c>
      <c r="AC363" s="2032">
        <v>4172</v>
      </c>
      <c r="AD363" s="2032">
        <v>440.1635</v>
      </c>
      <c r="AE363" s="2032">
        <v>1428.7150000000001</v>
      </c>
      <c r="AF363" s="2032">
        <v>2150.0050000000001</v>
      </c>
      <c r="AG363" s="2032">
        <v>11.945</v>
      </c>
      <c r="AH363" s="2032">
        <v>187.94499999999999</v>
      </c>
      <c r="AI363" s="2032">
        <v>2148.5</v>
      </c>
    </row>
    <row r="364" spans="1:35" s="31" customFormat="1">
      <c r="A364" s="2035">
        <v>45239</v>
      </c>
      <c r="B364" s="2034">
        <v>1.0705001596933887</v>
      </c>
      <c r="C364" s="2033">
        <v>0.64150015969338881</v>
      </c>
      <c r="D364" s="2033">
        <v>1.3790995286131218</v>
      </c>
      <c r="E364" s="2033">
        <v>0.8998998642246262</v>
      </c>
      <c r="F364" s="2033">
        <v>1.2283002235707443</v>
      </c>
      <c r="G364" s="2033">
        <v>7.8093432768812505</v>
      </c>
      <c r="H364" s="2033">
        <v>150.91338506772064</v>
      </c>
      <c r="I364" s="2033">
        <v>4.6884943958191387</v>
      </c>
      <c r="J364" s="2033">
        <v>0.59310028744809973</v>
      </c>
      <c r="K364" s="2033">
        <v>1.3561997299728803</v>
      </c>
      <c r="L364" s="2033">
        <v>3.7510482808194561</v>
      </c>
      <c r="M364" s="2033">
        <v>35.484986031540949</v>
      </c>
      <c r="N364" s="2033">
        <v>10.890169630652471</v>
      </c>
      <c r="O364" s="2033">
        <v>7.285461653015636</v>
      </c>
      <c r="P364" s="2033">
        <v>7.2915696320447134</v>
      </c>
      <c r="Q364" s="2032">
        <v>1311.6883116883118</v>
      </c>
      <c r="R364" s="2031">
        <v>15655</v>
      </c>
      <c r="S364" s="2030">
        <v>16758.68</v>
      </c>
      <c r="T364" s="2032">
        <v>10042.685000000001</v>
      </c>
      <c r="U364" s="2032">
        <v>11351.61</v>
      </c>
      <c r="V364" s="2032">
        <v>17396.379999999997</v>
      </c>
      <c r="W364" s="2032">
        <v>19229.04</v>
      </c>
      <c r="X364" s="2032">
        <v>2004.65</v>
      </c>
      <c r="Y364" s="2032">
        <v>103.735</v>
      </c>
      <c r="Z364" s="2032">
        <v>3339.0250000000001</v>
      </c>
      <c r="AA364" s="2032">
        <v>9284.9850000000006</v>
      </c>
      <c r="AB364" s="2032">
        <v>11543.285</v>
      </c>
      <c r="AC364" s="2032">
        <v>4173.5</v>
      </c>
      <c r="AD364" s="2032">
        <v>441.17250000000001</v>
      </c>
      <c r="AE364" s="2032">
        <v>1437.5350000000001</v>
      </c>
      <c r="AF364" s="2032">
        <v>2148.8000000000002</v>
      </c>
      <c r="AG364" s="2032">
        <v>11.934999999999999</v>
      </c>
      <c r="AH364" s="2032">
        <v>187.97</v>
      </c>
      <c r="AI364" s="2032">
        <v>2147</v>
      </c>
    </row>
    <row r="365" spans="1:35">
      <c r="A365" s="2041">
        <v>45240</v>
      </c>
      <c r="B365" s="2040">
        <v>1.0663000955718382</v>
      </c>
      <c r="C365" s="2039">
        <v>0.63620006371455873</v>
      </c>
      <c r="D365" s="2039">
        <v>1.3798997099968657</v>
      </c>
      <c r="E365" s="2039">
        <v>0.90409975685217769</v>
      </c>
      <c r="F365" s="2039">
        <v>1.2227999362854414</v>
      </c>
      <c r="G365" s="2039">
        <v>7.8093513188076251</v>
      </c>
      <c r="H365" s="2039">
        <v>151.37194386844769</v>
      </c>
      <c r="I365" s="2039">
        <v>4.7054978923446837</v>
      </c>
      <c r="J365" s="2039">
        <v>0.58979993628544125</v>
      </c>
      <c r="K365" s="2039">
        <v>1.3609500549972968</v>
      </c>
      <c r="L365" s="2039">
        <v>3.7507468036802485</v>
      </c>
      <c r="M365" s="2039">
        <v>35.879985506268994</v>
      </c>
      <c r="N365" s="2039">
        <v>10.921831833712588</v>
      </c>
      <c r="O365" s="2039">
        <v>7.2928936687274488</v>
      </c>
      <c r="P365" s="2039">
        <v>7.3033969288040952</v>
      </c>
      <c r="Q365" s="2038">
        <v>1319.4619588062212</v>
      </c>
      <c r="R365" s="2037">
        <v>15695</v>
      </c>
      <c r="S365" s="2036">
        <v>16735.580000000002</v>
      </c>
      <c r="T365" s="2038">
        <v>9985.16</v>
      </c>
      <c r="U365" s="2038">
        <v>11374.014999999999</v>
      </c>
      <c r="V365" s="2038">
        <v>17359.809999999998</v>
      </c>
      <c r="W365" s="2038">
        <v>19191.845000000001</v>
      </c>
      <c r="X365" s="2038">
        <v>2009.77</v>
      </c>
      <c r="Y365" s="2038">
        <v>103.685</v>
      </c>
      <c r="Z365" s="2038">
        <v>3335.46</v>
      </c>
      <c r="AA365" s="2038">
        <v>9256.91</v>
      </c>
      <c r="AB365" s="2038">
        <v>11532.385</v>
      </c>
      <c r="AC365" s="2038">
        <v>4184.5</v>
      </c>
      <c r="AD365" s="2038">
        <v>437.43049999999999</v>
      </c>
      <c r="AE365" s="2038">
        <v>1437.03</v>
      </c>
      <c r="AF365" s="2038">
        <v>2152.0950000000003</v>
      </c>
      <c r="AG365" s="2038">
        <v>11.895</v>
      </c>
      <c r="AH365" s="2038">
        <v>188.185</v>
      </c>
      <c r="AI365" s="2038">
        <v>2149</v>
      </c>
    </row>
    <row r="366" spans="1:35">
      <c r="A366" s="2047">
        <v>45243</v>
      </c>
      <c r="B366" s="2046">
        <v>1.0693000000000001</v>
      </c>
      <c r="C366" s="2045">
        <v>0.63730000000000009</v>
      </c>
      <c r="D366" s="2045">
        <v>1.3800996660510425</v>
      </c>
      <c r="E366" s="2045">
        <v>0.90169979025429081</v>
      </c>
      <c r="F366" s="2045">
        <v>1.2237000000000002</v>
      </c>
      <c r="G366" s="2045">
        <v>7.80970193799992</v>
      </c>
      <c r="H366" s="2045">
        <v>151.74213502150485</v>
      </c>
      <c r="I366" s="2045">
        <v>4.7079991003823372</v>
      </c>
      <c r="J366" s="2045">
        <v>0.58930000000000005</v>
      </c>
      <c r="K366" s="2045">
        <v>1.3597500138573249</v>
      </c>
      <c r="L366" s="2045">
        <v>3.7510452753553936</v>
      </c>
      <c r="M366" s="2045">
        <v>36.044971267336599</v>
      </c>
      <c r="N366" s="2045">
        <v>10.89411544292906</v>
      </c>
      <c r="O366" s="2045">
        <v>7.294352684275327</v>
      </c>
      <c r="P366" s="2045">
        <v>7.3023255813953485</v>
      </c>
      <c r="Q366" s="2044">
        <v>1322.1052631578948</v>
      </c>
      <c r="R366" s="2043">
        <v>15700</v>
      </c>
      <c r="S366" s="2042">
        <v>16788.010000000002</v>
      </c>
      <c r="T366" s="2044">
        <v>10005.61</v>
      </c>
      <c r="U366" s="2044">
        <v>11375.99</v>
      </c>
      <c r="V366" s="2044">
        <v>17411.560000000001</v>
      </c>
      <c r="W366" s="2044">
        <v>19212.090000000004</v>
      </c>
      <c r="X366" s="2044">
        <v>2010.3200000000002</v>
      </c>
      <c r="Y366" s="2044">
        <v>103.465</v>
      </c>
      <c r="Z366" s="2044">
        <v>3334.75</v>
      </c>
      <c r="AA366" s="2044">
        <v>9252.01</v>
      </c>
      <c r="AB366" s="2044">
        <v>11546.240000000002</v>
      </c>
      <c r="AC366" s="2044">
        <v>4185.5</v>
      </c>
      <c r="AD366" s="2044">
        <v>435.56700000000001</v>
      </c>
      <c r="AE366" s="2044">
        <v>1441.145</v>
      </c>
      <c r="AF366" s="2044">
        <v>2152.35</v>
      </c>
      <c r="AG366" s="2044">
        <v>11.875</v>
      </c>
      <c r="AH366" s="2044">
        <v>188.45</v>
      </c>
      <c r="AI366" s="2044">
        <v>2150</v>
      </c>
    </row>
    <row r="367" spans="1:35">
      <c r="A367" s="2053">
        <v>45244</v>
      </c>
      <c r="B367" s="2052">
        <v>1.0706499092038613</v>
      </c>
      <c r="C367" s="2051">
        <v>0.63714995699130272</v>
      </c>
      <c r="D367" s="2051">
        <v>1.3814498688042927</v>
      </c>
      <c r="E367" s="2051">
        <v>0.90159983777005059</v>
      </c>
      <c r="F367" s="2051">
        <v>1.2295501608843864</v>
      </c>
      <c r="G367" s="2051">
        <v>7.8071408140677265</v>
      </c>
      <c r="H367" s="2051">
        <v>151.63768115942028</v>
      </c>
      <c r="I367" s="2051">
        <v>4.7195045490015657</v>
      </c>
      <c r="J367" s="2051">
        <v>0.58714995699130279</v>
      </c>
      <c r="K367" s="2051">
        <v>1.3604996950805903</v>
      </c>
      <c r="L367" s="2051">
        <v>3.7506273150914087</v>
      </c>
      <c r="M367" s="2051">
        <v>36.074997931281779</v>
      </c>
      <c r="N367" s="2051">
        <v>10.85358432110206</v>
      </c>
      <c r="O367" s="2051">
        <v>7.2941526406417392</v>
      </c>
      <c r="P367" s="2051">
        <v>7.3014654570830428</v>
      </c>
      <c r="Q367" s="2050">
        <v>1328.3537875581885</v>
      </c>
      <c r="R367" s="2049">
        <v>15694.5</v>
      </c>
      <c r="S367" s="2048">
        <v>16803.315000000002</v>
      </c>
      <c r="T367" s="2050">
        <v>9999.75</v>
      </c>
      <c r="U367" s="2050">
        <v>11360.89</v>
      </c>
      <c r="V367" s="2050">
        <v>17407.39</v>
      </c>
      <c r="W367" s="2050">
        <v>19297.175000000003</v>
      </c>
      <c r="X367" s="2050">
        <v>2010.2750000000001</v>
      </c>
      <c r="Y367" s="2050">
        <v>103.5</v>
      </c>
      <c r="Z367" s="2050">
        <v>3325.4549999999999</v>
      </c>
      <c r="AA367" s="2050">
        <v>9215.0250000000015</v>
      </c>
      <c r="AB367" s="2050">
        <v>11535.834999999999</v>
      </c>
      <c r="AC367" s="2050">
        <v>4184.5</v>
      </c>
      <c r="AD367" s="2050">
        <v>435.05200000000002</v>
      </c>
      <c r="AE367" s="2050">
        <v>1446.02</v>
      </c>
      <c r="AF367" s="2050">
        <v>2151.6549999999997</v>
      </c>
      <c r="AG367" s="2050">
        <v>11.815000000000001</v>
      </c>
      <c r="AH367" s="2050">
        <v>188.64</v>
      </c>
      <c r="AI367" s="2050">
        <v>2149.5</v>
      </c>
    </row>
    <row r="368" spans="1:35">
      <c r="A368" s="2059">
        <v>45245</v>
      </c>
      <c r="B368" s="2058">
        <v>1.0872999678146122</v>
      </c>
      <c r="C368" s="2057">
        <v>0.65080012874155135</v>
      </c>
      <c r="D368" s="2057">
        <v>1.3685000103507401</v>
      </c>
      <c r="E368" s="2057">
        <v>0.88789998365372413</v>
      </c>
      <c r="F368" s="2057">
        <v>1.2469501126488576</v>
      </c>
      <c r="G368" s="2057">
        <v>7.8057481660134655</v>
      </c>
      <c r="H368" s="2057">
        <v>150.69356872635561</v>
      </c>
      <c r="I368" s="2057">
        <v>4.6659988796797025</v>
      </c>
      <c r="J368" s="2057">
        <v>0.60335017701963312</v>
      </c>
      <c r="K368" s="2057">
        <v>1.3485998130971744</v>
      </c>
      <c r="L368" s="2057">
        <v>3.7501508750754375</v>
      </c>
      <c r="M368" s="2057">
        <v>35.470020583343128</v>
      </c>
      <c r="N368" s="2057">
        <v>10.583614643335252</v>
      </c>
      <c r="O368" s="2057">
        <v>7.2400952607319802</v>
      </c>
      <c r="P368" s="2057">
        <v>7.24580223880597</v>
      </c>
      <c r="Q368" s="2056">
        <v>1302.1793797150042</v>
      </c>
      <c r="R368" s="2055">
        <v>15535</v>
      </c>
      <c r="S368" s="2054">
        <v>16891.205000000002</v>
      </c>
      <c r="T368" s="2056">
        <v>10110.18</v>
      </c>
      <c r="U368" s="2056">
        <v>11351.845000000001</v>
      </c>
      <c r="V368" s="2056">
        <v>17496.34</v>
      </c>
      <c r="W368" s="2056">
        <v>19371.370000000003</v>
      </c>
      <c r="X368" s="2056">
        <v>1990.2</v>
      </c>
      <c r="Y368" s="2056">
        <v>103.09</v>
      </c>
      <c r="Z368" s="2056">
        <v>3329.4049999999997</v>
      </c>
      <c r="AA368" s="2056">
        <v>9373.0450000000001</v>
      </c>
      <c r="AB368" s="2056">
        <v>11519.355</v>
      </c>
      <c r="AC368" s="2056">
        <v>4142.5</v>
      </c>
      <c r="AD368" s="2056">
        <v>437.97550000000001</v>
      </c>
      <c r="AE368" s="2056">
        <v>1467.835</v>
      </c>
      <c r="AF368" s="2056">
        <v>2145.6899999999996</v>
      </c>
      <c r="AG368" s="2056">
        <v>11.93</v>
      </c>
      <c r="AH368" s="2056">
        <v>186.93</v>
      </c>
      <c r="AI368" s="2056">
        <v>2144</v>
      </c>
    </row>
    <row r="369" spans="1:35">
      <c r="A369" s="2065">
        <v>45246</v>
      </c>
      <c r="B369" s="2064">
        <v>1.084100353811515</v>
      </c>
      <c r="C369" s="2063">
        <v>0.64810003216468315</v>
      </c>
      <c r="D369" s="2063">
        <v>1.3702995398103088</v>
      </c>
      <c r="E369" s="2063">
        <v>0.88864980680656014</v>
      </c>
      <c r="F369" s="2063">
        <v>1.2380501769057572</v>
      </c>
      <c r="G369" s="2063">
        <v>7.8056937125124586</v>
      </c>
      <c r="H369" s="2063">
        <v>151.37056331856471</v>
      </c>
      <c r="I369" s="2063">
        <v>4.7004999856369407</v>
      </c>
      <c r="J369" s="2063">
        <v>0.59820006432936634</v>
      </c>
      <c r="K369" s="2063">
        <v>1.3501500625133811</v>
      </c>
      <c r="L369" s="2063">
        <v>3.750301568154403</v>
      </c>
      <c r="M369" s="2063">
        <v>35.4849939222389</v>
      </c>
      <c r="N369" s="2063">
        <v>10.553615011999689</v>
      </c>
      <c r="O369" s="2063">
        <v>7.255847386821384</v>
      </c>
      <c r="P369" s="2063">
        <v>7.2606258757589908</v>
      </c>
      <c r="Q369" s="2062">
        <v>1295.9566486035847</v>
      </c>
      <c r="R369" s="2061">
        <v>15545</v>
      </c>
      <c r="S369" s="2060">
        <v>16852.34</v>
      </c>
      <c r="T369" s="2062">
        <v>10074.715</v>
      </c>
      <c r="U369" s="2062">
        <v>11344.235000000001</v>
      </c>
      <c r="V369" s="2062">
        <v>17492.830000000002</v>
      </c>
      <c r="W369" s="2062">
        <v>19245.489999999998</v>
      </c>
      <c r="X369" s="2062">
        <v>1991.4950000000001</v>
      </c>
      <c r="Y369" s="2062">
        <v>102.69499999999999</v>
      </c>
      <c r="Z369" s="2062">
        <v>3307.0950000000003</v>
      </c>
      <c r="AA369" s="2062">
        <v>9299.02</v>
      </c>
      <c r="AB369" s="2062">
        <v>11513.535</v>
      </c>
      <c r="AC369" s="2062">
        <v>4145</v>
      </c>
      <c r="AD369" s="2062">
        <v>438.07249999999999</v>
      </c>
      <c r="AE369" s="2062">
        <v>1472.9549999999999</v>
      </c>
      <c r="AF369" s="2062">
        <v>2142.41</v>
      </c>
      <c r="AG369" s="2062">
        <v>11.995000000000001</v>
      </c>
      <c r="AH369" s="2062">
        <v>186.76</v>
      </c>
      <c r="AI369" s="2062">
        <v>2141</v>
      </c>
    </row>
    <row r="370" spans="1:35">
      <c r="A370" s="2071">
        <v>45247</v>
      </c>
      <c r="B370" s="2070">
        <v>1.0838499273842181</v>
      </c>
      <c r="C370" s="2069">
        <v>0.6470498628368565</v>
      </c>
      <c r="D370" s="2069">
        <v>1.3763495310372704</v>
      </c>
      <c r="E370" s="2069">
        <v>0.88894996604575505</v>
      </c>
      <c r="F370" s="2069">
        <v>1.2384502178473455</v>
      </c>
      <c r="G370" s="2069">
        <v>7.797047766196771</v>
      </c>
      <c r="H370" s="2069">
        <v>150.44183336570208</v>
      </c>
      <c r="I370" s="2069">
        <v>4.6844975409600611</v>
      </c>
      <c r="J370" s="2069">
        <v>0.59519993545263838</v>
      </c>
      <c r="K370" s="2069">
        <v>1.3480501456381428</v>
      </c>
      <c r="L370" s="2069">
        <v>3.7503025901718714</v>
      </c>
      <c r="M370" s="2069">
        <v>35.224997754740336</v>
      </c>
      <c r="N370" s="2069">
        <v>10.598815094546151</v>
      </c>
      <c r="O370" s="2069">
        <v>7.2464107055574134</v>
      </c>
      <c r="P370" s="2069">
        <v>7.2496490407112777</v>
      </c>
      <c r="Q370" s="2068">
        <v>1299.7063758389261</v>
      </c>
      <c r="R370" s="2067">
        <v>15492.5</v>
      </c>
      <c r="S370" s="2066">
        <v>16791.544999999998</v>
      </c>
      <c r="T370" s="2068">
        <v>10024.42</v>
      </c>
      <c r="U370" s="2068">
        <v>11256.225</v>
      </c>
      <c r="V370" s="2068">
        <v>17427.864999999998</v>
      </c>
      <c r="W370" s="2068">
        <v>19186.690000000002</v>
      </c>
      <c r="X370" s="2068">
        <v>1986.9700000000003</v>
      </c>
      <c r="Y370" s="2068">
        <v>102.98</v>
      </c>
      <c r="Z370" s="2068">
        <v>3307.1849999999999</v>
      </c>
      <c r="AA370" s="2068">
        <v>9221.1350000000002</v>
      </c>
      <c r="AB370" s="2068">
        <v>11492.525000000001</v>
      </c>
      <c r="AC370" s="2068">
        <v>4131</v>
      </c>
      <c r="AD370" s="2068">
        <v>439.81550000000004</v>
      </c>
      <c r="AE370" s="2068">
        <v>1461.72</v>
      </c>
      <c r="AF370" s="2068">
        <v>2137.9549999999999</v>
      </c>
      <c r="AG370" s="2068">
        <v>11.92</v>
      </c>
      <c r="AH370" s="2068">
        <v>186.05</v>
      </c>
      <c r="AI370" s="2068">
        <v>2137</v>
      </c>
    </row>
    <row r="371" spans="1:35">
      <c r="A371" s="2077">
        <v>45250</v>
      </c>
      <c r="B371" s="2076">
        <v>1.0916001942376172</v>
      </c>
      <c r="C371" s="2075">
        <v>0.65530009711880877</v>
      </c>
      <c r="D371" s="2075">
        <v>1.370700033235815</v>
      </c>
      <c r="E371" s="2075">
        <v>0.88449989104816806</v>
      </c>
      <c r="F371" s="2075">
        <v>1.247500161864681</v>
      </c>
      <c r="G371" s="2075">
        <v>7.7937347354823086</v>
      </c>
      <c r="H371" s="2075">
        <v>148.90335020486864</v>
      </c>
      <c r="I371" s="2075">
        <v>4.6684973906893017</v>
      </c>
      <c r="J371" s="2075">
        <v>0.60305017805114924</v>
      </c>
      <c r="K371" s="2075">
        <v>1.341499587214193</v>
      </c>
      <c r="L371" s="2075">
        <v>3.7501517542794707</v>
      </c>
      <c r="M371" s="2075">
        <v>35.109972982710978</v>
      </c>
      <c r="N371" s="2075">
        <v>10.496413413933828</v>
      </c>
      <c r="O371" s="2075">
        <v>7.1784956531640924</v>
      </c>
      <c r="P371" s="2075">
        <v>7.1820506858870035</v>
      </c>
      <c r="Q371" s="2074">
        <v>1291.3879598662206</v>
      </c>
      <c r="R371" s="2073">
        <v>15445</v>
      </c>
      <c r="S371" s="2072">
        <v>16859.764999999999</v>
      </c>
      <c r="T371" s="2074">
        <v>10121.11</v>
      </c>
      <c r="U371" s="2074">
        <v>11267.965</v>
      </c>
      <c r="V371" s="2074">
        <v>17461.845000000001</v>
      </c>
      <c r="W371" s="2074">
        <v>19267.64</v>
      </c>
      <c r="X371" s="2074">
        <v>1981.72</v>
      </c>
      <c r="Y371" s="2074">
        <v>103.72499999999999</v>
      </c>
      <c r="Z371" s="2074">
        <v>3308.3450000000003</v>
      </c>
      <c r="AA371" s="2074">
        <v>9314.11</v>
      </c>
      <c r="AB371" s="2074">
        <v>11513.235000000001</v>
      </c>
      <c r="AC371" s="2074">
        <v>4118.5</v>
      </c>
      <c r="AD371" s="2074">
        <v>439.90350000000001</v>
      </c>
      <c r="AE371" s="2074">
        <v>1471.4549999999999</v>
      </c>
      <c r="AF371" s="2074">
        <v>2151.5650000000001</v>
      </c>
      <c r="AG371" s="2074">
        <v>11.96</v>
      </c>
      <c r="AH371" s="2074">
        <v>185.35000000000002</v>
      </c>
      <c r="AI371" s="2074">
        <v>2150.5</v>
      </c>
    </row>
    <row r="372" spans="1:35" s="1459" customFormat="1">
      <c r="A372" s="2083">
        <v>45251</v>
      </c>
      <c r="B372" s="2082">
        <v>1.0953999352331605</v>
      </c>
      <c r="C372" s="2081">
        <v>0.65729987046632132</v>
      </c>
      <c r="D372" s="2081">
        <v>1.3723999176915593</v>
      </c>
      <c r="E372" s="2081">
        <v>0.88369988658993992</v>
      </c>
      <c r="F372" s="2081">
        <v>1.2524498056994819</v>
      </c>
      <c r="G372" s="2081">
        <v>7.7927649426520134</v>
      </c>
      <c r="H372" s="2081">
        <v>147.51827258395832</v>
      </c>
      <c r="I372" s="2081">
        <v>4.6519966074169821</v>
      </c>
      <c r="J372" s="2081">
        <v>0.6067001295336788</v>
      </c>
      <c r="K372" s="2081">
        <v>1.3361498633994455</v>
      </c>
      <c r="L372" s="2081">
        <v>3.7507591400461555</v>
      </c>
      <c r="M372" s="2081">
        <v>35.159990481297918</v>
      </c>
      <c r="N372" s="2081">
        <v>10.413294485809862</v>
      </c>
      <c r="O372" s="2081">
        <v>7.1338968680621813</v>
      </c>
      <c r="P372" s="2081">
        <v>7.1365842385024267</v>
      </c>
      <c r="Q372" s="2080">
        <v>1288.2770129328328</v>
      </c>
      <c r="R372" s="2079">
        <v>15440</v>
      </c>
      <c r="S372" s="2078">
        <v>16912.974999999999</v>
      </c>
      <c r="T372" s="2080">
        <v>10148.710000000001</v>
      </c>
      <c r="U372" s="2080">
        <v>11250.365</v>
      </c>
      <c r="V372" s="2080">
        <v>17471.995000000003</v>
      </c>
      <c r="W372" s="2080">
        <v>19337.825000000001</v>
      </c>
      <c r="X372" s="2080">
        <v>1981.325</v>
      </c>
      <c r="Y372" s="2080">
        <v>104.66500000000001</v>
      </c>
      <c r="Z372" s="2080">
        <v>3319.0050000000001</v>
      </c>
      <c r="AA372" s="2080">
        <v>9367.4500000000007</v>
      </c>
      <c r="AB372" s="2080">
        <v>11555.59</v>
      </c>
      <c r="AC372" s="2080">
        <v>4116.5</v>
      </c>
      <c r="AD372" s="2080">
        <v>439.13549999999998</v>
      </c>
      <c r="AE372" s="2080">
        <v>1482.72</v>
      </c>
      <c r="AF372" s="2080">
        <v>2164.3150000000001</v>
      </c>
      <c r="AG372" s="2080">
        <v>11.984999999999999</v>
      </c>
      <c r="AH372" s="2080">
        <v>185.28500000000003</v>
      </c>
      <c r="AI372" s="2080">
        <v>2163.5</v>
      </c>
    </row>
    <row r="373" spans="1:35">
      <c r="A373" s="2089">
        <v>45252</v>
      </c>
      <c r="B373" s="2088">
        <v>1.0915001605136436</v>
      </c>
      <c r="C373" s="2087">
        <v>0.65390016051364364</v>
      </c>
      <c r="D373" s="2087">
        <v>1.3714999233897314</v>
      </c>
      <c r="E373" s="2087">
        <v>0.88369997662379507</v>
      </c>
      <c r="F373" s="2087">
        <v>1.2527001605136436</v>
      </c>
      <c r="G373" s="2087">
        <v>7.7976564475228987</v>
      </c>
      <c r="H373" s="2087">
        <v>148.96465974845773</v>
      </c>
      <c r="I373" s="2087">
        <v>4.680501317001414</v>
      </c>
      <c r="J373" s="2087">
        <v>0.60300032102728729</v>
      </c>
      <c r="K373" s="2087">
        <v>1.3401498128307623</v>
      </c>
      <c r="L373" s="2087">
        <v>3.7507525586995785</v>
      </c>
      <c r="M373" s="2087">
        <v>35.230024349997564</v>
      </c>
      <c r="N373" s="2087">
        <v>10.465381927646078</v>
      </c>
      <c r="O373" s="2087">
        <v>7.1444462538101794</v>
      </c>
      <c r="P373" s="2087">
        <v>7.1526980482204365</v>
      </c>
      <c r="Q373" s="2086">
        <v>1301.7133305474301</v>
      </c>
      <c r="R373" s="2085">
        <v>15575</v>
      </c>
      <c r="S373" s="2084">
        <v>17000.114999999998</v>
      </c>
      <c r="T373" s="2086">
        <v>10184.494999999999</v>
      </c>
      <c r="U373" s="2086">
        <v>11356.18</v>
      </c>
      <c r="V373" s="2086">
        <v>17624.760000000002</v>
      </c>
      <c r="W373" s="2086">
        <v>19510.805</v>
      </c>
      <c r="X373" s="2086">
        <v>1997.395</v>
      </c>
      <c r="Y373" s="2086">
        <v>104.55500000000001</v>
      </c>
      <c r="Z373" s="2086">
        <v>3327.6350000000002</v>
      </c>
      <c r="AA373" s="2086">
        <v>9391.73</v>
      </c>
      <c r="AB373" s="2086">
        <v>11621.834999999999</v>
      </c>
      <c r="AC373" s="2086">
        <v>4152.5</v>
      </c>
      <c r="AD373" s="2086">
        <v>442.09450000000004</v>
      </c>
      <c r="AE373" s="2086">
        <v>1488.24</v>
      </c>
      <c r="AF373" s="2086">
        <v>2180.0150000000003</v>
      </c>
      <c r="AG373" s="2086">
        <v>11.965</v>
      </c>
      <c r="AH373" s="2086">
        <v>186.95499999999998</v>
      </c>
      <c r="AI373" s="2086">
        <v>2177.5</v>
      </c>
    </row>
    <row r="374" spans="1:35">
      <c r="A374" s="2095">
        <v>45253</v>
      </c>
      <c r="B374" s="2094">
        <v>1.0914001928640309</v>
      </c>
      <c r="C374" s="2093">
        <v>0.65715011250401811</v>
      </c>
      <c r="D374" s="2093">
        <v>1.3659000912795334</v>
      </c>
      <c r="E374" s="2093">
        <v>0.88254993669526882</v>
      </c>
      <c r="F374" s="2093">
        <v>1.2517502410800385</v>
      </c>
      <c r="G374" s="2093">
        <v>7.7970511056474106</v>
      </c>
      <c r="H374" s="2093">
        <v>149.1442542787286</v>
      </c>
      <c r="I374" s="2093">
        <v>4.6819974114318388</v>
      </c>
      <c r="J374" s="2093">
        <v>0.60599999999999998</v>
      </c>
      <c r="K374" s="2093">
        <v>1.3394500547878561</v>
      </c>
      <c r="L374" s="2093">
        <v>3.7504520795660037</v>
      </c>
      <c r="M374" s="2093">
        <v>35.254961022359872</v>
      </c>
      <c r="N374" s="2093">
        <v>10.400334308399499</v>
      </c>
      <c r="O374" s="2093">
        <v>7.1365978317221881</v>
      </c>
      <c r="P374" s="2093">
        <v>7.138595686094539</v>
      </c>
      <c r="Q374" s="2092">
        <v>1297.872340425532</v>
      </c>
      <c r="R374" s="2091">
        <v>15555</v>
      </c>
      <c r="S374" s="2090">
        <v>16976.73</v>
      </c>
      <c r="T374" s="2092">
        <v>10221.970000000001</v>
      </c>
      <c r="U374" s="2092">
        <v>11388.095000000001</v>
      </c>
      <c r="V374" s="2092">
        <v>17625.065000000002</v>
      </c>
      <c r="W374" s="2092">
        <v>19470.974999999999</v>
      </c>
      <c r="X374" s="2092">
        <v>1994.9850000000001</v>
      </c>
      <c r="Y374" s="2092">
        <v>104.295</v>
      </c>
      <c r="Z374" s="2092">
        <v>3322.3</v>
      </c>
      <c r="AA374" s="2092">
        <v>9426.33</v>
      </c>
      <c r="AB374" s="2092">
        <v>11612.974999999999</v>
      </c>
      <c r="AC374" s="2092">
        <v>4147.5</v>
      </c>
      <c r="AD374" s="2092">
        <v>441.21449999999999</v>
      </c>
      <c r="AE374" s="2092">
        <v>1495.625</v>
      </c>
      <c r="AF374" s="2092">
        <v>2179.61</v>
      </c>
      <c r="AG374" s="2092">
        <v>11.984999999999999</v>
      </c>
      <c r="AH374" s="2092">
        <v>186.655</v>
      </c>
      <c r="AI374" s="2092">
        <v>2179</v>
      </c>
    </row>
    <row r="375" spans="1:35">
      <c r="A375" s="2101">
        <v>45254</v>
      </c>
      <c r="B375" s="2100">
        <v>1.0908001927401221</v>
      </c>
      <c r="C375" s="2099">
        <v>0.65609990362993897</v>
      </c>
      <c r="D375" s="2099">
        <v>1.3695002226042765</v>
      </c>
      <c r="E375" s="2099">
        <v>0.88409997458177081</v>
      </c>
      <c r="F375" s="2099">
        <v>1.2530999036299391</v>
      </c>
      <c r="G375" s="2099">
        <v>7.7936449122244804</v>
      </c>
      <c r="H375" s="2099">
        <v>149.42639082225315</v>
      </c>
      <c r="I375" s="2099">
        <v>4.6834989784465773</v>
      </c>
      <c r="J375" s="2099">
        <v>0.60545004818503056</v>
      </c>
      <c r="K375" s="2099">
        <v>1.341650156425289</v>
      </c>
      <c r="L375" s="2099">
        <v>3.7506024096385544</v>
      </c>
      <c r="M375" s="2099">
        <v>35.475015355792863</v>
      </c>
      <c r="N375" s="2099">
        <v>10.50397484174866</v>
      </c>
      <c r="O375" s="2099">
        <v>7.1539865147469097</v>
      </c>
      <c r="P375" s="2099">
        <v>7.159613615455382</v>
      </c>
      <c r="Q375" s="2098">
        <v>1306.3365505665129</v>
      </c>
      <c r="R375" s="2097">
        <v>15565</v>
      </c>
      <c r="S375" s="2096">
        <v>16978.305</v>
      </c>
      <c r="T375" s="2098">
        <v>10212.195</v>
      </c>
      <c r="U375" s="2098">
        <v>11365.46</v>
      </c>
      <c r="V375" s="2098">
        <v>17605.474999999999</v>
      </c>
      <c r="W375" s="2098">
        <v>19504.5</v>
      </c>
      <c r="X375" s="2098">
        <v>1997.14</v>
      </c>
      <c r="Y375" s="2098">
        <v>104.16499999999999</v>
      </c>
      <c r="Z375" s="2098">
        <v>3323.37</v>
      </c>
      <c r="AA375" s="2098">
        <v>9423.83</v>
      </c>
      <c r="AB375" s="2098">
        <v>11601.385</v>
      </c>
      <c r="AC375" s="2098">
        <v>4150</v>
      </c>
      <c r="AD375" s="2098">
        <v>438.7595</v>
      </c>
      <c r="AE375" s="2098">
        <v>1481.8200000000002</v>
      </c>
      <c r="AF375" s="2098">
        <v>2175.71</v>
      </c>
      <c r="AG375" s="2098">
        <v>11.914999999999999</v>
      </c>
      <c r="AH375" s="2098">
        <v>186.70500000000001</v>
      </c>
      <c r="AI375" s="2098">
        <v>2174</v>
      </c>
    </row>
    <row r="376" spans="1:35" s="31" customFormat="1">
      <c r="A376" s="2101">
        <v>45257</v>
      </c>
      <c r="B376" s="2100">
        <v>1.0948</v>
      </c>
      <c r="C376" s="2099">
        <v>0.65859999999999996</v>
      </c>
      <c r="D376" s="2099">
        <v>1.3633</v>
      </c>
      <c r="E376" s="2099">
        <v>0.88100000000000001</v>
      </c>
      <c r="F376" s="2099">
        <v>1.2617</v>
      </c>
      <c r="G376" s="2099">
        <v>7.7893999999999997</v>
      </c>
      <c r="H376" s="2099">
        <v>149.03569999999999</v>
      </c>
      <c r="I376" s="2099">
        <v>4.6779999999999999</v>
      </c>
      <c r="J376" s="2099">
        <v>0.60809999999999997</v>
      </c>
      <c r="K376" s="2099">
        <v>1.3380000000000001</v>
      </c>
      <c r="L376" s="2099">
        <v>3.7503000000000002</v>
      </c>
      <c r="M376" s="2099">
        <v>35.155000000000001</v>
      </c>
      <c r="N376" s="2099">
        <v>10.4544</v>
      </c>
      <c r="O376" s="2099">
        <v>7.1525999999999996</v>
      </c>
      <c r="P376" s="2099">
        <v>7.1551999999999998</v>
      </c>
      <c r="Q376" s="2098">
        <v>1303.7</v>
      </c>
      <c r="R376" s="2097">
        <v>15494.5</v>
      </c>
      <c r="S376" s="2096">
        <v>16963.38</v>
      </c>
      <c r="T376" s="2098">
        <v>10203.91</v>
      </c>
      <c r="U376" s="2098">
        <v>11365.44</v>
      </c>
      <c r="V376" s="2098">
        <v>17587.400000000001</v>
      </c>
      <c r="W376" s="2098">
        <v>19549.419999999998</v>
      </c>
      <c r="X376" s="2098">
        <v>1989.19</v>
      </c>
      <c r="Y376" s="2098">
        <v>103.97</v>
      </c>
      <c r="Z376" s="2098">
        <v>3312.21</v>
      </c>
      <c r="AA376" s="2098">
        <v>9422.2099999999991</v>
      </c>
      <c r="AB376" s="2098">
        <v>11579.92</v>
      </c>
      <c r="AC376" s="2098">
        <v>4131.5</v>
      </c>
      <c r="AD376" s="2098">
        <v>440.75</v>
      </c>
      <c r="AE376" s="2098">
        <v>1482.11</v>
      </c>
      <c r="AF376" s="2098">
        <v>2166.2800000000002</v>
      </c>
      <c r="AG376" s="2098">
        <v>11.89</v>
      </c>
      <c r="AH376" s="2098">
        <v>185.8</v>
      </c>
      <c r="AI376" s="2098">
        <v>2165.5</v>
      </c>
    </row>
    <row r="377" spans="1:35" s="31" customFormat="1">
      <c r="A377" s="2101">
        <v>45258</v>
      </c>
      <c r="B377" s="2100">
        <v>1.0936002591512797</v>
      </c>
      <c r="C377" s="2099">
        <v>0.66080012957563983</v>
      </c>
      <c r="D377" s="2099">
        <v>1.3598999127760989</v>
      </c>
      <c r="E377" s="2099">
        <v>0.88079984729378735</v>
      </c>
      <c r="F377" s="2099">
        <v>1.2612001943634596</v>
      </c>
      <c r="G377" s="2099">
        <v>7.795297064705764</v>
      </c>
      <c r="H377" s="2099">
        <v>148.5134224959107</v>
      </c>
      <c r="I377" s="2099">
        <v>4.6714970581826103</v>
      </c>
      <c r="J377" s="2099">
        <v>0.60925008098477496</v>
      </c>
      <c r="K377" s="2099">
        <v>1.3367496155816418</v>
      </c>
      <c r="L377" s="2099">
        <v>3.7504555947029523</v>
      </c>
      <c r="M377" s="2099">
        <v>34.935001884249367</v>
      </c>
      <c r="N377" s="2099">
        <v>10.433248501931519</v>
      </c>
      <c r="O377" s="2099">
        <v>7.1538980285646083</v>
      </c>
      <c r="P377" s="2099">
        <v>7.1590909090909092</v>
      </c>
      <c r="Q377" s="2098">
        <v>1295.4259336970206</v>
      </c>
      <c r="R377" s="2097">
        <v>15435</v>
      </c>
      <c r="S377" s="2096">
        <v>16879.72</v>
      </c>
      <c r="T377" s="2098">
        <v>10199.450000000001</v>
      </c>
      <c r="U377" s="2098">
        <v>11350.1</v>
      </c>
      <c r="V377" s="2098">
        <v>17523.845000000001</v>
      </c>
      <c r="W377" s="2098">
        <v>19466.625</v>
      </c>
      <c r="X377" s="2098">
        <v>1980.04</v>
      </c>
      <c r="Y377" s="2098">
        <v>103.93</v>
      </c>
      <c r="Z377" s="2098">
        <v>3304.08</v>
      </c>
      <c r="AA377" s="2098">
        <v>9403.7750000000015</v>
      </c>
      <c r="AB377" s="2098">
        <v>11546.665000000001</v>
      </c>
      <c r="AC377" s="2098">
        <v>4115.5</v>
      </c>
      <c r="AD377" s="2098">
        <v>441.82050000000004</v>
      </c>
      <c r="AE377" s="2098">
        <v>1479.405</v>
      </c>
      <c r="AF377" s="2098">
        <v>2157.5650000000001</v>
      </c>
      <c r="AG377" s="2098">
        <v>11.914999999999999</v>
      </c>
      <c r="AH377" s="2098">
        <v>185.13</v>
      </c>
      <c r="AI377" s="2098">
        <v>2156</v>
      </c>
    </row>
    <row r="378" spans="1:35" s="31" customFormat="1">
      <c r="A378" s="2101">
        <v>45259</v>
      </c>
      <c r="B378" s="2100">
        <v>1.0985001623903865</v>
      </c>
      <c r="C378" s="2099">
        <v>0.66284995128288415</v>
      </c>
      <c r="D378" s="2099">
        <v>1.3565998206768017</v>
      </c>
      <c r="E378" s="2099">
        <v>0.87789979225794468</v>
      </c>
      <c r="F378" s="2099">
        <v>1.2697999350438454</v>
      </c>
      <c r="G378" s="2099">
        <v>7.798549707839328</v>
      </c>
      <c r="H378" s="2099">
        <v>147.34172369239604</v>
      </c>
      <c r="I378" s="2099">
        <v>4.6529973221463932</v>
      </c>
      <c r="J378" s="2099">
        <v>0.61599999999999999</v>
      </c>
      <c r="K378" s="2099">
        <v>1.3315504367433537</v>
      </c>
      <c r="L378" s="2099">
        <v>3.7507613594834939</v>
      </c>
      <c r="M378" s="2099">
        <v>34.734991979025885</v>
      </c>
      <c r="N378" s="2099">
        <v>10.346693191479352</v>
      </c>
      <c r="O378" s="2099">
        <v>7.1251871547616572</v>
      </c>
      <c r="P378" s="2099">
        <v>7.1273148148148149</v>
      </c>
      <c r="Q378" s="2098">
        <v>1290.9853249475891</v>
      </c>
      <c r="R378" s="2097">
        <v>15395</v>
      </c>
      <c r="S378" s="2096">
        <v>16911.41</v>
      </c>
      <c r="T378" s="2098">
        <v>10204.575000000001</v>
      </c>
      <c r="U378" s="2098">
        <v>11348.225</v>
      </c>
      <c r="V378" s="2098">
        <v>17536.169999999998</v>
      </c>
      <c r="W378" s="2098">
        <v>19548.57</v>
      </c>
      <c r="X378" s="2098">
        <v>1974.085</v>
      </c>
      <c r="Y378" s="2098">
        <v>104.485</v>
      </c>
      <c r="Z378" s="2098">
        <v>3308.62</v>
      </c>
      <c r="AA378" s="2098">
        <v>9483.32</v>
      </c>
      <c r="AB378" s="2098">
        <v>11561.71</v>
      </c>
      <c r="AC378" s="2098">
        <v>4104.5</v>
      </c>
      <c r="AD378" s="2098">
        <v>443.21299999999997</v>
      </c>
      <c r="AE378" s="2098">
        <v>1487.915</v>
      </c>
      <c r="AF378" s="2098">
        <v>2160.645</v>
      </c>
      <c r="AG378" s="2098">
        <v>11.925000000000001</v>
      </c>
      <c r="AH378" s="2098">
        <v>184.82499999999999</v>
      </c>
      <c r="AI378" s="2098">
        <v>2160</v>
      </c>
    </row>
    <row r="379" spans="1:35" s="1459" customFormat="1">
      <c r="A379" s="2102">
        <v>45260</v>
      </c>
      <c r="B379" s="2103">
        <v>1.0950499677627337</v>
      </c>
      <c r="C379" s="2104">
        <v>0.66355029013539657</v>
      </c>
      <c r="D379" s="2104">
        <v>1.3585998450442858</v>
      </c>
      <c r="E379" s="2104">
        <v>0.87305002644198904</v>
      </c>
      <c r="F379" s="2104">
        <v>1.2693001289490653</v>
      </c>
      <c r="G379" s="2104">
        <v>7.8083898657067703</v>
      </c>
      <c r="H379" s="2104">
        <v>147.06300668468211</v>
      </c>
      <c r="I379" s="2104">
        <v>4.6602466835929865</v>
      </c>
      <c r="J379" s="2104">
        <v>0.61740038684719545</v>
      </c>
      <c r="K379" s="2104">
        <v>1.3332496649683709</v>
      </c>
      <c r="L379" s="2104">
        <v>3.7513605030838071</v>
      </c>
      <c r="M379" s="2104">
        <v>35.05496691136586</v>
      </c>
      <c r="N379" s="2104">
        <v>10.375414749009954</v>
      </c>
      <c r="O379" s="2104">
        <v>7.1315918945388841</v>
      </c>
      <c r="P379" s="2104">
        <v>7.1375977910722508</v>
      </c>
      <c r="Q379" s="2105">
        <v>1296.2808190555788</v>
      </c>
      <c r="R379" s="2106">
        <v>15510</v>
      </c>
      <c r="S379" s="2107">
        <v>16984.224999999999</v>
      </c>
      <c r="T379" s="2105">
        <v>10291.665000000001</v>
      </c>
      <c r="U379" s="2105">
        <v>11416.165000000001</v>
      </c>
      <c r="V379" s="2105">
        <v>17765.305</v>
      </c>
      <c r="W379" s="2105">
        <v>19686.845000000001</v>
      </c>
      <c r="X379" s="2105">
        <v>1986.325</v>
      </c>
      <c r="Y379" s="2105">
        <v>105.465</v>
      </c>
      <c r="Z379" s="2105">
        <v>3328.15</v>
      </c>
      <c r="AA379" s="2105">
        <v>9575.880000000001</v>
      </c>
      <c r="AB379" s="2105">
        <v>11633.23</v>
      </c>
      <c r="AC379" s="2105">
        <v>4134.5</v>
      </c>
      <c r="AD379" s="2105">
        <v>442.44799999999998</v>
      </c>
      <c r="AE379" s="2105">
        <v>1494.88</v>
      </c>
      <c r="AF379" s="2105">
        <v>2174.83</v>
      </c>
      <c r="AG379" s="2105">
        <v>11.965</v>
      </c>
      <c r="AH379" s="2105">
        <v>186.04500000000002</v>
      </c>
      <c r="AI379" s="2105">
        <v>2173</v>
      </c>
    </row>
    <row r="380" spans="1:35" s="1459" customFormat="1">
      <c r="A380" s="2108">
        <v>45261</v>
      </c>
      <c r="B380" s="2109">
        <v>1.0894998385534387</v>
      </c>
      <c r="C380" s="2110">
        <v>0.66035001614465616</v>
      </c>
      <c r="D380" s="2110">
        <v>1.3540999891567067</v>
      </c>
      <c r="E380" s="2110">
        <v>0.87485010741419211</v>
      </c>
      <c r="F380" s="2110">
        <v>1.2634000645786245</v>
      </c>
      <c r="G380" s="2110">
        <v>7.8109039917073773</v>
      </c>
      <c r="H380" s="2110">
        <v>148.30244696643203</v>
      </c>
      <c r="I380" s="2110">
        <v>4.6839930549253763</v>
      </c>
      <c r="J380" s="2110">
        <v>0.61540006457862451</v>
      </c>
      <c r="K380" s="2110">
        <v>1.3383496597298927</v>
      </c>
      <c r="L380" s="2110">
        <v>3.7512112403100777</v>
      </c>
      <c r="M380" s="2110">
        <v>35.245008000400588</v>
      </c>
      <c r="N380" s="2110">
        <v>10.484870234072952</v>
      </c>
      <c r="O380" s="2110">
        <v>7.1450983287345071</v>
      </c>
      <c r="P380" s="2110">
        <v>7.1524249422632797</v>
      </c>
      <c r="Q380" s="2111">
        <v>1306.1999156474062</v>
      </c>
      <c r="R380" s="2112">
        <v>15485</v>
      </c>
      <c r="S380" s="2113">
        <v>16870.904999999999</v>
      </c>
      <c r="T380" s="2111">
        <v>10225.52</v>
      </c>
      <c r="U380" s="2111">
        <v>11435.64</v>
      </c>
      <c r="V380" s="2111">
        <v>17700.175000000003</v>
      </c>
      <c r="W380" s="2111">
        <v>19563.75</v>
      </c>
      <c r="X380" s="2111">
        <v>1982.4850000000001</v>
      </c>
      <c r="Y380" s="2111">
        <v>104.41499999999999</v>
      </c>
      <c r="Z380" s="2111">
        <v>3305.94</v>
      </c>
      <c r="AA380" s="2111">
        <v>9529.4700000000012</v>
      </c>
      <c r="AB380" s="2111">
        <v>11570.220000000001</v>
      </c>
      <c r="AC380" s="2111">
        <v>4128</v>
      </c>
      <c r="AD380" s="2111">
        <v>439.35300000000001</v>
      </c>
      <c r="AE380" s="2111">
        <v>1476.8899999999999</v>
      </c>
      <c r="AF380" s="2111">
        <v>2167.2200000000003</v>
      </c>
      <c r="AG380" s="2111">
        <v>11.855</v>
      </c>
      <c r="AH380" s="2111">
        <v>185.77500000000001</v>
      </c>
      <c r="AI380" s="2111">
        <v>2165</v>
      </c>
    </row>
    <row r="381" spans="1:35">
      <c r="A381" s="2119">
        <v>45264</v>
      </c>
      <c r="B381" s="2118">
        <v>1.085400194111938</v>
      </c>
      <c r="C381" s="2117">
        <v>0.66400032351989646</v>
      </c>
      <c r="D381" s="2117">
        <v>1.3536997037714398</v>
      </c>
      <c r="E381" s="2117">
        <v>0.87525010179631579</v>
      </c>
      <c r="F381" s="2117">
        <v>1.2664503396958913</v>
      </c>
      <c r="G381" s="2117">
        <v>7.8140602524464757</v>
      </c>
      <c r="H381" s="2117">
        <v>146.9595397708363</v>
      </c>
      <c r="I381" s="2117">
        <v>4.6579966545607974</v>
      </c>
      <c r="J381" s="2117">
        <v>0.6176499514720154</v>
      </c>
      <c r="K381" s="2117">
        <v>1.3356494384741362</v>
      </c>
      <c r="L381" s="2117">
        <v>3.7512135922330097</v>
      </c>
      <c r="M381" s="2117">
        <v>34.909986221228344</v>
      </c>
      <c r="N381" s="2117">
        <v>10.438089063138451</v>
      </c>
      <c r="O381" s="2117">
        <v>7.1380076391230247</v>
      </c>
      <c r="P381" s="2117">
        <v>7.1435174485786916</v>
      </c>
      <c r="Q381" s="2116">
        <v>1306.9767441860465</v>
      </c>
      <c r="R381" s="2115">
        <v>15455</v>
      </c>
      <c r="S381" s="2114">
        <v>16774.86</v>
      </c>
      <c r="T381" s="2116">
        <v>10262.125</v>
      </c>
      <c r="U381" s="2116">
        <v>11416.86</v>
      </c>
      <c r="V381" s="2116">
        <v>17657.809999999998</v>
      </c>
      <c r="W381" s="2116">
        <v>19572.989999999998</v>
      </c>
      <c r="X381" s="2116">
        <v>1977.845</v>
      </c>
      <c r="Y381" s="2116">
        <v>105.16500000000001</v>
      </c>
      <c r="Z381" s="2116">
        <v>3317.9500000000003</v>
      </c>
      <c r="AA381" s="2116">
        <v>9545.7799999999988</v>
      </c>
      <c r="AB381" s="2116">
        <v>11571.15</v>
      </c>
      <c r="AC381" s="2116">
        <v>4120</v>
      </c>
      <c r="AD381" s="2116">
        <v>442.71000000000004</v>
      </c>
      <c r="AE381" s="2116">
        <v>1480.635</v>
      </c>
      <c r="AF381" s="2116">
        <v>2165.17</v>
      </c>
      <c r="AG381" s="2116">
        <v>11.824999999999999</v>
      </c>
      <c r="AH381" s="2116">
        <v>185.44</v>
      </c>
      <c r="AI381" s="2116">
        <v>2163.5</v>
      </c>
    </row>
    <row r="382" spans="1:35">
      <c r="A382" s="2125">
        <v>45265</v>
      </c>
      <c r="B382" s="2124">
        <v>1.0808000644953242</v>
      </c>
      <c r="C382" s="2123">
        <v>0.65719993550467593</v>
      </c>
      <c r="D382" s="2123">
        <v>1.3566995407084237</v>
      </c>
      <c r="E382" s="2123">
        <v>0.87429986934841675</v>
      </c>
      <c r="F382" s="2123">
        <v>1.2610000000000001</v>
      </c>
      <c r="G382" s="2123">
        <v>7.8172857557003663</v>
      </c>
      <c r="H382" s="2123">
        <v>146.83460391117003</v>
      </c>
      <c r="I382" s="2123">
        <v>4.6694985822854198</v>
      </c>
      <c r="J382" s="2123">
        <v>0.61470009674298609</v>
      </c>
      <c r="K382" s="2123">
        <v>1.3393998659304358</v>
      </c>
      <c r="L382" s="2123">
        <v>3.7510584250635053</v>
      </c>
      <c r="M382" s="2123">
        <v>35.300010245085204</v>
      </c>
      <c r="N382" s="2123">
        <v>10.460695648067249</v>
      </c>
      <c r="O382" s="2123">
        <v>7.1474504507203909</v>
      </c>
      <c r="P382" s="2123">
        <v>7.1550530687586527</v>
      </c>
      <c r="Q382" s="2122">
        <v>1314.5400593471809</v>
      </c>
      <c r="R382" s="2121">
        <v>15505</v>
      </c>
      <c r="S382" s="2120">
        <v>16757.805</v>
      </c>
      <c r="T382" s="2122">
        <v>10189.885</v>
      </c>
      <c r="U382" s="2122">
        <v>11428.470000000001</v>
      </c>
      <c r="V382" s="2122">
        <v>17734.190000000002</v>
      </c>
      <c r="W382" s="2122">
        <v>19551.805</v>
      </c>
      <c r="X382" s="2122">
        <v>1983.4250000000002</v>
      </c>
      <c r="Y382" s="2122">
        <v>105.595</v>
      </c>
      <c r="Z382" s="2122">
        <v>3320.4849999999997</v>
      </c>
      <c r="AA382" s="2122">
        <v>9530.9249999999993</v>
      </c>
      <c r="AB382" s="2122">
        <v>11576.08</v>
      </c>
      <c r="AC382" s="2122">
        <v>4133.5</v>
      </c>
      <c r="AD382" s="2122">
        <v>439.23500000000001</v>
      </c>
      <c r="AE382" s="2122">
        <v>1482.2150000000001</v>
      </c>
      <c r="AF382" s="2122">
        <v>2169.3050000000003</v>
      </c>
      <c r="AG382" s="2122">
        <v>11.795000000000002</v>
      </c>
      <c r="AH382" s="2122">
        <v>185.94</v>
      </c>
      <c r="AI382" s="2122">
        <v>2167</v>
      </c>
    </row>
    <row r="383" spans="1:35">
      <c r="A383" s="2131">
        <v>45266</v>
      </c>
      <c r="B383" s="2130">
        <v>1.0790498628368566</v>
      </c>
      <c r="C383" s="2129">
        <v>0.65924995965789901</v>
      </c>
      <c r="D383" s="2129">
        <v>1.3565001464416002</v>
      </c>
      <c r="E383" s="2129">
        <v>0.87409998169143499</v>
      </c>
      <c r="F383" s="2129">
        <v>1.260750040342101</v>
      </c>
      <c r="G383" s="2129">
        <v>7.8109835259714879</v>
      </c>
      <c r="H383" s="2129">
        <v>146.97372165828671</v>
      </c>
      <c r="I383" s="2129">
        <v>4.6699955236770361</v>
      </c>
      <c r="J383" s="2129">
        <v>0.61750008068420204</v>
      </c>
      <c r="K383" s="2129">
        <v>1.3397499508160216</v>
      </c>
      <c r="L383" s="2129">
        <v>3.7507565670015737</v>
      </c>
      <c r="M383" s="2129">
        <v>35.044998071591998</v>
      </c>
      <c r="N383" s="2129">
        <v>10.474487346778718</v>
      </c>
      <c r="O383" s="2129">
        <v>7.1570131106039749</v>
      </c>
      <c r="P383" s="2129">
        <v>7.1641618497109825</v>
      </c>
      <c r="Q383" s="2128">
        <v>1312.3676408301567</v>
      </c>
      <c r="R383" s="2127">
        <v>15492.5</v>
      </c>
      <c r="S383" s="2126">
        <v>16717.18</v>
      </c>
      <c r="T383" s="2128">
        <v>10213.43</v>
      </c>
      <c r="U383" s="2128">
        <v>11420.935000000001</v>
      </c>
      <c r="V383" s="2128">
        <v>17723.945</v>
      </c>
      <c r="W383" s="2128">
        <v>19532.170000000002</v>
      </c>
      <c r="X383" s="2128">
        <v>1983.4250000000002</v>
      </c>
      <c r="Y383" s="2128">
        <v>105.41</v>
      </c>
      <c r="Z383" s="2128">
        <v>3317.4549999999999</v>
      </c>
      <c r="AA383" s="2128">
        <v>9566.6200000000008</v>
      </c>
      <c r="AB383" s="2128">
        <v>11563.725</v>
      </c>
      <c r="AC383" s="2128">
        <v>4130.5</v>
      </c>
      <c r="AD383" s="2128">
        <v>442.07450000000006</v>
      </c>
      <c r="AE383" s="2128">
        <v>1479.0700000000002</v>
      </c>
      <c r="AF383" s="2128">
        <v>2164.66</v>
      </c>
      <c r="AG383" s="2128">
        <v>11.805</v>
      </c>
      <c r="AH383" s="2128">
        <v>185.98500000000001</v>
      </c>
      <c r="AI383" s="2128">
        <v>2162.5</v>
      </c>
    </row>
    <row r="384" spans="1:35">
      <c r="A384" s="2137">
        <v>45267</v>
      </c>
      <c r="B384" s="2136">
        <v>1.0781002255881404</v>
      </c>
      <c r="C384" s="2135">
        <v>0.65605027392845638</v>
      </c>
      <c r="D384" s="2135">
        <v>1.3587497925531051</v>
      </c>
      <c r="E384" s="2135">
        <v>0.87394984491122074</v>
      </c>
      <c r="F384" s="2135">
        <v>1.2581002255881404</v>
      </c>
      <c r="G384" s="2135">
        <v>7.8127557147928721</v>
      </c>
      <c r="H384" s="2135">
        <v>145.71495656257338</v>
      </c>
      <c r="I384" s="2135">
        <v>4.6734954221433016</v>
      </c>
      <c r="J384" s="2135">
        <v>0.6137502417015791</v>
      </c>
      <c r="K384" s="2135">
        <v>1.3411500091196471</v>
      </c>
      <c r="L384" s="2135">
        <v>3.7507554695999032</v>
      </c>
      <c r="M384" s="2135">
        <v>35.249987504032788</v>
      </c>
      <c r="N384" s="2135">
        <v>10.455380157352966</v>
      </c>
      <c r="O384" s="2135">
        <v>7.1557051932478561</v>
      </c>
      <c r="P384" s="2135">
        <v>7.1613201015462726</v>
      </c>
      <c r="Q384" s="2134">
        <v>1321.550255536627</v>
      </c>
      <c r="R384" s="2133">
        <v>15515</v>
      </c>
      <c r="S384" s="2132">
        <v>16726.724999999999</v>
      </c>
      <c r="T384" s="2134">
        <v>10178.620000000001</v>
      </c>
      <c r="U384" s="2134">
        <v>11418.585000000001</v>
      </c>
      <c r="V384" s="2134">
        <v>17752.735000000001</v>
      </c>
      <c r="W384" s="2134">
        <v>19519.424999999999</v>
      </c>
      <c r="X384" s="2134">
        <v>1985.855</v>
      </c>
      <c r="Y384" s="2134">
        <v>106.47499999999999</v>
      </c>
      <c r="Z384" s="2134">
        <v>3319.7849999999999</v>
      </c>
      <c r="AA384" s="2134">
        <v>9522.3349999999991</v>
      </c>
      <c r="AB384" s="2134">
        <v>11568.43</v>
      </c>
      <c r="AC384" s="2134">
        <v>4136.5</v>
      </c>
      <c r="AD384" s="2134">
        <v>440.142</v>
      </c>
      <c r="AE384" s="2134">
        <v>1483.925</v>
      </c>
      <c r="AF384" s="2134">
        <v>2168.1999999999998</v>
      </c>
      <c r="AG384" s="2134">
        <v>11.74</v>
      </c>
      <c r="AH384" s="2134">
        <v>186.155</v>
      </c>
      <c r="AI384" s="2134">
        <v>2166.5</v>
      </c>
    </row>
    <row r="385" spans="1:35">
      <c r="A385" s="2143">
        <v>45268</v>
      </c>
      <c r="B385" s="2142">
        <v>1.0779000644745327</v>
      </c>
      <c r="C385" s="2141">
        <v>0.66100000000000003</v>
      </c>
      <c r="D385" s="2141">
        <v>1.3588004008943027</v>
      </c>
      <c r="E385" s="2141">
        <v>0.87609992622911004</v>
      </c>
      <c r="F385" s="2141">
        <v>1.2565999355254673</v>
      </c>
      <c r="G385" s="2141">
        <v>7.8106508875739644</v>
      </c>
      <c r="H385" s="2141">
        <v>144.09141583054625</v>
      </c>
      <c r="I385" s="2141">
        <v>4.666001814054864</v>
      </c>
      <c r="J385" s="2141">
        <v>0.61540006447453255</v>
      </c>
      <c r="K385" s="2141">
        <v>1.3382497401802367</v>
      </c>
      <c r="L385" s="2141">
        <v>3.7504533913674285</v>
      </c>
      <c r="M385" s="2141">
        <v>35.27497307753103</v>
      </c>
      <c r="N385" s="2141">
        <v>10.404193876216254</v>
      </c>
      <c r="O385" s="2141">
        <v>7.1602516013618791</v>
      </c>
      <c r="P385" s="2141">
        <v>7.1689392188583314</v>
      </c>
      <c r="Q385" s="2140">
        <v>1309.4132545377797</v>
      </c>
      <c r="R385" s="2139">
        <v>15510</v>
      </c>
      <c r="S385" s="2138">
        <v>16718.230000000003</v>
      </c>
      <c r="T385" s="2140">
        <v>10252.11</v>
      </c>
      <c r="U385" s="2140">
        <v>11414.48</v>
      </c>
      <c r="V385" s="2140">
        <v>17703.46</v>
      </c>
      <c r="W385" s="2140">
        <v>19489.864999999998</v>
      </c>
      <c r="X385" s="2140">
        <v>1985.75</v>
      </c>
      <c r="Y385" s="2140">
        <v>107.64000000000001</v>
      </c>
      <c r="Z385" s="2140">
        <v>3324.0450000000001</v>
      </c>
      <c r="AA385" s="2140">
        <v>9544.8549999999996</v>
      </c>
      <c r="AB385" s="2140">
        <v>11589.764999999999</v>
      </c>
      <c r="AC385" s="2140">
        <v>4135.5</v>
      </c>
      <c r="AD385" s="2140">
        <v>439.68849999999998</v>
      </c>
      <c r="AE385" s="2140">
        <v>1490.7449999999999</v>
      </c>
      <c r="AF385" s="2140">
        <v>2166.125</v>
      </c>
      <c r="AG385" s="2140">
        <v>11.844999999999999</v>
      </c>
      <c r="AH385" s="2140">
        <v>186.03</v>
      </c>
      <c r="AI385" s="2140">
        <v>2163.5</v>
      </c>
    </row>
    <row r="386" spans="1:35" s="1459" customFormat="1">
      <c r="A386" s="2149">
        <v>45271</v>
      </c>
      <c r="B386" s="2148">
        <v>1.0756000640409864</v>
      </c>
      <c r="C386" s="2147">
        <v>0.65549983989753446</v>
      </c>
      <c r="D386" s="2147">
        <v>1.359249753328595</v>
      </c>
      <c r="E386" s="2147">
        <v>0.88039981371495446</v>
      </c>
      <c r="F386" s="2147">
        <v>1.254</v>
      </c>
      <c r="G386" s="2147">
        <v>7.8079489570650313</v>
      </c>
      <c r="H386" s="2147">
        <v>146.38605043592386</v>
      </c>
      <c r="I386" s="2147">
        <v>4.683001439539348</v>
      </c>
      <c r="J386" s="2147">
        <v>0.61065001601024649</v>
      </c>
      <c r="K386" s="2147">
        <v>1.3440501572147048</v>
      </c>
      <c r="L386" s="2147">
        <v>3.7504503422601179</v>
      </c>
      <c r="M386" s="2147">
        <v>35.699996570605521</v>
      </c>
      <c r="N386" s="2147">
        <v>10.474347407573861</v>
      </c>
      <c r="O386" s="2147">
        <v>7.1828935353958183</v>
      </c>
      <c r="P386" s="2147">
        <v>7.1975109472228622</v>
      </c>
      <c r="Q386" s="2146">
        <v>1319.9492814877431</v>
      </c>
      <c r="R386" s="2145">
        <v>15615</v>
      </c>
      <c r="S386" s="2144">
        <v>16795.495000000003</v>
      </c>
      <c r="T386" s="2146">
        <v>10235.630000000001</v>
      </c>
      <c r="U386" s="2146">
        <v>11487.955</v>
      </c>
      <c r="V386" s="2146">
        <v>17736.260000000002</v>
      </c>
      <c r="W386" s="2146">
        <v>19581.21</v>
      </c>
      <c r="X386" s="2146">
        <v>1999.885</v>
      </c>
      <c r="Y386" s="2146">
        <v>106.67</v>
      </c>
      <c r="Z386" s="2146">
        <v>3334.3999999999996</v>
      </c>
      <c r="AA386" s="2146">
        <v>9535.2999999999993</v>
      </c>
      <c r="AB386" s="2146">
        <v>11617.869999999999</v>
      </c>
      <c r="AC386" s="2146">
        <v>4163.5</v>
      </c>
      <c r="AD386" s="2146">
        <v>437.39499999999998</v>
      </c>
      <c r="AE386" s="2146">
        <v>1490.7850000000001</v>
      </c>
      <c r="AF386" s="2146">
        <v>2173.915</v>
      </c>
      <c r="AG386" s="2146">
        <v>11.83</v>
      </c>
      <c r="AH386" s="2146">
        <v>187.23500000000001</v>
      </c>
      <c r="AI386" s="2146">
        <v>2169.5</v>
      </c>
    </row>
    <row r="387" spans="1:35">
      <c r="A387" s="2155">
        <v>45272</v>
      </c>
      <c r="B387" s="2154">
        <v>1.0777999359795134</v>
      </c>
      <c r="C387" s="2153">
        <v>0.65940012804097314</v>
      </c>
      <c r="D387" s="2153">
        <v>1.3555497700251671</v>
      </c>
      <c r="E387" s="2153">
        <v>0.87600001121638926</v>
      </c>
      <c r="F387" s="2153">
        <v>1.2564001280409731</v>
      </c>
      <c r="G387" s="2153">
        <v>7.8073455025291398</v>
      </c>
      <c r="H387" s="2153">
        <v>145.4443875413194</v>
      </c>
      <c r="I387" s="2153">
        <v>4.6829981981549826</v>
      </c>
      <c r="J387" s="2153">
        <v>0.61550000000000005</v>
      </c>
      <c r="K387" s="2153">
        <v>1.3416494987925585</v>
      </c>
      <c r="L387" s="2153">
        <v>3.7507503902029056</v>
      </c>
      <c r="M387" s="2153">
        <v>35.554989022795482</v>
      </c>
      <c r="N387" s="2153">
        <v>10.457393819291951</v>
      </c>
      <c r="O387" s="2153">
        <v>7.1758520175767035</v>
      </c>
      <c r="P387" s="2153">
        <v>7.1898734177215191</v>
      </c>
      <c r="Q387" s="2152">
        <v>1313.1567885666248</v>
      </c>
      <c r="R387" s="2151">
        <v>15620</v>
      </c>
      <c r="S387" s="2150">
        <v>16835.235000000001</v>
      </c>
      <c r="T387" s="2152">
        <v>10299.83</v>
      </c>
      <c r="U387" s="2152">
        <v>11523</v>
      </c>
      <c r="V387" s="2152">
        <v>17831.050000000003</v>
      </c>
      <c r="W387" s="2152">
        <v>19624.97</v>
      </c>
      <c r="X387" s="2152">
        <v>2000.68</v>
      </c>
      <c r="Y387" s="2152">
        <v>107.39500000000001</v>
      </c>
      <c r="Z387" s="2152">
        <v>3335.4700000000003</v>
      </c>
      <c r="AA387" s="2152">
        <v>9614.11</v>
      </c>
      <c r="AB387" s="2152">
        <v>11642.385</v>
      </c>
      <c r="AC387" s="2152">
        <v>4164.5</v>
      </c>
      <c r="AD387" s="2152">
        <v>439.31950000000001</v>
      </c>
      <c r="AE387" s="2152">
        <v>1493.6799999999998</v>
      </c>
      <c r="AF387" s="2152">
        <v>2176.7449999999999</v>
      </c>
      <c r="AG387" s="2152">
        <v>11.895</v>
      </c>
      <c r="AH387" s="2152">
        <v>187.32</v>
      </c>
      <c r="AI387" s="2152">
        <v>2172.5</v>
      </c>
    </row>
    <row r="388" spans="1:35">
      <c r="A388" s="2161">
        <v>45273</v>
      </c>
      <c r="B388" s="2160">
        <v>1.0785003192848022</v>
      </c>
      <c r="C388" s="2159">
        <v>0.65530012771392077</v>
      </c>
      <c r="D388" s="2159">
        <v>1.3599995136655636</v>
      </c>
      <c r="E388" s="2159">
        <v>0.87539975750420507</v>
      </c>
      <c r="F388" s="2159">
        <v>1.2520999361430398</v>
      </c>
      <c r="G388" s="2159">
        <v>7.8117985094729274</v>
      </c>
      <c r="H388" s="2159">
        <v>145.81684435960705</v>
      </c>
      <c r="I388" s="2159">
        <v>4.7074950174501966</v>
      </c>
      <c r="J388" s="2159">
        <v>0.60930012771392073</v>
      </c>
      <c r="K388" s="2159">
        <v>1.344300051892042</v>
      </c>
      <c r="L388" s="2159">
        <v>3.7513474667624864</v>
      </c>
      <c r="M388" s="2159">
        <v>35.810001189093271</v>
      </c>
      <c r="N388" s="2159">
        <v>10.457394132239958</v>
      </c>
      <c r="O388" s="2159">
        <v>7.1842442092514345</v>
      </c>
      <c r="P388" s="2159">
        <v>7.1983452079981616</v>
      </c>
      <c r="Q388" s="2158">
        <v>1319.8482932996208</v>
      </c>
      <c r="R388" s="2157">
        <v>15660</v>
      </c>
      <c r="S388" s="2156">
        <v>16889.315000000002</v>
      </c>
      <c r="T388" s="2158">
        <v>10262</v>
      </c>
      <c r="U388" s="2158">
        <v>11514.71</v>
      </c>
      <c r="V388" s="2158">
        <v>17888.97</v>
      </c>
      <c r="W388" s="2158">
        <v>19607.885000000002</v>
      </c>
      <c r="X388" s="2158">
        <v>2004.66</v>
      </c>
      <c r="Y388" s="2158">
        <v>107.39500000000001</v>
      </c>
      <c r="Z388" s="2158">
        <v>3326.61</v>
      </c>
      <c r="AA388" s="2158">
        <v>9541.64</v>
      </c>
      <c r="AB388" s="2158">
        <v>11649.185000000001</v>
      </c>
      <c r="AC388" s="2158">
        <v>4174.5</v>
      </c>
      <c r="AD388" s="2158">
        <v>437.30799999999999</v>
      </c>
      <c r="AE388" s="2158">
        <v>1497.5050000000001</v>
      </c>
      <c r="AF388" s="2158">
        <v>2179.77</v>
      </c>
      <c r="AG388" s="2158">
        <v>11.865</v>
      </c>
      <c r="AH388" s="2158">
        <v>187.79500000000002</v>
      </c>
      <c r="AI388" s="2158">
        <v>2175.5</v>
      </c>
    </row>
    <row r="389" spans="1:35">
      <c r="A389" s="2167">
        <v>45274</v>
      </c>
      <c r="B389" s="2166">
        <v>1.0880999548299672</v>
      </c>
      <c r="C389" s="2165">
        <v>0.67100019358585539</v>
      </c>
      <c r="D389" s="2165">
        <v>1.3474996000194772</v>
      </c>
      <c r="E389" s="2165">
        <v>0.87145001646234699</v>
      </c>
      <c r="F389" s="2165">
        <v>1.2620000645286185</v>
      </c>
      <c r="G389" s="2165">
        <v>7.8094134247127593</v>
      </c>
      <c r="H389" s="2165">
        <v>142.0114547537228</v>
      </c>
      <c r="I389" s="2165">
        <v>4.6694940151109972</v>
      </c>
      <c r="J389" s="2165">
        <v>0.62164999677356902</v>
      </c>
      <c r="K389" s="2165">
        <v>1.3300501912209992</v>
      </c>
      <c r="L389" s="2165">
        <v>3.7513919147906076</v>
      </c>
      <c r="M389" s="2165">
        <v>35.114989865664825</v>
      </c>
      <c r="N389" s="2165">
        <v>10.293590169378945</v>
      </c>
      <c r="O389" s="2165">
        <v>7.1377906334058006</v>
      </c>
      <c r="P389" s="2165">
        <v>7.1464145722849892</v>
      </c>
      <c r="Q389" s="2164">
        <v>1297.3629133528673</v>
      </c>
      <c r="R389" s="2163">
        <v>15497</v>
      </c>
      <c r="S389" s="2162">
        <v>16862.285000000003</v>
      </c>
      <c r="T389" s="2164">
        <v>10398.490000000002</v>
      </c>
      <c r="U389" s="2164">
        <v>11500.560000000001</v>
      </c>
      <c r="V389" s="2164">
        <v>17783.005000000001</v>
      </c>
      <c r="W389" s="2164">
        <v>19557.215</v>
      </c>
      <c r="X389" s="2164">
        <v>1984.4</v>
      </c>
      <c r="Y389" s="2164">
        <v>109.125</v>
      </c>
      <c r="Z389" s="2164">
        <v>3318.7750000000001</v>
      </c>
      <c r="AA389" s="2164">
        <v>9633.7099999999991</v>
      </c>
      <c r="AB389" s="2164">
        <v>11651.44</v>
      </c>
      <c r="AC389" s="2164">
        <v>4131</v>
      </c>
      <c r="AD389" s="2164">
        <v>441.32150000000001</v>
      </c>
      <c r="AE389" s="2164">
        <v>1505.5</v>
      </c>
      <c r="AF389" s="2164">
        <v>2171.12</v>
      </c>
      <c r="AG389" s="2164">
        <v>11.945</v>
      </c>
      <c r="AH389" s="2164">
        <v>185.92500000000001</v>
      </c>
      <c r="AI389" s="2164">
        <v>2168.5</v>
      </c>
    </row>
    <row r="390" spans="1:35">
      <c r="A390" s="2173">
        <v>45275</v>
      </c>
      <c r="B390" s="2172">
        <v>1.099400032273681</v>
      </c>
      <c r="C390" s="2171">
        <v>0.67099983863159596</v>
      </c>
      <c r="D390" s="2171">
        <v>1.338800010024257</v>
      </c>
      <c r="E390" s="2171">
        <v>0.86709990412508409</v>
      </c>
      <c r="F390" s="2171">
        <v>1.2768000645473614</v>
      </c>
      <c r="G390" s="2171">
        <v>7.8051397796373641</v>
      </c>
      <c r="H390" s="2171">
        <v>141.97672287390029</v>
      </c>
      <c r="I390" s="2171">
        <v>4.6669990375302932</v>
      </c>
      <c r="J390" s="2171">
        <v>0.62085008875262226</v>
      </c>
      <c r="K390" s="2171">
        <v>1.3279999039948431</v>
      </c>
      <c r="L390" s="2171">
        <v>3.7516648504661583</v>
      </c>
      <c r="M390" s="2171">
        <v>34.809991484275116</v>
      </c>
      <c r="N390" s="2171">
        <v>10.234009875646128</v>
      </c>
      <c r="O390" s="2171">
        <v>7.1060972309498798</v>
      </c>
      <c r="P390" s="2171">
        <v>7.1082817159899063</v>
      </c>
      <c r="Q390" s="2170">
        <v>1294.8182198077727</v>
      </c>
      <c r="R390" s="2169">
        <v>15492.5</v>
      </c>
      <c r="S390" s="2168">
        <v>17032.455000000002</v>
      </c>
      <c r="T390" s="2170">
        <v>10395.465</v>
      </c>
      <c r="U390" s="2170">
        <v>11571.93</v>
      </c>
      <c r="V390" s="2170">
        <v>17867.03</v>
      </c>
      <c r="W390" s="2170">
        <v>19780.824999999997</v>
      </c>
      <c r="X390" s="2170">
        <v>1984.9099999999999</v>
      </c>
      <c r="Y390" s="2170">
        <v>109.12</v>
      </c>
      <c r="Z390" s="2170">
        <v>3319.585</v>
      </c>
      <c r="AA390" s="2170">
        <v>9618.52</v>
      </c>
      <c r="AB390" s="2170">
        <v>11666.04</v>
      </c>
      <c r="AC390" s="2170">
        <v>4129.5</v>
      </c>
      <c r="AD390" s="2170">
        <v>445.05900000000003</v>
      </c>
      <c r="AE390" s="2170">
        <v>1513.825</v>
      </c>
      <c r="AF390" s="2170">
        <v>2180.17</v>
      </c>
      <c r="AG390" s="2170">
        <v>11.965</v>
      </c>
      <c r="AH390" s="2170">
        <v>186.27500000000001</v>
      </c>
      <c r="AI390" s="2170">
        <v>2179.5</v>
      </c>
    </row>
    <row r="391" spans="1:35">
      <c r="A391" s="2179">
        <v>45278</v>
      </c>
      <c r="B391" s="2178">
        <v>1.0922001934235979</v>
      </c>
      <c r="C391" s="2177">
        <v>0.67214990328820112</v>
      </c>
      <c r="D391" s="2177">
        <v>1.3382497401802367</v>
      </c>
      <c r="E391" s="2177">
        <v>0.8683999017941052</v>
      </c>
      <c r="F391" s="2177">
        <v>1.2690999355254673</v>
      </c>
      <c r="G391" s="2177">
        <v>7.7997510717743044</v>
      </c>
      <c r="H391" s="2177">
        <v>142.38501790140455</v>
      </c>
      <c r="I391" s="2177">
        <v>4.6954965919050364</v>
      </c>
      <c r="J391" s="2177">
        <v>0.6240999355254675</v>
      </c>
      <c r="K391" s="2177">
        <v>1.3316499537871962</v>
      </c>
      <c r="L391" s="2177">
        <v>3.7513605030838071</v>
      </c>
      <c r="M391" s="2177">
        <v>35.009982698161352</v>
      </c>
      <c r="N391" s="2177">
        <v>10.251393786373114</v>
      </c>
      <c r="O391" s="2177">
        <v>7.1316082903222107</v>
      </c>
      <c r="P391" s="2177">
        <v>7.134314627414903</v>
      </c>
      <c r="Q391" s="2176">
        <v>1299.5391705069126</v>
      </c>
      <c r="R391" s="2175">
        <v>15510</v>
      </c>
      <c r="S391" s="2174">
        <v>16940.025000000001</v>
      </c>
      <c r="T391" s="2176">
        <v>10425.045</v>
      </c>
      <c r="U391" s="2176">
        <v>11589.764999999999</v>
      </c>
      <c r="V391" s="2176">
        <v>17860.435000000001</v>
      </c>
      <c r="W391" s="2176">
        <v>19683.739999999998</v>
      </c>
      <c r="X391" s="2176">
        <v>1988.5250000000001</v>
      </c>
      <c r="Y391" s="2176">
        <v>108.93</v>
      </c>
      <c r="Z391" s="2176">
        <v>3303.165</v>
      </c>
      <c r="AA391" s="2176">
        <v>9679.7900000000009</v>
      </c>
      <c r="AB391" s="2176">
        <v>11647.205</v>
      </c>
      <c r="AC391" s="2176">
        <v>4134.5</v>
      </c>
      <c r="AD391" s="2176">
        <v>443.01650000000001</v>
      </c>
      <c r="AE391" s="2176">
        <v>1512.9650000000001</v>
      </c>
      <c r="AF391" s="2176">
        <v>2174.8249999999998</v>
      </c>
      <c r="AG391" s="2176">
        <v>11.934999999999999</v>
      </c>
      <c r="AH391" s="2176">
        <v>186.79500000000002</v>
      </c>
      <c r="AI391" s="2176">
        <v>2174</v>
      </c>
    </row>
    <row r="392" spans="1:35">
      <c r="A392" s="2185">
        <v>45279</v>
      </c>
      <c r="B392" s="2184">
        <v>1.0928500483714931</v>
      </c>
      <c r="C392" s="2183">
        <v>0.67124991938084488</v>
      </c>
      <c r="D392" s="2183">
        <v>1.3396996066009472</v>
      </c>
      <c r="E392" s="2183">
        <v>0.86599985701646998</v>
      </c>
      <c r="F392" s="2183">
        <v>1.2668000644953241</v>
      </c>
      <c r="G392" s="2183">
        <v>7.799864678258726</v>
      </c>
      <c r="H392" s="2183">
        <v>144.17220698312335</v>
      </c>
      <c r="I392" s="2183">
        <v>4.6839928584591313</v>
      </c>
      <c r="J392" s="2183">
        <v>0.622099967752338</v>
      </c>
      <c r="K392" s="2183">
        <v>1.3327998122647671</v>
      </c>
      <c r="L392" s="2183">
        <v>3.7510584250635053</v>
      </c>
      <c r="M392" s="2183">
        <v>34.994983789005417</v>
      </c>
      <c r="N392" s="2183">
        <v>10.231554496802845</v>
      </c>
      <c r="O392" s="2183">
        <v>7.1465609624004705</v>
      </c>
      <c r="P392" s="2183">
        <v>7.1517527675276753</v>
      </c>
      <c r="Q392" s="2182">
        <v>1310.0971694127586</v>
      </c>
      <c r="R392" s="2181">
        <v>15505</v>
      </c>
      <c r="S392" s="2180">
        <v>16944.64</v>
      </c>
      <c r="T392" s="2182">
        <v>10407.73</v>
      </c>
      <c r="U392" s="2182">
        <v>11573.490000000002</v>
      </c>
      <c r="V392" s="2182">
        <v>17904.16</v>
      </c>
      <c r="W392" s="2182">
        <v>19641.735000000001</v>
      </c>
      <c r="X392" s="2182">
        <v>1987.855</v>
      </c>
      <c r="Y392" s="2182">
        <v>107.545</v>
      </c>
      <c r="Z392" s="2182">
        <v>3310.21</v>
      </c>
      <c r="AA392" s="2182">
        <v>9645.66</v>
      </c>
      <c r="AB392" s="2182">
        <v>11633.404999999999</v>
      </c>
      <c r="AC392" s="2182">
        <v>4133.5</v>
      </c>
      <c r="AD392" s="2182">
        <v>443.06349999999998</v>
      </c>
      <c r="AE392" s="2182">
        <v>1515.41</v>
      </c>
      <c r="AF392" s="2182">
        <v>2169.5749999999998</v>
      </c>
      <c r="AG392" s="2182">
        <v>11.835000000000001</v>
      </c>
      <c r="AH392" s="2182">
        <v>186.38</v>
      </c>
      <c r="AI392" s="2182">
        <v>2168</v>
      </c>
    </row>
    <row r="393" spans="1:35">
      <c r="A393" s="2191">
        <v>45280</v>
      </c>
      <c r="B393" s="2190">
        <v>1.096699871050935</v>
      </c>
      <c r="C393" s="2189">
        <v>0.67679980657640237</v>
      </c>
      <c r="D393" s="2189">
        <v>1.3345500023877346</v>
      </c>
      <c r="E393" s="2189">
        <v>0.86099987010059975</v>
      </c>
      <c r="F393" s="2189">
        <v>1.266199871050935</v>
      </c>
      <c r="G393" s="2189">
        <v>7.8039502781195047</v>
      </c>
      <c r="H393" s="2189">
        <v>143.53801304891027</v>
      </c>
      <c r="I393" s="2189">
        <v>4.6580003633900988</v>
      </c>
      <c r="J393" s="2189">
        <v>0.62830012894906517</v>
      </c>
      <c r="K393" s="2189">
        <v>1.3292003287435501</v>
      </c>
      <c r="L393" s="2189">
        <v>3.7522680537075117</v>
      </c>
      <c r="M393" s="2189">
        <v>34.904995847858331</v>
      </c>
      <c r="N393" s="2189">
        <v>10.147402304265048</v>
      </c>
      <c r="O393" s="2189">
        <v>7.1348561413354741</v>
      </c>
      <c r="P393" s="2189">
        <v>7.1375977910722508</v>
      </c>
      <c r="Q393" s="2188">
        <v>1299.5391705069126</v>
      </c>
      <c r="R393" s="2187">
        <v>15510</v>
      </c>
      <c r="S393" s="2186">
        <v>17009.815000000002</v>
      </c>
      <c r="T393" s="2188">
        <v>10497.165000000001</v>
      </c>
      <c r="U393" s="2188">
        <v>11621.895</v>
      </c>
      <c r="V393" s="2188">
        <v>18013.940000000002</v>
      </c>
      <c r="W393" s="2188">
        <v>19638.760000000002</v>
      </c>
      <c r="X393" s="2188">
        <v>1987.4549999999999</v>
      </c>
      <c r="Y393" s="2188">
        <v>108.05500000000001</v>
      </c>
      <c r="Z393" s="2188">
        <v>3329.7550000000001</v>
      </c>
      <c r="AA393" s="2188">
        <v>9744.9350000000013</v>
      </c>
      <c r="AB393" s="2188">
        <v>11668.67</v>
      </c>
      <c r="AC393" s="2188">
        <v>4133.5</v>
      </c>
      <c r="AD393" s="2188">
        <v>444.34899999999999</v>
      </c>
      <c r="AE393" s="2188">
        <v>1528.47</v>
      </c>
      <c r="AF393" s="2188">
        <v>2173.835</v>
      </c>
      <c r="AG393" s="2188">
        <v>11.934999999999999</v>
      </c>
      <c r="AH393" s="2188">
        <v>186.54500000000002</v>
      </c>
      <c r="AI393" s="2188">
        <v>2173</v>
      </c>
    </row>
    <row r="394" spans="1:35">
      <c r="A394" s="2197">
        <v>45281</v>
      </c>
      <c r="B394" s="2196">
        <v>1.094700161030596</v>
      </c>
      <c r="C394" s="2195">
        <v>0.67450016103059596</v>
      </c>
      <c r="D394" s="2195">
        <v>1.3353994392612596</v>
      </c>
      <c r="E394" s="2195">
        <v>0.86229999430687587</v>
      </c>
      <c r="F394" s="2195">
        <v>1.2637001610305958</v>
      </c>
      <c r="G394" s="2195">
        <v>7.8070391583986636</v>
      </c>
      <c r="H394" s="2195">
        <v>143.26581460803763</v>
      </c>
      <c r="I394" s="2195">
        <v>4.6534979917271153</v>
      </c>
      <c r="J394" s="2195">
        <v>0.62455008051529792</v>
      </c>
      <c r="K394" s="2195">
        <v>1.3301501120453338</v>
      </c>
      <c r="L394" s="2195">
        <v>3.7513591881116346</v>
      </c>
      <c r="M394" s="2195">
        <v>34.894972314407632</v>
      </c>
      <c r="N394" s="2195">
        <v>10.163433243755463</v>
      </c>
      <c r="O394" s="2195">
        <v>7.1455365135765181</v>
      </c>
      <c r="P394" s="2195">
        <v>7.1494358738199404</v>
      </c>
      <c r="Q394" s="2194">
        <v>1305.1702395964692</v>
      </c>
      <c r="R394" s="2193">
        <v>15525</v>
      </c>
      <c r="S394" s="2192">
        <v>16995.22</v>
      </c>
      <c r="T394" s="2194">
        <v>10471.615000000002</v>
      </c>
      <c r="U394" s="2194">
        <v>11625.735000000001</v>
      </c>
      <c r="V394" s="2194">
        <v>18004.175000000003</v>
      </c>
      <c r="W394" s="2194">
        <v>19618.945</v>
      </c>
      <c r="X394" s="2194">
        <v>1988.5900000000001</v>
      </c>
      <c r="Y394" s="2194">
        <v>108.36500000000001</v>
      </c>
      <c r="Z394" s="2194">
        <v>3336.2</v>
      </c>
      <c r="AA394" s="2194">
        <v>9696.14</v>
      </c>
      <c r="AB394" s="2194">
        <v>11671.615</v>
      </c>
      <c r="AC394" s="2194">
        <v>4138.5</v>
      </c>
      <c r="AD394" s="2194">
        <v>444.90649999999999</v>
      </c>
      <c r="AE394" s="2194">
        <v>1527.5349999999999</v>
      </c>
      <c r="AF394" s="2194">
        <v>2172.6850000000004</v>
      </c>
      <c r="AG394" s="2194">
        <v>11.895</v>
      </c>
      <c r="AH394" s="2194">
        <v>186.46</v>
      </c>
      <c r="AI394" s="2194">
        <v>2171.5</v>
      </c>
    </row>
    <row r="395" spans="1:35">
      <c r="A395" s="2203">
        <v>45282</v>
      </c>
      <c r="B395" s="2202">
        <v>1.1000000000000001</v>
      </c>
      <c r="C395" s="2201">
        <v>0.6783000161472631</v>
      </c>
      <c r="D395" s="2201">
        <v>1.3278000114062589</v>
      </c>
      <c r="E395" s="2201">
        <v>0.8564497316697216</v>
      </c>
      <c r="F395" s="2201">
        <v>1.2693001776198936</v>
      </c>
      <c r="G395" s="2201">
        <v>7.8139588874477015</v>
      </c>
      <c r="H395" s="2201">
        <v>142.23702342673405</v>
      </c>
      <c r="I395" s="2201">
        <v>4.6324970453151417</v>
      </c>
      <c r="J395" s="2201">
        <v>0.62819990311642171</v>
      </c>
      <c r="K395" s="2201">
        <v>1.3242498305396428</v>
      </c>
      <c r="L395" s="2201">
        <v>3.7510599636583888</v>
      </c>
      <c r="M395" s="2201">
        <v>34.625001118198</v>
      </c>
      <c r="N395" s="2201">
        <v>10.090888056807481</v>
      </c>
      <c r="O395" s="2201">
        <v>7.1436481167899375</v>
      </c>
      <c r="P395" s="2201">
        <v>7.1496190256291854</v>
      </c>
      <c r="Q395" s="2200">
        <v>1301.5973097940312</v>
      </c>
      <c r="R395" s="2199">
        <v>15482.5</v>
      </c>
      <c r="S395" s="2198">
        <v>17030.75</v>
      </c>
      <c r="T395" s="2200">
        <v>10501.78</v>
      </c>
      <c r="U395" s="2200">
        <v>11660.264999999999</v>
      </c>
      <c r="V395" s="2200">
        <v>18077.535</v>
      </c>
      <c r="W395" s="2200">
        <v>19651.940000000002</v>
      </c>
      <c r="X395" s="2200">
        <v>1981.3899999999999</v>
      </c>
      <c r="Y395" s="2200">
        <v>108.85</v>
      </c>
      <c r="Z395" s="2200">
        <v>3342.15</v>
      </c>
      <c r="AA395" s="2200">
        <v>9726.1049999999996</v>
      </c>
      <c r="AB395" s="2200">
        <v>11691.525000000001</v>
      </c>
      <c r="AC395" s="2200">
        <v>4127.5</v>
      </c>
      <c r="AD395" s="2200">
        <v>447.14800000000002</v>
      </c>
      <c r="AE395" s="2200">
        <v>1534.3049999999998</v>
      </c>
      <c r="AF395" s="2200">
        <v>2167.31</v>
      </c>
      <c r="AG395" s="2200">
        <v>11.895</v>
      </c>
      <c r="AH395" s="2200">
        <v>186.08</v>
      </c>
      <c r="AI395" s="2200">
        <v>2165.5</v>
      </c>
    </row>
    <row r="396" spans="1:35" s="31" customFormat="1">
      <c r="A396" s="2203">
        <v>45287</v>
      </c>
      <c r="B396" s="2202">
        <v>1.104100129617628</v>
      </c>
      <c r="C396" s="2201">
        <v>0.68290019442644212</v>
      </c>
      <c r="D396" s="2201">
        <v>1.3195996900693923</v>
      </c>
      <c r="E396" s="2201">
        <v>0.85430004146926319</v>
      </c>
      <c r="F396" s="2201">
        <v>1.2726001296176281</v>
      </c>
      <c r="G396" s="2201">
        <v>7.8124406662092953</v>
      </c>
      <c r="H396" s="2201">
        <v>142.78443529357332</v>
      </c>
      <c r="I396" s="2201">
        <v>4.633000596014659</v>
      </c>
      <c r="J396" s="2201">
        <v>0.63269993519118595</v>
      </c>
      <c r="K396" s="2201">
        <v>1.3221500404656745</v>
      </c>
      <c r="L396" s="2201">
        <v>3.7506076810889644</v>
      </c>
      <c r="M396" s="2201">
        <v>34.415000747182454</v>
      </c>
      <c r="N396" s="2201">
        <v>10.008821774214471</v>
      </c>
      <c r="O396" s="2201">
        <v>7.1439650163320403</v>
      </c>
      <c r="P396" s="2201">
        <v>7.1468272348309405</v>
      </c>
      <c r="Q396" s="2200">
        <v>1293.9203354297692</v>
      </c>
      <c r="R396" s="2199">
        <v>15430</v>
      </c>
      <c r="S396" s="2198">
        <v>17036.264999999999</v>
      </c>
      <c r="T396" s="2200">
        <v>10537.150000000001</v>
      </c>
      <c r="U396" s="2200">
        <v>11692.94</v>
      </c>
      <c r="V396" s="2200">
        <v>18061.57</v>
      </c>
      <c r="W396" s="2200">
        <v>19636.22</v>
      </c>
      <c r="X396" s="2200">
        <v>1975.0550000000001</v>
      </c>
      <c r="Y396" s="2200">
        <v>108.065</v>
      </c>
      <c r="Z396" s="2200">
        <v>3330.4549999999999</v>
      </c>
      <c r="AA396" s="2200">
        <v>9762.56</v>
      </c>
      <c r="AB396" s="2200">
        <v>11670.385</v>
      </c>
      <c r="AC396" s="2200">
        <v>4114</v>
      </c>
      <c r="AD396" s="2200">
        <v>448.351</v>
      </c>
      <c r="AE396" s="2200">
        <v>1541.64</v>
      </c>
      <c r="AF396" s="2200">
        <v>2159.8649999999998</v>
      </c>
      <c r="AG396" s="2200">
        <v>11.925000000000001</v>
      </c>
      <c r="AH396" s="2200">
        <v>185.11500000000001</v>
      </c>
      <c r="AI396" s="2200">
        <v>2159</v>
      </c>
    </row>
    <row r="397" spans="1:35">
      <c r="A397" s="2209">
        <v>45288</v>
      </c>
      <c r="B397" s="2208">
        <v>1.1117000648508431</v>
      </c>
      <c r="C397" s="2207">
        <v>0.68520006485084306</v>
      </c>
      <c r="D397" s="2207">
        <v>1.319150046473947</v>
      </c>
      <c r="E397" s="2207">
        <v>0.839399975993814</v>
      </c>
      <c r="F397" s="2207">
        <v>1.2819001297016863</v>
      </c>
      <c r="G397" s="2207">
        <v>7.8144993931346933</v>
      </c>
      <c r="H397" s="2207">
        <v>140.82191780821918</v>
      </c>
      <c r="I397" s="2207">
        <v>4.6124923162518563</v>
      </c>
      <c r="J397" s="2207">
        <v>0.63535019455252917</v>
      </c>
      <c r="K397" s="2207">
        <v>1.3164499902674904</v>
      </c>
      <c r="L397" s="2207">
        <v>3.7504560379423566</v>
      </c>
      <c r="M397" s="2207">
        <v>34.12002637553271</v>
      </c>
      <c r="N397" s="2207">
        <v>9.9250152865832071</v>
      </c>
      <c r="O397" s="2207">
        <v>7.1054996198419476</v>
      </c>
      <c r="P397" s="2207">
        <v>7.1092669432918392</v>
      </c>
      <c r="Q397" s="2206">
        <v>1287.6826722338203</v>
      </c>
      <c r="R397" s="2205">
        <v>15420</v>
      </c>
      <c r="S397" s="2204">
        <v>17142.415000000001</v>
      </c>
      <c r="T397" s="2206">
        <v>10565.785</v>
      </c>
      <c r="U397" s="2206">
        <v>11689.345000000001</v>
      </c>
      <c r="V397" s="2206">
        <v>18370.264999999999</v>
      </c>
      <c r="W397" s="2206">
        <v>19766.900000000001</v>
      </c>
      <c r="X397" s="2206">
        <v>1973.2550000000001</v>
      </c>
      <c r="Y397" s="2206">
        <v>109.5</v>
      </c>
      <c r="Z397" s="2206">
        <v>3343.0950000000003</v>
      </c>
      <c r="AA397" s="2206">
        <v>9797.1</v>
      </c>
      <c r="AB397" s="2206">
        <v>11713.32</v>
      </c>
      <c r="AC397" s="2206">
        <v>4111.5</v>
      </c>
      <c r="AD397" s="2206">
        <v>451.93400000000003</v>
      </c>
      <c r="AE397" s="2206">
        <v>1553.65</v>
      </c>
      <c r="AF397" s="2206">
        <v>2170.1499999999996</v>
      </c>
      <c r="AG397" s="2206">
        <v>11.975000000000001</v>
      </c>
      <c r="AH397" s="2206">
        <v>185.31</v>
      </c>
      <c r="AI397" s="2206">
        <v>2169</v>
      </c>
    </row>
    <row r="398" spans="1:35">
      <c r="A398" s="2215">
        <v>45289</v>
      </c>
      <c r="B398" s="2214">
        <v>1.1065999870104566</v>
      </c>
      <c r="C398" s="2213">
        <v>0.6832999935052283</v>
      </c>
      <c r="D398" s="2213">
        <v>1.3239503714232401</v>
      </c>
      <c r="E398" s="2213">
        <v>0.84139991414955739</v>
      </c>
      <c r="F398" s="2213">
        <v>1.2747002662856399</v>
      </c>
      <c r="G398" s="2213">
        <v>7.8128607492166591</v>
      </c>
      <c r="H398" s="2213">
        <v>141.41905855338692</v>
      </c>
      <c r="I398" s="2213">
        <v>4.588996185026228</v>
      </c>
      <c r="J398" s="2213">
        <v>0.6342501786062219</v>
      </c>
      <c r="K398" s="2213">
        <v>1.3186495083219569</v>
      </c>
      <c r="L398" s="2213">
        <v>3.7498782269849</v>
      </c>
      <c r="M398" s="2213">
        <v>34.234993424044092</v>
      </c>
      <c r="N398" s="2213">
        <v>9.9880638841677811</v>
      </c>
      <c r="O398" s="2213">
        <v>7.0951955245477087</v>
      </c>
      <c r="P398" s="2213">
        <v>7.0970269647384194</v>
      </c>
      <c r="Q398" s="2212">
        <v>1296.0437710437709</v>
      </c>
      <c r="R398" s="2211">
        <v>15397</v>
      </c>
      <c r="S398" s="2210">
        <v>17038.32</v>
      </c>
      <c r="T398" s="2212">
        <v>10520.77</v>
      </c>
      <c r="U398" s="2212">
        <v>11629.59</v>
      </c>
      <c r="V398" s="2212">
        <v>18299.264999999999</v>
      </c>
      <c r="W398" s="2212">
        <v>19626.559999999998</v>
      </c>
      <c r="X398" s="2212">
        <v>1970.7249999999999</v>
      </c>
      <c r="Y398" s="2212">
        <v>108.875</v>
      </c>
      <c r="Z398" s="2212">
        <v>3355.2</v>
      </c>
      <c r="AA398" s="2212">
        <v>9765.5499999999993</v>
      </c>
      <c r="AB398" s="2212">
        <v>11676.34</v>
      </c>
      <c r="AC398" s="2212">
        <v>4106</v>
      </c>
      <c r="AD398" s="2212">
        <v>449.74450000000002</v>
      </c>
      <c r="AE398" s="2212">
        <v>1541.54</v>
      </c>
      <c r="AF398" s="2212">
        <v>2170.06</v>
      </c>
      <c r="AG398" s="2212">
        <v>11.88</v>
      </c>
      <c r="AH398" s="2212">
        <v>185.17500000000001</v>
      </c>
      <c r="AI398" s="2212">
        <v>2169.5</v>
      </c>
    </row>
    <row r="399" spans="1:35" s="31" customFormat="1">
      <c r="A399" s="2215">
        <v>45291</v>
      </c>
      <c r="B399" s="2214">
        <v>1.1065999870104566</v>
      </c>
      <c r="C399" s="2213">
        <v>0.6832999935052283</v>
      </c>
      <c r="D399" s="2213">
        <v>1.3239503714232401</v>
      </c>
      <c r="E399" s="2213">
        <v>0.84139991414955739</v>
      </c>
      <c r="F399" s="2213">
        <v>1.2747002662856399</v>
      </c>
      <c r="G399" s="2213">
        <v>7.8128607492166591</v>
      </c>
      <c r="H399" s="2213">
        <v>141.41905855338692</v>
      </c>
      <c r="I399" s="2213">
        <v>4.588996185026228</v>
      </c>
      <c r="J399" s="2213">
        <v>0.6342501786062219</v>
      </c>
      <c r="K399" s="2213">
        <v>1.3186495083219569</v>
      </c>
      <c r="L399" s="2213">
        <v>3.7498782269849</v>
      </c>
      <c r="M399" s="2213">
        <v>34.234993424044092</v>
      </c>
      <c r="N399" s="2213">
        <v>9.9880638841677811</v>
      </c>
      <c r="O399" s="2213">
        <v>7.0951955245477087</v>
      </c>
      <c r="P399" s="2213">
        <v>7.0970269647384194</v>
      </c>
      <c r="Q399" s="2212">
        <v>1296.0437710437709</v>
      </c>
      <c r="R399" s="2211">
        <v>15397</v>
      </c>
      <c r="S399" s="2210">
        <v>17038.32</v>
      </c>
      <c r="T399" s="2212">
        <v>10520.77</v>
      </c>
      <c r="U399" s="2212">
        <v>11629.59</v>
      </c>
      <c r="V399" s="2212">
        <v>18299.264999999999</v>
      </c>
      <c r="W399" s="2212">
        <v>19626.559999999998</v>
      </c>
      <c r="X399" s="2212">
        <v>1970.7249999999999</v>
      </c>
      <c r="Y399" s="2212">
        <v>108.875</v>
      </c>
      <c r="Z399" s="2212">
        <v>3355.2</v>
      </c>
      <c r="AA399" s="2212">
        <v>9765.5499999999993</v>
      </c>
      <c r="AB399" s="2212">
        <v>11676.34</v>
      </c>
      <c r="AC399" s="2212">
        <v>4106</v>
      </c>
      <c r="AD399" s="2212">
        <v>449.74450000000002</v>
      </c>
      <c r="AE399" s="2212">
        <v>1541.54</v>
      </c>
      <c r="AF399" s="2212">
        <v>2170.06</v>
      </c>
      <c r="AG399" s="2212">
        <v>11.88</v>
      </c>
      <c r="AH399" s="2212">
        <v>185.17500000000001</v>
      </c>
      <c r="AI399" s="2212">
        <v>2169.5</v>
      </c>
    </row>
    <row r="400" spans="1:35">
      <c r="A400" s="2220">
        <v>45293</v>
      </c>
      <c r="B400" s="2219">
        <v>1.1016001939237234</v>
      </c>
      <c r="C400" s="2218">
        <v>0.68200000000000005</v>
      </c>
      <c r="D400" s="2218">
        <v>1.3250995002396226</v>
      </c>
      <c r="E400" s="2218">
        <v>0.84610003669897382</v>
      </c>
      <c r="F400" s="2218">
        <v>1.2732003878474467</v>
      </c>
      <c r="G400" s="2218">
        <v>7.8140587392948158</v>
      </c>
      <c r="H400" s="2218">
        <v>141.54352898119768</v>
      </c>
      <c r="I400" s="2218">
        <v>4.5997448880986429</v>
      </c>
      <c r="J400" s="2218">
        <v>0.63030025856496441</v>
      </c>
      <c r="K400" s="2218">
        <v>1.3223499363613749</v>
      </c>
      <c r="L400" s="2218">
        <v>3.7498485032117319</v>
      </c>
      <c r="M400" s="2218">
        <v>34.229980329377824</v>
      </c>
      <c r="N400" s="2218">
        <v>10.112697416588222</v>
      </c>
      <c r="O400" s="2218">
        <v>7.1315134989362665</v>
      </c>
      <c r="P400" s="2218">
        <v>7.1389017074296266</v>
      </c>
      <c r="Q400" s="2221">
        <v>1300.5464480874318</v>
      </c>
      <c r="R400" s="2217">
        <v>15470</v>
      </c>
      <c r="S400" s="2216">
        <v>17041.755000000001</v>
      </c>
      <c r="T400" s="2221">
        <v>10550.54</v>
      </c>
      <c r="U400" s="2221">
        <v>11674.595000000001</v>
      </c>
      <c r="V400" s="2221">
        <v>18283.89</v>
      </c>
      <c r="W400" s="2221">
        <v>19696.41</v>
      </c>
      <c r="X400" s="2221">
        <v>1979.7649999999999</v>
      </c>
      <c r="Y400" s="2221">
        <v>109.295</v>
      </c>
      <c r="Z400" s="2221">
        <v>3363.23</v>
      </c>
      <c r="AA400" s="2221">
        <v>9750.744999999999</v>
      </c>
      <c r="AB400" s="2221">
        <v>11698.87</v>
      </c>
      <c r="AC400" s="2221">
        <v>4125.5</v>
      </c>
      <c r="AD400" s="2221">
        <v>451.94299999999998</v>
      </c>
      <c r="AE400" s="2221">
        <v>1529.76</v>
      </c>
      <c r="AF400" s="2221">
        <v>2169.2449999999999</v>
      </c>
      <c r="AG400" s="2221">
        <v>11.895</v>
      </c>
      <c r="AH400" s="2221">
        <v>185.61500000000001</v>
      </c>
      <c r="AI400" s="2221">
        <v>2167</v>
      </c>
    </row>
    <row r="401" spans="1:35">
      <c r="A401" s="2233">
        <v>45294</v>
      </c>
      <c r="B401" s="2232">
        <v>1.0961001291989663</v>
      </c>
      <c r="C401" s="2231">
        <v>0.67569993540051676</v>
      </c>
      <c r="D401" s="2231">
        <v>1.3324995168828464</v>
      </c>
      <c r="E401" s="2231">
        <v>0.8499500489627233</v>
      </c>
      <c r="F401" s="2231">
        <v>1.2644001937984497</v>
      </c>
      <c r="G401" s="2231">
        <v>7.8116129618275538</v>
      </c>
      <c r="H401" s="2231">
        <v>142.42340601711288</v>
      </c>
      <c r="I401" s="2231">
        <v>4.6344946514698355</v>
      </c>
      <c r="J401" s="2231">
        <v>0.62615019379844961</v>
      </c>
      <c r="K401" s="2231">
        <v>1.326549762326501</v>
      </c>
      <c r="L401" s="2231">
        <v>3.7504542701393095</v>
      </c>
      <c r="M401" s="2231">
        <v>34.259990837444306</v>
      </c>
      <c r="N401" s="2231">
        <v>10.201593504721862</v>
      </c>
      <c r="O401" s="2231">
        <v>7.1471113758189402</v>
      </c>
      <c r="P401" s="2231">
        <v>7.150115473441109</v>
      </c>
      <c r="Q401" s="2230">
        <v>1306.8805403123681</v>
      </c>
      <c r="R401" s="2229">
        <v>15480</v>
      </c>
      <c r="S401" s="2228">
        <v>16967.629999999997</v>
      </c>
      <c r="T401" s="2230">
        <v>10459.834999999999</v>
      </c>
      <c r="U401" s="2230">
        <v>11617.264999999999</v>
      </c>
      <c r="V401" s="2230">
        <v>18212.834999999999</v>
      </c>
      <c r="W401" s="2230">
        <v>19572.915000000001</v>
      </c>
      <c r="X401" s="2230">
        <v>1981.665</v>
      </c>
      <c r="Y401" s="2230">
        <v>108.69</v>
      </c>
      <c r="Z401" s="2230">
        <v>3340.17</v>
      </c>
      <c r="AA401" s="2230">
        <v>9692.8050000000003</v>
      </c>
      <c r="AB401" s="2230">
        <v>11669.369999999999</v>
      </c>
      <c r="AC401" s="2230">
        <v>4127.5</v>
      </c>
      <c r="AD401" s="2230">
        <v>451.83900000000006</v>
      </c>
      <c r="AE401" s="2230">
        <v>1517.41</v>
      </c>
      <c r="AF401" s="2230">
        <v>2165.91</v>
      </c>
      <c r="AG401" s="2230">
        <v>11.844999999999999</v>
      </c>
      <c r="AH401" s="2230">
        <v>185.9</v>
      </c>
      <c r="AI401" s="2230">
        <v>2165</v>
      </c>
    </row>
    <row r="402" spans="1:35">
      <c r="A402" s="2239">
        <v>45295</v>
      </c>
      <c r="B402" s="2238">
        <v>1.0938001936733377</v>
      </c>
      <c r="C402" s="2237">
        <v>0.67539993544222077</v>
      </c>
      <c r="D402" s="2237">
        <v>1.3319999002504916</v>
      </c>
      <c r="E402" s="2237">
        <v>0.84829997727278939</v>
      </c>
      <c r="F402" s="2237">
        <v>1.2692998708844416</v>
      </c>
      <c r="G402" s="2237">
        <v>7.8074990297330125</v>
      </c>
      <c r="H402" s="2237">
        <v>143.37946036006849</v>
      </c>
      <c r="I402" s="2237">
        <v>4.6365029573046623</v>
      </c>
      <c r="J402" s="2237">
        <v>0.627</v>
      </c>
      <c r="K402" s="2237">
        <v>1.3276496102118454</v>
      </c>
      <c r="L402" s="2237">
        <v>3.7501513134003148</v>
      </c>
      <c r="M402" s="2237">
        <v>34.475007288937952</v>
      </c>
      <c r="N402" s="2237">
        <v>10.253253372519426</v>
      </c>
      <c r="O402" s="2237">
        <v>7.1518934741857736</v>
      </c>
      <c r="P402" s="2237">
        <v>7.1547344110854505</v>
      </c>
      <c r="Q402" s="2236">
        <v>1307.7247783875055</v>
      </c>
      <c r="R402" s="2235">
        <v>15490</v>
      </c>
      <c r="S402" s="2234">
        <v>16942.965</v>
      </c>
      <c r="T402" s="2236">
        <v>10461.945</v>
      </c>
      <c r="U402" s="2236">
        <v>11629.130000000001</v>
      </c>
      <c r="V402" s="2236">
        <v>18260.050000000003</v>
      </c>
      <c r="W402" s="2236">
        <v>19661.455000000002</v>
      </c>
      <c r="X402" s="2236">
        <v>1983.99</v>
      </c>
      <c r="Y402" s="2236">
        <v>108.035</v>
      </c>
      <c r="Z402" s="2236">
        <v>3340.88</v>
      </c>
      <c r="AA402" s="2236">
        <v>9712.23</v>
      </c>
      <c r="AB402" s="2236">
        <v>11667.235000000001</v>
      </c>
      <c r="AC402" s="2236">
        <v>4130.5</v>
      </c>
      <c r="AD402" s="2236">
        <v>449.31100000000004</v>
      </c>
      <c r="AE402" s="2236">
        <v>1510.7400000000002</v>
      </c>
      <c r="AF402" s="2236">
        <v>2165.86</v>
      </c>
      <c r="AG402" s="2236">
        <v>11.844999999999999</v>
      </c>
      <c r="AH402" s="2236">
        <v>186.07999999999998</v>
      </c>
      <c r="AI402" s="2236">
        <v>2165</v>
      </c>
    </row>
    <row r="403" spans="1:35" s="31" customFormat="1">
      <c r="A403" s="2239">
        <v>45296</v>
      </c>
      <c r="B403" s="2238">
        <v>1.0923000322268772</v>
      </c>
      <c r="C403" s="2237">
        <v>0.66980019336126329</v>
      </c>
      <c r="D403" s="2237">
        <v>1.3361995092707184</v>
      </c>
      <c r="E403" s="2237">
        <v>0.85169991397913203</v>
      </c>
      <c r="F403" s="2237">
        <v>1.2679000966806317</v>
      </c>
      <c r="G403" s="2237">
        <v>7.8094130734054632</v>
      </c>
      <c r="H403" s="2237">
        <v>145.08813765371488</v>
      </c>
      <c r="I403" s="2237">
        <v>4.6505005695102213</v>
      </c>
      <c r="J403" s="2237">
        <v>0.622499838865614</v>
      </c>
      <c r="K403" s="2237">
        <v>1.3311997528936328</v>
      </c>
      <c r="L403" s="2237">
        <v>3.7503021513173795</v>
      </c>
      <c r="M403" s="2237">
        <v>34.640008484178679</v>
      </c>
      <c r="N403" s="2237">
        <v>10.249888516359192</v>
      </c>
      <c r="O403" s="2237">
        <v>7.1629070830370898</v>
      </c>
      <c r="P403" s="2237">
        <v>7.171250288883753</v>
      </c>
      <c r="Q403" s="2236">
        <v>1315.3878762187367</v>
      </c>
      <c r="R403" s="2235">
        <v>15515</v>
      </c>
      <c r="S403" s="2234">
        <v>16947.035</v>
      </c>
      <c r="T403" s="2236">
        <v>10391.950000000001</v>
      </c>
      <c r="U403" s="2236">
        <v>11611.29</v>
      </c>
      <c r="V403" s="2236">
        <v>18216.510000000002</v>
      </c>
      <c r="W403" s="2236">
        <v>19671.47</v>
      </c>
      <c r="X403" s="2236">
        <v>1986.7049999999999</v>
      </c>
      <c r="Y403" s="2236">
        <v>106.935</v>
      </c>
      <c r="Z403" s="2236">
        <v>3336.2</v>
      </c>
      <c r="AA403" s="2236">
        <v>9658.0850000000009</v>
      </c>
      <c r="AB403" s="2236">
        <v>11654.9</v>
      </c>
      <c r="AC403" s="2236">
        <v>4137</v>
      </c>
      <c r="AD403" s="2236">
        <v>447.89250000000004</v>
      </c>
      <c r="AE403" s="2236">
        <v>1513.675</v>
      </c>
      <c r="AF403" s="2236">
        <v>2166.0200000000004</v>
      </c>
      <c r="AG403" s="2236">
        <v>11.795000000000002</v>
      </c>
      <c r="AH403" s="2236">
        <v>186.58</v>
      </c>
      <c r="AI403" s="2236">
        <v>2163.5</v>
      </c>
    </row>
    <row r="404" spans="1:35">
      <c r="A404" s="2245">
        <v>45299</v>
      </c>
      <c r="B404" s="2244">
        <v>1.0945001610305958</v>
      </c>
      <c r="C404" s="2243">
        <v>0.6704003220611916</v>
      </c>
      <c r="D404" s="2243">
        <v>1.337599867661617</v>
      </c>
      <c r="E404" s="2243">
        <v>0.85019973532912585</v>
      </c>
      <c r="F404" s="2243">
        <v>1.2708502415458938</v>
      </c>
      <c r="G404" s="2243">
        <v>7.8086098411117648</v>
      </c>
      <c r="H404" s="2243">
        <v>144.4118878191712</v>
      </c>
      <c r="I404" s="2243">
        <v>4.6489969845153212</v>
      </c>
      <c r="J404" s="2243">
        <v>0.6235001610305958</v>
      </c>
      <c r="K404" s="2243">
        <v>1.3306500343269141</v>
      </c>
      <c r="L404" s="2243">
        <v>3.7504529532552242</v>
      </c>
      <c r="M404" s="2243">
        <v>34.964995591370119</v>
      </c>
      <c r="N404" s="2243">
        <v>10.278495929980437</v>
      </c>
      <c r="O404" s="2243">
        <v>7.1585509525137923</v>
      </c>
      <c r="P404" s="2243">
        <v>7.1675900277008306</v>
      </c>
      <c r="Q404" s="2242">
        <v>1317.3525668222317</v>
      </c>
      <c r="R404" s="2241">
        <v>15525</v>
      </c>
      <c r="S404" s="2240">
        <v>16992.114999999998</v>
      </c>
      <c r="T404" s="2242">
        <v>10407.965</v>
      </c>
      <c r="U404" s="2242">
        <v>11606.61</v>
      </c>
      <c r="V404" s="2242">
        <v>18260.415000000001</v>
      </c>
      <c r="W404" s="2242">
        <v>19729.95</v>
      </c>
      <c r="X404" s="2242">
        <v>1988.19</v>
      </c>
      <c r="Y404" s="2242">
        <v>107.505</v>
      </c>
      <c r="Z404" s="2242">
        <v>3339.4300000000003</v>
      </c>
      <c r="AA404" s="2242">
        <v>9679.84</v>
      </c>
      <c r="AB404" s="2242">
        <v>11667.23</v>
      </c>
      <c r="AC404" s="2242">
        <v>4139.5</v>
      </c>
      <c r="AD404" s="2242">
        <v>444.01550000000003</v>
      </c>
      <c r="AE404" s="2242">
        <v>1510.4349999999999</v>
      </c>
      <c r="AF404" s="2242">
        <v>2168.7350000000001</v>
      </c>
      <c r="AG404" s="2242">
        <v>11.785</v>
      </c>
      <c r="AH404" s="2242">
        <v>186.86</v>
      </c>
      <c r="AI404" s="2242">
        <v>2166</v>
      </c>
    </row>
    <row r="405" spans="1:35">
      <c r="A405" s="2264">
        <v>45300</v>
      </c>
      <c r="B405" s="2263">
        <v>1.0957000644329897</v>
      </c>
      <c r="C405" s="2262">
        <v>0.67070006443298968</v>
      </c>
      <c r="D405" s="2262">
        <v>1.3355500710801778</v>
      </c>
      <c r="E405" s="2262">
        <v>0.84755018676685823</v>
      </c>
      <c r="F405" s="2262">
        <v>1.2747503221649485</v>
      </c>
      <c r="G405" s="2262">
        <v>7.8138570094375481</v>
      </c>
      <c r="H405" s="2262">
        <v>144.07055001160361</v>
      </c>
      <c r="I405" s="2262">
        <v>4.6435020143284342</v>
      </c>
      <c r="J405" s="2262">
        <v>0.62465012886597937</v>
      </c>
      <c r="K405" s="2262">
        <v>1.3293498519899132</v>
      </c>
      <c r="L405" s="2262">
        <v>3.7501510209012929</v>
      </c>
      <c r="M405" s="2262">
        <v>34.864965651718762</v>
      </c>
      <c r="N405" s="2262">
        <v>10.229201337968989</v>
      </c>
      <c r="O405" s="2262">
        <v>7.1582588642260019</v>
      </c>
      <c r="P405" s="2262">
        <v>7.1685912240184759</v>
      </c>
      <c r="Q405" s="2261">
        <v>1315.8117846545144</v>
      </c>
      <c r="R405" s="2260">
        <v>15520</v>
      </c>
      <c r="S405" s="2259">
        <v>17005.264999999999</v>
      </c>
      <c r="T405" s="2261">
        <v>10409.264999999999</v>
      </c>
      <c r="U405" s="2261">
        <v>11620.68</v>
      </c>
      <c r="V405" s="2261">
        <v>18311.599999999999</v>
      </c>
      <c r="W405" s="2261">
        <v>19784.125</v>
      </c>
      <c r="X405" s="2261">
        <v>1986.2150000000001</v>
      </c>
      <c r="Y405" s="2261">
        <v>107.72499999999999</v>
      </c>
      <c r="Z405" s="2261">
        <v>3342.3050000000003</v>
      </c>
      <c r="AA405" s="2261">
        <v>9694.57</v>
      </c>
      <c r="AB405" s="2261">
        <v>11674.880000000001</v>
      </c>
      <c r="AC405" s="2261">
        <v>4138.5</v>
      </c>
      <c r="AD405" s="2261">
        <v>445.14600000000002</v>
      </c>
      <c r="AE405" s="2261">
        <v>1517.2249999999999</v>
      </c>
      <c r="AF405" s="2261">
        <v>2168.125</v>
      </c>
      <c r="AG405" s="2261">
        <v>11.795000000000002</v>
      </c>
      <c r="AH405" s="2261">
        <v>186.78000000000003</v>
      </c>
      <c r="AI405" s="2261">
        <v>2165</v>
      </c>
    </row>
    <row r="406" spans="1:35">
      <c r="A406" s="2270">
        <v>45301</v>
      </c>
      <c r="B406" s="2269">
        <v>1.0926002761809948</v>
      </c>
      <c r="C406" s="2268">
        <v>0.67009987475513022</v>
      </c>
      <c r="D406" s="2268">
        <v>1.3385501497427486</v>
      </c>
      <c r="E406" s="2268">
        <v>0.85229994257602104</v>
      </c>
      <c r="F406" s="2268">
        <v>1.2697999293490478</v>
      </c>
      <c r="G406" s="2268">
        <v>7.8192524514419883</v>
      </c>
      <c r="H406" s="2268">
        <v>144.9471675278127</v>
      </c>
      <c r="I406" s="2268">
        <v>4.6472512581113108</v>
      </c>
      <c r="J406" s="2268">
        <v>0.62395003050836573</v>
      </c>
      <c r="K406" s="2268">
        <v>1.3323497988361035</v>
      </c>
      <c r="L406" s="2268">
        <v>3.7503312055883415</v>
      </c>
      <c r="M406" s="2268">
        <v>34.994993330059238</v>
      </c>
      <c r="N406" s="2268">
        <v>10.254561022195876</v>
      </c>
      <c r="O406" s="2268">
        <v>7.1728023661333342</v>
      </c>
      <c r="P406" s="2268">
        <v>7.1848177203507149</v>
      </c>
      <c r="Q406" s="2267">
        <v>1321.1285532456513</v>
      </c>
      <c r="R406" s="2266">
        <v>15569.5</v>
      </c>
      <c r="S406" s="2265">
        <v>17011.239999999998</v>
      </c>
      <c r="T406" s="2267">
        <v>10433.120000000001</v>
      </c>
      <c r="U406" s="2267">
        <v>11631.615</v>
      </c>
      <c r="V406" s="2267">
        <v>18267.63</v>
      </c>
      <c r="W406" s="2267">
        <v>19770.150000000001</v>
      </c>
      <c r="X406" s="2267">
        <v>1991.175</v>
      </c>
      <c r="Y406" s="2267">
        <v>107.41499999999999</v>
      </c>
      <c r="Z406" s="2267">
        <v>3350.26</v>
      </c>
      <c r="AA406" s="2267">
        <v>9714.59</v>
      </c>
      <c r="AB406" s="2267">
        <v>11685.744999999999</v>
      </c>
      <c r="AC406" s="2267">
        <v>4151.5</v>
      </c>
      <c r="AD406" s="2267">
        <v>444.90649999999999</v>
      </c>
      <c r="AE406" s="2267">
        <v>1518.3000000000002</v>
      </c>
      <c r="AF406" s="2267">
        <v>2170.63</v>
      </c>
      <c r="AG406" s="2267">
        <v>11.785</v>
      </c>
      <c r="AH406" s="2267">
        <v>187.39</v>
      </c>
      <c r="AI406" s="2267">
        <v>2167</v>
      </c>
    </row>
    <row r="407" spans="1:35">
      <c r="A407" s="2276">
        <v>45302</v>
      </c>
      <c r="B407" s="2275">
        <v>1.0979001189825386</v>
      </c>
      <c r="C407" s="2274">
        <v>0.67154998874489513</v>
      </c>
      <c r="D407" s="2274">
        <v>1.3365999376766278</v>
      </c>
      <c r="E407" s="2274">
        <v>0.85029995789105262</v>
      </c>
      <c r="F407" s="2274">
        <v>1.2764999839212787</v>
      </c>
      <c r="G407" s="2274">
        <v>7.8172448466566111</v>
      </c>
      <c r="H407" s="2274">
        <v>145.40141207275448</v>
      </c>
      <c r="I407" s="2274">
        <v>4.6420014778214824</v>
      </c>
      <c r="J407" s="2274">
        <v>0.62485030710357914</v>
      </c>
      <c r="K407" s="2274">
        <v>1.3293997544434448</v>
      </c>
      <c r="L407" s="2274">
        <v>3.7502411963338158</v>
      </c>
      <c r="M407" s="2274">
        <v>34.959972029324241</v>
      </c>
      <c r="N407" s="2274">
        <v>10.211003992854891</v>
      </c>
      <c r="O407" s="2274">
        <v>7.163144255686726</v>
      </c>
      <c r="P407" s="2274">
        <v>7.1701637076320033</v>
      </c>
      <c r="Q407" s="2273">
        <v>1314.8837209302326</v>
      </c>
      <c r="R407" s="2272">
        <v>15548.5</v>
      </c>
      <c r="S407" s="2271">
        <v>17070.7</v>
      </c>
      <c r="T407" s="2273">
        <v>10441.595000000001</v>
      </c>
      <c r="U407" s="2273">
        <v>11632.875</v>
      </c>
      <c r="V407" s="2273">
        <v>18285.900000000001</v>
      </c>
      <c r="W407" s="2273">
        <v>19847.660000000003</v>
      </c>
      <c r="X407" s="2273">
        <v>1989</v>
      </c>
      <c r="Y407" s="2273">
        <v>106.935</v>
      </c>
      <c r="Z407" s="2273">
        <v>3349.5250000000001</v>
      </c>
      <c r="AA407" s="2273">
        <v>9715.4850000000006</v>
      </c>
      <c r="AB407" s="2273">
        <v>11695.880000000001</v>
      </c>
      <c r="AC407" s="2273">
        <v>4146</v>
      </c>
      <c r="AD407" s="2273">
        <v>444.75149999999996</v>
      </c>
      <c r="AE407" s="2273">
        <v>1522.72</v>
      </c>
      <c r="AF407" s="2273">
        <v>2170.625</v>
      </c>
      <c r="AG407" s="2273">
        <v>11.824999999999999</v>
      </c>
      <c r="AH407" s="2273">
        <v>187.27500000000001</v>
      </c>
      <c r="AI407" s="2273">
        <v>2168.5</v>
      </c>
    </row>
    <row r="408" spans="1:35">
      <c r="A408" s="2282">
        <v>45303</v>
      </c>
      <c r="B408" s="2281">
        <v>1.0966</v>
      </c>
      <c r="C408" s="2280">
        <v>0.66969999999999996</v>
      </c>
      <c r="D408" s="2280">
        <v>1.3376994236709137</v>
      </c>
      <c r="E408" s="2280">
        <v>0.85319995248417002</v>
      </c>
      <c r="F408" s="2280">
        <v>1.2755000000000001</v>
      </c>
      <c r="G408" s="2280">
        <v>7.8184510416640478</v>
      </c>
      <c r="H408" s="2280">
        <v>145.15075142350415</v>
      </c>
      <c r="I408" s="2280">
        <v>4.646999846096147</v>
      </c>
      <c r="J408" s="2280">
        <v>0.62410032154340833</v>
      </c>
      <c r="K408" s="2280">
        <v>1.3310501472072984</v>
      </c>
      <c r="L408" s="2280">
        <v>3.7501507295309295</v>
      </c>
      <c r="M408" s="2280">
        <v>35.090015480225475</v>
      </c>
      <c r="N408" s="2280">
        <v>10.260301540694796</v>
      </c>
      <c r="O408" s="2280">
        <v>7.1640498304584979</v>
      </c>
      <c r="P408" s="2280">
        <v>7.1725092250922513</v>
      </c>
      <c r="Q408" s="2279">
        <v>1314.4547759932375</v>
      </c>
      <c r="R408" s="2278">
        <v>15550</v>
      </c>
      <c r="S408" s="2277">
        <v>17052.13</v>
      </c>
      <c r="T408" s="2279">
        <v>10413.834999999999</v>
      </c>
      <c r="U408" s="2279">
        <v>11624.435000000001</v>
      </c>
      <c r="V408" s="2279">
        <v>18225.504999999997</v>
      </c>
      <c r="W408" s="2279">
        <v>19834.025000000001</v>
      </c>
      <c r="X408" s="2279">
        <v>1988.885</v>
      </c>
      <c r="Y408" s="2279">
        <v>107.13</v>
      </c>
      <c r="Z408" s="2279">
        <v>3346.2449999999999</v>
      </c>
      <c r="AA408" s="2279">
        <v>9704.76</v>
      </c>
      <c r="AB408" s="2279">
        <v>11682.505000000001</v>
      </c>
      <c r="AC408" s="2279">
        <v>4146.5</v>
      </c>
      <c r="AD408" s="2279">
        <v>443.14600000000002</v>
      </c>
      <c r="AE408" s="2279">
        <v>1515.5500000000002</v>
      </c>
      <c r="AF408" s="2279">
        <v>2170.5600000000004</v>
      </c>
      <c r="AG408" s="2279">
        <v>11.83</v>
      </c>
      <c r="AH408" s="2279">
        <v>187.55</v>
      </c>
      <c r="AI408" s="2279">
        <v>2168</v>
      </c>
    </row>
    <row r="409" spans="1:35">
      <c r="A409" s="2288">
        <v>45306</v>
      </c>
      <c r="B409" s="2287">
        <v>1.0954001928640309</v>
      </c>
      <c r="C409" s="2286">
        <v>0.6670003214400515</v>
      </c>
      <c r="D409" s="2286">
        <v>1.3409997193857868</v>
      </c>
      <c r="E409" s="2286">
        <v>0.85414986143058969</v>
      </c>
      <c r="F409" s="2286">
        <v>1.2743500482160077</v>
      </c>
      <c r="G409" s="2286">
        <v>7.8208863671216076</v>
      </c>
      <c r="H409" s="2286">
        <v>145.45539554890593</v>
      </c>
      <c r="I409" s="2286">
        <v>4.6700001651237599</v>
      </c>
      <c r="J409" s="2286">
        <v>0.62084988749598202</v>
      </c>
      <c r="K409" s="2286">
        <v>1.3329494301866129</v>
      </c>
      <c r="L409" s="2286">
        <v>3.7504520795660037</v>
      </c>
      <c r="M409" s="2286">
        <v>34.88497266166398</v>
      </c>
      <c r="N409" s="2286">
        <v>10.291407947970665</v>
      </c>
      <c r="O409" s="2286">
        <v>7.1741536758601612</v>
      </c>
      <c r="P409" s="2286">
        <v>7.1864171864171862</v>
      </c>
      <c r="Q409" s="2285">
        <v>1321.5802888700086</v>
      </c>
      <c r="R409" s="2284">
        <v>15555</v>
      </c>
      <c r="S409" s="2283">
        <v>17038.95</v>
      </c>
      <c r="T409" s="2285">
        <v>10375.19</v>
      </c>
      <c r="U409" s="2285">
        <v>11599.555</v>
      </c>
      <c r="V409" s="2285">
        <v>18211.090000000004</v>
      </c>
      <c r="W409" s="2285">
        <v>19822.514999999999</v>
      </c>
      <c r="X409" s="2285">
        <v>1988.905</v>
      </c>
      <c r="Y409" s="2285">
        <v>106.94</v>
      </c>
      <c r="Z409" s="2285">
        <v>3330.835</v>
      </c>
      <c r="AA409" s="2285">
        <v>9657.32</v>
      </c>
      <c r="AB409" s="2285">
        <v>11669.61</v>
      </c>
      <c r="AC409" s="2285">
        <v>4147.5</v>
      </c>
      <c r="AD409" s="2285">
        <v>445.89400000000001</v>
      </c>
      <c r="AE409" s="2285">
        <v>1511.4549999999999</v>
      </c>
      <c r="AF409" s="2285">
        <v>2168.1999999999998</v>
      </c>
      <c r="AG409" s="2285">
        <v>11.77</v>
      </c>
      <c r="AH409" s="2285">
        <v>187.7</v>
      </c>
      <c r="AI409" s="2285">
        <v>2164.5</v>
      </c>
    </row>
    <row r="410" spans="1:35">
      <c r="A410" s="2294">
        <v>45307</v>
      </c>
      <c r="B410" s="2293">
        <v>1.0918999358563182</v>
      </c>
      <c r="C410" s="2292">
        <v>0.66170012828736369</v>
      </c>
      <c r="D410" s="2292">
        <v>1.3482001441596949</v>
      </c>
      <c r="E410" s="2292">
        <v>0.85919980335953183</v>
      </c>
      <c r="F410" s="2292">
        <v>1.2672998717126365</v>
      </c>
      <c r="G410" s="2292">
        <v>7.8212598800472595</v>
      </c>
      <c r="H410" s="2292">
        <v>146.15853372708949</v>
      </c>
      <c r="I410" s="2292">
        <v>4.6850019833876253</v>
      </c>
      <c r="J410" s="2292">
        <v>0.61660006414368185</v>
      </c>
      <c r="K410" s="2292">
        <v>1.3370996259294408</v>
      </c>
      <c r="L410" s="2292">
        <v>3.7503006976184747</v>
      </c>
      <c r="M410" s="2292">
        <v>35.135007223072364</v>
      </c>
      <c r="N410" s="2292">
        <v>10.368586972425812</v>
      </c>
      <c r="O410" s="2292">
        <v>7.1830077405086614</v>
      </c>
      <c r="P410" s="2292">
        <v>7.1959381490883914</v>
      </c>
      <c r="Q410" s="2291">
        <v>1331.9094404100811</v>
      </c>
      <c r="R410" s="2290">
        <v>15590</v>
      </c>
      <c r="S410" s="2289">
        <v>17022.72</v>
      </c>
      <c r="T410" s="2291">
        <v>10315.905000000001</v>
      </c>
      <c r="U410" s="2291">
        <v>11563.564999999999</v>
      </c>
      <c r="V410" s="2291">
        <v>18144.79</v>
      </c>
      <c r="W410" s="2291">
        <v>19757.205000000002</v>
      </c>
      <c r="X410" s="2291">
        <v>1993.2849999999999</v>
      </c>
      <c r="Y410" s="2291">
        <v>106.66500000000001</v>
      </c>
      <c r="Z410" s="2291">
        <v>3327.6400000000003</v>
      </c>
      <c r="AA410" s="2291">
        <v>9612.7950000000001</v>
      </c>
      <c r="AB410" s="2291">
        <v>11659.565000000001</v>
      </c>
      <c r="AC410" s="2291">
        <v>4157</v>
      </c>
      <c r="AD410" s="2291">
        <v>443.71699999999998</v>
      </c>
      <c r="AE410" s="2291">
        <v>1503.58</v>
      </c>
      <c r="AF410" s="2291">
        <v>2170.4</v>
      </c>
      <c r="AG410" s="2291">
        <v>11.705000000000002</v>
      </c>
      <c r="AH410" s="2291">
        <v>187.92500000000001</v>
      </c>
      <c r="AI410" s="2291">
        <v>2166.5</v>
      </c>
    </row>
    <row r="411" spans="1:35">
      <c r="A411" s="2300">
        <v>45308</v>
      </c>
      <c r="B411" s="2299">
        <v>1.087</v>
      </c>
      <c r="C411" s="2298">
        <v>0.65535006393861883</v>
      </c>
      <c r="D411" s="2298">
        <v>1.3517998644742846</v>
      </c>
      <c r="E411" s="2298">
        <v>0.86240004720041186</v>
      </c>
      <c r="F411" s="2298">
        <v>1.2656502557544758</v>
      </c>
      <c r="G411" s="2298">
        <v>7.8233444797650993</v>
      </c>
      <c r="H411" s="2298">
        <v>147.87500590932729</v>
      </c>
      <c r="I411" s="2298">
        <v>4.7189950109601977</v>
      </c>
      <c r="J411" s="2298">
        <v>0.61199999999999999</v>
      </c>
      <c r="K411" s="2298">
        <v>1.3444499746841101</v>
      </c>
      <c r="L411" s="2298">
        <v>3.7501498621268432</v>
      </c>
      <c r="M411" s="2298">
        <v>35.509984912797329</v>
      </c>
      <c r="N411" s="2298">
        <v>10.455908357038517</v>
      </c>
      <c r="O411" s="2298">
        <v>7.1972076306967345</v>
      </c>
      <c r="P411" s="2298">
        <v>7.220683287165282</v>
      </c>
      <c r="Q411" s="2297">
        <v>1344.2200257842715</v>
      </c>
      <c r="R411" s="2296">
        <v>15640</v>
      </c>
      <c r="S411" s="2295">
        <v>17000.68</v>
      </c>
      <c r="T411" s="2297">
        <v>10249.674999999999</v>
      </c>
      <c r="U411" s="2297">
        <v>11569.76</v>
      </c>
      <c r="V411" s="2297">
        <v>18135.434999999998</v>
      </c>
      <c r="W411" s="2297">
        <v>19794.77</v>
      </c>
      <c r="X411" s="2297">
        <v>1999.145</v>
      </c>
      <c r="Y411" s="2297">
        <v>105.765</v>
      </c>
      <c r="Z411" s="2297">
        <v>3314.2650000000003</v>
      </c>
      <c r="AA411" s="2297">
        <v>9571.68</v>
      </c>
      <c r="AB411" s="2297">
        <v>11633.01</v>
      </c>
      <c r="AC411" s="2297">
        <v>4170.5</v>
      </c>
      <c r="AD411" s="2297">
        <v>440.43950000000001</v>
      </c>
      <c r="AE411" s="2297">
        <v>1495.8050000000001</v>
      </c>
      <c r="AF411" s="2297">
        <v>2173.0650000000001</v>
      </c>
      <c r="AG411" s="2297">
        <v>11.635000000000002</v>
      </c>
      <c r="AH411" s="2297">
        <v>188.22499999999999</v>
      </c>
      <c r="AI411" s="2297">
        <v>2166</v>
      </c>
    </row>
    <row r="412" spans="1:35">
      <c r="A412" s="2306">
        <v>45309</v>
      </c>
      <c r="B412" s="2305">
        <v>1.0888002560819463</v>
      </c>
      <c r="C412" s="2304">
        <v>0.65580025608194625</v>
      </c>
      <c r="D412" s="2304">
        <v>1.3492001109073588</v>
      </c>
      <c r="E412" s="2304">
        <v>0.86459989283832317</v>
      </c>
      <c r="F412" s="2304">
        <v>1.2697999359795136</v>
      </c>
      <c r="G412" s="2304">
        <v>7.8197551445428166</v>
      </c>
      <c r="H412" s="2304">
        <v>147.78371729977766</v>
      </c>
      <c r="I412" s="2304">
        <v>4.7164968687533593</v>
      </c>
      <c r="J412" s="2304">
        <v>0.6117000640204866</v>
      </c>
      <c r="K412" s="2304">
        <v>1.343449629454746</v>
      </c>
      <c r="L412" s="2304">
        <v>3.7507503902029056</v>
      </c>
      <c r="M412" s="2304">
        <v>35.58495908982696</v>
      </c>
      <c r="N412" s="2304">
        <v>10.440548362732187</v>
      </c>
      <c r="O412" s="2304">
        <v>7.1966642862079295</v>
      </c>
      <c r="P412" s="2304">
        <v>7.2147806004618937</v>
      </c>
      <c r="Q412" s="2303">
        <v>1339.0484354907844</v>
      </c>
      <c r="R412" s="2302">
        <v>15620</v>
      </c>
      <c r="S412" s="2301">
        <v>17007.060000000001</v>
      </c>
      <c r="T412" s="2303">
        <v>10243.6</v>
      </c>
      <c r="U412" s="2303">
        <v>11577.23</v>
      </c>
      <c r="V412" s="2303">
        <v>18066.16</v>
      </c>
      <c r="W412" s="2303">
        <v>19834.275000000001</v>
      </c>
      <c r="X412" s="2303">
        <v>1997.5050000000001</v>
      </c>
      <c r="Y412" s="2303">
        <v>105.69500000000001</v>
      </c>
      <c r="Z412" s="2303">
        <v>3311.7799999999997</v>
      </c>
      <c r="AA412" s="2303">
        <v>9554.755000000001</v>
      </c>
      <c r="AB412" s="2303">
        <v>11626.785</v>
      </c>
      <c r="AC412" s="2303">
        <v>4164.5</v>
      </c>
      <c r="AD412" s="2303">
        <v>438.94950000000006</v>
      </c>
      <c r="AE412" s="2303">
        <v>1496.0900000000001</v>
      </c>
      <c r="AF412" s="2303">
        <v>2170.4499999999998</v>
      </c>
      <c r="AG412" s="2303">
        <v>11.664999999999999</v>
      </c>
      <c r="AH412" s="2303">
        <v>187.85</v>
      </c>
      <c r="AI412" s="2303">
        <v>2165</v>
      </c>
    </row>
    <row r="413" spans="1:35">
      <c r="A413" s="2312">
        <v>45310</v>
      </c>
      <c r="B413" s="2311">
        <v>1.0879000960614793</v>
      </c>
      <c r="C413" s="2310">
        <v>0.65800000000000003</v>
      </c>
      <c r="D413" s="2310">
        <v>1.3488002674278339</v>
      </c>
      <c r="E413" s="2310">
        <v>0.86839975863881191</v>
      </c>
      <c r="F413" s="2310">
        <v>1.2686500160102467</v>
      </c>
      <c r="G413" s="2310">
        <v>7.8204428328884301</v>
      </c>
      <c r="H413" s="2310">
        <v>148.27651694995726</v>
      </c>
      <c r="I413" s="2310">
        <v>4.7194974332160129</v>
      </c>
      <c r="J413" s="2310">
        <v>0.6103499839897536</v>
      </c>
      <c r="K413" s="2310">
        <v>1.3420995972841714</v>
      </c>
      <c r="L413" s="2310">
        <v>3.7504503422601179</v>
      </c>
      <c r="M413" s="2310">
        <v>35.544983240477805</v>
      </c>
      <c r="N413" s="2310">
        <v>10.479092147559575</v>
      </c>
      <c r="O413" s="2310">
        <v>7.1933497792242784</v>
      </c>
      <c r="P413" s="2310">
        <v>7.2058144900784491</v>
      </c>
      <c r="Q413" s="2309">
        <v>1336.3286264441592</v>
      </c>
      <c r="R413" s="2308">
        <v>15615</v>
      </c>
      <c r="S413" s="2307">
        <v>16987.559999999998</v>
      </c>
      <c r="T413" s="2309">
        <v>10274.67</v>
      </c>
      <c r="U413" s="2309">
        <v>11576.955000000002</v>
      </c>
      <c r="V413" s="2309">
        <v>17981.349999999999</v>
      </c>
      <c r="W413" s="2309">
        <v>19809.97</v>
      </c>
      <c r="X413" s="2309">
        <v>1996.69</v>
      </c>
      <c r="Y413" s="2309">
        <v>105.31</v>
      </c>
      <c r="Z413" s="2309">
        <v>3308.6150000000002</v>
      </c>
      <c r="AA413" s="2309">
        <v>9530.6150000000016</v>
      </c>
      <c r="AB413" s="2309">
        <v>11634.755000000001</v>
      </c>
      <c r="AC413" s="2309">
        <v>4163.5</v>
      </c>
      <c r="AD413" s="2309">
        <v>439.30250000000001</v>
      </c>
      <c r="AE413" s="2309">
        <v>1490.1100000000001</v>
      </c>
      <c r="AF413" s="2309">
        <v>2170.7550000000001</v>
      </c>
      <c r="AG413" s="2309">
        <v>11.684999999999999</v>
      </c>
      <c r="AH413" s="2309">
        <v>187.84</v>
      </c>
      <c r="AI413" s="2309">
        <v>2167</v>
      </c>
    </row>
    <row r="414" spans="1:35">
      <c r="A414" s="2318">
        <v>45313</v>
      </c>
      <c r="B414" s="2317">
        <v>1.0897499200511673</v>
      </c>
      <c r="C414" s="2316">
        <v>0.65914998401023339</v>
      </c>
      <c r="D414" s="2316">
        <v>1.3434496625264758</v>
      </c>
      <c r="E414" s="2316">
        <v>0.86879983374166281</v>
      </c>
      <c r="F414" s="2316">
        <v>1.2704000639590662</v>
      </c>
      <c r="G414" s="2316">
        <v>7.8174609126954353</v>
      </c>
      <c r="H414" s="2316">
        <v>148.03768404109263</v>
      </c>
      <c r="I414" s="2316">
        <v>4.7249924448473859</v>
      </c>
      <c r="J414" s="2316">
        <v>0.61085001598976651</v>
      </c>
      <c r="K414" s="2316">
        <v>1.3409993725992702</v>
      </c>
      <c r="L414" s="2316">
        <v>3.7507496701451362</v>
      </c>
      <c r="M414" s="2316">
        <v>35.635002757809616</v>
      </c>
      <c r="N414" s="2316">
        <v>10.478414867486755</v>
      </c>
      <c r="O414" s="2316">
        <v>7.1960988721432502</v>
      </c>
      <c r="P414" s="2316">
        <v>7.2034093526837131</v>
      </c>
      <c r="Q414" s="2315">
        <v>1339.186295503212</v>
      </c>
      <c r="R414" s="2314">
        <v>15635</v>
      </c>
      <c r="S414" s="2313">
        <v>17038.240000000002</v>
      </c>
      <c r="T414" s="2315">
        <v>10305.81</v>
      </c>
      <c r="U414" s="2315">
        <v>11637.95</v>
      </c>
      <c r="V414" s="2315">
        <v>17996.09</v>
      </c>
      <c r="W414" s="2315">
        <v>19862.705000000002</v>
      </c>
      <c r="X414" s="2315">
        <v>2000.0100000000002</v>
      </c>
      <c r="Y414" s="2315">
        <v>105.61500000000001</v>
      </c>
      <c r="Z414" s="2315">
        <v>3309</v>
      </c>
      <c r="AA414" s="2315">
        <v>9550.64</v>
      </c>
      <c r="AB414" s="2315">
        <v>11659.215</v>
      </c>
      <c r="AC414" s="2315">
        <v>4168.5</v>
      </c>
      <c r="AD414" s="2315">
        <v>438.75400000000002</v>
      </c>
      <c r="AE414" s="2315">
        <v>1492.115</v>
      </c>
      <c r="AF414" s="2315">
        <v>2172.7049999999999</v>
      </c>
      <c r="AG414" s="2315">
        <v>11.675000000000001</v>
      </c>
      <c r="AH414" s="2315">
        <v>188.08</v>
      </c>
      <c r="AI414" s="2315">
        <v>2170.5</v>
      </c>
    </row>
    <row r="415" spans="1:35">
      <c r="A415" s="2324">
        <v>45314</v>
      </c>
      <c r="B415" s="2323">
        <v>1.0908003838771592</v>
      </c>
      <c r="C415" s="2322">
        <v>0.65990019193857974</v>
      </c>
      <c r="D415" s="2322">
        <v>1.3468001862944339</v>
      </c>
      <c r="E415" s="2322">
        <v>0.86670008517282981</v>
      </c>
      <c r="F415" s="2322">
        <v>1.2741999360204737</v>
      </c>
      <c r="G415" s="2322">
        <v>7.822744517071901</v>
      </c>
      <c r="H415" s="2322">
        <v>147.58509985364242</v>
      </c>
      <c r="I415" s="2322">
        <v>4.7264952871126642</v>
      </c>
      <c r="J415" s="2322">
        <v>0.6101999360204734</v>
      </c>
      <c r="K415" s="2322">
        <v>1.3383499335534519</v>
      </c>
      <c r="L415" s="2322">
        <v>3.7504499100179962</v>
      </c>
      <c r="M415" s="2322">
        <v>35.574998264495441</v>
      </c>
      <c r="N415" s="2322">
        <v>10.429108087729951</v>
      </c>
      <c r="O415" s="2322">
        <v>7.1709089574425136</v>
      </c>
      <c r="P415" s="2322">
        <v>7.1730151445617256</v>
      </c>
      <c r="Q415" s="2321">
        <v>1333.0490405117268</v>
      </c>
      <c r="R415" s="2320">
        <v>15630</v>
      </c>
      <c r="S415" s="2319">
        <v>17049.21</v>
      </c>
      <c r="T415" s="2321">
        <v>10314.240000000002</v>
      </c>
      <c r="U415" s="2321">
        <v>11605.285</v>
      </c>
      <c r="V415" s="2321">
        <v>18033.920000000002</v>
      </c>
      <c r="W415" s="2321">
        <v>19915.745000000003</v>
      </c>
      <c r="X415" s="2321">
        <v>1998.02</v>
      </c>
      <c r="Y415" s="2321">
        <v>105.905</v>
      </c>
      <c r="Z415" s="2321">
        <v>3306.8900000000003</v>
      </c>
      <c r="AA415" s="2321">
        <v>9537.4249999999993</v>
      </c>
      <c r="AB415" s="2321">
        <v>11678.56</v>
      </c>
      <c r="AC415" s="2321">
        <v>4167.5</v>
      </c>
      <c r="AD415" s="2321">
        <v>439.35350000000005</v>
      </c>
      <c r="AE415" s="2321">
        <v>1498.69</v>
      </c>
      <c r="AF415" s="2321">
        <v>2179.64</v>
      </c>
      <c r="AG415" s="2321">
        <v>11.725000000000001</v>
      </c>
      <c r="AH415" s="2321">
        <v>188.10000000000002</v>
      </c>
      <c r="AI415" s="2321">
        <v>2179</v>
      </c>
    </row>
    <row r="416" spans="1:35">
      <c r="A416" s="2330">
        <v>45315</v>
      </c>
      <c r="B416" s="2329">
        <v>1.0873001273074476</v>
      </c>
      <c r="C416" s="2328">
        <v>0.65849999999999997</v>
      </c>
      <c r="D416" s="2328">
        <v>1.3455497718518012</v>
      </c>
      <c r="E416" s="2328">
        <v>0.86799992043794483</v>
      </c>
      <c r="F416" s="2328">
        <v>1.2705</v>
      </c>
      <c r="G416" s="2328">
        <v>7.8206478045186518</v>
      </c>
      <c r="H416" s="2328">
        <v>147.79622748012605</v>
      </c>
      <c r="I416" s="2328">
        <v>4.7339952690180951</v>
      </c>
      <c r="J416" s="2328">
        <v>0.61125015913430936</v>
      </c>
      <c r="K416" s="2328">
        <v>1.3398994947444554</v>
      </c>
      <c r="L416" s="2328">
        <v>3.750298400572929</v>
      </c>
      <c r="M416" s="2328">
        <v>35.734960779117685</v>
      </c>
      <c r="N416" s="2328">
        <v>10.45128113014872</v>
      </c>
      <c r="O416" s="2328">
        <v>7.1688022487496807</v>
      </c>
      <c r="P416" s="2328">
        <v>7.1702418986764034</v>
      </c>
      <c r="Q416" s="2327">
        <v>1336.4525733730329</v>
      </c>
      <c r="R416" s="2326">
        <v>15710</v>
      </c>
      <c r="S416" s="2325">
        <v>17081.485000000001</v>
      </c>
      <c r="T416" s="2327">
        <v>10345.035</v>
      </c>
      <c r="U416" s="2327">
        <v>11675.525</v>
      </c>
      <c r="V416" s="2327">
        <v>18099.080000000002</v>
      </c>
      <c r="W416" s="2327">
        <v>19959.555</v>
      </c>
      <c r="X416" s="2327">
        <v>2008.7850000000001</v>
      </c>
      <c r="Y416" s="2327">
        <v>106.295</v>
      </c>
      <c r="Z416" s="2327">
        <v>3318.55</v>
      </c>
      <c r="AA416" s="2327">
        <v>9602.74</v>
      </c>
      <c r="AB416" s="2327">
        <v>11724.76</v>
      </c>
      <c r="AC416" s="2327">
        <v>4189</v>
      </c>
      <c r="AD416" s="2327">
        <v>439.62549999999999</v>
      </c>
      <c r="AE416" s="2327">
        <v>1503.165</v>
      </c>
      <c r="AF416" s="2327">
        <v>2191.44</v>
      </c>
      <c r="AG416" s="2327">
        <v>11.754999999999999</v>
      </c>
      <c r="AH416" s="2327">
        <v>188.91499999999999</v>
      </c>
      <c r="AI416" s="2327">
        <v>2191</v>
      </c>
    </row>
    <row r="417" spans="1:35">
      <c r="A417" s="2336">
        <v>45316</v>
      </c>
      <c r="B417" s="2335">
        <v>1.0888000000000002</v>
      </c>
      <c r="C417" s="2334">
        <v>0.65829984202211689</v>
      </c>
      <c r="D417" s="2334">
        <v>1.3520995350315532</v>
      </c>
      <c r="E417" s="2334">
        <v>0.8630000389917869</v>
      </c>
      <c r="F417" s="2334">
        <v>1.2731999999999999</v>
      </c>
      <c r="G417" s="2334">
        <v>7.8176523330690397</v>
      </c>
      <c r="H417" s="2334">
        <v>147.66948164046096</v>
      </c>
      <c r="I417" s="2334">
        <v>4.7315004312915869</v>
      </c>
      <c r="J417" s="2334">
        <v>0.61150015797788315</v>
      </c>
      <c r="K417" s="2334">
        <v>1.3391995775491758</v>
      </c>
      <c r="L417" s="2334">
        <v>3.750444365446143</v>
      </c>
      <c r="M417" s="2334">
        <v>35.720009299616954</v>
      </c>
      <c r="N417" s="2334">
        <v>10.418141061300801</v>
      </c>
      <c r="O417" s="2334">
        <v>7.1635994088050028</v>
      </c>
      <c r="P417" s="2334">
        <v>7.1687429218573042</v>
      </c>
      <c r="Q417" s="2333">
        <v>1334.8797975537748</v>
      </c>
      <c r="R417" s="2332">
        <v>15825</v>
      </c>
      <c r="S417" s="2331">
        <v>17230.260000000002</v>
      </c>
      <c r="T417" s="2333">
        <v>10417.594999999999</v>
      </c>
      <c r="U417" s="2333">
        <v>11704.02</v>
      </c>
      <c r="V417" s="2333">
        <v>18337.195</v>
      </c>
      <c r="W417" s="2333">
        <v>20148.39</v>
      </c>
      <c r="X417" s="2333">
        <v>2024.2650000000001</v>
      </c>
      <c r="Y417" s="2333">
        <v>107.16500000000001</v>
      </c>
      <c r="Z417" s="2333">
        <v>3344.6050000000005</v>
      </c>
      <c r="AA417" s="2333">
        <v>9676.9900000000016</v>
      </c>
      <c r="AB417" s="2333">
        <v>11816.76</v>
      </c>
      <c r="AC417" s="2333">
        <v>4219.5</v>
      </c>
      <c r="AD417" s="2333">
        <v>443.029</v>
      </c>
      <c r="AE417" s="2333">
        <v>1518.9850000000001</v>
      </c>
      <c r="AF417" s="2333">
        <v>2209.085</v>
      </c>
      <c r="AG417" s="2333">
        <v>11.855</v>
      </c>
      <c r="AH417" s="2333">
        <v>190.39500000000001</v>
      </c>
      <c r="AI417" s="2333">
        <v>2207.5</v>
      </c>
    </row>
    <row r="418" spans="1:35">
      <c r="A418" s="2342">
        <v>45317</v>
      </c>
      <c r="B418" s="2341">
        <v>1.082000316055626</v>
      </c>
      <c r="C418" s="2340">
        <v>0.65829993678887488</v>
      </c>
      <c r="D418" s="2340">
        <v>1.3473502041678429</v>
      </c>
      <c r="E418" s="2340">
        <v>0.86789983053460329</v>
      </c>
      <c r="F418" s="2340">
        <v>1.2682000632111254</v>
      </c>
      <c r="G418" s="2340">
        <v>7.8138505687515121</v>
      </c>
      <c r="H418" s="2340">
        <v>147.77450843024613</v>
      </c>
      <c r="I418" s="2340">
        <v>4.7269951161355763</v>
      </c>
      <c r="J418" s="2340">
        <v>0.60960018963337548</v>
      </c>
      <c r="K418" s="2340">
        <v>1.3412497022035663</v>
      </c>
      <c r="L418" s="2340">
        <v>3.7501481569278181</v>
      </c>
      <c r="M418" s="2340">
        <v>35.659985866743909</v>
      </c>
      <c r="N418" s="2340">
        <v>10.453594827386832</v>
      </c>
      <c r="O418" s="2340">
        <v>7.1816056472297252</v>
      </c>
      <c r="P418" s="2340">
        <v>7.1909090909090905</v>
      </c>
      <c r="Q418" s="2339">
        <v>1337.2781065088757</v>
      </c>
      <c r="R418" s="2338">
        <v>15820</v>
      </c>
      <c r="S418" s="2337">
        <v>17117.245000000003</v>
      </c>
      <c r="T418" s="2339">
        <v>10414.305</v>
      </c>
      <c r="U418" s="2339">
        <v>11741.565000000001</v>
      </c>
      <c r="V418" s="2339">
        <v>18227.91</v>
      </c>
      <c r="W418" s="2339">
        <v>20062.925000000003</v>
      </c>
      <c r="X418" s="2339">
        <v>2024.6100000000001</v>
      </c>
      <c r="Y418" s="2339">
        <v>107.05500000000001</v>
      </c>
      <c r="Z418" s="2339">
        <v>3346.7350000000001</v>
      </c>
      <c r="AA418" s="2339">
        <v>9643.875</v>
      </c>
      <c r="AB418" s="2339">
        <v>11794.970000000001</v>
      </c>
      <c r="AC418" s="2339">
        <v>4218.5</v>
      </c>
      <c r="AD418" s="2339">
        <v>443.6345</v>
      </c>
      <c r="AE418" s="2339">
        <v>1513.355</v>
      </c>
      <c r="AF418" s="2339">
        <v>2202.85</v>
      </c>
      <c r="AG418" s="2339">
        <v>11.83</v>
      </c>
      <c r="AH418" s="2339">
        <v>190.285</v>
      </c>
      <c r="AI418" s="2339">
        <v>2200</v>
      </c>
    </row>
    <row r="419" spans="1:35">
      <c r="A419" s="2348">
        <v>45320</v>
      </c>
      <c r="B419" s="2347">
        <v>1.0837001897533209</v>
      </c>
      <c r="C419" s="2346">
        <v>0.65990006325110695</v>
      </c>
      <c r="D419" s="2346">
        <v>1.3435999896319293</v>
      </c>
      <c r="E419" s="2346">
        <v>0.86249998977111031</v>
      </c>
      <c r="F419" s="2346">
        <v>1.2710502846299812</v>
      </c>
      <c r="G419" s="2346">
        <v>7.8139479712648363</v>
      </c>
      <c r="H419" s="2346">
        <v>147.80535689244144</v>
      </c>
      <c r="I419" s="2346">
        <v>4.7350002171331536</v>
      </c>
      <c r="J419" s="2346">
        <v>0.61120018975332069</v>
      </c>
      <c r="K419" s="2346">
        <v>1.3409498606887953</v>
      </c>
      <c r="L419" s="2346">
        <v>3.7504447870952435</v>
      </c>
      <c r="M419" s="2346">
        <v>35.544983739462687</v>
      </c>
      <c r="N419" s="2346">
        <v>10.44981807005542</v>
      </c>
      <c r="O419" s="2346">
        <v>7.1799017248113062</v>
      </c>
      <c r="P419" s="2346">
        <v>7.1896316507503411</v>
      </c>
      <c r="Q419" s="2345">
        <v>1335.868187579214</v>
      </c>
      <c r="R419" s="2344">
        <v>15810</v>
      </c>
      <c r="S419" s="2343">
        <v>17133.300000000003</v>
      </c>
      <c r="T419" s="2345">
        <v>10433.02</v>
      </c>
      <c r="U419" s="2345">
        <v>11766.895</v>
      </c>
      <c r="V419" s="2345">
        <v>18330.434999999998</v>
      </c>
      <c r="W419" s="2345">
        <v>20095.305</v>
      </c>
      <c r="X419" s="2345">
        <v>2023.3050000000001</v>
      </c>
      <c r="Y419" s="2345">
        <v>106.965</v>
      </c>
      <c r="Z419" s="2345">
        <v>3338.9650000000001</v>
      </c>
      <c r="AA419" s="2345">
        <v>9663.0750000000007</v>
      </c>
      <c r="AB419" s="2345">
        <v>11790.15</v>
      </c>
      <c r="AC419" s="2345">
        <v>4215.5</v>
      </c>
      <c r="AD419" s="2345">
        <v>444.7885</v>
      </c>
      <c r="AE419" s="2345">
        <v>1512.9450000000002</v>
      </c>
      <c r="AF419" s="2345">
        <v>2201.98</v>
      </c>
      <c r="AG419" s="2345">
        <v>11.835000000000001</v>
      </c>
      <c r="AH419" s="2345">
        <v>190.14499999999998</v>
      </c>
      <c r="AI419" s="2345">
        <v>2199</v>
      </c>
    </row>
    <row r="420" spans="1:35">
      <c r="A420" s="2354">
        <v>45321</v>
      </c>
      <c r="B420" s="2353">
        <v>1.0823000633713562</v>
      </c>
      <c r="C420" s="2352">
        <v>0.66139987325728766</v>
      </c>
      <c r="D420" s="2352">
        <v>1.3407001037385819</v>
      </c>
      <c r="E420" s="2352">
        <v>0.86129988054785878</v>
      </c>
      <c r="F420" s="2352">
        <v>1.2695500633713561</v>
      </c>
      <c r="G420" s="2352">
        <v>7.8154600497752682</v>
      </c>
      <c r="H420" s="2352">
        <v>147.22896062698263</v>
      </c>
      <c r="I420" s="2352">
        <v>4.7274949669255104</v>
      </c>
      <c r="J420" s="2352">
        <v>0.61470025348542456</v>
      </c>
      <c r="K420" s="2352">
        <v>1.3392504780309455</v>
      </c>
      <c r="L420" s="2352">
        <v>3.75</v>
      </c>
      <c r="M420" s="2352">
        <v>35.30501474398271</v>
      </c>
      <c r="N420" s="2352">
        <v>10.430161541918938</v>
      </c>
      <c r="O420" s="2352">
        <v>7.176951887588376</v>
      </c>
      <c r="P420" s="2352">
        <v>7.1874288317012072</v>
      </c>
      <c r="Q420" s="2351">
        <v>1327.7240218763145</v>
      </c>
      <c r="R420" s="2350">
        <v>15780</v>
      </c>
      <c r="S420" s="2349">
        <v>17078.695</v>
      </c>
      <c r="T420" s="2351">
        <v>10436.89</v>
      </c>
      <c r="U420" s="2351">
        <v>11769.970000000001</v>
      </c>
      <c r="V420" s="2351">
        <v>18321.145</v>
      </c>
      <c r="W420" s="2351">
        <v>20033.5</v>
      </c>
      <c r="X420" s="2351">
        <v>2019.075</v>
      </c>
      <c r="Y420" s="2351">
        <v>107.18</v>
      </c>
      <c r="Z420" s="2351">
        <v>3337.92</v>
      </c>
      <c r="AA420" s="2351">
        <v>9699.9699999999993</v>
      </c>
      <c r="AB420" s="2351">
        <v>11782.71</v>
      </c>
      <c r="AC420" s="2351">
        <v>4208</v>
      </c>
      <c r="AD420" s="2351">
        <v>446.96199999999999</v>
      </c>
      <c r="AE420" s="2351">
        <v>1512.92</v>
      </c>
      <c r="AF420" s="2351">
        <v>2198.7049999999999</v>
      </c>
      <c r="AG420" s="2351">
        <v>11.885000000000002</v>
      </c>
      <c r="AH420" s="2351">
        <v>189.84500000000003</v>
      </c>
      <c r="AI420" s="2351">
        <v>2195.5</v>
      </c>
    </row>
    <row r="421" spans="1:35">
      <c r="A421" s="2360">
        <v>45322</v>
      </c>
      <c r="B421" s="2359">
        <v>1.0816999366286437</v>
      </c>
      <c r="C421" s="2358">
        <v>0.65739987325728777</v>
      </c>
      <c r="D421" s="2358">
        <v>1.3416998265483113</v>
      </c>
      <c r="E421" s="2358">
        <v>0.8637500051315945</v>
      </c>
      <c r="F421" s="2358">
        <v>1.2675000000000001</v>
      </c>
      <c r="G421" s="2358">
        <v>7.8182092931655074</v>
      </c>
      <c r="H421" s="2358">
        <v>147.65603069149432</v>
      </c>
      <c r="I421" s="2358">
        <v>4.7294927933679203</v>
      </c>
      <c r="J421" s="2358">
        <v>0.61230006337135623</v>
      </c>
      <c r="K421" s="2358">
        <v>1.3405497613260737</v>
      </c>
      <c r="L421" s="2358">
        <v>3.750445632798574</v>
      </c>
      <c r="M421" s="2358">
        <v>35.484995333880526</v>
      </c>
      <c r="N421" s="2358">
        <v>10.418523580327609</v>
      </c>
      <c r="O421" s="2358">
        <v>7.1810507633848326</v>
      </c>
      <c r="P421" s="2358">
        <v>7.1890660592255129</v>
      </c>
      <c r="Q421" s="2357">
        <v>1334.46088794926</v>
      </c>
      <c r="R421" s="2356">
        <v>15780</v>
      </c>
      <c r="S421" s="2355">
        <v>17069.224999999999</v>
      </c>
      <c r="T421" s="2357">
        <v>10373.77</v>
      </c>
      <c r="U421" s="2357">
        <v>11761.2</v>
      </c>
      <c r="V421" s="2357">
        <v>18269.175000000003</v>
      </c>
      <c r="W421" s="2357">
        <v>20001.150000000001</v>
      </c>
      <c r="X421" s="2357">
        <v>2018.365</v>
      </c>
      <c r="Y421" s="2357">
        <v>106.87</v>
      </c>
      <c r="Z421" s="2357">
        <v>3336.51</v>
      </c>
      <c r="AA421" s="2357">
        <v>9662.0950000000012</v>
      </c>
      <c r="AB421" s="2357">
        <v>11771.29</v>
      </c>
      <c r="AC421" s="2357">
        <v>4207.5</v>
      </c>
      <c r="AD421" s="2357">
        <v>444.69499999999999</v>
      </c>
      <c r="AE421" s="2357">
        <v>1514.6100000000001</v>
      </c>
      <c r="AF421" s="2357">
        <v>2197.4499999999998</v>
      </c>
      <c r="AG421" s="2357">
        <v>11.824999999999999</v>
      </c>
      <c r="AH421" s="2357">
        <v>190.02</v>
      </c>
      <c r="AI421" s="2357">
        <v>2195</v>
      </c>
    </row>
    <row r="422" spans="1:35">
      <c r="A422" s="2366">
        <v>45323</v>
      </c>
      <c r="B422" s="2365">
        <v>1.0793999175362363</v>
      </c>
      <c r="C422" s="2364">
        <v>0.65329981921405689</v>
      </c>
      <c r="D422" s="2364">
        <v>1.3458500360484111</v>
      </c>
      <c r="E422" s="2364">
        <v>0.86399995615465341</v>
      </c>
      <c r="F422" s="2364">
        <v>1.265500015858416</v>
      </c>
      <c r="G422" s="2364">
        <v>7.8180443110951305</v>
      </c>
      <c r="H422" s="2364">
        <v>146.80355729384922</v>
      </c>
      <c r="I422" s="2364">
        <v>4.7300003750515698</v>
      </c>
      <c r="J422" s="2364">
        <v>0.61020013321069488</v>
      </c>
      <c r="K422" s="2364">
        <v>1.3411499374918381</v>
      </c>
      <c r="L422" s="2364">
        <v>3.7498810656517603</v>
      </c>
      <c r="M422" s="2364">
        <v>35.509989401852252</v>
      </c>
      <c r="N422" s="2364">
        <v>10.421328538422637</v>
      </c>
      <c r="O422" s="2364">
        <v>7.1835427175750626</v>
      </c>
      <c r="P422" s="2364">
        <v>7.1951163852122315</v>
      </c>
      <c r="Q422" s="2363">
        <v>1334.2784595852729</v>
      </c>
      <c r="R422" s="2362">
        <v>15764.5</v>
      </c>
      <c r="S422" s="2361">
        <v>17016.199999999997</v>
      </c>
      <c r="T422" s="2363">
        <v>10298.945</v>
      </c>
      <c r="U422" s="2363">
        <v>11713.415000000001</v>
      </c>
      <c r="V422" s="2363">
        <v>18245.95</v>
      </c>
      <c r="W422" s="2363">
        <v>19949.974999999999</v>
      </c>
      <c r="X422" s="2363">
        <v>2016.4250000000002</v>
      </c>
      <c r="Y422" s="2363">
        <v>107.38500000000001</v>
      </c>
      <c r="Z422" s="2363">
        <v>3332.875</v>
      </c>
      <c r="AA422" s="2363">
        <v>9619.5</v>
      </c>
      <c r="AB422" s="2363">
        <v>11754.465</v>
      </c>
      <c r="AC422" s="2363">
        <v>4204</v>
      </c>
      <c r="AD422" s="2363">
        <v>443.94550000000004</v>
      </c>
      <c r="AE422" s="2363">
        <v>1512.7150000000001</v>
      </c>
      <c r="AF422" s="2363">
        <v>2194.5299999999997</v>
      </c>
      <c r="AG422" s="2363">
        <v>11.815000000000001</v>
      </c>
      <c r="AH422" s="2363">
        <v>189.97499999999999</v>
      </c>
      <c r="AI422" s="2363">
        <v>2191</v>
      </c>
    </row>
    <row r="423" spans="1:35">
      <c r="A423" s="2372">
        <v>45324</v>
      </c>
      <c r="B423" s="2371">
        <v>1.0880999520996326</v>
      </c>
      <c r="C423" s="2370">
        <v>0.65905029538559801</v>
      </c>
      <c r="D423" s="2370">
        <v>1.3380997573345514</v>
      </c>
      <c r="E423" s="2370">
        <v>0.85750001026864142</v>
      </c>
      <c r="F423" s="2370">
        <v>1.2752000638671563</v>
      </c>
      <c r="G423" s="2370">
        <v>7.8190543725780035</v>
      </c>
      <c r="H423" s="2370">
        <v>146.62639883878822</v>
      </c>
      <c r="I423" s="2370">
        <v>4.7239972725572192</v>
      </c>
      <c r="J423" s="2370">
        <v>0.61469998403321102</v>
      </c>
      <c r="K423" s="2370">
        <v>1.3359499152099488</v>
      </c>
      <c r="L423" s="2370">
        <v>3.750299401197605</v>
      </c>
      <c r="M423" s="2370">
        <v>35.2999793712399</v>
      </c>
      <c r="N423" s="2370">
        <v>10.387882848963535</v>
      </c>
      <c r="O423" s="2370">
        <v>7.1799516215937347</v>
      </c>
      <c r="P423" s="2370">
        <v>7.1905855338691156</v>
      </c>
      <c r="Q423" s="2369">
        <v>1324.6615905245346</v>
      </c>
      <c r="R423" s="2368">
        <v>15657.5</v>
      </c>
      <c r="S423" s="2367">
        <v>17036.924999999999</v>
      </c>
      <c r="T423" s="2369">
        <v>10319.08</v>
      </c>
      <c r="U423" s="2369">
        <v>11701.295</v>
      </c>
      <c r="V423" s="2369">
        <v>18259.474999999999</v>
      </c>
      <c r="W423" s="2369">
        <v>19966.445</v>
      </c>
      <c r="X423" s="2369">
        <v>2002.48</v>
      </c>
      <c r="Y423" s="2369">
        <v>106.785</v>
      </c>
      <c r="Z423" s="2369">
        <v>3314.46</v>
      </c>
      <c r="AA423" s="2369">
        <v>9624.6650000000009</v>
      </c>
      <c r="AB423" s="2369">
        <v>11720.125</v>
      </c>
      <c r="AC423" s="2369">
        <v>4175</v>
      </c>
      <c r="AD423" s="2369">
        <v>443.55550000000005</v>
      </c>
      <c r="AE423" s="2369">
        <v>1507.2849999999999</v>
      </c>
      <c r="AF423" s="2369">
        <v>2180.7250000000004</v>
      </c>
      <c r="AG423" s="2369">
        <v>11.82</v>
      </c>
      <c r="AH423" s="2369">
        <v>188.95</v>
      </c>
      <c r="AI423" s="2369">
        <v>2177.5</v>
      </c>
    </row>
    <row r="424" spans="1:35">
      <c r="A424" s="2378">
        <v>45327</v>
      </c>
      <c r="B424" s="2377">
        <v>1.0779999999999998</v>
      </c>
      <c r="C424" s="2376">
        <v>0.65134988857051901</v>
      </c>
      <c r="D424" s="2376">
        <v>1.3478997481860644</v>
      </c>
      <c r="E424" s="2376">
        <v>0.86779989932305523</v>
      </c>
      <c r="F424" s="2376">
        <v>1.2617500795924865</v>
      </c>
      <c r="G424" s="2376">
        <v>7.8210398671344512</v>
      </c>
      <c r="H424" s="2376">
        <v>148.47553769794374</v>
      </c>
      <c r="I424" s="2376">
        <v>4.7519989107165816</v>
      </c>
      <c r="J424" s="2376">
        <v>0.6077500795924865</v>
      </c>
      <c r="K424" s="2376">
        <v>1.3443500702991082</v>
      </c>
      <c r="L424" s="2376">
        <v>3.7504477611940299</v>
      </c>
      <c r="M424" s="2376">
        <v>35.779988950465047</v>
      </c>
      <c r="N424" s="2376">
        <v>10.506597982974025</v>
      </c>
      <c r="O424" s="2376">
        <v>7.1976571522851014</v>
      </c>
      <c r="P424" s="2376">
        <v>7.2173713235294121</v>
      </c>
      <c r="Q424" s="2375">
        <v>1333.1918505942274</v>
      </c>
      <c r="R424" s="2374">
        <v>15705</v>
      </c>
      <c r="S424" s="2373">
        <v>16929.989999999998</v>
      </c>
      <c r="T424" s="2375">
        <v>10229.450000000001</v>
      </c>
      <c r="U424" s="2375">
        <v>11651.46</v>
      </c>
      <c r="V424" s="2375">
        <v>18097.490000000002</v>
      </c>
      <c r="W424" s="2375">
        <v>19815.785</v>
      </c>
      <c r="X424" s="2375">
        <v>2008.0450000000001</v>
      </c>
      <c r="Y424" s="2375">
        <v>105.77500000000001</v>
      </c>
      <c r="Z424" s="2375">
        <v>3304.9250000000002</v>
      </c>
      <c r="AA424" s="2375">
        <v>9544.7150000000001</v>
      </c>
      <c r="AB424" s="2375">
        <v>11682.225</v>
      </c>
      <c r="AC424" s="2375">
        <v>4187.5</v>
      </c>
      <c r="AD424" s="2375">
        <v>438.9325</v>
      </c>
      <c r="AE424" s="2375">
        <v>1494.7750000000001</v>
      </c>
      <c r="AF424" s="2375">
        <v>2181.96</v>
      </c>
      <c r="AG424" s="2375">
        <v>11.780000000000001</v>
      </c>
      <c r="AH424" s="2375">
        <v>189.13</v>
      </c>
      <c r="AI424" s="2375">
        <v>2176</v>
      </c>
    </row>
    <row r="425" spans="1:35">
      <c r="A425" s="2384">
        <v>45328</v>
      </c>
      <c r="B425" s="2383">
        <v>1.0752002542911634</v>
      </c>
      <c r="C425" s="2382">
        <v>0.65080006357279074</v>
      </c>
      <c r="D425" s="2382">
        <v>1.3514999673509225</v>
      </c>
      <c r="E425" s="2382">
        <v>0.86989967396735368</v>
      </c>
      <c r="F425" s="2382">
        <v>1.2555502225047679</v>
      </c>
      <c r="G425" s="2382">
        <v>7.8225431470692817</v>
      </c>
      <c r="H425" s="2382">
        <v>148.51531888778737</v>
      </c>
      <c r="I425" s="2382">
        <v>4.7599954609070618</v>
      </c>
      <c r="J425" s="2382">
        <v>0.60704990464081376</v>
      </c>
      <c r="K425" s="2382">
        <v>1.3453493931388034</v>
      </c>
      <c r="L425" s="2382">
        <v>3.7501490046489452</v>
      </c>
      <c r="M425" s="2382">
        <v>35.67496096279303</v>
      </c>
      <c r="N425" s="2382">
        <v>10.591986317281503</v>
      </c>
      <c r="O425" s="2382">
        <v>7.1927971430008553</v>
      </c>
      <c r="P425" s="2382">
        <v>7.2023809523809526</v>
      </c>
      <c r="Q425" s="2381">
        <v>1327.9864921907979</v>
      </c>
      <c r="R425" s="2380">
        <v>15730</v>
      </c>
      <c r="S425" s="2379">
        <v>16912.900000000001</v>
      </c>
      <c r="T425" s="2381">
        <v>10237.084999999999</v>
      </c>
      <c r="U425" s="2381">
        <v>11638.92</v>
      </c>
      <c r="V425" s="2381">
        <v>18082.544999999998</v>
      </c>
      <c r="W425" s="2381">
        <v>19749.805</v>
      </c>
      <c r="X425" s="2381">
        <v>2010.855</v>
      </c>
      <c r="Y425" s="2381">
        <v>105.91500000000001</v>
      </c>
      <c r="Z425" s="2381">
        <v>3304.625</v>
      </c>
      <c r="AA425" s="2381">
        <v>9548.8950000000004</v>
      </c>
      <c r="AB425" s="2381">
        <v>11692.130000000001</v>
      </c>
      <c r="AC425" s="2381">
        <v>4194.5</v>
      </c>
      <c r="AD425" s="2381">
        <v>440.92550000000006</v>
      </c>
      <c r="AE425" s="2381">
        <v>1485.085</v>
      </c>
      <c r="AF425" s="2381">
        <v>2186.91</v>
      </c>
      <c r="AG425" s="2381">
        <v>11.844999999999999</v>
      </c>
      <c r="AH425" s="2381">
        <v>189.41</v>
      </c>
      <c r="AI425" s="2381">
        <v>2184</v>
      </c>
    </row>
    <row r="426" spans="1:35">
      <c r="A426" s="2390">
        <v>45329</v>
      </c>
      <c r="B426" s="2389">
        <v>1.077300287815798</v>
      </c>
      <c r="C426" s="2388">
        <v>0.65295011192836583</v>
      </c>
      <c r="D426" s="2388">
        <v>1.3480999206315332</v>
      </c>
      <c r="E426" s="2388">
        <v>0.86964985955446783</v>
      </c>
      <c r="F426" s="2388">
        <v>1.2628001279181322</v>
      </c>
      <c r="G426" s="2388">
        <v>7.8206478107438233</v>
      </c>
      <c r="H426" s="2388">
        <v>147.82773129106982</v>
      </c>
      <c r="I426" s="2388">
        <v>4.7635006474217381</v>
      </c>
      <c r="J426" s="2388">
        <v>0.61050015989766548</v>
      </c>
      <c r="K426" s="2388">
        <v>1.3428496583828258</v>
      </c>
      <c r="L426" s="2388">
        <v>3.7498501019306874</v>
      </c>
      <c r="M426" s="2388">
        <v>35.559993131360457</v>
      </c>
      <c r="N426" s="2388">
        <v>10.483895301860413</v>
      </c>
      <c r="O426" s="2388">
        <v>7.1919446539954732</v>
      </c>
      <c r="P426" s="2388">
        <v>7.2050691244239635</v>
      </c>
      <c r="Q426" s="2387">
        <v>1327.8131634819536</v>
      </c>
      <c r="R426" s="2386">
        <v>15635</v>
      </c>
      <c r="S426" s="2385">
        <v>16843.59</v>
      </c>
      <c r="T426" s="2387">
        <v>10208.875</v>
      </c>
      <c r="U426" s="2387">
        <v>11597.805</v>
      </c>
      <c r="V426" s="2387">
        <v>17978.5</v>
      </c>
      <c r="W426" s="2387">
        <v>19743.879999999997</v>
      </c>
      <c r="X426" s="2387">
        <v>1999.1950000000002</v>
      </c>
      <c r="Y426" s="2387">
        <v>105.765</v>
      </c>
      <c r="Z426" s="2387">
        <v>3282.25</v>
      </c>
      <c r="AA426" s="2387">
        <v>9545.17</v>
      </c>
      <c r="AB426" s="2387">
        <v>11643.150000000001</v>
      </c>
      <c r="AC426" s="2387">
        <v>4169.5</v>
      </c>
      <c r="AD426" s="2387">
        <v>439.67950000000002</v>
      </c>
      <c r="AE426" s="2387">
        <v>1491.335</v>
      </c>
      <c r="AF426" s="2387">
        <v>2173.96</v>
      </c>
      <c r="AG426" s="2387">
        <v>11.774999999999999</v>
      </c>
      <c r="AH426" s="2387">
        <v>188.44</v>
      </c>
      <c r="AI426" s="2387">
        <v>2170</v>
      </c>
    </row>
    <row r="427" spans="1:35">
      <c r="A427" s="2396">
        <v>45334</v>
      </c>
      <c r="B427" s="2395">
        <v>1.0803001058065345</v>
      </c>
      <c r="C427" s="2394">
        <v>0.65260027573824098</v>
      </c>
      <c r="D427" s="2394">
        <v>1.3452997970986487</v>
      </c>
      <c r="E427" s="2394">
        <v>0.872899858467582</v>
      </c>
      <c r="F427" s="2394">
        <v>1.2647003751322583</v>
      </c>
      <c r="G427" s="2394">
        <v>7.8203983792024392</v>
      </c>
      <c r="H427" s="2394">
        <v>149.09412495817199</v>
      </c>
      <c r="I427" s="2394">
        <v>4.7649966999926665</v>
      </c>
      <c r="J427" s="2394">
        <v>0.61390009298149995</v>
      </c>
      <c r="K427" s="2394">
        <v>1.3441993288700518</v>
      </c>
      <c r="L427" s="2394">
        <v>3.7500300589154745</v>
      </c>
      <c r="M427" s="2394">
        <v>35.850002183943189</v>
      </c>
      <c r="N427" s="2394">
        <v>10.426709814593181</v>
      </c>
      <c r="O427" s="2394">
        <v>7.1935991290830001</v>
      </c>
      <c r="P427" s="2394">
        <v>7.2180050914140246</v>
      </c>
      <c r="Q427" s="2393">
        <v>1330.0213219616203</v>
      </c>
      <c r="R427" s="2392">
        <v>15594.5</v>
      </c>
      <c r="S427" s="2391">
        <v>16846.740000000002</v>
      </c>
      <c r="T427" s="2393">
        <v>10176.974999999999</v>
      </c>
      <c r="U427" s="2393">
        <v>11591.84</v>
      </c>
      <c r="V427" s="2393">
        <v>17865.165000000001</v>
      </c>
      <c r="W427" s="2393">
        <v>19722.370000000003</v>
      </c>
      <c r="X427" s="2393">
        <v>1994.08</v>
      </c>
      <c r="Y427" s="2393">
        <v>104.595</v>
      </c>
      <c r="Z427" s="2393">
        <v>3272.7200000000003</v>
      </c>
      <c r="AA427" s="2393">
        <v>9573.4650000000001</v>
      </c>
      <c r="AB427" s="2393">
        <v>11601.330000000002</v>
      </c>
      <c r="AC427" s="2393">
        <v>4158.5</v>
      </c>
      <c r="AD427" s="2393">
        <v>434.99299999999999</v>
      </c>
      <c r="AE427" s="2393">
        <v>1495.63</v>
      </c>
      <c r="AF427" s="2393">
        <v>2167.83</v>
      </c>
      <c r="AG427" s="2393">
        <v>11.725000000000001</v>
      </c>
      <c r="AH427" s="2393">
        <v>187.905</v>
      </c>
      <c r="AI427" s="2393">
        <v>2160.5</v>
      </c>
    </row>
    <row r="428" spans="1:35">
      <c r="A428" s="2402">
        <v>45335</v>
      </c>
      <c r="B428" s="2401">
        <v>1.0770999390810863</v>
      </c>
      <c r="C428" s="2400">
        <v>0.65200006412517242</v>
      </c>
      <c r="D428" s="2400">
        <v>1.3453996124572729</v>
      </c>
      <c r="E428" s="2400">
        <v>0.87974992750786141</v>
      </c>
      <c r="F428" s="2400">
        <v>1.2652999454936036</v>
      </c>
      <c r="G428" s="2400">
        <v>7.8183399720746714</v>
      </c>
      <c r="H428" s="2400">
        <v>149.59470478200393</v>
      </c>
      <c r="I428" s="2400">
        <v>4.7669995063192658</v>
      </c>
      <c r="J428" s="2400">
        <v>0.61079996152489657</v>
      </c>
      <c r="K428" s="2400">
        <v>1.345449525691188</v>
      </c>
      <c r="L428" s="2400">
        <v>3.7500300589154745</v>
      </c>
      <c r="M428" s="2400">
        <v>35.694993156046714</v>
      </c>
      <c r="N428" s="2400">
        <v>10.415915254010875</v>
      </c>
      <c r="O428" s="2400">
        <v>7.1935991290830001</v>
      </c>
      <c r="P428" s="2400">
        <v>7.2146657413832989</v>
      </c>
      <c r="Q428" s="2399">
        <v>1328.8879420536857</v>
      </c>
      <c r="R428" s="2398">
        <v>15594.5</v>
      </c>
      <c r="S428" s="2397">
        <v>16796.834999999999</v>
      </c>
      <c r="T428" s="2399">
        <v>10167.615000000002</v>
      </c>
      <c r="U428" s="2399">
        <v>11590.98</v>
      </c>
      <c r="V428" s="2399">
        <v>17726.059999999998</v>
      </c>
      <c r="W428" s="2399">
        <v>19731.72</v>
      </c>
      <c r="X428" s="2399">
        <v>1994.605</v>
      </c>
      <c r="Y428" s="2399">
        <v>104.245</v>
      </c>
      <c r="Z428" s="2399">
        <v>3271.3450000000003</v>
      </c>
      <c r="AA428" s="2399">
        <v>9525.119999999999</v>
      </c>
      <c r="AB428" s="2399">
        <v>11590.550000000001</v>
      </c>
      <c r="AC428" s="2399">
        <v>4158.5</v>
      </c>
      <c r="AD428" s="2399">
        <v>436.88200000000001</v>
      </c>
      <c r="AE428" s="2399">
        <v>1497.1799999999998</v>
      </c>
      <c r="AF428" s="2399">
        <v>2167.83</v>
      </c>
      <c r="AG428" s="2399">
        <v>11.734999999999999</v>
      </c>
      <c r="AH428" s="2399">
        <v>187.86</v>
      </c>
      <c r="AI428" s="2399">
        <v>2161.5</v>
      </c>
    </row>
    <row r="429" spans="1:35" s="1385" customFormat="1">
      <c r="A429" s="2409">
        <v>45336</v>
      </c>
      <c r="B429" s="2408">
        <v>1.0770999390810863</v>
      </c>
      <c r="C429" s="2407">
        <v>0.65200006412517242</v>
      </c>
      <c r="D429" s="2407">
        <v>1.3453996124572729</v>
      </c>
      <c r="E429" s="2407">
        <v>0.87974992750786141</v>
      </c>
      <c r="F429" s="2407">
        <v>1.2652999454936036</v>
      </c>
      <c r="G429" s="2407">
        <v>7.8183399720746714</v>
      </c>
      <c r="H429" s="2407">
        <v>149.59470478200393</v>
      </c>
      <c r="I429" s="2407">
        <v>4.7669995063192658</v>
      </c>
      <c r="J429" s="2407">
        <v>0.61079996152489657</v>
      </c>
      <c r="K429" s="2407">
        <v>1.345449525691188</v>
      </c>
      <c r="L429" s="2407">
        <v>3.7500300589154745</v>
      </c>
      <c r="M429" s="2407">
        <v>35.694993156046714</v>
      </c>
      <c r="N429" s="2407">
        <v>10.415915254010875</v>
      </c>
      <c r="O429" s="2407">
        <v>7.1935991290830001</v>
      </c>
      <c r="P429" s="2407">
        <v>7.2146657413832989</v>
      </c>
      <c r="Q429" s="2406">
        <v>1328.8879420536857</v>
      </c>
      <c r="R429" s="2405">
        <v>15594.5</v>
      </c>
      <c r="S429" s="2404">
        <v>16796.834999999999</v>
      </c>
      <c r="T429" s="2406">
        <v>10167.615000000002</v>
      </c>
      <c r="U429" s="2406">
        <v>11590.98</v>
      </c>
      <c r="V429" s="2406">
        <v>17726.059999999998</v>
      </c>
      <c r="W429" s="2406">
        <v>19731.72</v>
      </c>
      <c r="X429" s="2406">
        <v>1994.605</v>
      </c>
      <c r="Y429" s="2406">
        <v>104.245</v>
      </c>
      <c r="Z429" s="2406">
        <v>3271.3450000000003</v>
      </c>
      <c r="AA429" s="2406">
        <v>9525.119999999999</v>
      </c>
      <c r="AB429" s="2406">
        <v>11590.550000000001</v>
      </c>
      <c r="AC429" s="2406">
        <v>4158.5</v>
      </c>
      <c r="AD429" s="2406">
        <v>436.88200000000001</v>
      </c>
      <c r="AE429" s="2406">
        <v>1497.1799999999998</v>
      </c>
      <c r="AF429" s="2406">
        <v>2167.83</v>
      </c>
      <c r="AG429" s="2406">
        <v>11.734999999999999</v>
      </c>
      <c r="AH429" s="2406">
        <v>187.86</v>
      </c>
      <c r="AI429" s="2406">
        <v>2161.5</v>
      </c>
    </row>
    <row r="430" spans="1:35" s="31" customFormat="1">
      <c r="A430" s="2402">
        <v>45337</v>
      </c>
      <c r="B430" s="2401">
        <v>1.073300256081946</v>
      </c>
      <c r="C430" s="2400">
        <v>0.64940012804097313</v>
      </c>
      <c r="D430" s="2400">
        <v>1.3544495662639737</v>
      </c>
      <c r="E430" s="2400">
        <v>0.88389986580227076</v>
      </c>
      <c r="F430" s="2400">
        <v>1.2545502560819464</v>
      </c>
      <c r="G430" s="2400">
        <v>7.8195398386030961</v>
      </c>
      <c r="H430" s="2400">
        <v>150.20675064910085</v>
      </c>
      <c r="I430" s="2400">
        <v>4.7804936272837031</v>
      </c>
      <c r="J430" s="2400">
        <v>0.6087000640204866</v>
      </c>
      <c r="K430" s="2400">
        <v>1.3473996566804971</v>
      </c>
      <c r="L430" s="2400">
        <v>3.7503001200480193</v>
      </c>
      <c r="M430" s="2400">
        <v>36.179978018694534</v>
      </c>
      <c r="N430" s="2400">
        <v>10.528479807494632</v>
      </c>
      <c r="O430" s="2400">
        <v>7.1935985262794313</v>
      </c>
      <c r="P430" s="2400">
        <v>7.2247918593894545</v>
      </c>
      <c r="Q430" s="2399">
        <v>1333.3333333333333</v>
      </c>
      <c r="R430" s="2398">
        <v>15620</v>
      </c>
      <c r="S430" s="2397">
        <v>16764.949999999997</v>
      </c>
      <c r="T430" s="2399">
        <v>10143.630000000001</v>
      </c>
      <c r="U430" s="2399">
        <v>11532.36</v>
      </c>
      <c r="V430" s="2399">
        <v>17671.684999999998</v>
      </c>
      <c r="W430" s="2399">
        <v>19596.075000000001</v>
      </c>
      <c r="X430" s="2399">
        <v>1997.56</v>
      </c>
      <c r="Y430" s="2399">
        <v>103.99000000000001</v>
      </c>
      <c r="Z430" s="2399">
        <v>3267.4450000000002</v>
      </c>
      <c r="AA430" s="2399">
        <v>9507.8950000000004</v>
      </c>
      <c r="AB430" s="2399">
        <v>11592.7</v>
      </c>
      <c r="AC430" s="2399">
        <v>4165</v>
      </c>
      <c r="AD430" s="2399">
        <v>431.73050000000001</v>
      </c>
      <c r="AE430" s="2399">
        <v>1483.595</v>
      </c>
      <c r="AF430" s="2399">
        <v>2171.375</v>
      </c>
      <c r="AG430" s="2399">
        <v>11.715</v>
      </c>
      <c r="AH430" s="2399">
        <v>188.11500000000001</v>
      </c>
      <c r="AI430" s="2399">
        <v>2162</v>
      </c>
    </row>
    <row r="431" spans="1:35">
      <c r="A431" s="2415">
        <v>45338</v>
      </c>
      <c r="B431" s="2414">
        <v>1.0761001920614595</v>
      </c>
      <c r="C431" s="2413">
        <v>0.65229993597951341</v>
      </c>
      <c r="D431" s="2413">
        <v>1.3477996006647535</v>
      </c>
      <c r="E431" s="2413">
        <v>0.8815997932021995</v>
      </c>
      <c r="F431" s="2413">
        <v>1.2590000000000001</v>
      </c>
      <c r="G431" s="2413">
        <v>7.8221047070341356</v>
      </c>
      <c r="H431" s="2413">
        <v>150.2356448975666</v>
      </c>
      <c r="I431" s="2413">
        <v>4.7764954834290467</v>
      </c>
      <c r="J431" s="2413">
        <v>0.61024999999999996</v>
      </c>
      <c r="K431" s="2413">
        <v>1.3463996738299382</v>
      </c>
      <c r="L431" s="2413">
        <v>3.7507503902029056</v>
      </c>
      <c r="M431" s="2413">
        <v>36.050008423977637</v>
      </c>
      <c r="N431" s="2413">
        <v>10.467835865405879</v>
      </c>
      <c r="O431" s="2413">
        <v>7.1935985262794313</v>
      </c>
      <c r="P431" s="2413">
        <v>7.2197827594176101</v>
      </c>
      <c r="Q431" s="2412">
        <v>1335.6135100470285</v>
      </c>
      <c r="R431" s="2411">
        <v>15620</v>
      </c>
      <c r="S431" s="2410">
        <v>16808.684999999998</v>
      </c>
      <c r="T431" s="2412">
        <v>10188.924999999999</v>
      </c>
      <c r="U431" s="2412">
        <v>11589.26</v>
      </c>
      <c r="V431" s="2412">
        <v>17717.79</v>
      </c>
      <c r="W431" s="2412">
        <v>19665.580000000002</v>
      </c>
      <c r="X431" s="2412">
        <v>1996.905</v>
      </c>
      <c r="Y431" s="2412">
        <v>103.97</v>
      </c>
      <c r="Z431" s="2412">
        <v>3270.1800000000003</v>
      </c>
      <c r="AA431" s="2412">
        <v>9532.1049999999996</v>
      </c>
      <c r="AB431" s="2412">
        <v>11601.31</v>
      </c>
      <c r="AC431" s="2412">
        <v>4164.5</v>
      </c>
      <c r="AD431" s="2412">
        <v>433.28700000000003</v>
      </c>
      <c r="AE431" s="2412">
        <v>1492.19</v>
      </c>
      <c r="AF431" s="2412">
        <v>2171.375</v>
      </c>
      <c r="AG431" s="2412">
        <v>11.695</v>
      </c>
      <c r="AH431" s="2412">
        <v>188.13499999999999</v>
      </c>
      <c r="AI431" s="2412">
        <v>2163.5</v>
      </c>
    </row>
    <row r="432" spans="1:35">
      <c r="A432" s="2421">
        <v>45341</v>
      </c>
      <c r="B432" s="2420">
        <v>1.0783000639795266</v>
      </c>
      <c r="C432" s="2419">
        <v>0.65430006397952656</v>
      </c>
      <c r="D432" s="2419">
        <v>1.3476496317890112</v>
      </c>
      <c r="E432" s="2419">
        <v>0.88139984114501913</v>
      </c>
      <c r="F432" s="2419">
        <v>1.2621001279590531</v>
      </c>
      <c r="G432" s="2419">
        <v>7.8208460824466286</v>
      </c>
      <c r="H432" s="2419">
        <v>149.98560598790903</v>
      </c>
      <c r="I432" s="2419">
        <v>4.7829978655527761</v>
      </c>
      <c r="J432" s="2419">
        <v>0.61490019193857959</v>
      </c>
      <c r="K432" s="2419">
        <v>1.3452497964481274</v>
      </c>
      <c r="L432" s="2419">
        <v>3.7504499100179962</v>
      </c>
      <c r="M432" s="2419">
        <v>35.959967790176009</v>
      </c>
      <c r="N432" s="2419">
        <v>10.417777540791297</v>
      </c>
      <c r="O432" s="2419">
        <v>7.1976569623400906</v>
      </c>
      <c r="P432" s="2419">
        <v>7.2127365020766039</v>
      </c>
      <c r="Q432" s="2418">
        <v>1335.3267834258861</v>
      </c>
      <c r="R432" s="2417">
        <v>15630</v>
      </c>
      <c r="S432" s="2416">
        <v>16853.830000000002</v>
      </c>
      <c r="T432" s="2418">
        <v>10226.710000000001</v>
      </c>
      <c r="U432" s="2418">
        <v>11597.970000000001</v>
      </c>
      <c r="V432" s="2418">
        <v>17733.154999999999</v>
      </c>
      <c r="W432" s="2418">
        <v>19726.625</v>
      </c>
      <c r="X432" s="2418">
        <v>1998.5050000000001</v>
      </c>
      <c r="Y432" s="2418">
        <v>104.21000000000001</v>
      </c>
      <c r="Z432" s="2418">
        <v>3267.8249999999998</v>
      </c>
      <c r="AA432" s="2418">
        <v>9610.89</v>
      </c>
      <c r="AB432" s="2418">
        <v>11618.66</v>
      </c>
      <c r="AC432" s="2418">
        <v>4167.5</v>
      </c>
      <c r="AD432" s="2418">
        <v>434.65</v>
      </c>
      <c r="AE432" s="2418">
        <v>1500.3200000000002</v>
      </c>
      <c r="AF432" s="2418">
        <v>2171.54</v>
      </c>
      <c r="AG432" s="2418">
        <v>11.705000000000002</v>
      </c>
      <c r="AH432" s="2418">
        <v>188.32999999999998</v>
      </c>
      <c r="AI432" s="2418">
        <v>2167</v>
      </c>
    </row>
    <row r="433" spans="1:35">
      <c r="A433" s="2427">
        <v>45342</v>
      </c>
      <c r="B433" s="2426">
        <v>1.077</v>
      </c>
      <c r="C433" s="2425">
        <v>0.65340006385696037</v>
      </c>
      <c r="D433" s="2425">
        <v>1.3510499754766312</v>
      </c>
      <c r="E433" s="2425">
        <v>0.88339995030170138</v>
      </c>
      <c r="F433" s="2425">
        <v>1.2590999361430397</v>
      </c>
      <c r="G433" s="2425">
        <v>7.8216503882105854</v>
      </c>
      <c r="H433" s="2425">
        <v>150.36727639348982</v>
      </c>
      <c r="I433" s="2425">
        <v>4.7954948071773185</v>
      </c>
      <c r="J433" s="2425">
        <v>0.61390006385696039</v>
      </c>
      <c r="K433" s="2425">
        <v>1.34604946087109</v>
      </c>
      <c r="L433" s="2425">
        <v>3.7504490480182016</v>
      </c>
      <c r="M433" s="2425">
        <v>36.150001731321915</v>
      </c>
      <c r="N433" s="2425">
        <v>10.413895834441664</v>
      </c>
      <c r="O433" s="2425">
        <v>7.1984444740676716</v>
      </c>
      <c r="P433" s="2425">
        <v>7.2082853855005755</v>
      </c>
      <c r="Q433" s="2424">
        <v>1337.8897906877401</v>
      </c>
      <c r="R433" s="2423">
        <v>15660</v>
      </c>
      <c r="S433" s="2422">
        <v>16865.82</v>
      </c>
      <c r="T433" s="2424">
        <v>10232.244999999999</v>
      </c>
      <c r="U433" s="2424">
        <v>11590.985000000001</v>
      </c>
      <c r="V433" s="2424">
        <v>17726.965</v>
      </c>
      <c r="W433" s="2424">
        <v>19717.505000000001</v>
      </c>
      <c r="X433" s="2424">
        <v>2002.135</v>
      </c>
      <c r="Y433" s="2424">
        <v>104.14500000000001</v>
      </c>
      <c r="Z433" s="2424">
        <v>3265.5650000000001</v>
      </c>
      <c r="AA433" s="2424">
        <v>9613.6749999999993</v>
      </c>
      <c r="AB433" s="2424">
        <v>11634.045</v>
      </c>
      <c r="AC433" s="2424">
        <v>4175.5</v>
      </c>
      <c r="AD433" s="2424">
        <v>433.19500000000005</v>
      </c>
      <c r="AE433" s="2424">
        <v>1503.7600000000002</v>
      </c>
      <c r="AF433" s="2424">
        <v>2175.4700000000003</v>
      </c>
      <c r="AG433" s="2424">
        <v>11.705000000000002</v>
      </c>
      <c r="AH433" s="2424">
        <v>188.755</v>
      </c>
      <c r="AI433" s="2424">
        <v>2172.5</v>
      </c>
    </row>
    <row r="434" spans="1:35">
      <c r="A434" s="2433">
        <v>45343</v>
      </c>
      <c r="B434" s="2432">
        <v>1.0811000959385992</v>
      </c>
      <c r="C434" s="2431">
        <v>0.65630028781579797</v>
      </c>
      <c r="D434" s="2431">
        <v>1.3518000079543078</v>
      </c>
      <c r="E434" s="2431">
        <v>0.8810999689205864</v>
      </c>
      <c r="F434" s="2431">
        <v>1.2631000959385992</v>
      </c>
      <c r="G434" s="2431">
        <v>7.8202566404657636</v>
      </c>
      <c r="H434" s="2431">
        <v>150.14164305949006</v>
      </c>
      <c r="I434" s="2431">
        <v>4.7939976144994283</v>
      </c>
      <c r="J434" s="2431">
        <v>0.61899999999999999</v>
      </c>
      <c r="K434" s="2431">
        <v>1.3433498169701983</v>
      </c>
      <c r="L434" s="2431">
        <v>3.7507496701451362</v>
      </c>
      <c r="M434" s="2431">
        <v>35.839993398197571</v>
      </c>
      <c r="N434" s="2431">
        <v>10.353481842502584</v>
      </c>
      <c r="O434" s="2431">
        <v>7.1868535968742817</v>
      </c>
      <c r="P434" s="2431">
        <v>7.1934667586841501</v>
      </c>
      <c r="Q434" s="2430">
        <v>1334.6137430644474</v>
      </c>
      <c r="R434" s="2429">
        <v>15635</v>
      </c>
      <c r="S434" s="2428">
        <v>16903</v>
      </c>
      <c r="T434" s="2430">
        <v>10261.255000000001</v>
      </c>
      <c r="U434" s="2430">
        <v>11566.06</v>
      </c>
      <c r="V434" s="2430">
        <v>17744.864999999998</v>
      </c>
      <c r="W434" s="2430">
        <v>19748.57</v>
      </c>
      <c r="X434" s="2430">
        <v>1999.2950000000001</v>
      </c>
      <c r="Y434" s="2430">
        <v>104.13500000000001</v>
      </c>
      <c r="Z434" s="2430">
        <v>3261.37</v>
      </c>
      <c r="AA434" s="2430">
        <v>9678.0650000000005</v>
      </c>
      <c r="AB434" s="2430">
        <v>11638.815000000001</v>
      </c>
      <c r="AC434" s="2430">
        <v>4168.5</v>
      </c>
      <c r="AD434" s="2430">
        <v>436.24450000000002</v>
      </c>
      <c r="AE434" s="2430">
        <v>1510.12</v>
      </c>
      <c r="AF434" s="2430">
        <v>2175.5</v>
      </c>
      <c r="AG434" s="2430">
        <v>11.715</v>
      </c>
      <c r="AH434" s="2430">
        <v>188.595</v>
      </c>
      <c r="AI434" s="2430">
        <v>2173.5</v>
      </c>
    </row>
    <row r="435" spans="1:35">
      <c r="A435" s="2439">
        <v>45344</v>
      </c>
      <c r="B435" s="2438">
        <v>1.0852998717126361</v>
      </c>
      <c r="C435" s="2437">
        <v>0.65890025657472751</v>
      </c>
      <c r="D435" s="2437">
        <v>1.3454002242046044</v>
      </c>
      <c r="E435" s="2437">
        <v>0.87609986639336535</v>
      </c>
      <c r="F435" s="2437">
        <v>1.2673499037844773</v>
      </c>
      <c r="G435" s="2437">
        <v>7.8216522801445931</v>
      </c>
      <c r="H435" s="2437">
        <v>150.13482280431433</v>
      </c>
      <c r="I435" s="2437">
        <v>4.7744976288295122</v>
      </c>
      <c r="J435" s="2437">
        <v>0.6214499679281591</v>
      </c>
      <c r="K435" s="2437">
        <v>1.3412500639868334</v>
      </c>
      <c r="L435" s="2437">
        <v>3.7507518344761217</v>
      </c>
      <c r="M435" s="2437">
        <v>35.759997430968752</v>
      </c>
      <c r="N435" s="2437">
        <v>10.306449960169108</v>
      </c>
      <c r="O435" s="2437">
        <v>7.1896494872935977</v>
      </c>
      <c r="P435" s="2437">
        <v>7.197599261311173</v>
      </c>
      <c r="Q435" s="2436">
        <v>1326.2441514249256</v>
      </c>
      <c r="R435" s="2435">
        <v>15590</v>
      </c>
      <c r="S435" s="2434">
        <v>16919.824999999997</v>
      </c>
      <c r="T435" s="2436">
        <v>10272.255000000001</v>
      </c>
      <c r="U435" s="2436">
        <v>11587.630000000001</v>
      </c>
      <c r="V435" s="2436">
        <v>17794.775000000001</v>
      </c>
      <c r="W435" s="2436">
        <v>19757.985000000001</v>
      </c>
      <c r="X435" s="2436">
        <v>1993.1849999999999</v>
      </c>
      <c r="Y435" s="2436">
        <v>103.84</v>
      </c>
      <c r="Z435" s="2436">
        <v>3265.2650000000003</v>
      </c>
      <c r="AA435" s="2436">
        <v>9688.4050000000007</v>
      </c>
      <c r="AB435" s="2436">
        <v>11623.485000000001</v>
      </c>
      <c r="AC435" s="2436">
        <v>4156.5</v>
      </c>
      <c r="AD435" s="2436">
        <v>435.96199999999999</v>
      </c>
      <c r="AE435" s="2436">
        <v>1512.645</v>
      </c>
      <c r="AF435" s="2436">
        <v>2168.395</v>
      </c>
      <c r="AG435" s="2436">
        <v>11.754999999999999</v>
      </c>
      <c r="AH435" s="2436">
        <v>188.065</v>
      </c>
      <c r="AI435" s="2436">
        <v>2166</v>
      </c>
    </row>
    <row r="436" spans="1:35">
      <c r="A436" s="2445">
        <v>45345</v>
      </c>
      <c r="B436" s="2444">
        <v>1.0829000609189137</v>
      </c>
      <c r="C436" s="2443">
        <v>0.65750008015646544</v>
      </c>
      <c r="D436" s="2443">
        <v>1.3477000430811166</v>
      </c>
      <c r="E436" s="2443">
        <v>0.88054970197561155</v>
      </c>
      <c r="F436" s="2443">
        <v>1.2669999038122415</v>
      </c>
      <c r="G436" s="2443">
        <v>7.8229483854461908</v>
      </c>
      <c r="H436" s="2443">
        <v>150.55512647229193</v>
      </c>
      <c r="I436" s="2443">
        <v>4.7799966283008173</v>
      </c>
      <c r="J436" s="2443">
        <v>0.62020007053768966</v>
      </c>
      <c r="K436" s="2443">
        <v>1.3436995531054068</v>
      </c>
      <c r="L436" s="2443">
        <v>3.7504810004810003</v>
      </c>
      <c r="M436" s="2443">
        <v>36.020002771746661</v>
      </c>
      <c r="N436" s="2443">
        <v>10.309050042969526</v>
      </c>
      <c r="O436" s="2443">
        <v>7.1977992813508944</v>
      </c>
      <c r="P436" s="2443">
        <v>7.2079963022879596</v>
      </c>
      <c r="Q436" s="2442">
        <v>1329.4543904518328</v>
      </c>
      <c r="R436" s="2441">
        <v>15594.5</v>
      </c>
      <c r="S436" s="2440">
        <v>16887.285</v>
      </c>
      <c r="T436" s="2442">
        <v>10253.385</v>
      </c>
      <c r="U436" s="2442">
        <v>11571.195</v>
      </c>
      <c r="V436" s="2442">
        <v>17709.96</v>
      </c>
      <c r="W436" s="2442">
        <v>19758.23</v>
      </c>
      <c r="X436" s="2442">
        <v>1993.43</v>
      </c>
      <c r="Y436" s="2442">
        <v>103.58000000000001</v>
      </c>
      <c r="Z436" s="2442">
        <v>3262.45</v>
      </c>
      <c r="AA436" s="2442">
        <v>9671.7100000000009</v>
      </c>
      <c r="AB436" s="2442">
        <v>11605.645</v>
      </c>
      <c r="AC436" s="2442">
        <v>4158</v>
      </c>
      <c r="AD436" s="2442">
        <v>432.94</v>
      </c>
      <c r="AE436" s="2442">
        <v>1512.6999999999998</v>
      </c>
      <c r="AF436" s="2442">
        <v>2166.5650000000001</v>
      </c>
      <c r="AG436" s="2442">
        <v>11.73</v>
      </c>
      <c r="AH436" s="2442">
        <v>188.14499999999998</v>
      </c>
      <c r="AI436" s="2442">
        <v>2163.5</v>
      </c>
    </row>
    <row r="437" spans="1:35">
      <c r="A437" s="2457">
        <v>45348</v>
      </c>
      <c r="B437" s="2456">
        <v>1.0832501599488165</v>
      </c>
      <c r="C437" s="2455">
        <v>0.65520025591810627</v>
      </c>
      <c r="D437" s="2455">
        <v>1.3518001515261588</v>
      </c>
      <c r="E437" s="2455">
        <v>0.88069982673371927</v>
      </c>
      <c r="F437" s="2455">
        <v>1.2676500319897634</v>
      </c>
      <c r="G437" s="2455">
        <v>7.8241542604847671</v>
      </c>
      <c r="H437" s="2455">
        <v>150.45482985994127</v>
      </c>
      <c r="I437" s="2455">
        <v>4.7769970628955996</v>
      </c>
      <c r="J437" s="2455">
        <v>0.6168003838771593</v>
      </c>
      <c r="K437" s="2455">
        <v>1.3439502248300608</v>
      </c>
      <c r="L437" s="2455">
        <v>3.7504499100179962</v>
      </c>
      <c r="M437" s="2455">
        <v>35.859974028476906</v>
      </c>
      <c r="N437" s="2455">
        <v>10.300615862157594</v>
      </c>
      <c r="O437" s="2455">
        <v>7.1982536290619699</v>
      </c>
      <c r="P437" s="2455">
        <v>7.2077472907539777</v>
      </c>
      <c r="Q437" s="2454">
        <v>1330.7790549169858</v>
      </c>
      <c r="R437" s="2453">
        <v>15630</v>
      </c>
      <c r="S437" s="2452">
        <v>16931.2</v>
      </c>
      <c r="T437" s="2454">
        <v>10240.780000000001</v>
      </c>
      <c r="U437" s="2454">
        <v>11562.36</v>
      </c>
      <c r="V437" s="2454">
        <v>17747.25</v>
      </c>
      <c r="W437" s="2454">
        <v>19813.370000000003</v>
      </c>
      <c r="X437" s="2454">
        <v>1997.66</v>
      </c>
      <c r="Y437" s="2454">
        <v>103.88500000000001</v>
      </c>
      <c r="Z437" s="2454">
        <v>3271.9300000000003</v>
      </c>
      <c r="AA437" s="2454">
        <v>9640.59</v>
      </c>
      <c r="AB437" s="2454">
        <v>11629.895</v>
      </c>
      <c r="AC437" s="2454">
        <v>4167.5</v>
      </c>
      <c r="AD437" s="2454">
        <v>435.86199999999997</v>
      </c>
      <c r="AE437" s="2454">
        <v>1517.385</v>
      </c>
      <c r="AF437" s="2454">
        <v>2171.36</v>
      </c>
      <c r="AG437" s="2454">
        <v>11.745000000000001</v>
      </c>
      <c r="AH437" s="2454">
        <v>188.60499999999999</v>
      </c>
      <c r="AI437" s="2454">
        <v>2168.5</v>
      </c>
    </row>
    <row r="438" spans="1:35">
      <c r="A438" s="2463">
        <v>45349</v>
      </c>
      <c r="B438" s="2462">
        <v>1.085600063938619</v>
      </c>
      <c r="C438" s="2461">
        <v>0.6552001278772378</v>
      </c>
      <c r="D438" s="2461">
        <v>1.3499994389388521</v>
      </c>
      <c r="E438" s="2461">
        <v>0.87904972701121975</v>
      </c>
      <c r="F438" s="2461">
        <v>1.2690498721227623</v>
      </c>
      <c r="G438" s="2461">
        <v>7.8237162652259817</v>
      </c>
      <c r="H438" s="2461">
        <v>150.35570082676406</v>
      </c>
      <c r="I438" s="2461">
        <v>4.7684962163019149</v>
      </c>
      <c r="J438" s="2461">
        <v>0.61714993606138113</v>
      </c>
      <c r="K438" s="2461">
        <v>1.3435496943725111</v>
      </c>
      <c r="L438" s="2461">
        <v>3.7501498621268432</v>
      </c>
      <c r="M438" s="2461">
        <v>35.8399941336071</v>
      </c>
      <c r="N438" s="2461">
        <v>10.270453075389984</v>
      </c>
      <c r="O438" s="2461">
        <v>7.1984498478844197</v>
      </c>
      <c r="P438" s="2461">
        <v>7.2106961733517752</v>
      </c>
      <c r="Q438" s="2460">
        <v>1330.4976605699703</v>
      </c>
      <c r="R438" s="2459">
        <v>15640</v>
      </c>
      <c r="S438" s="2458">
        <v>16978.785</v>
      </c>
      <c r="T438" s="2460">
        <v>10247.33</v>
      </c>
      <c r="U438" s="2460">
        <v>11585.19</v>
      </c>
      <c r="V438" s="2460">
        <v>17791.939999999999</v>
      </c>
      <c r="W438" s="2460">
        <v>19847.940000000002</v>
      </c>
      <c r="X438" s="2460">
        <v>1999.0500000000002</v>
      </c>
      <c r="Y438" s="2460">
        <v>104.02000000000001</v>
      </c>
      <c r="Z438" s="2460">
        <v>3279.86</v>
      </c>
      <c r="AA438" s="2460">
        <v>9652.2250000000004</v>
      </c>
      <c r="AB438" s="2460">
        <v>11640.805</v>
      </c>
      <c r="AC438" s="2460">
        <v>4170.5</v>
      </c>
      <c r="AD438" s="2460">
        <v>436.38400000000001</v>
      </c>
      <c r="AE438" s="2460">
        <v>1522.8150000000001</v>
      </c>
      <c r="AF438" s="2460">
        <v>2172.69</v>
      </c>
      <c r="AG438" s="2460">
        <v>11.754999999999999</v>
      </c>
      <c r="AH438" s="2460">
        <v>188.715</v>
      </c>
      <c r="AI438" s="2460">
        <v>2169</v>
      </c>
    </row>
    <row r="439" spans="1:35">
      <c r="A439" s="2469">
        <v>45350</v>
      </c>
      <c r="B439" s="2468">
        <v>1.0823500159387951</v>
      </c>
      <c r="C439" s="2467">
        <v>0.6508001275103602</v>
      </c>
      <c r="D439" s="2467">
        <v>1.3553999531637377</v>
      </c>
      <c r="E439" s="2467">
        <v>0.88084995140864386</v>
      </c>
      <c r="F439" s="2467">
        <v>1.2659499521836151</v>
      </c>
      <c r="G439" s="2467">
        <v>7.8262409843550014</v>
      </c>
      <c r="H439" s="2467">
        <v>150.74483421432001</v>
      </c>
      <c r="I439" s="2467">
        <v>4.7629965123994298</v>
      </c>
      <c r="J439" s="2467">
        <v>0.61090022314313042</v>
      </c>
      <c r="K439" s="2467">
        <v>1.345649652370265</v>
      </c>
      <c r="L439" s="2467">
        <v>3.7501494321578002</v>
      </c>
      <c r="M439" s="2467">
        <v>36.040031203291278</v>
      </c>
      <c r="N439" s="2467">
        <v>10.34142867974537</v>
      </c>
      <c r="O439" s="2467">
        <v>7.1991481275789102</v>
      </c>
      <c r="P439" s="2467">
        <v>7.2164711295146073</v>
      </c>
      <c r="Q439" s="2466">
        <v>1336.0306643952299</v>
      </c>
      <c r="R439" s="2465">
        <v>15685</v>
      </c>
      <c r="S439" s="2464">
        <v>16976.66</v>
      </c>
      <c r="T439" s="2466">
        <v>10207.799999999999</v>
      </c>
      <c r="U439" s="2466">
        <v>11572.23</v>
      </c>
      <c r="V439" s="2466">
        <v>17806.665000000001</v>
      </c>
      <c r="W439" s="2466">
        <v>19856.425000000003</v>
      </c>
      <c r="X439" s="2466">
        <v>2004.1550000000002</v>
      </c>
      <c r="Y439" s="2466">
        <v>104.05000000000001</v>
      </c>
      <c r="Z439" s="2466">
        <v>3293.0950000000003</v>
      </c>
      <c r="AA439" s="2466">
        <v>9581.9700000000012</v>
      </c>
      <c r="AB439" s="2466">
        <v>11656.080000000002</v>
      </c>
      <c r="AC439" s="2466">
        <v>4182.5</v>
      </c>
      <c r="AD439" s="2466">
        <v>435.21050000000002</v>
      </c>
      <c r="AE439" s="2466">
        <v>1516.7150000000001</v>
      </c>
      <c r="AF439" s="2466">
        <v>2178.73</v>
      </c>
      <c r="AG439" s="2466">
        <v>11.74</v>
      </c>
      <c r="AH439" s="2466">
        <v>189.16499999999999</v>
      </c>
      <c r="AI439" s="2466">
        <v>2173.5</v>
      </c>
    </row>
    <row r="440" spans="1:35">
      <c r="A440" s="2475">
        <v>45351</v>
      </c>
      <c r="B440" s="2474">
        <v>1.0829000954502068</v>
      </c>
      <c r="C440" s="2473">
        <v>0.65130003181673557</v>
      </c>
      <c r="D440" s="2473">
        <v>1.3576996429720791</v>
      </c>
      <c r="E440" s="2473">
        <v>0.87919994203938012</v>
      </c>
      <c r="F440" s="2473">
        <v>1.2654498886414254</v>
      </c>
      <c r="G440" s="2473">
        <v>7.8260588087359029</v>
      </c>
      <c r="H440" s="2473">
        <v>149.66666666666666</v>
      </c>
      <c r="I440" s="2473">
        <v>4.7619985545826848</v>
      </c>
      <c r="J440" s="2473">
        <v>0.60970028635062046</v>
      </c>
      <c r="K440" s="2473">
        <v>1.3443499022427075</v>
      </c>
      <c r="L440" s="2473">
        <v>3.7501491468798474</v>
      </c>
      <c r="M440" s="2473">
        <v>35.870027926808248</v>
      </c>
      <c r="N440" s="2473">
        <v>10.327740646543509</v>
      </c>
      <c r="O440" s="2473">
        <v>7.194162268072386</v>
      </c>
      <c r="P440" s="2473">
        <v>7.2087155963302756</v>
      </c>
      <c r="Q440" s="2472">
        <v>1333.4747560458209</v>
      </c>
      <c r="R440" s="2471">
        <v>15715</v>
      </c>
      <c r="S440" s="2470">
        <v>17017.775000000001</v>
      </c>
      <c r="T440" s="2472">
        <v>10235.18</v>
      </c>
      <c r="U440" s="2472">
        <v>11574.725</v>
      </c>
      <c r="V440" s="2472">
        <v>17874.205000000002</v>
      </c>
      <c r="W440" s="2472">
        <v>19886.544999999998</v>
      </c>
      <c r="X440" s="2472">
        <v>2008.0350000000001</v>
      </c>
      <c r="Y440" s="2472">
        <v>105</v>
      </c>
      <c r="Z440" s="2472">
        <v>3300.085</v>
      </c>
      <c r="AA440" s="2472">
        <v>9581.44</v>
      </c>
      <c r="AB440" s="2472">
        <v>11689.665000000001</v>
      </c>
      <c r="AC440" s="2472">
        <v>4190.5</v>
      </c>
      <c r="AD440" s="2472">
        <v>438.10950000000003</v>
      </c>
      <c r="AE440" s="2472">
        <v>1521.63</v>
      </c>
      <c r="AF440" s="2472">
        <v>2184.41</v>
      </c>
      <c r="AG440" s="2472">
        <v>11.785</v>
      </c>
      <c r="AH440" s="2472">
        <v>189.51999999999998</v>
      </c>
      <c r="AI440" s="2472">
        <v>2180</v>
      </c>
    </row>
    <row r="441" spans="1:35">
      <c r="A441" s="2481">
        <v>45352</v>
      </c>
      <c r="B441" s="2480">
        <v>1.0812999999999999</v>
      </c>
      <c r="C441" s="2479">
        <v>0.65029999999999999</v>
      </c>
      <c r="D441" s="2479">
        <v>1.3579999169630625</v>
      </c>
      <c r="E441" s="2479">
        <v>0.88620005881658992</v>
      </c>
      <c r="F441" s="2479">
        <v>1.2631003184713379</v>
      </c>
      <c r="G441" s="2479">
        <v>7.8284521853597964</v>
      </c>
      <c r="H441" s="2479">
        <v>150.49125329499162</v>
      </c>
      <c r="I441" s="2479">
        <v>4.740001841656766</v>
      </c>
      <c r="J441" s="2479">
        <v>0.60870000000000002</v>
      </c>
      <c r="K441" s="2479">
        <v>1.3461500537173892</v>
      </c>
      <c r="L441" s="2479">
        <v>3.7501492893825392</v>
      </c>
      <c r="M441" s="2479">
        <v>35.939973376949652</v>
      </c>
      <c r="N441" s="2479">
        <v>10.365636265201834</v>
      </c>
      <c r="O441" s="2479">
        <v>7.198235744513064</v>
      </c>
      <c r="P441" s="2479">
        <v>7.2117593017914565</v>
      </c>
      <c r="Q441" s="2478">
        <v>1335.6018715440239</v>
      </c>
      <c r="R441" s="2477">
        <v>15700</v>
      </c>
      <c r="S441" s="2476">
        <v>16976.41</v>
      </c>
      <c r="T441" s="2478">
        <v>10209.709999999999</v>
      </c>
      <c r="U441" s="2478">
        <v>11561.119999999999</v>
      </c>
      <c r="V441" s="2478">
        <v>17716.09</v>
      </c>
      <c r="W441" s="2478">
        <v>19830.675000000003</v>
      </c>
      <c r="X441" s="2478">
        <v>2005.5050000000001</v>
      </c>
      <c r="Y441" s="2478">
        <v>104.325</v>
      </c>
      <c r="Z441" s="2478">
        <v>3312.2350000000001</v>
      </c>
      <c r="AA441" s="2478">
        <v>9556.59</v>
      </c>
      <c r="AB441" s="2478">
        <v>11662.89</v>
      </c>
      <c r="AC441" s="2478">
        <v>4186.5</v>
      </c>
      <c r="AD441" s="2478">
        <v>436.83950000000004</v>
      </c>
      <c r="AE441" s="2478">
        <v>1514.62</v>
      </c>
      <c r="AF441" s="2478">
        <v>2181.09</v>
      </c>
      <c r="AG441" s="2478">
        <v>11.754999999999999</v>
      </c>
      <c r="AH441" s="2478">
        <v>189.44</v>
      </c>
      <c r="AI441" s="2478">
        <v>2177</v>
      </c>
    </row>
    <row r="442" spans="1:35">
      <c r="A442" s="2487">
        <v>45355</v>
      </c>
      <c r="B442" s="2486">
        <v>1.0853999364675984</v>
      </c>
      <c r="C442" s="2485">
        <v>0.65260006353240152</v>
      </c>
      <c r="D442" s="2485">
        <v>1.3558002236122859</v>
      </c>
      <c r="E442" s="2485">
        <v>0.88094976907250644</v>
      </c>
      <c r="F442" s="2485">
        <v>1.2678001905972045</v>
      </c>
      <c r="G442" s="2485">
        <v>7.8264458289618268</v>
      </c>
      <c r="H442" s="2485">
        <v>150.36301108139091</v>
      </c>
      <c r="I442" s="2485">
        <v>4.7289918143975873</v>
      </c>
      <c r="J442" s="2485">
        <v>0.61045012706480306</v>
      </c>
      <c r="K442" s="2485">
        <v>1.3430498238207036</v>
      </c>
      <c r="L442" s="2485">
        <v>3.7507446681758609</v>
      </c>
      <c r="M442" s="2485">
        <v>35.790012221811672</v>
      </c>
      <c r="N442" s="2485">
        <v>10.297509036489425</v>
      </c>
      <c r="O442" s="2485">
        <v>7.1990486644712766</v>
      </c>
      <c r="P442" s="2485">
        <v>7.2102611085661934</v>
      </c>
      <c r="Q442" s="2484">
        <v>1331.0782241014799</v>
      </c>
      <c r="R442" s="2483">
        <v>15740</v>
      </c>
      <c r="S442" s="2482">
        <v>17084.195</v>
      </c>
      <c r="T442" s="2484">
        <v>10271.924999999999</v>
      </c>
      <c r="U442" s="2484">
        <v>11609.380000000001</v>
      </c>
      <c r="V442" s="2484">
        <v>17867.080000000002</v>
      </c>
      <c r="W442" s="2484">
        <v>19955.174999999999</v>
      </c>
      <c r="X442" s="2484">
        <v>2011.13</v>
      </c>
      <c r="Y442" s="2484">
        <v>104.68</v>
      </c>
      <c r="Z442" s="2484">
        <v>3328.4049999999997</v>
      </c>
      <c r="AA442" s="2484">
        <v>9608.4850000000006</v>
      </c>
      <c r="AB442" s="2484">
        <v>11719.595000000001</v>
      </c>
      <c r="AC442" s="2484">
        <v>4196.5</v>
      </c>
      <c r="AD442" s="2484">
        <v>439.78750000000002</v>
      </c>
      <c r="AE442" s="2484">
        <v>1528.5250000000001</v>
      </c>
      <c r="AF442" s="2484">
        <v>2186.4</v>
      </c>
      <c r="AG442" s="2484">
        <v>11.824999999999999</v>
      </c>
      <c r="AH442" s="2484">
        <v>189.875</v>
      </c>
      <c r="AI442" s="2484">
        <v>2183</v>
      </c>
    </row>
    <row r="443" spans="1:35">
      <c r="A443" s="2493">
        <v>45356</v>
      </c>
      <c r="B443" s="2492">
        <v>1.0847000443908936</v>
      </c>
      <c r="C443" s="2491">
        <v>0.64840002536622487</v>
      </c>
      <c r="D443" s="2491">
        <v>1.3597499694963819</v>
      </c>
      <c r="E443" s="2491">
        <v>0.885800094764713</v>
      </c>
      <c r="F443" s="2491">
        <v>1.2677002346375799</v>
      </c>
      <c r="G443" s="2491">
        <v>7.8240397329635245</v>
      </c>
      <c r="H443" s="2491">
        <v>150.42449680434987</v>
      </c>
      <c r="I443" s="2491">
        <v>4.732003667010261</v>
      </c>
      <c r="J443" s="2491">
        <v>0.60770023463758016</v>
      </c>
      <c r="K443" s="2491">
        <v>1.3442499832704</v>
      </c>
      <c r="L443" s="2491">
        <v>3.7505054108693066</v>
      </c>
      <c r="M443" s="2491">
        <v>35.870022633440627</v>
      </c>
      <c r="N443" s="2491">
        <v>10.390200832850141</v>
      </c>
      <c r="O443" s="2491">
        <v>7.1990431102568895</v>
      </c>
      <c r="P443" s="2491">
        <v>7.2119826206265722</v>
      </c>
      <c r="Q443" s="2490">
        <v>1335.7899195256248</v>
      </c>
      <c r="R443" s="2489">
        <v>15769</v>
      </c>
      <c r="S443" s="2488">
        <v>17104.635000000002</v>
      </c>
      <c r="T443" s="2490">
        <v>10224.620000000001</v>
      </c>
      <c r="U443" s="2490">
        <v>11596.985000000001</v>
      </c>
      <c r="V443" s="2490">
        <v>17801.985000000001</v>
      </c>
      <c r="W443" s="2490">
        <v>19990.364999999998</v>
      </c>
      <c r="X443" s="2490">
        <v>2015.4549999999999</v>
      </c>
      <c r="Y443" s="2490">
        <v>104.83000000000001</v>
      </c>
      <c r="Z443" s="2490">
        <v>3332.415</v>
      </c>
      <c r="AA443" s="2490">
        <v>9582.8250000000007</v>
      </c>
      <c r="AB443" s="2490">
        <v>11730.705000000002</v>
      </c>
      <c r="AC443" s="2490">
        <v>4204.5</v>
      </c>
      <c r="AD443" s="2490">
        <v>439.61500000000001</v>
      </c>
      <c r="AE443" s="2490">
        <v>1517.6799999999998</v>
      </c>
      <c r="AF443" s="2490">
        <v>2190.4300000000003</v>
      </c>
      <c r="AG443" s="2490">
        <v>11.805</v>
      </c>
      <c r="AH443" s="2490">
        <v>190.2</v>
      </c>
      <c r="AI443" s="2490">
        <v>2186.5</v>
      </c>
    </row>
    <row r="444" spans="1:35">
      <c r="A444" s="2499">
        <v>45357</v>
      </c>
      <c r="B444" s="2498">
        <v>1.0862000000000001</v>
      </c>
      <c r="C444" s="2497">
        <v>0.65180000000000005</v>
      </c>
      <c r="D444" s="2497">
        <v>1.3587503304922182</v>
      </c>
      <c r="E444" s="2497">
        <v>0.88419993844391509</v>
      </c>
      <c r="F444" s="2497">
        <v>1.2711003184713376</v>
      </c>
      <c r="G444" s="2497">
        <v>7.8229521429656961</v>
      </c>
      <c r="H444" s="2497">
        <v>149.53093004428783</v>
      </c>
      <c r="I444" s="2497">
        <v>4.7284955101881003</v>
      </c>
      <c r="J444" s="2497">
        <v>0.60955000000000004</v>
      </c>
      <c r="K444" s="2497">
        <v>1.3411501601264952</v>
      </c>
      <c r="L444" s="2497">
        <v>3.7501492893825392</v>
      </c>
      <c r="M444" s="2497">
        <v>35.7099803708834</v>
      </c>
      <c r="N444" s="2497">
        <v>10.374917810165437</v>
      </c>
      <c r="O444" s="2497">
        <v>7.19935801903015</v>
      </c>
      <c r="P444" s="2497">
        <v>7.2134160349184473</v>
      </c>
      <c r="Q444" s="2496">
        <v>1334.4666383340416</v>
      </c>
      <c r="R444" s="2495">
        <v>15700</v>
      </c>
      <c r="S444" s="2494">
        <v>17053.34</v>
      </c>
      <c r="T444" s="2496">
        <v>10233.26</v>
      </c>
      <c r="U444" s="2496">
        <v>11554.735000000001</v>
      </c>
      <c r="V444" s="2496">
        <v>17756.165000000001</v>
      </c>
      <c r="W444" s="2496">
        <v>19956.275000000001</v>
      </c>
      <c r="X444" s="2496">
        <v>2006.915</v>
      </c>
      <c r="Y444" s="2496">
        <v>104.995</v>
      </c>
      <c r="Z444" s="2496">
        <v>3320.2950000000001</v>
      </c>
      <c r="AA444" s="2496">
        <v>9569.9350000000013</v>
      </c>
      <c r="AB444" s="2496">
        <v>11706.37</v>
      </c>
      <c r="AC444" s="2496">
        <v>4186.5</v>
      </c>
      <c r="AD444" s="2496">
        <v>439.65300000000002</v>
      </c>
      <c r="AE444" s="2496">
        <v>1513.2650000000001</v>
      </c>
      <c r="AF444" s="2496">
        <v>2180.75</v>
      </c>
      <c r="AG444" s="2496">
        <v>11.765000000000001</v>
      </c>
      <c r="AH444" s="2496">
        <v>189.38499999999999</v>
      </c>
      <c r="AI444" s="2496">
        <v>2176.5</v>
      </c>
    </row>
    <row r="445" spans="1:35">
      <c r="A445" s="2505">
        <v>45358</v>
      </c>
      <c r="B445" s="2504">
        <v>1.0894000958313368</v>
      </c>
      <c r="C445" s="2503">
        <v>0.65890017569078418</v>
      </c>
      <c r="D445" s="2503">
        <v>1.3508999958573262</v>
      </c>
      <c r="E445" s="2503">
        <v>0.8815997832681064</v>
      </c>
      <c r="F445" s="2503">
        <v>1.273600063887558</v>
      </c>
      <c r="G445" s="2503">
        <v>7.8194470810394954</v>
      </c>
      <c r="H445" s="2503">
        <v>147.96521245923336</v>
      </c>
      <c r="I445" s="2503">
        <v>4.6989970069317906</v>
      </c>
      <c r="J445" s="2503">
        <v>0.61500015971889477</v>
      </c>
      <c r="K445" s="2503">
        <v>1.336499434533301</v>
      </c>
      <c r="L445" s="2503">
        <v>3.7508986340762043</v>
      </c>
      <c r="M445" s="2503">
        <v>35.590040927694403</v>
      </c>
      <c r="N445" s="2503">
        <v>10.290994681095865</v>
      </c>
      <c r="O445" s="2503">
        <v>7.1986533999581495</v>
      </c>
      <c r="P445" s="2503">
        <v>7.21147201105736</v>
      </c>
      <c r="Q445" s="2502">
        <v>1330.4292392690181</v>
      </c>
      <c r="R445" s="2501">
        <v>15652.5</v>
      </c>
      <c r="S445" s="2500">
        <v>17051.834999999999</v>
      </c>
      <c r="T445" s="2502">
        <v>10313.434999999999</v>
      </c>
      <c r="U445" s="2502">
        <v>11586.720000000001</v>
      </c>
      <c r="V445" s="2502">
        <v>17754.654999999999</v>
      </c>
      <c r="W445" s="2502">
        <v>19935.025000000001</v>
      </c>
      <c r="X445" s="2502">
        <v>2001.74</v>
      </c>
      <c r="Y445" s="2502">
        <v>105.785</v>
      </c>
      <c r="Z445" s="2502">
        <v>3331.0299999999997</v>
      </c>
      <c r="AA445" s="2502">
        <v>9626.2900000000009</v>
      </c>
      <c r="AB445" s="2502">
        <v>11711.565000000001</v>
      </c>
      <c r="AC445" s="2502">
        <v>4173</v>
      </c>
      <c r="AD445" s="2502">
        <v>439.8</v>
      </c>
      <c r="AE445" s="2502">
        <v>1520.99</v>
      </c>
      <c r="AF445" s="2502">
        <v>2174.3649999999998</v>
      </c>
      <c r="AG445" s="2502">
        <v>11.765000000000001</v>
      </c>
      <c r="AH445" s="2502">
        <v>189.05500000000001</v>
      </c>
      <c r="AI445" s="2502">
        <v>2170.5</v>
      </c>
    </row>
    <row r="446" spans="1:35">
      <c r="A446" s="2511">
        <v>45359</v>
      </c>
      <c r="B446" s="2510">
        <v>1.0933999358563182</v>
      </c>
      <c r="C446" s="2509">
        <v>0.66360006414368178</v>
      </c>
      <c r="D446" s="2509">
        <v>1.3442998538860742</v>
      </c>
      <c r="E446" s="2509">
        <v>0.87734996415189703</v>
      </c>
      <c r="F446" s="2509">
        <v>1.2803502245028864</v>
      </c>
      <c r="G446" s="2509">
        <v>7.820749818778328</v>
      </c>
      <c r="H446" s="2509">
        <v>147.88465186871562</v>
      </c>
      <c r="I446" s="2509">
        <v>4.691000290366599</v>
      </c>
      <c r="J446" s="2509">
        <v>0.61799999999999988</v>
      </c>
      <c r="K446" s="2509">
        <v>1.3324501613213393</v>
      </c>
      <c r="L446" s="2509">
        <v>3.7507518344761217</v>
      </c>
      <c r="M446" s="2509">
        <v>35.469988726504546</v>
      </c>
      <c r="N446" s="2509">
        <v>10.226605573795226</v>
      </c>
      <c r="O446" s="2509">
        <v>7.1888869675485623</v>
      </c>
      <c r="P446" s="2509">
        <v>7.197599261311173</v>
      </c>
      <c r="Q446" s="2508">
        <v>1319.50909860347</v>
      </c>
      <c r="R446" s="2507">
        <v>15590</v>
      </c>
      <c r="S446" s="2506">
        <v>17046.105</v>
      </c>
      <c r="T446" s="2508">
        <v>10345.525</v>
      </c>
      <c r="U446" s="2508">
        <v>11597.115</v>
      </c>
      <c r="V446" s="2508">
        <v>17769.419999999998</v>
      </c>
      <c r="W446" s="2508">
        <v>19960.66</v>
      </c>
      <c r="X446" s="2508">
        <v>1993.415</v>
      </c>
      <c r="Y446" s="2508">
        <v>105.42</v>
      </c>
      <c r="Z446" s="2508">
        <v>3323.3850000000002</v>
      </c>
      <c r="AA446" s="2508">
        <v>9634.619999999999</v>
      </c>
      <c r="AB446" s="2508">
        <v>11700.25</v>
      </c>
      <c r="AC446" s="2508">
        <v>4156.5</v>
      </c>
      <c r="AD446" s="2508">
        <v>439.5265</v>
      </c>
      <c r="AE446" s="2508">
        <v>1524.4549999999999</v>
      </c>
      <c r="AF446" s="2508">
        <v>2168.625</v>
      </c>
      <c r="AG446" s="2508">
        <v>11.815000000000001</v>
      </c>
      <c r="AH446" s="2508">
        <v>188.51500000000001</v>
      </c>
      <c r="AI446" s="2508">
        <v>2166</v>
      </c>
    </row>
    <row r="447" spans="1:35" s="1385" customFormat="1">
      <c r="A447" s="2515">
        <v>45363</v>
      </c>
      <c r="B447" s="2516">
        <v>1.0933999358563182</v>
      </c>
      <c r="C447" s="2517">
        <v>0.66360006414368178</v>
      </c>
      <c r="D447" s="2517">
        <v>1.3442998538860742</v>
      </c>
      <c r="E447" s="2517">
        <v>0.87734996415189703</v>
      </c>
      <c r="F447" s="2517">
        <v>1.2803502245028864</v>
      </c>
      <c r="G447" s="2517">
        <v>7.820749818778328</v>
      </c>
      <c r="H447" s="2517">
        <v>147.88465186871562</v>
      </c>
      <c r="I447" s="2517">
        <v>4.691000290366599</v>
      </c>
      <c r="J447" s="2517">
        <v>0.61799999999999988</v>
      </c>
      <c r="K447" s="2517">
        <v>1.3324501613213393</v>
      </c>
      <c r="L447" s="2517">
        <v>3.7507518344761217</v>
      </c>
      <c r="M447" s="2517">
        <v>35.469988726504546</v>
      </c>
      <c r="N447" s="2517">
        <v>10.226605573795226</v>
      </c>
      <c r="O447" s="2517">
        <v>7.1888869675485623</v>
      </c>
      <c r="P447" s="2517">
        <v>7.197599261311173</v>
      </c>
      <c r="Q447" s="2518">
        <v>1319.50909860347</v>
      </c>
      <c r="R447" s="2519">
        <v>15590</v>
      </c>
      <c r="S447" s="2520">
        <v>17046.105</v>
      </c>
      <c r="T447" s="2518">
        <v>10345.525</v>
      </c>
      <c r="U447" s="2518">
        <v>11597.115</v>
      </c>
      <c r="V447" s="2518">
        <v>17769.419999999998</v>
      </c>
      <c r="W447" s="2518">
        <v>19960.66</v>
      </c>
      <c r="X447" s="2518">
        <v>1993.415</v>
      </c>
      <c r="Y447" s="2518">
        <v>105.42</v>
      </c>
      <c r="Z447" s="2518">
        <v>3323.3850000000002</v>
      </c>
      <c r="AA447" s="2518">
        <v>9634.619999999999</v>
      </c>
      <c r="AB447" s="2518">
        <v>11700.25</v>
      </c>
      <c r="AC447" s="2518">
        <v>4156.5</v>
      </c>
      <c r="AD447" s="2518">
        <v>439.5265</v>
      </c>
      <c r="AE447" s="2518">
        <v>1524.4549999999999</v>
      </c>
      <c r="AF447" s="2518">
        <v>2168.625</v>
      </c>
      <c r="AG447" s="2518">
        <v>11.815000000000001</v>
      </c>
      <c r="AH447" s="2518">
        <v>188.51500000000001</v>
      </c>
      <c r="AI447" s="2518">
        <v>2166</v>
      </c>
    </row>
    <row r="448" spans="1:35" s="1216" customFormat="1">
      <c r="A448" s="1217">
        <v>45364</v>
      </c>
      <c r="B448" s="2512">
        <v>1.0927001605136437</v>
      </c>
      <c r="C448" s="1220">
        <v>0.66139999999999999</v>
      </c>
      <c r="D448" s="1220">
        <v>1.348849797023004</v>
      </c>
      <c r="E448" s="1220">
        <v>0.87789978189192885</v>
      </c>
      <c r="F448" s="1220">
        <v>1.2786003210272874</v>
      </c>
      <c r="G448" s="1220">
        <v>7.8233505036831277</v>
      </c>
      <c r="H448" s="1220">
        <v>147.68632656931536</v>
      </c>
      <c r="I448" s="1220">
        <v>4.6869945305858369</v>
      </c>
      <c r="J448" s="1220">
        <v>0.61650016051364376</v>
      </c>
      <c r="K448" s="1220">
        <v>1.3327001403292604</v>
      </c>
      <c r="L448" s="1220">
        <v>3.7507525586995785</v>
      </c>
      <c r="M448" s="1220">
        <v>35.70000080224721</v>
      </c>
      <c r="N448" s="1220">
        <v>10.241320357706469</v>
      </c>
      <c r="O448" s="1220">
        <v>7.1929654414379467</v>
      </c>
      <c r="P448" s="1220">
        <v>7.1989831291888144</v>
      </c>
      <c r="Q448" s="1222">
        <v>1316.0118293198141</v>
      </c>
      <c r="R448" s="2513">
        <v>15575</v>
      </c>
      <c r="S448" s="2514">
        <v>17018.805</v>
      </c>
      <c r="T448" s="1222">
        <v>10301.305</v>
      </c>
      <c r="U448" s="1222">
        <v>11546.875</v>
      </c>
      <c r="V448" s="1222">
        <v>17741.205000000002</v>
      </c>
      <c r="W448" s="1222">
        <v>19914.2</v>
      </c>
      <c r="X448" s="1222">
        <v>1990.835</v>
      </c>
      <c r="Y448" s="1222">
        <v>105.46000000000001</v>
      </c>
      <c r="Z448" s="1222">
        <v>3323.0250000000001</v>
      </c>
      <c r="AA448" s="1222">
        <v>9601.9900000000016</v>
      </c>
      <c r="AB448" s="1222">
        <v>11686.8</v>
      </c>
      <c r="AC448" s="1222">
        <v>4152.5</v>
      </c>
      <c r="AD448" s="1222">
        <v>436.27449999999999</v>
      </c>
      <c r="AE448" s="1222">
        <v>1520.8000000000002</v>
      </c>
      <c r="AF448" s="1222">
        <v>2165.31</v>
      </c>
      <c r="AG448" s="1222">
        <v>11.835000000000001</v>
      </c>
      <c r="AH448" s="1222">
        <v>187.89500000000001</v>
      </c>
      <c r="AI448" s="1222">
        <v>2163.5</v>
      </c>
    </row>
    <row r="449" spans="1:35">
      <c r="A449" s="2526">
        <v>45365</v>
      </c>
      <c r="B449" s="2525">
        <v>1.0935000000000001</v>
      </c>
      <c r="C449" s="2524">
        <v>0.66200032092426186</v>
      </c>
      <c r="D449" s="2524">
        <v>1.3471495422458488</v>
      </c>
      <c r="E449" s="2524">
        <v>0.88000002259306875</v>
      </c>
      <c r="F449" s="2524">
        <v>1.2803000641848523</v>
      </c>
      <c r="G449" s="2524">
        <v>7.8218545024612736</v>
      </c>
      <c r="H449" s="2524">
        <v>147.86693873677217</v>
      </c>
      <c r="I449" s="2524">
        <v>4.6890001113562283</v>
      </c>
      <c r="J449" s="2524">
        <v>0.61619993581514765</v>
      </c>
      <c r="K449" s="2524">
        <v>1.3326000326735052</v>
      </c>
      <c r="L449" s="2524">
        <v>3.7501504392827054</v>
      </c>
      <c r="M449" s="2524">
        <v>35.67000891750223</v>
      </c>
      <c r="N449" s="2524">
        <v>10.251146509807018</v>
      </c>
      <c r="O449" s="2524">
        <v>7.1925507702677125</v>
      </c>
      <c r="P449" s="2524">
        <v>7.1979671979671975</v>
      </c>
      <c r="Q449" s="2523">
        <v>1317.5475687103594</v>
      </c>
      <c r="R449" s="2522">
        <v>15580</v>
      </c>
      <c r="S449" s="2521">
        <v>17036.730000000003</v>
      </c>
      <c r="T449" s="2523">
        <v>10313.965</v>
      </c>
      <c r="U449" s="2523">
        <v>11565.16</v>
      </c>
      <c r="V449" s="2523">
        <v>17704.544999999998</v>
      </c>
      <c r="W449" s="2523">
        <v>19947.075000000001</v>
      </c>
      <c r="X449" s="2523">
        <v>1991.855</v>
      </c>
      <c r="Y449" s="2523">
        <v>105.36500000000001</v>
      </c>
      <c r="Z449" s="2523">
        <v>3322.67</v>
      </c>
      <c r="AA449" s="2523">
        <v>9600.3950000000004</v>
      </c>
      <c r="AB449" s="2523">
        <v>11691.43</v>
      </c>
      <c r="AC449" s="2523">
        <v>4154.5</v>
      </c>
      <c r="AD449" s="2523">
        <v>436.78149999999999</v>
      </c>
      <c r="AE449" s="2523">
        <v>1519.83</v>
      </c>
      <c r="AF449" s="2523">
        <v>2166.13</v>
      </c>
      <c r="AG449" s="2523">
        <v>11.824999999999999</v>
      </c>
      <c r="AH449" s="2523">
        <v>188.05</v>
      </c>
      <c r="AI449" s="2523">
        <v>2164.5</v>
      </c>
    </row>
    <row r="450" spans="1:35">
      <c r="A450" s="2532">
        <v>45366</v>
      </c>
      <c r="B450" s="2531">
        <v>1.0880999711436725</v>
      </c>
      <c r="C450" s="2530">
        <v>0.65584981884638827</v>
      </c>
      <c r="D450" s="2530">
        <v>1.3545499397186407</v>
      </c>
      <c r="E450" s="2530">
        <v>0.88494997701723421</v>
      </c>
      <c r="F450" s="2530">
        <v>1.2735502901664049</v>
      </c>
      <c r="G450" s="2530">
        <v>7.8217516370029108</v>
      </c>
      <c r="H450" s="2530">
        <v>148.57564786585365</v>
      </c>
      <c r="I450" s="2530">
        <v>4.7019963395918074</v>
      </c>
      <c r="J450" s="2530">
        <v>0.60970021481932735</v>
      </c>
      <c r="K450" s="2530">
        <v>1.3377993845668161</v>
      </c>
      <c r="L450" s="2530">
        <v>3.7500300589154745</v>
      </c>
      <c r="M450" s="2530">
        <v>35.81998702215995</v>
      </c>
      <c r="N450" s="2530">
        <v>10.362069423772061</v>
      </c>
      <c r="O450" s="2530">
        <v>7.1963544070143053</v>
      </c>
      <c r="P450" s="2530">
        <v>7.2046662046662044</v>
      </c>
      <c r="Q450" s="2529">
        <v>1331.1566367904397</v>
      </c>
      <c r="R450" s="2528">
        <v>15594.5</v>
      </c>
      <c r="S450" s="2527">
        <v>16968.375</v>
      </c>
      <c r="T450" s="2529">
        <v>10227.650000000001</v>
      </c>
      <c r="U450" s="2529">
        <v>11512.68</v>
      </c>
      <c r="V450" s="2529">
        <v>17621.900000000001</v>
      </c>
      <c r="W450" s="2529">
        <v>19860.38</v>
      </c>
      <c r="X450" s="2529">
        <v>1993.7350000000001</v>
      </c>
      <c r="Y450" s="2529">
        <v>104.96000000000001</v>
      </c>
      <c r="Z450" s="2529">
        <v>3316.5699999999997</v>
      </c>
      <c r="AA450" s="2529">
        <v>9507.9700000000012</v>
      </c>
      <c r="AB450" s="2529">
        <v>11656.83</v>
      </c>
      <c r="AC450" s="2529">
        <v>4158.5</v>
      </c>
      <c r="AD450" s="2529">
        <v>435.35750000000002</v>
      </c>
      <c r="AE450" s="2529">
        <v>1504.96</v>
      </c>
      <c r="AF450" s="2529">
        <v>2167</v>
      </c>
      <c r="AG450" s="2529">
        <v>11.715</v>
      </c>
      <c r="AH450" s="2529">
        <v>188.16</v>
      </c>
      <c r="AI450" s="2529">
        <v>2164.5</v>
      </c>
    </row>
    <row r="451" spans="1:35">
      <c r="A451" s="2538">
        <v>45369</v>
      </c>
      <c r="B451" s="2537">
        <v>1.0892998725302738</v>
      </c>
      <c r="C451" s="2536">
        <v>0.65680019120458888</v>
      </c>
      <c r="D451" s="2536">
        <v>1.3524503789059115</v>
      </c>
      <c r="E451" s="2536">
        <v>0.88399993915105568</v>
      </c>
      <c r="F451" s="2536">
        <v>1.2741000637348627</v>
      </c>
      <c r="G451" s="2536">
        <v>7.8193525237221913</v>
      </c>
      <c r="H451" s="2536">
        <v>149.12322387492279</v>
      </c>
      <c r="I451" s="2536">
        <v>4.7209977583535183</v>
      </c>
      <c r="J451" s="2536">
        <v>0.60965009560229444</v>
      </c>
      <c r="K451" s="2536">
        <v>1.3378000564451014</v>
      </c>
      <c r="L451" s="2536">
        <v>3.7504481893151667</v>
      </c>
      <c r="M451" s="2536">
        <v>35.949999942718293</v>
      </c>
      <c r="N451" s="2536">
        <v>10.351038072556225</v>
      </c>
      <c r="O451" s="2536">
        <v>7.1980401512093071</v>
      </c>
      <c r="P451" s="2536">
        <v>7.2055109070034442</v>
      </c>
      <c r="Q451" s="2535">
        <v>1333.6166595835105</v>
      </c>
      <c r="R451" s="2534">
        <v>15690</v>
      </c>
      <c r="S451" s="2533">
        <v>17091.114999999998</v>
      </c>
      <c r="T451" s="2535">
        <v>10305.195</v>
      </c>
      <c r="U451" s="2535">
        <v>11601.165000000001</v>
      </c>
      <c r="V451" s="2535">
        <v>17748.870000000003</v>
      </c>
      <c r="W451" s="2535">
        <v>19990.629999999997</v>
      </c>
      <c r="X451" s="2535">
        <v>2006.56</v>
      </c>
      <c r="Y451" s="2535">
        <v>105.215</v>
      </c>
      <c r="Z451" s="2535">
        <v>3323.45</v>
      </c>
      <c r="AA451" s="2535">
        <v>9565.41</v>
      </c>
      <c r="AB451" s="2535">
        <v>11728.21</v>
      </c>
      <c r="AC451" s="2535">
        <v>4183.5</v>
      </c>
      <c r="AD451" s="2535">
        <v>436.43950000000001</v>
      </c>
      <c r="AE451" s="2535">
        <v>1515.79</v>
      </c>
      <c r="AF451" s="2535">
        <v>2179.7600000000002</v>
      </c>
      <c r="AG451" s="2535">
        <v>11.765000000000001</v>
      </c>
      <c r="AH451" s="2535">
        <v>189.255</v>
      </c>
      <c r="AI451" s="2535">
        <v>2177.5</v>
      </c>
    </row>
    <row r="452" spans="1:35" s="1459" customFormat="1">
      <c r="A452" s="2539">
        <v>45370</v>
      </c>
      <c r="B452" s="2540">
        <v>1.0854998409163221</v>
      </c>
      <c r="C452" s="2541">
        <v>0.65185014317531031</v>
      </c>
      <c r="D452" s="2541">
        <v>1.3564000460908447</v>
      </c>
      <c r="E452" s="2541">
        <v>0.88949993858686394</v>
      </c>
      <c r="F452" s="2541">
        <v>1.2699000954502071</v>
      </c>
      <c r="G452" s="2541">
        <v>7.8207425102020496</v>
      </c>
      <c r="H452" s="2541">
        <v>150.26055361667542</v>
      </c>
      <c r="I452" s="2541">
        <v>4.7319941824926754</v>
      </c>
      <c r="J452" s="2541">
        <v>0.60534998409163221</v>
      </c>
      <c r="K452" s="2541">
        <v>1.3418497888176908</v>
      </c>
      <c r="L452" s="2541">
        <v>3.7501491468798474</v>
      </c>
      <c r="M452" s="2541">
        <v>36.049985949337326</v>
      </c>
      <c r="N452" s="2541">
        <v>10.469861256849713</v>
      </c>
      <c r="O452" s="2541">
        <v>7.199485063874528</v>
      </c>
      <c r="P452" s="2541">
        <v>7.2120238641578709</v>
      </c>
      <c r="Q452" s="2542">
        <v>1339.1563698338305</v>
      </c>
      <c r="R452" s="2543">
        <v>15715</v>
      </c>
      <c r="S452" s="2544">
        <v>17058.63</v>
      </c>
      <c r="T452" s="2542">
        <v>10243.825000000001</v>
      </c>
      <c r="U452" s="2542">
        <v>11585.815000000001</v>
      </c>
      <c r="V452" s="2542">
        <v>17667.23</v>
      </c>
      <c r="W452" s="2542">
        <v>19956.480000000003</v>
      </c>
      <c r="X452" s="2542">
        <v>2009.4</v>
      </c>
      <c r="Y452" s="2542">
        <v>104.58500000000001</v>
      </c>
      <c r="Z452" s="2542">
        <v>3321.01</v>
      </c>
      <c r="AA452" s="2542">
        <v>9513.0750000000007</v>
      </c>
      <c r="AB452" s="2542">
        <v>11711.445</v>
      </c>
      <c r="AC452" s="2542">
        <v>4190.5</v>
      </c>
      <c r="AD452" s="2542">
        <v>435.92250000000001</v>
      </c>
      <c r="AE452" s="2542">
        <v>1500.9750000000001</v>
      </c>
      <c r="AF452" s="2542">
        <v>2182.7950000000001</v>
      </c>
      <c r="AG452" s="2542">
        <v>11.734999999999999</v>
      </c>
      <c r="AH452" s="2542">
        <v>189.36</v>
      </c>
      <c r="AI452" s="2542">
        <v>2179</v>
      </c>
    </row>
    <row r="453" spans="1:35">
      <c r="A453" s="2550">
        <v>45371</v>
      </c>
      <c r="B453" s="2549">
        <v>1.0866000636334712</v>
      </c>
      <c r="C453" s="2548">
        <v>0.65300000000000002</v>
      </c>
      <c r="D453" s="2548">
        <v>1.3586997636649185</v>
      </c>
      <c r="E453" s="2548">
        <v>0.88989987706187501</v>
      </c>
      <c r="F453" s="2548">
        <v>1.2713999363665287</v>
      </c>
      <c r="G453" s="2548">
        <v>7.8228447975468667</v>
      </c>
      <c r="H453" s="2548">
        <v>151.48448043184885</v>
      </c>
      <c r="I453" s="2548">
        <v>4.7384933611341022</v>
      </c>
      <c r="J453" s="2548">
        <v>0.60439993636652878</v>
      </c>
      <c r="K453" s="2548">
        <v>1.3430498983845798</v>
      </c>
      <c r="L453" s="2548">
        <v>3.7501491468798474</v>
      </c>
      <c r="M453" s="2548">
        <v>36.120001608908758</v>
      </c>
      <c r="N453" s="2548">
        <v>10.440022188784036</v>
      </c>
      <c r="O453" s="2548">
        <v>7.199336644005057</v>
      </c>
      <c r="P453" s="2548">
        <v>7.2120238641578709</v>
      </c>
      <c r="Q453" s="2547">
        <v>1340.2985074626863</v>
      </c>
      <c r="R453" s="2546">
        <v>15715</v>
      </c>
      <c r="S453" s="2545">
        <v>17075.919999999998</v>
      </c>
      <c r="T453" s="2547">
        <v>10261.895</v>
      </c>
      <c r="U453" s="2547">
        <v>11566.205</v>
      </c>
      <c r="V453" s="2547">
        <v>17659.29</v>
      </c>
      <c r="W453" s="2547">
        <v>19980.05</v>
      </c>
      <c r="X453" s="2547">
        <v>2008.8600000000001</v>
      </c>
      <c r="Y453" s="2547">
        <v>103.74000000000001</v>
      </c>
      <c r="Z453" s="2547">
        <v>3316.4549999999999</v>
      </c>
      <c r="AA453" s="2547">
        <v>9498.1450000000004</v>
      </c>
      <c r="AB453" s="2547">
        <v>11700.98</v>
      </c>
      <c r="AC453" s="2547">
        <v>4190.5</v>
      </c>
      <c r="AD453" s="2547">
        <v>435.07749999999999</v>
      </c>
      <c r="AE453" s="2547">
        <v>1505.2649999999999</v>
      </c>
      <c r="AF453" s="2547">
        <v>2182.84</v>
      </c>
      <c r="AG453" s="2547">
        <v>11.725000000000001</v>
      </c>
      <c r="AH453" s="2547">
        <v>189.12</v>
      </c>
      <c r="AI453" s="2547">
        <v>2179</v>
      </c>
    </row>
    <row r="454" spans="1:35">
      <c r="A454" s="2556">
        <v>45372</v>
      </c>
      <c r="B454" s="2555">
        <v>1.0929000638569606</v>
      </c>
      <c r="C454" s="2554">
        <v>0.66240006385696037</v>
      </c>
      <c r="D454" s="2554">
        <v>1.3468001885176253</v>
      </c>
      <c r="E454" s="2554">
        <v>0.88539980805029705</v>
      </c>
      <c r="F454" s="2554">
        <v>1.2785003192848021</v>
      </c>
      <c r="G454" s="2554">
        <v>7.8205566778115427</v>
      </c>
      <c r="H454" s="2554">
        <v>151.22398725315048</v>
      </c>
      <c r="I454" s="2554">
        <v>4.7089955045030143</v>
      </c>
      <c r="J454" s="2554">
        <v>0.60960025542784169</v>
      </c>
      <c r="K454" s="2554">
        <v>1.3382499348393631</v>
      </c>
      <c r="L454" s="2554">
        <v>3.7504490480182016</v>
      </c>
      <c r="M454" s="2554">
        <v>35.974982914180366</v>
      </c>
      <c r="N454" s="2554">
        <v>10.37278435736428</v>
      </c>
      <c r="O454" s="2554">
        <v>7.1993379919087905</v>
      </c>
      <c r="P454" s="2554">
        <v>7.2132657761400276</v>
      </c>
      <c r="Q454" s="2553">
        <v>1325.4337706305541</v>
      </c>
      <c r="R454" s="2552">
        <v>15660</v>
      </c>
      <c r="S454" s="2551">
        <v>17114.815000000002</v>
      </c>
      <c r="T454" s="2553">
        <v>10373.184999999999</v>
      </c>
      <c r="U454" s="2553">
        <v>11627.560000000001</v>
      </c>
      <c r="V454" s="2553">
        <v>17686.924999999999</v>
      </c>
      <c r="W454" s="2553">
        <v>20021.315000000002</v>
      </c>
      <c r="X454" s="2553">
        <v>2002.415</v>
      </c>
      <c r="Y454" s="2553">
        <v>103.55500000000001</v>
      </c>
      <c r="Z454" s="2553">
        <v>3325.55</v>
      </c>
      <c r="AA454" s="2553">
        <v>9546.34</v>
      </c>
      <c r="AB454" s="2553">
        <v>11701.85</v>
      </c>
      <c r="AC454" s="2553">
        <v>4175.5</v>
      </c>
      <c r="AD454" s="2553">
        <v>435.30250000000001</v>
      </c>
      <c r="AE454" s="2553">
        <v>1509.72</v>
      </c>
      <c r="AF454" s="2553">
        <v>2175.1999999999998</v>
      </c>
      <c r="AG454" s="2553">
        <v>11.815000000000001</v>
      </c>
      <c r="AH454" s="2553">
        <v>188.41</v>
      </c>
      <c r="AI454" s="2553">
        <v>2171</v>
      </c>
    </row>
    <row r="455" spans="1:35">
      <c r="A455" s="2562">
        <v>45373</v>
      </c>
      <c r="B455" s="2561">
        <v>1.0825</v>
      </c>
      <c r="C455" s="2560">
        <v>0.65159980988593147</v>
      </c>
      <c r="D455" s="2560">
        <v>1.3565499959165952</v>
      </c>
      <c r="E455" s="2560">
        <v>0.89929979423815543</v>
      </c>
      <c r="F455" s="2560">
        <v>1.2606501901140685</v>
      </c>
      <c r="G455" s="2560">
        <v>7.8183448692731119</v>
      </c>
      <c r="H455" s="2560">
        <v>151.42500719700604</v>
      </c>
      <c r="I455" s="2560">
        <v>4.7394930724709932</v>
      </c>
      <c r="J455" s="2560">
        <v>0.60085012674271232</v>
      </c>
      <c r="K455" s="2560">
        <v>1.3476001316856403</v>
      </c>
      <c r="L455" s="2560">
        <v>3.750445632798574</v>
      </c>
      <c r="M455" s="2560">
        <v>36.390009581780092</v>
      </c>
      <c r="N455" s="2560">
        <v>10.510190488877047</v>
      </c>
      <c r="O455" s="2560">
        <v>7.2257544571411563</v>
      </c>
      <c r="P455" s="2560">
        <v>7.2585096596136154</v>
      </c>
      <c r="Q455" s="2559">
        <v>1341.2664683382916</v>
      </c>
      <c r="R455" s="2558">
        <v>15780</v>
      </c>
      <c r="S455" s="2557">
        <v>17081.849999999999</v>
      </c>
      <c r="T455" s="2559">
        <v>10282.244999999999</v>
      </c>
      <c r="U455" s="2559">
        <v>11632.45</v>
      </c>
      <c r="V455" s="2559">
        <v>17546.985000000001</v>
      </c>
      <c r="W455" s="2559">
        <v>19893.060000000001</v>
      </c>
      <c r="X455" s="2559">
        <v>2018.33</v>
      </c>
      <c r="Y455" s="2559">
        <v>104.21000000000001</v>
      </c>
      <c r="Z455" s="2559">
        <v>3329.4700000000003</v>
      </c>
      <c r="AA455" s="2559">
        <v>9481.4150000000009</v>
      </c>
      <c r="AB455" s="2559">
        <v>11709.705</v>
      </c>
      <c r="AC455" s="2559">
        <v>4207.5</v>
      </c>
      <c r="AD455" s="2559">
        <v>433.63549999999998</v>
      </c>
      <c r="AE455" s="2559">
        <v>1501.4</v>
      </c>
      <c r="AF455" s="2559">
        <v>2183.855</v>
      </c>
      <c r="AG455" s="2559">
        <v>11.765000000000001</v>
      </c>
      <c r="AH455" s="2559">
        <v>189.42000000000002</v>
      </c>
      <c r="AI455" s="2559">
        <v>2174</v>
      </c>
    </row>
    <row r="456" spans="1:35">
      <c r="A456" s="2568">
        <v>45376</v>
      </c>
      <c r="B456" s="2567">
        <v>1.0813999050482672</v>
      </c>
      <c r="C456" s="2566">
        <v>0.65220003165057772</v>
      </c>
      <c r="D456" s="2566">
        <v>1.3600502092914737</v>
      </c>
      <c r="E456" s="2566">
        <v>0.89819993285177258</v>
      </c>
      <c r="F456" s="2566">
        <v>1.2602500395632219</v>
      </c>
      <c r="G456" s="2566">
        <v>7.8210478892205941</v>
      </c>
      <c r="H456" s="2566">
        <v>151.33154516716161</v>
      </c>
      <c r="I456" s="2566">
        <v>4.7269952647760674</v>
      </c>
      <c r="J456" s="2566">
        <v>0.59959993669884482</v>
      </c>
      <c r="K456" s="2566">
        <v>1.346899955963043</v>
      </c>
      <c r="L456" s="2566">
        <v>3.750593542260209</v>
      </c>
      <c r="M456" s="2566">
        <v>36.400021198303214</v>
      </c>
      <c r="N456" s="2566">
        <v>10.557744295075503</v>
      </c>
      <c r="O456" s="2566">
        <v>7.2060010856327006</v>
      </c>
      <c r="P456" s="2566">
        <v>7.2482220692819457</v>
      </c>
      <c r="Q456" s="2565">
        <v>1341.6135881104035</v>
      </c>
      <c r="R456" s="2564">
        <v>15797.5</v>
      </c>
      <c r="S456" s="2563">
        <v>17083.415000000001</v>
      </c>
      <c r="T456" s="2565">
        <v>10303.130000000001</v>
      </c>
      <c r="U456" s="2565">
        <v>11615.380000000001</v>
      </c>
      <c r="V456" s="2565">
        <v>17587.955000000002</v>
      </c>
      <c r="W456" s="2565">
        <v>19908.8</v>
      </c>
      <c r="X456" s="2565">
        <v>2019.87</v>
      </c>
      <c r="Y456" s="2565">
        <v>104.39</v>
      </c>
      <c r="Z456" s="2565">
        <v>3341.9750000000004</v>
      </c>
      <c r="AA456" s="2565">
        <v>9472.18</v>
      </c>
      <c r="AB456" s="2565">
        <v>11728.785</v>
      </c>
      <c r="AC456" s="2565">
        <v>4212</v>
      </c>
      <c r="AD456" s="2565">
        <v>433.99700000000001</v>
      </c>
      <c r="AE456" s="2565">
        <v>1496.2950000000001</v>
      </c>
      <c r="AF456" s="2565">
        <v>2192.27</v>
      </c>
      <c r="AG456" s="2565">
        <v>11.774999999999999</v>
      </c>
      <c r="AH456" s="2565">
        <v>189.095</v>
      </c>
      <c r="AI456" s="2565">
        <v>2179.5</v>
      </c>
    </row>
    <row r="457" spans="1:35">
      <c r="A457" s="2574">
        <v>45377</v>
      </c>
      <c r="B457" s="2573">
        <v>1.0842501583280555</v>
      </c>
      <c r="C457" s="2572">
        <v>0.65394996833438879</v>
      </c>
      <c r="D457" s="2572">
        <v>1.3587003287039425</v>
      </c>
      <c r="E457" s="2572">
        <v>0.90089987288125928</v>
      </c>
      <c r="F457" s="2572">
        <v>1.265050031665611</v>
      </c>
      <c r="G457" s="2572">
        <v>7.8228537314615947</v>
      </c>
      <c r="H457" s="2572">
        <v>151.32493171690066</v>
      </c>
      <c r="I457" s="2572">
        <v>4.7199915105915826</v>
      </c>
      <c r="J457" s="2572">
        <v>0.60139993666877767</v>
      </c>
      <c r="K457" s="2572">
        <v>1.3443497931753174</v>
      </c>
      <c r="L457" s="2572">
        <v>3.7505938242280283</v>
      </c>
      <c r="M457" s="2572">
        <v>36.370002003920312</v>
      </c>
      <c r="N457" s="2572">
        <v>10.583393656666399</v>
      </c>
      <c r="O457" s="2572">
        <v>7.2185002068632897</v>
      </c>
      <c r="P457" s="2572">
        <v>7.2481064952949277</v>
      </c>
      <c r="Q457" s="2571">
        <v>1340.9766454352443</v>
      </c>
      <c r="R457" s="2570">
        <v>15790</v>
      </c>
      <c r="S457" s="2569">
        <v>17120.309999999998</v>
      </c>
      <c r="T457" s="2571">
        <v>10325.869999999999</v>
      </c>
      <c r="U457" s="2571">
        <v>11621.400000000001</v>
      </c>
      <c r="V457" s="2571">
        <v>17526.919999999998</v>
      </c>
      <c r="W457" s="2571">
        <v>19975.14</v>
      </c>
      <c r="X457" s="2571">
        <v>2018.4450000000002</v>
      </c>
      <c r="Y457" s="2571">
        <v>104.345</v>
      </c>
      <c r="Z457" s="2571">
        <v>3345.3450000000003</v>
      </c>
      <c r="AA457" s="2571">
        <v>9496.1049999999996</v>
      </c>
      <c r="AB457" s="2571">
        <v>11745.455000000002</v>
      </c>
      <c r="AC457" s="2571">
        <v>4210</v>
      </c>
      <c r="AD457" s="2571">
        <v>434.149</v>
      </c>
      <c r="AE457" s="2571">
        <v>1491.96</v>
      </c>
      <c r="AF457" s="2571">
        <v>2187.4349999999999</v>
      </c>
      <c r="AG457" s="2571">
        <v>11.774999999999999</v>
      </c>
      <c r="AH457" s="2571">
        <v>189.465</v>
      </c>
      <c r="AI457" s="2571">
        <v>2178.5</v>
      </c>
    </row>
    <row r="458" spans="1:35">
      <c r="A458" s="2580">
        <v>45378</v>
      </c>
      <c r="B458" s="2579">
        <v>1.0826001261431726</v>
      </c>
      <c r="C458" s="2578">
        <v>0.65275023651844843</v>
      </c>
      <c r="D458" s="2578">
        <v>1.3595001018231707</v>
      </c>
      <c r="E458" s="2578">
        <v>0.90539984924278771</v>
      </c>
      <c r="F458" s="2578">
        <v>1.2630000000000001</v>
      </c>
      <c r="G458" s="2578">
        <v>7.8234481397414388</v>
      </c>
      <c r="H458" s="2578">
        <v>151.70071281634216</v>
      </c>
      <c r="I458" s="2578">
        <v>4.7309999104824989</v>
      </c>
      <c r="J458" s="2578">
        <v>0.6005001576789657</v>
      </c>
      <c r="K458" s="2578">
        <v>1.347249673278146</v>
      </c>
      <c r="L458" s="2578">
        <v>3.7504435245416912</v>
      </c>
      <c r="M458" s="2578">
        <v>36.440024500199378</v>
      </c>
      <c r="N458" s="2578">
        <v>10.60247892711339</v>
      </c>
      <c r="O458" s="2578">
        <v>7.2285531267880456</v>
      </c>
      <c r="P458" s="2578">
        <v>7.2546328071379547</v>
      </c>
      <c r="Q458" s="2577">
        <v>1349.9361430395911</v>
      </c>
      <c r="R458" s="2576">
        <v>15855</v>
      </c>
      <c r="S458" s="2575">
        <v>17164.625</v>
      </c>
      <c r="T458" s="2577">
        <v>10349.355</v>
      </c>
      <c r="U458" s="2577">
        <v>11662.375</v>
      </c>
      <c r="V458" s="2577">
        <v>17511.599999999999</v>
      </c>
      <c r="W458" s="2577">
        <v>20024.865000000002</v>
      </c>
      <c r="X458" s="2577">
        <v>2026.6</v>
      </c>
      <c r="Y458" s="2577">
        <v>104.515</v>
      </c>
      <c r="Z458" s="2577">
        <v>3351.3</v>
      </c>
      <c r="AA458" s="2577">
        <v>9520.93</v>
      </c>
      <c r="AB458" s="2577">
        <v>11768.42</v>
      </c>
      <c r="AC458" s="2577">
        <v>4227.5</v>
      </c>
      <c r="AD458" s="2577">
        <v>435.0985</v>
      </c>
      <c r="AE458" s="2577">
        <v>1495.405</v>
      </c>
      <c r="AF458" s="2577">
        <v>2193.3850000000002</v>
      </c>
      <c r="AG458" s="2577">
        <v>11.745000000000001</v>
      </c>
      <c r="AH458" s="2577">
        <v>190.27</v>
      </c>
      <c r="AI458" s="2577">
        <v>2185.5</v>
      </c>
    </row>
    <row r="459" spans="1:35">
      <c r="A459" s="2586">
        <v>45379</v>
      </c>
      <c r="B459" s="2585">
        <v>1.0801002838221383</v>
      </c>
      <c r="C459" s="2584">
        <v>0.65060012614317242</v>
      </c>
      <c r="D459" s="2584">
        <v>1.3593998577581605</v>
      </c>
      <c r="E459" s="2584">
        <v>0.90555007097901929</v>
      </c>
      <c r="F459" s="2584">
        <v>1.2617000946073793</v>
      </c>
      <c r="G459" s="2584">
        <v>7.8235446504570518</v>
      </c>
      <c r="H459" s="2584">
        <v>151.43989684321124</v>
      </c>
      <c r="I459" s="2584">
        <v>4.732991232547934</v>
      </c>
      <c r="J459" s="2584">
        <v>0.59764995269631038</v>
      </c>
      <c r="K459" s="2584">
        <v>1.3490999193348014</v>
      </c>
      <c r="L459" s="2584">
        <v>3.7504435245416912</v>
      </c>
      <c r="M459" s="2584">
        <v>36.504963454744093</v>
      </c>
      <c r="N459" s="2584">
        <v>10.659790972626087</v>
      </c>
      <c r="O459" s="2584">
        <v>7.2262469320924207</v>
      </c>
      <c r="P459" s="2584">
        <v>7.2562929061784898</v>
      </c>
      <c r="Q459" s="2583">
        <v>1348.7877498936623</v>
      </c>
      <c r="R459" s="2582">
        <v>15855</v>
      </c>
      <c r="S459" s="2581">
        <v>17124.990000000002</v>
      </c>
      <c r="T459" s="2583">
        <v>10315.264999999999</v>
      </c>
      <c r="U459" s="2583">
        <v>11663.235000000001</v>
      </c>
      <c r="V459" s="2583">
        <v>17508.695</v>
      </c>
      <c r="W459" s="2583">
        <v>20004.254999999997</v>
      </c>
      <c r="X459" s="2583">
        <v>2026.575</v>
      </c>
      <c r="Y459" s="2583">
        <v>104.69499999999999</v>
      </c>
      <c r="Z459" s="2583">
        <v>3349.8900000000003</v>
      </c>
      <c r="AA459" s="2583">
        <v>9475.7400000000016</v>
      </c>
      <c r="AB459" s="2583">
        <v>11752.279999999999</v>
      </c>
      <c r="AC459" s="2583">
        <v>4227.5</v>
      </c>
      <c r="AD459" s="2583">
        <v>434.3245</v>
      </c>
      <c r="AE459" s="2583">
        <v>1487.365</v>
      </c>
      <c r="AF459" s="2583">
        <v>2194.085</v>
      </c>
      <c r="AG459" s="2583">
        <v>11.754999999999999</v>
      </c>
      <c r="AH459" s="2583">
        <v>190.14500000000001</v>
      </c>
      <c r="AI459" s="2583">
        <v>2185</v>
      </c>
    </row>
    <row r="460" spans="1:35" s="1385" customFormat="1">
      <c r="A460" s="2593">
        <v>45380</v>
      </c>
      <c r="B460" s="2594">
        <v>1.0801002838221383</v>
      </c>
      <c r="C460" s="2595">
        <v>0.65060012614317242</v>
      </c>
      <c r="D460" s="2595">
        <v>1.3593998577581605</v>
      </c>
      <c r="E460" s="2595">
        <v>0.90555007097901929</v>
      </c>
      <c r="F460" s="2595">
        <v>1.2617000946073793</v>
      </c>
      <c r="G460" s="2595">
        <v>7.8235446504570518</v>
      </c>
      <c r="H460" s="2595">
        <v>151.43989684321124</v>
      </c>
      <c r="I460" s="2595">
        <v>4.732991232547934</v>
      </c>
      <c r="J460" s="2595">
        <v>0.59764995269631038</v>
      </c>
      <c r="K460" s="2595">
        <v>1.3490999193348014</v>
      </c>
      <c r="L460" s="2595">
        <v>3.7504435245416912</v>
      </c>
      <c r="M460" s="2595">
        <v>36.504963454744093</v>
      </c>
      <c r="N460" s="2595">
        <v>10.659790972626087</v>
      </c>
      <c r="O460" s="2595">
        <v>7.2262469320924207</v>
      </c>
      <c r="P460" s="2595">
        <v>7.2562929061784898</v>
      </c>
      <c r="Q460" s="2596">
        <v>1348.7877498936623</v>
      </c>
      <c r="R460" s="2597">
        <v>15855</v>
      </c>
      <c r="S460" s="2598">
        <v>17124.990000000002</v>
      </c>
      <c r="T460" s="2596">
        <v>10315.264999999999</v>
      </c>
      <c r="U460" s="2596">
        <v>11663.235000000001</v>
      </c>
      <c r="V460" s="2596">
        <v>17508.695</v>
      </c>
      <c r="W460" s="2596">
        <v>20004.254999999997</v>
      </c>
      <c r="X460" s="2596">
        <v>2026.575</v>
      </c>
      <c r="Y460" s="2596">
        <v>104.69499999999999</v>
      </c>
      <c r="Z460" s="2596">
        <v>3349.8900000000003</v>
      </c>
      <c r="AA460" s="2596">
        <v>9475.7400000000016</v>
      </c>
      <c r="AB460" s="2596">
        <v>11752.279999999999</v>
      </c>
      <c r="AC460" s="2596">
        <v>4227.5</v>
      </c>
      <c r="AD460" s="2596">
        <v>434.3245</v>
      </c>
      <c r="AE460" s="2596">
        <v>1487.365</v>
      </c>
      <c r="AF460" s="2596">
        <v>2194.085</v>
      </c>
      <c r="AG460" s="2596">
        <v>11.754999999999999</v>
      </c>
      <c r="AH460" s="2596">
        <v>190.14500000000001</v>
      </c>
      <c r="AI460" s="2596">
        <v>2185</v>
      </c>
    </row>
    <row r="461" spans="1:35" s="1385" customFormat="1">
      <c r="A461" s="2593">
        <v>45382</v>
      </c>
      <c r="B461" s="2594">
        <v>1.0801002838221383</v>
      </c>
      <c r="C461" s="2595">
        <v>0.65060012614317242</v>
      </c>
      <c r="D461" s="2595">
        <v>1.3593998577581605</v>
      </c>
      <c r="E461" s="2595">
        <v>0.90555007097901929</v>
      </c>
      <c r="F461" s="2595">
        <v>1.2617000946073793</v>
      </c>
      <c r="G461" s="2595">
        <v>7.8235446504570518</v>
      </c>
      <c r="H461" s="2595">
        <v>151.43989684321124</v>
      </c>
      <c r="I461" s="2595">
        <v>4.732991232547934</v>
      </c>
      <c r="J461" s="2595">
        <v>0.59764995269631038</v>
      </c>
      <c r="K461" s="2595">
        <v>1.3490999193348014</v>
      </c>
      <c r="L461" s="2595">
        <v>3.7504435245416912</v>
      </c>
      <c r="M461" s="2595">
        <v>36.504963454744093</v>
      </c>
      <c r="N461" s="2595">
        <v>10.659790972626087</v>
      </c>
      <c r="O461" s="2595">
        <v>7.2262469320924207</v>
      </c>
      <c r="P461" s="2595">
        <v>7.2562929061784898</v>
      </c>
      <c r="Q461" s="2596">
        <v>1348.7877498936623</v>
      </c>
      <c r="R461" s="2597">
        <v>15855</v>
      </c>
      <c r="S461" s="2598">
        <v>17124.990000000002</v>
      </c>
      <c r="T461" s="2596">
        <v>10315.264999999999</v>
      </c>
      <c r="U461" s="2596">
        <v>11663.235000000001</v>
      </c>
      <c r="V461" s="2596">
        <v>17508.695</v>
      </c>
      <c r="W461" s="2596">
        <v>20004.254999999997</v>
      </c>
      <c r="X461" s="2596">
        <v>2026.575</v>
      </c>
      <c r="Y461" s="2596">
        <v>104.69499999999999</v>
      </c>
      <c r="Z461" s="2596">
        <v>3349.8900000000003</v>
      </c>
      <c r="AA461" s="2596">
        <v>9475.7400000000016</v>
      </c>
      <c r="AB461" s="2596">
        <v>11752.279999999999</v>
      </c>
      <c r="AC461" s="2596">
        <v>4227.5</v>
      </c>
      <c r="AD461" s="2596">
        <v>434.3245</v>
      </c>
      <c r="AE461" s="2596">
        <v>1487.365</v>
      </c>
      <c r="AF461" s="2596">
        <v>2194.085</v>
      </c>
      <c r="AG461" s="2596">
        <v>11.754999999999999</v>
      </c>
      <c r="AH461" s="2596">
        <v>190.14500000000001</v>
      </c>
      <c r="AI461" s="2596">
        <v>2185</v>
      </c>
    </row>
    <row r="462" spans="1:35">
      <c r="A462" s="2592">
        <v>45383</v>
      </c>
      <c r="B462" s="2591">
        <v>1.0786000629326622</v>
      </c>
      <c r="C462" s="2590">
        <v>0.65249999999999997</v>
      </c>
      <c r="D462" s="2590">
        <v>1.3529495406868284</v>
      </c>
      <c r="E462" s="2590">
        <v>0.90114997284924159</v>
      </c>
      <c r="F462" s="2590">
        <v>1.262050031466331</v>
      </c>
      <c r="G462" s="2590">
        <v>7.8253503924986951</v>
      </c>
      <c r="H462" s="2590">
        <v>151.34054002571551</v>
      </c>
      <c r="I462" s="2590">
        <v>4.7260019332292362</v>
      </c>
      <c r="J462" s="2590">
        <v>0.59830018879798619</v>
      </c>
      <c r="K462" s="2590">
        <v>1.3485495666225074</v>
      </c>
      <c r="L462" s="2590">
        <v>3.7507376372005194</v>
      </c>
      <c r="M462" s="2590">
        <v>36.360016795627644</v>
      </c>
      <c r="N462" s="2590">
        <v>10.689898752060278</v>
      </c>
      <c r="O462" s="2590">
        <v>7.2301052665105976</v>
      </c>
      <c r="P462" s="2590">
        <v>7.2490875912408761</v>
      </c>
      <c r="Q462" s="2589">
        <v>1349.4692144373676</v>
      </c>
      <c r="R462" s="2588">
        <v>15890</v>
      </c>
      <c r="S462" s="2587">
        <v>17138.955000000002</v>
      </c>
      <c r="T462" s="2589">
        <v>10368.225</v>
      </c>
      <c r="U462" s="2589">
        <v>11744.71</v>
      </c>
      <c r="V462" s="2589">
        <v>17633.025000000001</v>
      </c>
      <c r="W462" s="2589">
        <v>20053.974999999999</v>
      </c>
      <c r="X462" s="2589">
        <v>2030.58</v>
      </c>
      <c r="Y462" s="2589">
        <v>104.995</v>
      </c>
      <c r="Z462" s="2589">
        <v>3362.25</v>
      </c>
      <c r="AA462" s="2589">
        <v>9506.99</v>
      </c>
      <c r="AB462" s="2589">
        <v>11783.029999999999</v>
      </c>
      <c r="AC462" s="2589">
        <v>4236.5</v>
      </c>
      <c r="AD462" s="2589">
        <v>437.01850000000002</v>
      </c>
      <c r="AE462" s="2589">
        <v>1486.45</v>
      </c>
      <c r="AF462" s="2589">
        <v>2197.7550000000001</v>
      </c>
      <c r="AG462" s="2589">
        <v>11.774999999999999</v>
      </c>
      <c r="AH462" s="2589">
        <v>190.54500000000002</v>
      </c>
      <c r="AI462" s="2589">
        <v>2192</v>
      </c>
    </row>
    <row r="463" spans="1:35">
      <c r="A463" s="2604">
        <v>45384</v>
      </c>
      <c r="B463" s="2603">
        <v>1.0742001635528715</v>
      </c>
      <c r="C463" s="2602">
        <v>0.64979996225702952</v>
      </c>
      <c r="D463" s="2602">
        <v>1.3568994714775411</v>
      </c>
      <c r="E463" s="2602">
        <v>0.90779981463683723</v>
      </c>
      <c r="F463" s="2602">
        <v>1.2553997609611875</v>
      </c>
      <c r="G463" s="2602">
        <v>7.8271401913333758</v>
      </c>
      <c r="H463" s="2602">
        <v>151.67445854403206</v>
      </c>
      <c r="I463" s="2602">
        <v>4.7544989337743795</v>
      </c>
      <c r="J463" s="2602">
        <v>0.59510001887148523</v>
      </c>
      <c r="K463" s="2602">
        <v>1.3524498637723883</v>
      </c>
      <c r="L463" s="2602">
        <v>3.750619322873658</v>
      </c>
      <c r="M463" s="2602">
        <v>36.670011418290024</v>
      </c>
      <c r="N463" s="2602">
        <v>10.788671792818409</v>
      </c>
      <c r="O463" s="2602">
        <v>7.2353479311647462</v>
      </c>
      <c r="P463" s="2602">
        <v>7.2622201918684333</v>
      </c>
      <c r="Q463" s="2601">
        <v>1351.7857142857142</v>
      </c>
      <c r="R463" s="2600">
        <v>15897</v>
      </c>
      <c r="S463" s="2599">
        <v>17076.559999999998</v>
      </c>
      <c r="T463" s="2601">
        <v>10329.869999999999</v>
      </c>
      <c r="U463" s="2601">
        <v>11715.68</v>
      </c>
      <c r="V463" s="2601">
        <v>17511.57</v>
      </c>
      <c r="W463" s="2601">
        <v>19957.09</v>
      </c>
      <c r="X463" s="2601">
        <v>2031.01</v>
      </c>
      <c r="Y463" s="2601">
        <v>104.81</v>
      </c>
      <c r="Z463" s="2601">
        <v>3343.5699999999997</v>
      </c>
      <c r="AA463" s="2601">
        <v>9460.3050000000003</v>
      </c>
      <c r="AB463" s="2601">
        <v>11754.224999999999</v>
      </c>
      <c r="AC463" s="2601">
        <v>4238.5</v>
      </c>
      <c r="AD463" s="2601">
        <v>433.51499999999999</v>
      </c>
      <c r="AE463" s="2601">
        <v>1473.4900000000002</v>
      </c>
      <c r="AF463" s="2601">
        <v>2197.13</v>
      </c>
      <c r="AG463" s="2601">
        <v>11.76</v>
      </c>
      <c r="AH463" s="2601">
        <v>190.685</v>
      </c>
      <c r="AI463" s="2601">
        <v>2189</v>
      </c>
    </row>
    <row r="464" spans="1:35">
      <c r="A464" s="2610">
        <v>45385</v>
      </c>
      <c r="B464" s="2609">
        <v>1.0770998743718594</v>
      </c>
      <c r="C464" s="2608">
        <v>0.65095006281407031</v>
      </c>
      <c r="D464" s="2608">
        <v>1.3578994864376377</v>
      </c>
      <c r="E464" s="2608">
        <v>0.90850001055731799</v>
      </c>
      <c r="F464" s="2608">
        <v>1.2566001884422111</v>
      </c>
      <c r="G464" s="2608">
        <v>7.8284430151307278</v>
      </c>
      <c r="H464" s="2608">
        <v>151.67682926829266</v>
      </c>
      <c r="I464" s="2608">
        <v>4.7534945799114094</v>
      </c>
      <c r="J464" s="2608">
        <v>0.5967000628140704</v>
      </c>
      <c r="K464" s="2608">
        <v>1.3520497099080531</v>
      </c>
      <c r="L464" s="2608">
        <v>3.750736246907763</v>
      </c>
      <c r="M464" s="2608">
        <v>36.699997118404745</v>
      </c>
      <c r="N464" s="2608">
        <v>10.745394228400373</v>
      </c>
      <c r="O464" s="2608">
        <v>7.2357551751330007</v>
      </c>
      <c r="P464" s="2608">
        <v>7.2578071575108272</v>
      </c>
      <c r="Q464" s="2607">
        <v>1349.7244595167442</v>
      </c>
      <c r="R464" s="2606">
        <v>15920</v>
      </c>
      <c r="S464" s="2605">
        <v>17147.43</v>
      </c>
      <c r="T464" s="2607">
        <v>10363.125</v>
      </c>
      <c r="U464" s="2607">
        <v>11723.99</v>
      </c>
      <c r="V464" s="2607">
        <v>17523.39</v>
      </c>
      <c r="W464" s="2607">
        <v>20005.075000000001</v>
      </c>
      <c r="X464" s="2607">
        <v>2033.6100000000001</v>
      </c>
      <c r="Y464" s="2607">
        <v>104.96000000000001</v>
      </c>
      <c r="Z464" s="2607">
        <v>3349.1150000000002</v>
      </c>
      <c r="AA464" s="2607">
        <v>9499.4650000000001</v>
      </c>
      <c r="AB464" s="2607">
        <v>11774.715</v>
      </c>
      <c r="AC464" s="2607">
        <v>4244.5</v>
      </c>
      <c r="AD464" s="2607">
        <v>433.78750000000002</v>
      </c>
      <c r="AE464" s="2607">
        <v>1481.5650000000001</v>
      </c>
      <c r="AF464" s="2607">
        <v>2200.1849999999999</v>
      </c>
      <c r="AG464" s="2607">
        <v>11.795000000000002</v>
      </c>
      <c r="AH464" s="2607">
        <v>190.81</v>
      </c>
      <c r="AI464" s="2607">
        <v>2193.5</v>
      </c>
    </row>
    <row r="465" spans="1:35">
      <c r="A465" s="2617">
        <v>45386</v>
      </c>
      <c r="B465" s="2616">
        <v>1.0857999056158565</v>
      </c>
      <c r="C465" s="2615">
        <v>0.65929998426930936</v>
      </c>
      <c r="D465" s="2615">
        <v>1.3511996918831093</v>
      </c>
      <c r="E465" s="2615">
        <v>0.90669990900195985</v>
      </c>
      <c r="F465" s="2615">
        <v>1.2663001415762154</v>
      </c>
      <c r="G465" s="2615">
        <v>7.8283549740902023</v>
      </c>
      <c r="H465" s="2615">
        <v>151.68217609162491</v>
      </c>
      <c r="I465" s="2615">
        <v>4.7394954975911103</v>
      </c>
      <c r="J465" s="2615">
        <v>0.6035000786534529</v>
      </c>
      <c r="K465" s="2615">
        <v>1.3471502590673574</v>
      </c>
      <c r="L465" s="2615">
        <v>3.7508850601840926</v>
      </c>
      <c r="M465" s="2615">
        <v>36.690014682931782</v>
      </c>
      <c r="N465" s="2615">
        <v>10.616197006690024</v>
      </c>
      <c r="O465" s="2615">
        <v>7.233744273428024</v>
      </c>
      <c r="P465" s="2615">
        <v>7.2452701162525646</v>
      </c>
      <c r="Q465" s="2614">
        <v>1346.2515883100382</v>
      </c>
      <c r="R465" s="2613">
        <v>15892.5</v>
      </c>
      <c r="S465" s="2612">
        <v>17256.075000000001</v>
      </c>
      <c r="T465" s="2614">
        <v>10477.924999999999</v>
      </c>
      <c r="U465" s="2614">
        <v>11761.77</v>
      </c>
      <c r="V465" s="2614">
        <v>17527.849999999999</v>
      </c>
      <c r="W465" s="2614">
        <v>20124.675000000003</v>
      </c>
      <c r="X465" s="2614">
        <v>2030.12</v>
      </c>
      <c r="Y465" s="2614">
        <v>104.77500000000001</v>
      </c>
      <c r="Z465" s="2614">
        <v>3353.2049999999999</v>
      </c>
      <c r="AA465" s="2614">
        <v>9591.125</v>
      </c>
      <c r="AB465" s="2614">
        <v>11797.125</v>
      </c>
      <c r="AC465" s="2614">
        <v>4237</v>
      </c>
      <c r="AD465" s="2614">
        <v>433.15600000000001</v>
      </c>
      <c r="AE465" s="2614">
        <v>1497.0050000000001</v>
      </c>
      <c r="AF465" s="2614">
        <v>2196.9949999999999</v>
      </c>
      <c r="AG465" s="2614">
        <v>11.805</v>
      </c>
      <c r="AH465" s="2614">
        <v>190.45</v>
      </c>
      <c r="AI465" s="2614">
        <v>2193.5</v>
      </c>
    </row>
    <row r="466" spans="1:35">
      <c r="A466" s="2622">
        <v>45387</v>
      </c>
      <c r="B466" s="2621">
        <v>1.0839002840012624</v>
      </c>
      <c r="C466" s="2620">
        <v>0.65820006311139168</v>
      </c>
      <c r="D466" s="2620">
        <v>1.3561001828103496</v>
      </c>
      <c r="E466" s="2620">
        <v>0.90419989294547187</v>
      </c>
      <c r="F466" s="2620">
        <v>1.2627999368886085</v>
      </c>
      <c r="G466" s="2620">
        <v>7.8289441177923811</v>
      </c>
      <c r="H466" s="2620">
        <v>151.33715377268385</v>
      </c>
      <c r="I466" s="2620">
        <v>4.7464989141017</v>
      </c>
      <c r="J466" s="2620">
        <v>0.60199999999999998</v>
      </c>
      <c r="K466" s="2620">
        <v>1.348250167839915</v>
      </c>
      <c r="L466" s="2620">
        <v>3.7507397325127232</v>
      </c>
      <c r="M466" s="2620">
        <v>36.68002379745311</v>
      </c>
      <c r="N466" s="2620">
        <v>10.650203493159204</v>
      </c>
      <c r="O466" s="2620">
        <v>7.2337394940719388</v>
      </c>
      <c r="P466" s="2620">
        <v>7.2450845907636028</v>
      </c>
      <c r="Q466" s="2623">
        <v>1351.3859275053303</v>
      </c>
      <c r="R466" s="2619">
        <v>15845</v>
      </c>
      <c r="S466" s="2618">
        <v>17174.400000000001</v>
      </c>
      <c r="T466" s="2623">
        <v>10429.18</v>
      </c>
      <c r="U466" s="2623">
        <v>11684.24</v>
      </c>
      <c r="V466" s="2623">
        <v>17523.78</v>
      </c>
      <c r="W466" s="2623">
        <v>20009.065000000002</v>
      </c>
      <c r="X466" s="2623">
        <v>2023.9</v>
      </c>
      <c r="Y466" s="2623">
        <v>104.7</v>
      </c>
      <c r="Z466" s="2623">
        <v>3338.25</v>
      </c>
      <c r="AA466" s="2623">
        <v>9538.69</v>
      </c>
      <c r="AB466" s="2623">
        <v>11752.27</v>
      </c>
      <c r="AC466" s="2623">
        <v>4224.5</v>
      </c>
      <c r="AD466" s="2623">
        <v>431.97900000000004</v>
      </c>
      <c r="AE466" s="2623">
        <v>1487.7649999999999</v>
      </c>
      <c r="AF466" s="2623">
        <v>2190.4300000000003</v>
      </c>
      <c r="AG466" s="2623">
        <v>11.725000000000001</v>
      </c>
      <c r="AH466" s="2623">
        <v>190.27500000000001</v>
      </c>
      <c r="AI466" s="2623">
        <v>2187</v>
      </c>
    </row>
    <row r="467" spans="1:35" s="1459" customFormat="1">
      <c r="A467" s="2629">
        <v>45398</v>
      </c>
      <c r="B467" s="2628">
        <v>1.0617999999999999</v>
      </c>
      <c r="C467" s="2627">
        <v>0.64180000000000015</v>
      </c>
      <c r="D467" s="2627">
        <v>1.3795997497529726</v>
      </c>
      <c r="E467" s="2627">
        <v>0.91195015536980761</v>
      </c>
      <c r="F467" s="2627">
        <v>1.2438500772797527</v>
      </c>
      <c r="G467" s="2627">
        <v>7.8282479969606564</v>
      </c>
      <c r="H467" s="2627">
        <v>154.39316565646925</v>
      </c>
      <c r="I467" s="2627">
        <v>4.7942474958022547</v>
      </c>
      <c r="J467" s="2627">
        <v>0.58879999999999999</v>
      </c>
      <c r="K467" s="2627">
        <v>1.3646000393139794</v>
      </c>
      <c r="L467" s="2627">
        <v>3.7507246376811594</v>
      </c>
      <c r="M467" s="2627">
        <v>36.719970215393559</v>
      </c>
      <c r="N467" s="2627">
        <v>10.939994048102156</v>
      </c>
      <c r="O467" s="2627">
        <v>7.2395496485405646</v>
      </c>
      <c r="P467" s="2627">
        <v>7.2712969206563276</v>
      </c>
      <c r="Q467" s="2626">
        <v>1393.7957776820335</v>
      </c>
      <c r="R467" s="2625">
        <v>16175</v>
      </c>
      <c r="S467" s="2624">
        <v>17174.614999999998</v>
      </c>
      <c r="T467" s="2626">
        <v>10381.115000000002</v>
      </c>
      <c r="U467" s="2626">
        <v>11724.415000000001</v>
      </c>
      <c r="V467" s="2626">
        <v>17736.715000000004</v>
      </c>
      <c r="W467" s="2626">
        <v>20119.275000000001</v>
      </c>
      <c r="X467" s="2626">
        <v>2066.2349999999997</v>
      </c>
      <c r="Y467" s="2626">
        <v>104.765</v>
      </c>
      <c r="Z467" s="2626">
        <v>3373.835</v>
      </c>
      <c r="AA467" s="2626">
        <v>9523.84</v>
      </c>
      <c r="AB467" s="2626">
        <v>11853.29</v>
      </c>
      <c r="AC467" s="2626">
        <v>4312.5</v>
      </c>
      <c r="AD467" s="2626">
        <v>440.49599999999998</v>
      </c>
      <c r="AE467" s="2626">
        <v>1478.52</v>
      </c>
      <c r="AF467" s="2626">
        <v>2234.2550000000001</v>
      </c>
      <c r="AG467" s="2626">
        <v>11.605</v>
      </c>
      <c r="AH467" s="2626">
        <v>193.68</v>
      </c>
      <c r="AI467" s="2626">
        <v>2224.5</v>
      </c>
    </row>
    <row r="468" spans="1:35">
      <c r="A468" s="2635">
        <v>45399</v>
      </c>
      <c r="B468" s="2634">
        <v>1.0625</v>
      </c>
      <c r="C468" s="2633">
        <v>0.64170006165228111</v>
      </c>
      <c r="D468" s="2633">
        <v>1.3815001626797354</v>
      </c>
      <c r="E468" s="2633">
        <v>0.91069976777717376</v>
      </c>
      <c r="F468" s="2633">
        <v>1.2455000000000001</v>
      </c>
      <c r="G468" s="2633">
        <v>7.8320408695400241</v>
      </c>
      <c r="H468" s="2633">
        <v>154.61608121633859</v>
      </c>
      <c r="I468" s="2633">
        <v>4.7919971874344496</v>
      </c>
      <c r="J468" s="2633">
        <v>0.59040012330456237</v>
      </c>
      <c r="K468" s="2633">
        <v>1.3634497127046699</v>
      </c>
      <c r="L468" s="2633">
        <v>3.7507226268932823</v>
      </c>
      <c r="M468" s="2633">
        <v>36.849985119149039</v>
      </c>
      <c r="N468" s="2633">
        <v>10.949804395448608</v>
      </c>
      <c r="O468" s="2633">
        <v>7.2381955383798395</v>
      </c>
      <c r="P468" s="2633">
        <v>7.2524033087413367</v>
      </c>
      <c r="Q468" s="2632">
        <v>1384.5497225778915</v>
      </c>
      <c r="R468" s="2631">
        <v>16220</v>
      </c>
      <c r="S468" s="2630">
        <v>17233.75</v>
      </c>
      <c r="T468" s="2632">
        <v>10408.375</v>
      </c>
      <c r="U468" s="2632">
        <v>11740.86</v>
      </c>
      <c r="V468" s="2632">
        <v>17810.480000000003</v>
      </c>
      <c r="W468" s="2632">
        <v>20202.010000000002</v>
      </c>
      <c r="X468" s="2632">
        <v>2070.98</v>
      </c>
      <c r="Y468" s="2632">
        <v>104.905</v>
      </c>
      <c r="Z468" s="2632">
        <v>3384.81</v>
      </c>
      <c r="AA468" s="2632">
        <v>9576.2900000000009</v>
      </c>
      <c r="AB468" s="2632">
        <v>11896.295</v>
      </c>
      <c r="AC468" s="2632">
        <v>4324.5</v>
      </c>
      <c r="AD468" s="2632">
        <v>440.16300000000001</v>
      </c>
      <c r="AE468" s="2632">
        <v>1481.3050000000001</v>
      </c>
      <c r="AF468" s="2632">
        <v>2240.8900000000003</v>
      </c>
      <c r="AG468" s="2632">
        <v>11.715</v>
      </c>
      <c r="AH468" s="2632">
        <v>193.80500000000001</v>
      </c>
      <c r="AI468" s="2632">
        <v>2236.5</v>
      </c>
    </row>
    <row r="469" spans="1:35">
      <c r="A469" s="2641">
        <v>45400</v>
      </c>
      <c r="B469" s="2640">
        <v>1.0680998454404946</v>
      </c>
      <c r="C469" s="2639">
        <v>0.64510015455950531</v>
      </c>
      <c r="D469" s="2639">
        <v>1.3758001223973031</v>
      </c>
      <c r="E469" s="2639">
        <v>0.90909985063784526</v>
      </c>
      <c r="F469" s="2639">
        <v>1.2471999999999999</v>
      </c>
      <c r="G469" s="2639">
        <v>7.8307493070936669</v>
      </c>
      <c r="H469" s="2639">
        <v>154.34160305343511</v>
      </c>
      <c r="I469" s="2639">
        <v>4.7824962117012237</v>
      </c>
      <c r="J469" s="2639">
        <v>0.59300030911901069</v>
      </c>
      <c r="K469" s="2639">
        <v>1.3592996686418179</v>
      </c>
      <c r="L469" s="2639">
        <v>3.7511595547309833</v>
      </c>
      <c r="M469" s="2639">
        <v>36.764998357792187</v>
      </c>
      <c r="N469" s="2639">
        <v>10.890605800467943</v>
      </c>
      <c r="O469" s="2639">
        <v>7.2395010450840749</v>
      </c>
      <c r="P469" s="2639">
        <v>7.2501120573733751</v>
      </c>
      <c r="Q469" s="2638">
        <v>1373.6730360934184</v>
      </c>
      <c r="R469" s="2637">
        <v>16175</v>
      </c>
      <c r="S469" s="2636">
        <v>17276.514999999999</v>
      </c>
      <c r="T469" s="2638">
        <v>10434.494999999999</v>
      </c>
      <c r="U469" s="2638">
        <v>11756.795</v>
      </c>
      <c r="V469" s="2638">
        <v>17792.325000000001</v>
      </c>
      <c r="W469" s="2638">
        <v>20173.46</v>
      </c>
      <c r="X469" s="2638">
        <v>2065.5749999999998</v>
      </c>
      <c r="Y469" s="2638">
        <v>104.80000000000001</v>
      </c>
      <c r="Z469" s="2638">
        <v>3382.125</v>
      </c>
      <c r="AA469" s="2638">
        <v>9591.7799999999988</v>
      </c>
      <c r="AB469" s="2638">
        <v>11899.51</v>
      </c>
      <c r="AC469" s="2638">
        <v>4312</v>
      </c>
      <c r="AD469" s="2638">
        <v>439.95650000000001</v>
      </c>
      <c r="AE469" s="2638">
        <v>1485.2249999999999</v>
      </c>
      <c r="AF469" s="2638">
        <v>2234.2700000000004</v>
      </c>
      <c r="AG469" s="2638">
        <v>11.774999999999999</v>
      </c>
      <c r="AH469" s="2638">
        <v>193.66500000000002</v>
      </c>
      <c r="AI469" s="2638">
        <v>2231</v>
      </c>
    </row>
    <row r="470" spans="1:35">
      <c r="A470" s="2647">
        <v>45401</v>
      </c>
      <c r="B470" s="2646">
        <v>1.065600123039065</v>
      </c>
      <c r="C470" s="2645">
        <v>0.64229990772070122</v>
      </c>
      <c r="D470" s="2645">
        <v>1.374799763860908</v>
      </c>
      <c r="E470" s="2645">
        <v>0.90829972493968647</v>
      </c>
      <c r="F470" s="2645">
        <v>1.2449003383574286</v>
      </c>
      <c r="G470" s="2645">
        <v>7.8313572264806348</v>
      </c>
      <c r="H470" s="2645">
        <v>154.47849845569019</v>
      </c>
      <c r="I470" s="2645">
        <v>4.7829995336170867</v>
      </c>
      <c r="J470" s="2645">
        <v>0.5895502922177791</v>
      </c>
      <c r="K470" s="2645">
        <v>1.3615499304776104</v>
      </c>
      <c r="L470" s="2645">
        <v>3.7514424186475881</v>
      </c>
      <c r="M470" s="2645">
        <v>36.874963136379513</v>
      </c>
      <c r="N470" s="2645">
        <v>10.964143103820419</v>
      </c>
      <c r="O470" s="2645">
        <v>7.240599025381071</v>
      </c>
      <c r="P470" s="2645">
        <v>7.2502230151650311</v>
      </c>
      <c r="Q470" s="2644">
        <v>1379.2957148918117</v>
      </c>
      <c r="R470" s="2643">
        <v>16255</v>
      </c>
      <c r="S470" s="2642">
        <v>17321.330000000002</v>
      </c>
      <c r="T470" s="2644">
        <v>10440.584999999999</v>
      </c>
      <c r="U470" s="2644">
        <v>11823.54</v>
      </c>
      <c r="V470" s="2644">
        <v>17896.075000000001</v>
      </c>
      <c r="W470" s="2644">
        <v>20235.855000000003</v>
      </c>
      <c r="X470" s="2644">
        <v>2075.63</v>
      </c>
      <c r="Y470" s="2644">
        <v>105.22499999999999</v>
      </c>
      <c r="Z470" s="2644">
        <v>3398.4949999999999</v>
      </c>
      <c r="AA470" s="2644">
        <v>9583.14</v>
      </c>
      <c r="AB470" s="2644">
        <v>11938.6</v>
      </c>
      <c r="AC470" s="2644">
        <v>4333</v>
      </c>
      <c r="AD470" s="2644">
        <v>440.81400000000002</v>
      </c>
      <c r="AE470" s="2644">
        <v>1482.56</v>
      </c>
      <c r="AF470" s="2644">
        <v>2244.9800000000005</v>
      </c>
      <c r="AG470" s="2644">
        <v>11.785</v>
      </c>
      <c r="AH470" s="2644">
        <v>194.63499999999999</v>
      </c>
      <c r="AI470" s="2644">
        <v>2242</v>
      </c>
    </row>
    <row r="471" spans="1:35">
      <c r="A471" s="2653">
        <v>45404</v>
      </c>
      <c r="B471" s="2652">
        <v>1.0658999076070219</v>
      </c>
      <c r="C471" s="2651">
        <v>0.64300000000000002</v>
      </c>
      <c r="D471" s="2651">
        <v>1.3734497402839112</v>
      </c>
      <c r="E471" s="2651">
        <v>0.9103500095324607</v>
      </c>
      <c r="F471" s="2651">
        <v>1.2368500153988298</v>
      </c>
      <c r="G471" s="2651">
        <v>7.8355381593362825</v>
      </c>
      <c r="H471" s="2651">
        <v>154.65587044534414</v>
      </c>
      <c r="I471" s="2651">
        <v>4.7839981376736542</v>
      </c>
      <c r="J471" s="2651">
        <v>0.59070033877425321</v>
      </c>
      <c r="K471" s="2651">
        <v>1.361849834141202</v>
      </c>
      <c r="L471" s="2651">
        <v>3.7507219591082359</v>
      </c>
      <c r="M471" s="2651">
        <v>37.014997514853881</v>
      </c>
      <c r="N471" s="2651">
        <v>10.917001203660742</v>
      </c>
      <c r="O471" s="2651">
        <v>7.2435478437785124</v>
      </c>
      <c r="P471" s="2651">
        <v>7.2526245253517985</v>
      </c>
      <c r="Q471" s="2650">
        <v>1378.7685774946924</v>
      </c>
      <c r="R471" s="2649">
        <v>16235</v>
      </c>
      <c r="S471" s="2648">
        <v>17304.885000000002</v>
      </c>
      <c r="T471" s="2650">
        <v>10439.105</v>
      </c>
      <c r="U471" s="2650">
        <v>11820.6</v>
      </c>
      <c r="V471" s="2650">
        <v>17833.800000000003</v>
      </c>
      <c r="W471" s="2650">
        <v>20080.260000000002</v>
      </c>
      <c r="X471" s="2650">
        <v>2071.9700000000003</v>
      </c>
      <c r="Y471" s="2650">
        <v>104.97499999999999</v>
      </c>
      <c r="Z471" s="2650">
        <v>3393.605</v>
      </c>
      <c r="AA471" s="2650">
        <v>9590.02</v>
      </c>
      <c r="AB471" s="2650">
        <v>11921.285</v>
      </c>
      <c r="AC471" s="2650">
        <v>4328.5</v>
      </c>
      <c r="AD471" s="2650">
        <v>438.60599999999999</v>
      </c>
      <c r="AE471" s="2650">
        <v>1487.13</v>
      </c>
      <c r="AF471" s="2650">
        <v>2241.3050000000003</v>
      </c>
      <c r="AG471" s="2650">
        <v>11.774999999999999</v>
      </c>
      <c r="AH471" s="2650">
        <v>194.78500000000003</v>
      </c>
      <c r="AI471" s="2650">
        <v>2238.5</v>
      </c>
    </row>
    <row r="472" spans="1:35">
      <c r="A472" s="2659">
        <v>45405</v>
      </c>
      <c r="B472" s="2658">
        <v>1.0680003082614056</v>
      </c>
      <c r="C472" s="2657">
        <v>0.6448498766954377</v>
      </c>
      <c r="D472" s="2657">
        <v>1.369900036147794</v>
      </c>
      <c r="E472" s="2657">
        <v>0.9108997409383166</v>
      </c>
      <c r="F472" s="2657">
        <v>1.2364999999999999</v>
      </c>
      <c r="G472" s="2657">
        <v>7.8372064369460031</v>
      </c>
      <c r="H472" s="2657">
        <v>154.82269842027395</v>
      </c>
      <c r="I472" s="2657">
        <v>4.7749980864680914</v>
      </c>
      <c r="J472" s="2657">
        <v>0.59090012330456232</v>
      </c>
      <c r="K472" s="2657">
        <v>1.3625500350718025</v>
      </c>
      <c r="L472" s="2657">
        <v>3.7507226268932823</v>
      </c>
      <c r="M472" s="2657">
        <v>37.009994067448545</v>
      </c>
      <c r="N472" s="2657">
        <v>10.867016394321279</v>
      </c>
      <c r="O472" s="2657">
        <v>7.2464091853374129</v>
      </c>
      <c r="P472" s="2657">
        <v>7.2572706935123046</v>
      </c>
      <c r="Q472" s="2656">
        <v>1377.4946921443739</v>
      </c>
      <c r="R472" s="2655">
        <v>16220</v>
      </c>
      <c r="S472" s="2654">
        <v>17322.965</v>
      </c>
      <c r="T472" s="2656">
        <v>10459.465</v>
      </c>
      <c r="U472" s="2656">
        <v>11840.279999999999</v>
      </c>
      <c r="V472" s="2656">
        <v>17806.57</v>
      </c>
      <c r="W472" s="2656">
        <v>20056.03</v>
      </c>
      <c r="X472" s="2656">
        <v>2069.6149999999998</v>
      </c>
      <c r="Y472" s="2656">
        <v>104.765</v>
      </c>
      <c r="Z472" s="2656">
        <v>3396.8599999999997</v>
      </c>
      <c r="AA472" s="2656">
        <v>9584.4000000000015</v>
      </c>
      <c r="AB472" s="2656">
        <v>11904.150000000001</v>
      </c>
      <c r="AC472" s="2656">
        <v>4324.5</v>
      </c>
      <c r="AD472" s="2656">
        <v>438.26</v>
      </c>
      <c r="AE472" s="2656">
        <v>1492.5900000000001</v>
      </c>
      <c r="AF472" s="2656">
        <v>2238.3500000000004</v>
      </c>
      <c r="AG472" s="2656">
        <v>11.774999999999999</v>
      </c>
      <c r="AH472" s="2656">
        <v>194.69499999999999</v>
      </c>
      <c r="AI472" s="2656">
        <v>2235</v>
      </c>
    </row>
    <row r="473" spans="1:35">
      <c r="A473" s="2665">
        <v>45406</v>
      </c>
      <c r="B473" s="2664">
        <v>1.0689003404518724</v>
      </c>
      <c r="C473" s="2663">
        <v>0.65055029402661713</v>
      </c>
      <c r="D473" s="2663">
        <v>1.3678500622962353</v>
      </c>
      <c r="E473" s="2663">
        <v>0.91409979842274636</v>
      </c>
      <c r="F473" s="2663">
        <v>1.2429501702259362</v>
      </c>
      <c r="G473" s="2663">
        <v>7.8337527821823949</v>
      </c>
      <c r="H473" s="2663">
        <v>154.90459296193308</v>
      </c>
      <c r="I473" s="2663">
        <v>4.7780025553662693</v>
      </c>
      <c r="J473" s="2663">
        <v>0.59370009285051073</v>
      </c>
      <c r="K473" s="2663">
        <v>1.3605997924780013</v>
      </c>
      <c r="L473" s="2663">
        <v>3.7504352872896112</v>
      </c>
      <c r="M473" s="2663">
        <v>37.009970126276045</v>
      </c>
      <c r="N473" s="2663">
        <v>10.857110214285953</v>
      </c>
      <c r="O473" s="2663">
        <v>7.2457430418665352</v>
      </c>
      <c r="P473" s="2663">
        <v>7.2639388489208629</v>
      </c>
      <c r="Q473" s="2662">
        <v>1371.9745222929937</v>
      </c>
      <c r="R473" s="2661">
        <v>16155</v>
      </c>
      <c r="S473" s="2660">
        <v>17268.084999999999</v>
      </c>
      <c r="T473" s="2662">
        <v>10509.64</v>
      </c>
      <c r="U473" s="2662">
        <v>11810.505000000001</v>
      </c>
      <c r="V473" s="2662">
        <v>17673.125</v>
      </c>
      <c r="W473" s="2662">
        <v>20079.86</v>
      </c>
      <c r="X473" s="2662">
        <v>2062.23</v>
      </c>
      <c r="Y473" s="2662">
        <v>104.28999999999999</v>
      </c>
      <c r="Z473" s="2662">
        <v>3381.12</v>
      </c>
      <c r="AA473" s="2662">
        <v>9591.2250000000004</v>
      </c>
      <c r="AB473" s="2662">
        <v>11873.44</v>
      </c>
      <c r="AC473" s="2662">
        <v>4307.5</v>
      </c>
      <c r="AD473" s="2662">
        <v>436.50400000000002</v>
      </c>
      <c r="AE473" s="2662">
        <v>1487.9650000000001</v>
      </c>
      <c r="AF473" s="2662">
        <v>2229.585</v>
      </c>
      <c r="AG473" s="2662">
        <v>11.774999999999999</v>
      </c>
      <c r="AH473" s="2662">
        <v>193.935</v>
      </c>
      <c r="AI473" s="2662">
        <v>2224</v>
      </c>
    </row>
    <row r="474" spans="1:35">
      <c r="A474" s="2671">
        <v>45407</v>
      </c>
      <c r="B474" s="2670">
        <v>1.0721000772200773</v>
      </c>
      <c r="C474" s="2669">
        <v>0.65230023166023166</v>
      </c>
      <c r="D474" s="2669">
        <v>1.3679997498514742</v>
      </c>
      <c r="E474" s="2669">
        <v>0.91324986629175708</v>
      </c>
      <c r="F474" s="2669">
        <v>1.2505998455598455</v>
      </c>
      <c r="G474" s="2669">
        <v>7.8304510823557862</v>
      </c>
      <c r="H474" s="2669">
        <v>155.62659231841559</v>
      </c>
      <c r="I474" s="2669">
        <v>4.782494371798129</v>
      </c>
      <c r="J474" s="2669">
        <v>0.59580015444015444</v>
      </c>
      <c r="K474" s="2669">
        <v>1.359850166563269</v>
      </c>
      <c r="L474" s="2669">
        <v>3.7505792400370712</v>
      </c>
      <c r="M474" s="2669">
        <v>37.05000692363064</v>
      </c>
      <c r="N474" s="2669">
        <v>10.847495108156645</v>
      </c>
      <c r="O474" s="2669">
        <v>7.2471391987965825</v>
      </c>
      <c r="P474" s="2669">
        <v>7.2671156004489337</v>
      </c>
      <c r="Q474" s="2668">
        <v>1373.5680950360627</v>
      </c>
      <c r="R474" s="2667">
        <v>16187.5</v>
      </c>
      <c r="S474" s="2666">
        <v>17354.620000000003</v>
      </c>
      <c r="T474" s="2668">
        <v>10559.11</v>
      </c>
      <c r="U474" s="2668">
        <v>11832.970000000001</v>
      </c>
      <c r="V474" s="2668">
        <v>17725.16</v>
      </c>
      <c r="W474" s="2668">
        <v>20244.084999999999</v>
      </c>
      <c r="X474" s="2668">
        <v>2067.25</v>
      </c>
      <c r="Y474" s="2668">
        <v>104.01500000000001</v>
      </c>
      <c r="Z474" s="2668">
        <v>3384.7400000000002</v>
      </c>
      <c r="AA474" s="2668">
        <v>9644.5149999999994</v>
      </c>
      <c r="AB474" s="2668">
        <v>11903.885</v>
      </c>
      <c r="AC474" s="2668">
        <v>4316</v>
      </c>
      <c r="AD474" s="2668">
        <v>436.90949999999998</v>
      </c>
      <c r="AE474" s="2668">
        <v>1492.2800000000002</v>
      </c>
      <c r="AF474" s="2668">
        <v>2233.6400000000003</v>
      </c>
      <c r="AG474" s="2668">
        <v>11.785</v>
      </c>
      <c r="AH474" s="2668">
        <v>194.17500000000001</v>
      </c>
      <c r="AI474" s="2668">
        <v>2227.5</v>
      </c>
    </row>
    <row r="475" spans="1:35">
      <c r="A475" s="2677">
        <v>45408</v>
      </c>
      <c r="B475" s="2676">
        <v>1.0730000000000002</v>
      </c>
      <c r="C475" s="2675">
        <v>0.65425015422578658</v>
      </c>
      <c r="D475" s="2675">
        <v>1.3648503463907664</v>
      </c>
      <c r="E475" s="2675">
        <v>0.91199988747687999</v>
      </c>
      <c r="F475" s="2675">
        <v>1.2505000000000002</v>
      </c>
      <c r="G475" s="2675">
        <v>7.8284407590834793</v>
      </c>
      <c r="H475" s="2675">
        <v>156.7092034029389</v>
      </c>
      <c r="I475" s="2675">
        <v>4.7739936621626393</v>
      </c>
      <c r="J475" s="2675">
        <v>0.59599999999999997</v>
      </c>
      <c r="K475" s="2675">
        <v>1.3604500143724285</v>
      </c>
      <c r="L475" s="2675">
        <v>3.7510123799606618</v>
      </c>
      <c r="M475" s="2675">
        <v>36.949995555059139</v>
      </c>
      <c r="N475" s="2675">
        <v>10.870184779729552</v>
      </c>
      <c r="O475" s="2675">
        <v>7.2457451920390668</v>
      </c>
      <c r="P475" s="2675">
        <v>7.2592924317062248</v>
      </c>
      <c r="Q475" s="2674">
        <v>1376.0611205432936</v>
      </c>
      <c r="R475" s="2673">
        <v>16210</v>
      </c>
      <c r="S475" s="2672">
        <v>17393.330000000002</v>
      </c>
      <c r="T475" s="2674">
        <v>10605.395</v>
      </c>
      <c r="U475" s="2674">
        <v>11876.76</v>
      </c>
      <c r="V475" s="2674">
        <v>17774.125</v>
      </c>
      <c r="W475" s="2674">
        <v>20270.605000000003</v>
      </c>
      <c r="X475" s="2674">
        <v>2070.6549999999997</v>
      </c>
      <c r="Y475" s="2674">
        <v>103.44</v>
      </c>
      <c r="Z475" s="2674">
        <v>3395.4800000000005</v>
      </c>
      <c r="AA475" s="2674">
        <v>9661.16</v>
      </c>
      <c r="AB475" s="2674">
        <v>11915.174999999999</v>
      </c>
      <c r="AC475" s="2674">
        <v>4321.5</v>
      </c>
      <c r="AD475" s="2674">
        <v>438.70100000000002</v>
      </c>
      <c r="AE475" s="2674">
        <v>1491.2350000000001</v>
      </c>
      <c r="AF475" s="2674">
        <v>2237.1750000000002</v>
      </c>
      <c r="AG475" s="2674">
        <v>11.780000000000001</v>
      </c>
      <c r="AH475" s="2674">
        <v>194.51</v>
      </c>
      <c r="AI475" s="2674">
        <v>2233</v>
      </c>
    </row>
    <row r="476" spans="1:35">
      <c r="A476" s="2681">
        <v>45411</v>
      </c>
      <c r="B476" s="2680">
        <v>1.0718000615195324</v>
      </c>
      <c r="C476" s="2680">
        <v>0.65635004613964942</v>
      </c>
      <c r="D476" s="2680">
        <v>1.3656995586996656</v>
      </c>
      <c r="E476" s="2680">
        <v>0.91149984200856304</v>
      </c>
      <c r="F476" s="2680">
        <v>1.253100276837896</v>
      </c>
      <c r="G476" s="2680">
        <v>7.8267568673712598</v>
      </c>
      <c r="H476" s="2680">
        <v>155.56512584936357</v>
      </c>
      <c r="I476" s="2680">
        <v>4.7729998840150758</v>
      </c>
      <c r="J476" s="2680">
        <v>0.59660012303906496</v>
      </c>
      <c r="K476" s="2680">
        <v>1.359849918747817</v>
      </c>
      <c r="L476" s="2680">
        <v>3.7505768343331796</v>
      </c>
      <c r="M476" s="2680">
        <v>37.07999858569061</v>
      </c>
      <c r="N476" s="2680">
        <v>10.918115810613847</v>
      </c>
      <c r="O476" s="2680">
        <v>7.2466029458967869</v>
      </c>
      <c r="P476" s="2680">
        <v>7.2566964285714288</v>
      </c>
      <c r="Q476" s="2683">
        <v>1378.1263247138615</v>
      </c>
      <c r="R476" s="2684">
        <v>16255</v>
      </c>
      <c r="S476" s="2678">
        <v>17422.11</v>
      </c>
      <c r="T476" s="2678">
        <v>10668.970000000001</v>
      </c>
      <c r="U476" s="2682">
        <v>11902.325000000001</v>
      </c>
      <c r="V476" s="2682">
        <v>17833.245000000003</v>
      </c>
      <c r="W476" s="2682">
        <v>20369.145</v>
      </c>
      <c r="X476" s="2682">
        <v>2076.85</v>
      </c>
      <c r="Y476" s="2682">
        <v>104.49000000000001</v>
      </c>
      <c r="Z476" s="2682">
        <v>3405.6149999999998</v>
      </c>
      <c r="AA476" s="2682">
        <v>9697.7350000000006</v>
      </c>
      <c r="AB476" s="2682">
        <v>11953.525</v>
      </c>
      <c r="AC476" s="2679">
        <v>4334</v>
      </c>
      <c r="AD476" s="2679">
        <v>438.37649999999996</v>
      </c>
      <c r="AE476" s="2679">
        <v>1488.81</v>
      </c>
      <c r="AF476" s="2679">
        <v>2243.12</v>
      </c>
      <c r="AG476" s="2679">
        <v>11.795000000000002</v>
      </c>
      <c r="AH476" s="2679">
        <v>194.80500000000001</v>
      </c>
      <c r="AI476" s="2679">
        <v>2240</v>
      </c>
    </row>
    <row r="477" spans="1:35">
      <c r="A477" s="2690">
        <v>45412</v>
      </c>
      <c r="B477" s="2689">
        <v>1.070500307503075</v>
      </c>
      <c r="C477" s="2688">
        <v>0.65280012300122991</v>
      </c>
      <c r="D477" s="2688">
        <v>1.3692994803651632</v>
      </c>
      <c r="E477" s="2688">
        <v>0.91299997417097256</v>
      </c>
      <c r="F477" s="2688">
        <v>1.2541500615006151</v>
      </c>
      <c r="G477" s="2688">
        <v>7.8223470889900231</v>
      </c>
      <c r="H477" s="2688">
        <v>156.8665283874391</v>
      </c>
      <c r="I477" s="2688">
        <v>4.77000004400369</v>
      </c>
      <c r="J477" s="2688">
        <v>0.59390006150061492</v>
      </c>
      <c r="K477" s="2688">
        <v>1.3613501311325118</v>
      </c>
      <c r="L477" s="2688">
        <v>3.7504324760696575</v>
      </c>
      <c r="M477" s="2688">
        <v>37.05999799429285</v>
      </c>
      <c r="N477" s="2688">
        <v>10.964002872487837</v>
      </c>
      <c r="O477" s="2688">
        <v>7.2420036210018104</v>
      </c>
      <c r="P477" s="2688">
        <v>7.2524531668153438</v>
      </c>
      <c r="Q477" s="2687">
        <v>1382.6530612244899</v>
      </c>
      <c r="R477" s="2686">
        <v>16260</v>
      </c>
      <c r="S477" s="2685">
        <v>17406.334999999999</v>
      </c>
      <c r="T477" s="2687">
        <v>10614.529999999999</v>
      </c>
      <c r="U477" s="2687">
        <v>11874.685000000001</v>
      </c>
      <c r="V477" s="2687">
        <v>17809.419999999998</v>
      </c>
      <c r="W477" s="2687">
        <v>20392.480000000003</v>
      </c>
      <c r="X477" s="2687">
        <v>2078.66</v>
      </c>
      <c r="Y477" s="2687">
        <v>103.655</v>
      </c>
      <c r="Z477" s="2687">
        <v>3408.8050000000003</v>
      </c>
      <c r="AA477" s="2687">
        <v>9656.8149999999987</v>
      </c>
      <c r="AB477" s="2687">
        <v>11944.025</v>
      </c>
      <c r="AC477" s="2687">
        <v>4335.5</v>
      </c>
      <c r="AD477" s="2687">
        <v>438.74800000000005</v>
      </c>
      <c r="AE477" s="2687">
        <v>1483.0350000000001</v>
      </c>
      <c r="AF477" s="2687">
        <v>2245.2350000000001</v>
      </c>
      <c r="AG477" s="2687">
        <v>11.76</v>
      </c>
      <c r="AH477" s="2687">
        <v>194.69</v>
      </c>
      <c r="AI477" s="2687">
        <v>2242</v>
      </c>
    </row>
    <row r="478" spans="1:35" s="1385" customFormat="1">
      <c r="A478" s="2705">
        <v>45413</v>
      </c>
      <c r="B478" s="2706">
        <v>1.070500307503075</v>
      </c>
      <c r="C478" s="2707">
        <v>0.65280012300122991</v>
      </c>
      <c r="D478" s="2707">
        <v>1.3692994803651632</v>
      </c>
      <c r="E478" s="2707">
        <v>0.91299997417097256</v>
      </c>
      <c r="F478" s="2707">
        <v>1.2541500615006151</v>
      </c>
      <c r="G478" s="2707">
        <v>7.8223470889900231</v>
      </c>
      <c r="H478" s="2707">
        <v>156.8665283874391</v>
      </c>
      <c r="I478" s="2707">
        <v>4.77000004400369</v>
      </c>
      <c r="J478" s="2707">
        <v>0.59390006150061492</v>
      </c>
      <c r="K478" s="2707">
        <v>1.3613501311325118</v>
      </c>
      <c r="L478" s="2707">
        <v>3.7504324760696575</v>
      </c>
      <c r="M478" s="2707">
        <v>37.05999799429285</v>
      </c>
      <c r="N478" s="2707">
        <v>10.964002872487837</v>
      </c>
      <c r="O478" s="2707">
        <v>7.2420036210018104</v>
      </c>
      <c r="P478" s="2707">
        <v>7.2524531668153438</v>
      </c>
      <c r="Q478" s="2708">
        <v>1382.6530612244899</v>
      </c>
      <c r="R478" s="2709">
        <v>16260</v>
      </c>
      <c r="S478" s="2710">
        <v>17406.334999999999</v>
      </c>
      <c r="T478" s="2708">
        <v>10614.529999999999</v>
      </c>
      <c r="U478" s="2708">
        <v>11874.685000000001</v>
      </c>
      <c r="V478" s="2708">
        <v>17809.419999999998</v>
      </c>
      <c r="W478" s="2708">
        <v>20392.480000000003</v>
      </c>
      <c r="X478" s="2708">
        <v>2078.66</v>
      </c>
      <c r="Y478" s="2708">
        <v>103.655</v>
      </c>
      <c r="Z478" s="2708">
        <v>3408.8050000000003</v>
      </c>
      <c r="AA478" s="2708">
        <v>9656.8149999999987</v>
      </c>
      <c r="AB478" s="2708">
        <v>11944.025</v>
      </c>
      <c r="AC478" s="2708">
        <v>4335.5</v>
      </c>
      <c r="AD478" s="2708">
        <v>438.74800000000005</v>
      </c>
      <c r="AE478" s="2708">
        <v>1483.0350000000001</v>
      </c>
      <c r="AF478" s="2708">
        <v>2245.2350000000001</v>
      </c>
      <c r="AG478" s="2708">
        <v>11.76</v>
      </c>
      <c r="AH478" s="2708">
        <v>194.69</v>
      </c>
      <c r="AI478" s="2708">
        <v>2242</v>
      </c>
    </row>
    <row r="479" spans="1:35">
      <c r="A479" s="2696">
        <v>45414</v>
      </c>
      <c r="B479" s="2695">
        <v>1.0714998455359901</v>
      </c>
      <c r="C479" s="2694">
        <v>0.653949953660797</v>
      </c>
      <c r="D479" s="2694">
        <v>1.3711999715339396</v>
      </c>
      <c r="E479" s="2694">
        <v>0.9117000092944394</v>
      </c>
      <c r="F479" s="2694">
        <v>1.252849860982391</v>
      </c>
      <c r="G479" s="2694">
        <v>7.8167447858182939</v>
      </c>
      <c r="H479" s="2694">
        <v>155.50538047655647</v>
      </c>
      <c r="I479" s="2694">
        <v>4.7559997296558691</v>
      </c>
      <c r="J479" s="2694">
        <v>0.59385016991041084</v>
      </c>
      <c r="K479" s="2694">
        <v>1.3589500526031639</v>
      </c>
      <c r="L479" s="2694">
        <v>3.7504344803614877</v>
      </c>
      <c r="M479" s="2694">
        <v>36.915013359882039</v>
      </c>
      <c r="N479" s="2694">
        <v>10.9103410619129</v>
      </c>
      <c r="O479" s="2694">
        <v>7.2410923602784596</v>
      </c>
      <c r="P479" s="2694">
        <v>7.2270596115204286</v>
      </c>
      <c r="Q479" s="2693">
        <v>1376.8609102509572</v>
      </c>
      <c r="R479" s="2692">
        <v>16185</v>
      </c>
      <c r="S479" s="2691">
        <v>17342.224999999999</v>
      </c>
      <c r="T479" s="2693">
        <v>10584.18</v>
      </c>
      <c r="U479" s="2693">
        <v>11803.529999999999</v>
      </c>
      <c r="V479" s="2693">
        <v>17752.55</v>
      </c>
      <c r="W479" s="2693">
        <v>20277.375</v>
      </c>
      <c r="X479" s="2693">
        <v>2070.5550000000003</v>
      </c>
      <c r="Y479" s="2693">
        <v>104.08000000000001</v>
      </c>
      <c r="Z479" s="2693">
        <v>3403.07</v>
      </c>
      <c r="AA479" s="2693">
        <v>9611.4650000000001</v>
      </c>
      <c r="AB479" s="2693">
        <v>11909.93</v>
      </c>
      <c r="AC479" s="2693">
        <v>4315.5</v>
      </c>
      <c r="AD479" s="2693">
        <v>438.43950000000001</v>
      </c>
      <c r="AE479" s="2693">
        <v>1483.4549999999999</v>
      </c>
      <c r="AF479" s="2693">
        <v>2235.16</v>
      </c>
      <c r="AG479" s="2693">
        <v>11.754999999999999</v>
      </c>
      <c r="AH479" s="2693">
        <v>193.94499999999999</v>
      </c>
      <c r="AI479" s="2693">
        <v>2239.5</v>
      </c>
    </row>
    <row r="480" spans="1:35">
      <c r="A480" s="2716">
        <v>45415</v>
      </c>
      <c r="B480" s="2715">
        <v>1.0734500124347179</v>
      </c>
      <c r="C480" s="2714">
        <v>0.65755004973887088</v>
      </c>
      <c r="D480" s="2714">
        <v>1.3670000875410402</v>
      </c>
      <c r="E480" s="2714">
        <v>0.90770004362423107</v>
      </c>
      <c r="F480" s="2714">
        <v>1.2548501616513306</v>
      </c>
      <c r="G480" s="2714">
        <v>7.8160383318268858</v>
      </c>
      <c r="H480" s="2714">
        <v>153.31236297779049</v>
      </c>
      <c r="I480" s="2714">
        <v>4.7389999602235138</v>
      </c>
      <c r="J480" s="2714">
        <v>0.59725006217358867</v>
      </c>
      <c r="K480" s="2714">
        <v>1.353149918309589</v>
      </c>
      <c r="L480" s="2714">
        <v>3.7504955112510201</v>
      </c>
      <c r="M480" s="2714">
        <v>36.819984066955421</v>
      </c>
      <c r="N480" s="2714">
        <v>10.852974716428585</v>
      </c>
      <c r="O480" s="2714">
        <v>7.2410983202848893</v>
      </c>
      <c r="P480" s="2714">
        <v>7.2012536377882244</v>
      </c>
      <c r="Q480" s="2713">
        <v>1362.4735281660314</v>
      </c>
      <c r="R480" s="2712">
        <v>16084</v>
      </c>
      <c r="S480" s="2711">
        <v>17265.370000000003</v>
      </c>
      <c r="T480" s="2713">
        <v>10576.035</v>
      </c>
      <c r="U480" s="2713">
        <v>11765.91</v>
      </c>
      <c r="V480" s="2713">
        <v>17719.510000000002</v>
      </c>
      <c r="W480" s="2713">
        <v>20183.010000000002</v>
      </c>
      <c r="X480" s="2713">
        <v>2057.8199999999997</v>
      </c>
      <c r="Y480" s="2713">
        <v>104.91</v>
      </c>
      <c r="Z480" s="2713">
        <v>3393.9650000000001</v>
      </c>
      <c r="AA480" s="2713">
        <v>9606.17</v>
      </c>
      <c r="AB480" s="2713">
        <v>11886.34</v>
      </c>
      <c r="AC480" s="2713">
        <v>4288.5</v>
      </c>
      <c r="AD480" s="2713">
        <v>436.82799999999997</v>
      </c>
      <c r="AE480" s="2713">
        <v>1481.99</v>
      </c>
      <c r="AF480" s="2713">
        <v>2221.21</v>
      </c>
      <c r="AG480" s="2713">
        <v>11.805</v>
      </c>
      <c r="AH480" s="2713">
        <v>192.82499999999999</v>
      </c>
      <c r="AI480" s="2713">
        <v>2233.5</v>
      </c>
    </row>
    <row r="481" spans="1:35">
      <c r="A481" s="2722">
        <v>45418</v>
      </c>
      <c r="B481" s="2721">
        <v>1.0761500780031201</v>
      </c>
      <c r="C481" s="2720">
        <v>0.66220000000000001</v>
      </c>
      <c r="D481" s="2720">
        <v>1.3681000057626675</v>
      </c>
      <c r="E481" s="2720">
        <v>0.90539996926442534</v>
      </c>
      <c r="F481" s="2720">
        <v>1.2568998439937598</v>
      </c>
      <c r="G481" s="2720">
        <v>7.8173401042962434</v>
      </c>
      <c r="H481" s="2720">
        <v>153.80554755734715</v>
      </c>
      <c r="I481" s="2720">
        <v>4.7424922869762725</v>
      </c>
      <c r="J481" s="2720">
        <v>0.60139999999999993</v>
      </c>
      <c r="K481" s="2720">
        <v>1.352149516938784</v>
      </c>
      <c r="L481" s="2720">
        <v>3.7507314218841428</v>
      </c>
      <c r="M481" s="2720">
        <v>36.744979523702519</v>
      </c>
      <c r="N481" s="2720">
        <v>10.842501251708413</v>
      </c>
      <c r="O481" s="2720">
        <v>7.2159981267674125</v>
      </c>
      <c r="P481" s="2720">
        <v>7.2200946159044834</v>
      </c>
      <c r="Q481" s="2719">
        <v>1360.3565365025465</v>
      </c>
      <c r="R481" s="2718">
        <v>16025</v>
      </c>
      <c r="S481" s="2717">
        <v>17245.305</v>
      </c>
      <c r="T481" s="2719">
        <v>10611.755000000001</v>
      </c>
      <c r="U481" s="2719">
        <v>11713.325000000001</v>
      </c>
      <c r="V481" s="2719">
        <v>17699.36</v>
      </c>
      <c r="W481" s="2719">
        <v>20141.82</v>
      </c>
      <c r="X481" s="2719">
        <v>2049.9300000000003</v>
      </c>
      <c r="Y481" s="2719">
        <v>104.19</v>
      </c>
      <c r="Z481" s="2719">
        <v>3379.0250000000001</v>
      </c>
      <c r="AA481" s="2719">
        <v>9637.4349999999995</v>
      </c>
      <c r="AB481" s="2719">
        <v>11851.5</v>
      </c>
      <c r="AC481" s="2719">
        <v>4272.5</v>
      </c>
      <c r="AD481" s="2719">
        <v>436.11400000000003</v>
      </c>
      <c r="AE481" s="2719">
        <v>1477.98</v>
      </c>
      <c r="AF481" s="2719">
        <v>2220.7600000000002</v>
      </c>
      <c r="AG481" s="2719">
        <v>11.780000000000001</v>
      </c>
      <c r="AH481" s="2719">
        <v>191.97500000000002</v>
      </c>
      <c r="AI481" s="2719">
        <v>2219.5</v>
      </c>
    </row>
    <row r="482" spans="1:35">
      <c r="A482" s="2728">
        <v>45419</v>
      </c>
      <c r="B482" s="2727">
        <v>1.0765001558117793</v>
      </c>
      <c r="C482" s="2726">
        <v>0.66010003116235594</v>
      </c>
      <c r="D482" s="2726">
        <v>1.3682999565930398</v>
      </c>
      <c r="E482" s="2726">
        <v>0.90639987797919985</v>
      </c>
      <c r="F482" s="2726">
        <v>1.2537999376752884</v>
      </c>
      <c r="G482" s="2726">
        <v>7.8190483616303776</v>
      </c>
      <c r="H482" s="2726">
        <v>154.11583901642493</v>
      </c>
      <c r="I482" s="2726">
        <v>4.7369998213845506</v>
      </c>
      <c r="J482" s="2726">
        <v>0.60079993767528828</v>
      </c>
      <c r="K482" s="2726">
        <v>1.3526500813529028</v>
      </c>
      <c r="L482" s="2726">
        <v>3.7501460792333763</v>
      </c>
      <c r="M482" s="2726">
        <v>36.769971686319714</v>
      </c>
      <c r="N482" s="2726">
        <v>10.822094744758417</v>
      </c>
      <c r="O482" s="2726">
        <v>7.2153057117610162</v>
      </c>
      <c r="P482" s="2726">
        <v>7.2177237966711649</v>
      </c>
      <c r="Q482" s="2725">
        <v>1359.1698432867429</v>
      </c>
      <c r="R482" s="2724">
        <v>16045</v>
      </c>
      <c r="S482" s="2723">
        <v>17272.445</v>
      </c>
      <c r="T482" s="2725">
        <v>10591.305</v>
      </c>
      <c r="U482" s="2725">
        <v>11726.23</v>
      </c>
      <c r="V482" s="2725">
        <v>17701.900000000001</v>
      </c>
      <c r="W482" s="2725">
        <v>20117.22</v>
      </c>
      <c r="X482" s="2725">
        <v>2052.04</v>
      </c>
      <c r="Y482" s="2725">
        <v>104.11000000000001</v>
      </c>
      <c r="Z482" s="2725">
        <v>3387.165</v>
      </c>
      <c r="AA482" s="2725">
        <v>9639.8350000000009</v>
      </c>
      <c r="AB482" s="2725">
        <v>11861.900000000001</v>
      </c>
      <c r="AC482" s="2725">
        <v>4278.5</v>
      </c>
      <c r="AD482" s="2725">
        <v>436.36149999999998</v>
      </c>
      <c r="AE482" s="2725">
        <v>1482.615</v>
      </c>
      <c r="AF482" s="2725">
        <v>2223.7449999999999</v>
      </c>
      <c r="AG482" s="2725">
        <v>11.805</v>
      </c>
      <c r="AH482" s="2725">
        <v>192.185</v>
      </c>
      <c r="AI482" s="2725">
        <v>2223</v>
      </c>
    </row>
    <row r="483" spans="1:35">
      <c r="A483" s="2734">
        <v>45420</v>
      </c>
      <c r="B483" s="2733">
        <v>1.073900280461203</v>
      </c>
      <c r="C483" s="2732">
        <v>0.65700031162355876</v>
      </c>
      <c r="D483" s="2732">
        <v>1.3756001371742113</v>
      </c>
      <c r="E483" s="2732">
        <v>0.90904996205445865</v>
      </c>
      <c r="F483" s="2732">
        <v>1.2473000934870677</v>
      </c>
      <c r="G483" s="2732">
        <v>7.8186482923964906</v>
      </c>
      <c r="H483" s="2732">
        <v>155.32429816069697</v>
      </c>
      <c r="I483" s="2732">
        <v>4.7469992869885766</v>
      </c>
      <c r="J483" s="2732">
        <v>0.59890028046120281</v>
      </c>
      <c r="K483" s="2732">
        <v>1.3562992683422674</v>
      </c>
      <c r="L483" s="2732">
        <v>3.7501460792333763</v>
      </c>
      <c r="M483" s="2732">
        <v>37.000012683083185</v>
      </c>
      <c r="N483" s="2732">
        <v>10.945568903533008</v>
      </c>
      <c r="O483" s="2732">
        <v>7.225898846423191</v>
      </c>
      <c r="P483" s="2732">
        <v>7.2307345651194233</v>
      </c>
      <c r="Q483" s="2731">
        <v>1363.2115548003399</v>
      </c>
      <c r="R483" s="2730">
        <v>16045</v>
      </c>
      <c r="S483" s="2729">
        <v>17230.730000000003</v>
      </c>
      <c r="T483" s="2731">
        <v>10541.57</v>
      </c>
      <c r="U483" s="2731">
        <v>11664</v>
      </c>
      <c r="V483" s="2731">
        <v>17650.294999999998</v>
      </c>
      <c r="W483" s="2731">
        <v>20012.93</v>
      </c>
      <c r="X483" s="2731">
        <v>2052.1450000000004</v>
      </c>
      <c r="Y483" s="2731">
        <v>103.30000000000001</v>
      </c>
      <c r="Z483" s="2731">
        <v>3380.03</v>
      </c>
      <c r="AA483" s="2731">
        <v>9609.3549999999996</v>
      </c>
      <c r="AB483" s="2731">
        <v>11829.985000000001</v>
      </c>
      <c r="AC483" s="2731">
        <v>4278.5</v>
      </c>
      <c r="AD483" s="2731">
        <v>433.64850000000001</v>
      </c>
      <c r="AE483" s="2731">
        <v>1465.8899999999999</v>
      </c>
      <c r="AF483" s="2731">
        <v>2220.4850000000001</v>
      </c>
      <c r="AG483" s="2731">
        <v>11.77</v>
      </c>
      <c r="AH483" s="2731">
        <v>192.13499999999999</v>
      </c>
      <c r="AI483" s="2731">
        <v>2219</v>
      </c>
    </row>
    <row r="484" spans="1:35" s="1385" customFormat="1">
      <c r="A484" s="2741">
        <v>45422</v>
      </c>
      <c r="B484" s="2742">
        <v>1.073900280461203</v>
      </c>
      <c r="C484" s="2743">
        <v>0.65700031162355876</v>
      </c>
      <c r="D484" s="2743">
        <v>1.3756001371742113</v>
      </c>
      <c r="E484" s="2743">
        <v>0.90904996205445865</v>
      </c>
      <c r="F484" s="2743">
        <v>1.2473000934870677</v>
      </c>
      <c r="G484" s="2743">
        <v>7.8186482923964906</v>
      </c>
      <c r="H484" s="2743">
        <v>155.32429816069697</v>
      </c>
      <c r="I484" s="2743">
        <v>4.7469992869885766</v>
      </c>
      <c r="J484" s="2743">
        <v>0.59890028046120281</v>
      </c>
      <c r="K484" s="2743">
        <v>1.3562992683422674</v>
      </c>
      <c r="L484" s="2743">
        <v>3.7501460792333763</v>
      </c>
      <c r="M484" s="2743">
        <v>37.000012683083185</v>
      </c>
      <c r="N484" s="2743">
        <v>10.945568903533008</v>
      </c>
      <c r="O484" s="2743">
        <v>7.225898846423191</v>
      </c>
      <c r="P484" s="2743">
        <v>7.2307345651194233</v>
      </c>
      <c r="Q484" s="2744">
        <v>1363.2115548003399</v>
      </c>
      <c r="R484" s="2745">
        <v>16045</v>
      </c>
      <c r="S484" s="2746">
        <v>17230.730000000003</v>
      </c>
      <c r="T484" s="2744">
        <v>10541.57</v>
      </c>
      <c r="U484" s="2744">
        <v>11664</v>
      </c>
      <c r="V484" s="2744">
        <v>17650.294999999998</v>
      </c>
      <c r="W484" s="2744">
        <v>20012.93</v>
      </c>
      <c r="X484" s="2744">
        <v>2052.1450000000004</v>
      </c>
      <c r="Y484" s="2744">
        <v>103.30000000000001</v>
      </c>
      <c r="Z484" s="2744">
        <v>3380.03</v>
      </c>
      <c r="AA484" s="2744">
        <v>9609.3549999999996</v>
      </c>
      <c r="AB484" s="2744">
        <v>11829.985000000001</v>
      </c>
      <c r="AC484" s="2744">
        <v>4278.5</v>
      </c>
      <c r="AD484" s="2744">
        <v>433.64850000000001</v>
      </c>
      <c r="AE484" s="2744">
        <v>1465.8899999999999</v>
      </c>
      <c r="AF484" s="2744">
        <v>2220.4850000000001</v>
      </c>
      <c r="AG484" s="2744">
        <v>11.77</v>
      </c>
      <c r="AH484" s="2744">
        <v>192.13499999999999</v>
      </c>
      <c r="AI484" s="2744">
        <v>2219</v>
      </c>
    </row>
    <row r="485" spans="1:35">
      <c r="A485" s="2740">
        <v>45425</v>
      </c>
      <c r="B485" s="2739">
        <v>1.0776001243781093</v>
      </c>
      <c r="C485" s="2738">
        <v>0.66030006218905468</v>
      </c>
      <c r="D485" s="2738">
        <v>1.367599874976877</v>
      </c>
      <c r="E485" s="2738">
        <v>0.90679981435416723</v>
      </c>
      <c r="F485" s="2738">
        <v>1.2523498134328361</v>
      </c>
      <c r="G485" s="2738">
        <v>7.8130504179836198</v>
      </c>
      <c r="H485" s="2738">
        <v>155.88192525810672</v>
      </c>
      <c r="I485" s="2738">
        <v>4.7459948289907086</v>
      </c>
      <c r="J485" s="2738">
        <v>0.60085012437810947</v>
      </c>
      <c r="K485" s="2738">
        <v>1.3544497211080209</v>
      </c>
      <c r="L485" s="2738">
        <v>3.7504373177842565</v>
      </c>
      <c r="M485" s="2738">
        <v>36.81499890676853</v>
      </c>
      <c r="N485" s="2738">
        <v>10.862479523077702</v>
      </c>
      <c r="O485" s="2738">
        <v>7.234607338087419</v>
      </c>
      <c r="P485" s="2738">
        <v>7.2399819900945523</v>
      </c>
      <c r="Q485" s="2737">
        <v>1369.0932311621966</v>
      </c>
      <c r="R485" s="2736">
        <v>16080</v>
      </c>
      <c r="S485" s="2735">
        <v>17327.809999999998</v>
      </c>
      <c r="T485" s="2737">
        <v>10617.625</v>
      </c>
      <c r="U485" s="2737">
        <v>11757.825000000001</v>
      </c>
      <c r="V485" s="2737">
        <v>17732.690000000002</v>
      </c>
      <c r="W485" s="2737">
        <v>20137.785000000003</v>
      </c>
      <c r="X485" s="2737">
        <v>2058.0950000000003</v>
      </c>
      <c r="Y485" s="2737">
        <v>103.155</v>
      </c>
      <c r="Z485" s="2737">
        <v>3388.12</v>
      </c>
      <c r="AA485" s="2737">
        <v>9661.67</v>
      </c>
      <c r="AB485" s="2737">
        <v>11871.98</v>
      </c>
      <c r="AC485" s="2737">
        <v>4287.5</v>
      </c>
      <c r="AD485" s="2737">
        <v>436.77850000000001</v>
      </c>
      <c r="AE485" s="2737">
        <v>1480.325</v>
      </c>
      <c r="AF485" s="2737">
        <v>2222.6499999999996</v>
      </c>
      <c r="AG485" s="2737">
        <v>11.745000000000001</v>
      </c>
      <c r="AH485" s="2737">
        <v>192.505</v>
      </c>
      <c r="AI485" s="2737">
        <v>2221</v>
      </c>
    </row>
    <row r="486" spans="1:35">
      <c r="A486" s="2752">
        <v>45426</v>
      </c>
      <c r="B486" s="2751">
        <v>1.0787003105590063</v>
      </c>
      <c r="C486" s="2750">
        <v>0.66095000000000004</v>
      </c>
      <c r="D486" s="2750">
        <v>1.3675997774464959</v>
      </c>
      <c r="E486" s="2750">
        <v>0.90814994063181298</v>
      </c>
      <c r="F486" s="2750">
        <v>1.2552500000000002</v>
      </c>
      <c r="G486" s="2750">
        <v>7.8118555825654896</v>
      </c>
      <c r="H486" s="2750">
        <v>156.46258503401359</v>
      </c>
      <c r="I486" s="2750">
        <v>4.7129974810345763</v>
      </c>
      <c r="J486" s="2750">
        <v>0.60265000000000002</v>
      </c>
      <c r="K486" s="2750">
        <v>1.3534996372452834</v>
      </c>
      <c r="L486" s="2750">
        <v>3.7502911716748195</v>
      </c>
      <c r="M486" s="2750">
        <v>36.730024057025069</v>
      </c>
      <c r="N486" s="2750">
        <v>10.851506236246053</v>
      </c>
      <c r="O486" s="2750">
        <v>7.2376465511040786</v>
      </c>
      <c r="P486" s="2750">
        <v>7.2440944881889759</v>
      </c>
      <c r="Q486" s="2749">
        <v>1369.6299447043812</v>
      </c>
      <c r="R486" s="2748">
        <v>16100</v>
      </c>
      <c r="S486" s="2747">
        <v>17367.075000000001</v>
      </c>
      <c r="T486" s="2749">
        <v>10641.295</v>
      </c>
      <c r="U486" s="2749">
        <v>11772.45</v>
      </c>
      <c r="V486" s="2749">
        <v>17728.349999999999</v>
      </c>
      <c r="W486" s="2749">
        <v>20209.525000000001</v>
      </c>
      <c r="X486" s="2749">
        <v>2060.9700000000003</v>
      </c>
      <c r="Y486" s="2749">
        <v>102.9</v>
      </c>
      <c r="Z486" s="2749">
        <v>3416.085</v>
      </c>
      <c r="AA486" s="2749">
        <v>9702.6650000000009</v>
      </c>
      <c r="AB486" s="2749">
        <v>11895.09</v>
      </c>
      <c r="AC486" s="2749">
        <v>4293</v>
      </c>
      <c r="AD486" s="2749">
        <v>438.33350000000002</v>
      </c>
      <c r="AE486" s="2749">
        <v>1483.665</v>
      </c>
      <c r="AF486" s="2749">
        <v>2224.48</v>
      </c>
      <c r="AG486" s="2749">
        <v>11.754999999999999</v>
      </c>
      <c r="AH486" s="2749">
        <v>192.77</v>
      </c>
      <c r="AI486" s="2749">
        <v>2222.5</v>
      </c>
    </row>
    <row r="487" spans="1:35">
      <c r="A487" s="2758">
        <v>45427</v>
      </c>
      <c r="B487" s="2757">
        <v>1.0825999064108562</v>
      </c>
      <c r="C487" s="2756">
        <v>0.66430010918733429</v>
      </c>
      <c r="D487" s="2756">
        <v>1.3635000542337412</v>
      </c>
      <c r="E487" s="2756">
        <v>0.90534991046765834</v>
      </c>
      <c r="F487" s="2756">
        <v>1.259499922009047</v>
      </c>
      <c r="G487" s="2756">
        <v>7.8083513185651432</v>
      </c>
      <c r="H487" s="2756">
        <v>156.09934258582905</v>
      </c>
      <c r="I487" s="2756">
        <v>4.7030015287872695</v>
      </c>
      <c r="J487" s="2756">
        <v>0.60589985961628456</v>
      </c>
      <c r="K487" s="2756">
        <v>1.3495501078629659</v>
      </c>
      <c r="L487" s="2756">
        <v>3.7504387504387506</v>
      </c>
      <c r="M487" s="2756">
        <v>36.549990992203121</v>
      </c>
      <c r="N487" s="2756">
        <v>10.78660986492762</v>
      </c>
      <c r="O487" s="2756">
        <v>7.2233526902510086</v>
      </c>
      <c r="P487" s="2756">
        <v>7.2228481297881926</v>
      </c>
      <c r="Q487" s="2755">
        <v>1358.2627118644068</v>
      </c>
      <c r="R487" s="2754">
        <v>16027.5</v>
      </c>
      <c r="S487" s="2753">
        <v>17351.37</v>
      </c>
      <c r="T487" s="2755">
        <v>10647.07</v>
      </c>
      <c r="U487" s="2755">
        <v>11754.674999999999</v>
      </c>
      <c r="V487" s="2755">
        <v>17703.099999999999</v>
      </c>
      <c r="W487" s="2755">
        <v>20186.635000000002</v>
      </c>
      <c r="X487" s="2755">
        <v>2052.61</v>
      </c>
      <c r="Y487" s="2755">
        <v>102.67500000000001</v>
      </c>
      <c r="Z487" s="2755">
        <v>3407.9300000000003</v>
      </c>
      <c r="AA487" s="2755">
        <v>9711.0600000000013</v>
      </c>
      <c r="AB487" s="2755">
        <v>11876.18</v>
      </c>
      <c r="AC487" s="2755">
        <v>4273.5</v>
      </c>
      <c r="AD487" s="2755">
        <v>438.50900000000001</v>
      </c>
      <c r="AE487" s="2755">
        <v>1485.87</v>
      </c>
      <c r="AF487" s="2755">
        <v>2218.8450000000003</v>
      </c>
      <c r="AG487" s="2755">
        <v>11.8</v>
      </c>
      <c r="AH487" s="2755">
        <v>191.965</v>
      </c>
      <c r="AI487" s="2755">
        <v>2219</v>
      </c>
    </row>
    <row r="488" spans="1:35">
      <c r="A488" s="2764">
        <v>45428</v>
      </c>
      <c r="B488" s="2763">
        <v>1.0875001569858713</v>
      </c>
      <c r="C488" s="2762">
        <v>0.66855007849293557</v>
      </c>
      <c r="D488" s="2762">
        <v>1.3619003148833255</v>
      </c>
      <c r="E488" s="2762">
        <v>0.89999997174254409</v>
      </c>
      <c r="F488" s="2762">
        <v>1.2680003139717424</v>
      </c>
      <c r="G488" s="2762">
        <v>7.8049569440836715</v>
      </c>
      <c r="H488" s="2762">
        <v>154.40926940417899</v>
      </c>
      <c r="I488" s="2762">
        <v>4.684002623629727</v>
      </c>
      <c r="J488" s="2762">
        <v>0.61130015698587137</v>
      </c>
      <c r="K488" s="2762">
        <v>1.3438501031199264</v>
      </c>
      <c r="L488" s="2762">
        <v>3.7501471800306136</v>
      </c>
      <c r="M488" s="2762">
        <v>36.119997777230907</v>
      </c>
      <c r="N488" s="2762">
        <v>10.671697051126978</v>
      </c>
      <c r="O488" s="2762">
        <v>7.2177050190810279</v>
      </c>
      <c r="P488" s="2762">
        <v>7.2222222222222223</v>
      </c>
      <c r="Q488" s="2761">
        <v>1344.449134655973</v>
      </c>
      <c r="R488" s="2760">
        <v>15925</v>
      </c>
      <c r="S488" s="2759">
        <v>17318.440000000002</v>
      </c>
      <c r="T488" s="2761">
        <v>10646.66</v>
      </c>
      <c r="U488" s="2761">
        <v>11693.220000000001</v>
      </c>
      <c r="V488" s="2761">
        <v>17694.445</v>
      </c>
      <c r="W488" s="2761">
        <v>20192.904999999999</v>
      </c>
      <c r="X488" s="2761">
        <v>2040.37</v>
      </c>
      <c r="Y488" s="2761">
        <v>103.13500000000001</v>
      </c>
      <c r="Z488" s="2761">
        <v>3399.87</v>
      </c>
      <c r="AA488" s="2761">
        <v>9734.9550000000017</v>
      </c>
      <c r="AB488" s="2761">
        <v>11850.279999999999</v>
      </c>
      <c r="AC488" s="2761">
        <v>4246.5</v>
      </c>
      <c r="AD488" s="2761">
        <v>440.89150000000001</v>
      </c>
      <c r="AE488" s="2761">
        <v>1492.2650000000001</v>
      </c>
      <c r="AF488" s="2761">
        <v>2206.38</v>
      </c>
      <c r="AG488" s="2761">
        <v>11.844999999999999</v>
      </c>
      <c r="AH488" s="2761">
        <v>190.74</v>
      </c>
      <c r="AI488" s="2761">
        <v>2205</v>
      </c>
    </row>
    <row r="489" spans="1:35">
      <c r="A489" s="2770">
        <v>45429</v>
      </c>
      <c r="B489" s="2769">
        <v>1.0859003447195237</v>
      </c>
      <c r="C489" s="2768">
        <v>0.66640018802883116</v>
      </c>
      <c r="D489" s="2768">
        <v>1.3631497602206328</v>
      </c>
      <c r="E489" s="2768">
        <v>0.90785021581002223</v>
      </c>
      <c r="F489" s="2768">
        <v>1.2656499529927923</v>
      </c>
      <c r="G489" s="2768">
        <v>7.8019369145796702</v>
      </c>
      <c r="H489" s="2768">
        <v>155.81815518335856</v>
      </c>
      <c r="I489" s="2768">
        <v>4.6824970578481349</v>
      </c>
      <c r="J489" s="2768">
        <v>0.611400188028831</v>
      </c>
      <c r="K489" s="2768">
        <v>1.346349877136608</v>
      </c>
      <c r="L489" s="2768">
        <v>3.750146903278881</v>
      </c>
      <c r="M489" s="2768">
        <v>36.204999035592309</v>
      </c>
      <c r="N489" s="2768">
        <v>10.734349244794295</v>
      </c>
      <c r="O489" s="2768">
        <v>7.2221040290785306</v>
      </c>
      <c r="P489" s="2768">
        <v>7.2259963768115938</v>
      </c>
      <c r="Q489" s="2767">
        <v>1355.5649957519117</v>
      </c>
      <c r="R489" s="2766">
        <v>15955</v>
      </c>
      <c r="S489" s="2765">
        <v>17325.54</v>
      </c>
      <c r="T489" s="2767">
        <v>10632.415000000001</v>
      </c>
      <c r="U489" s="2767">
        <v>11704.51</v>
      </c>
      <c r="V489" s="2767">
        <v>17574.485000000001</v>
      </c>
      <c r="W489" s="2767">
        <v>20193.445</v>
      </c>
      <c r="X489" s="2767">
        <v>2045.0050000000001</v>
      </c>
      <c r="Y489" s="2767">
        <v>102.39500000000001</v>
      </c>
      <c r="Z489" s="2767">
        <v>3407.37</v>
      </c>
      <c r="AA489" s="2767">
        <v>9754.89</v>
      </c>
      <c r="AB489" s="2767">
        <v>11850.56</v>
      </c>
      <c r="AC489" s="2767">
        <v>4254.5</v>
      </c>
      <c r="AD489" s="2767">
        <v>440.68500000000006</v>
      </c>
      <c r="AE489" s="2767">
        <v>1486.35</v>
      </c>
      <c r="AF489" s="2767">
        <v>2209.19</v>
      </c>
      <c r="AG489" s="2767">
        <v>11.77</v>
      </c>
      <c r="AH489" s="2767">
        <v>191.345</v>
      </c>
      <c r="AI489" s="2767">
        <v>2208</v>
      </c>
    </row>
    <row r="490" spans="1:35">
      <c r="A490" s="2776">
        <v>45432</v>
      </c>
      <c r="B490" s="2775">
        <v>1.0873001564945228</v>
      </c>
      <c r="C490" s="2774">
        <v>0.66950015649452266</v>
      </c>
      <c r="D490" s="2774">
        <v>1.3613001332327235</v>
      </c>
      <c r="E490" s="2774">
        <v>0.90974995686162174</v>
      </c>
      <c r="F490" s="2774">
        <v>1.2694000000000001</v>
      </c>
      <c r="G490" s="2774">
        <v>7.7989601386481793</v>
      </c>
      <c r="H490" s="2774">
        <v>155.73970265659273</v>
      </c>
      <c r="I490" s="2774">
        <v>4.6849980350868963</v>
      </c>
      <c r="J490" s="2774">
        <v>0.61215023474178409</v>
      </c>
      <c r="K490" s="2774">
        <v>1.3453996805570585</v>
      </c>
      <c r="L490" s="2774">
        <v>3.7504401925108581</v>
      </c>
      <c r="M490" s="2774">
        <v>36.009981358213089</v>
      </c>
      <c r="N490" s="2774">
        <v>10.687405920722529</v>
      </c>
      <c r="O490" s="2774">
        <v>7.2318445617434293</v>
      </c>
      <c r="P490" s="2774">
        <v>7.2383325781603984</v>
      </c>
      <c r="Q490" s="2773">
        <v>1358.9961718417696</v>
      </c>
      <c r="R490" s="2772">
        <v>15975</v>
      </c>
      <c r="S490" s="2771">
        <v>17369.620000000003</v>
      </c>
      <c r="T490" s="2773">
        <v>10695.264999999999</v>
      </c>
      <c r="U490" s="2773">
        <v>11735.105</v>
      </c>
      <c r="V490" s="2773">
        <v>17559.77</v>
      </c>
      <c r="W490" s="2773">
        <v>20278.665000000001</v>
      </c>
      <c r="X490" s="2773">
        <v>2048.3500000000004</v>
      </c>
      <c r="Y490" s="2773">
        <v>102.575</v>
      </c>
      <c r="Z490" s="2773">
        <v>3409.82</v>
      </c>
      <c r="AA490" s="2773">
        <v>9779.1</v>
      </c>
      <c r="AB490" s="2773">
        <v>11873.795000000002</v>
      </c>
      <c r="AC490" s="2773">
        <v>4259.5</v>
      </c>
      <c r="AD490" s="2773">
        <v>443.62700000000001</v>
      </c>
      <c r="AE490" s="2773">
        <v>1494.75</v>
      </c>
      <c r="AF490" s="2773">
        <v>2208.98</v>
      </c>
      <c r="AG490" s="2773">
        <v>11.754999999999999</v>
      </c>
      <c r="AH490" s="2773">
        <v>191.845</v>
      </c>
      <c r="AI490" s="2773">
        <v>2207</v>
      </c>
    </row>
    <row r="491" spans="1:35">
      <c r="A491" s="2782">
        <v>45433</v>
      </c>
      <c r="B491" s="2781">
        <v>1.086500046891119</v>
      </c>
      <c r="C491" s="2780">
        <v>0.66629997811747788</v>
      </c>
      <c r="D491" s="2780">
        <v>1.3636003243074577</v>
      </c>
      <c r="E491" s="2780">
        <v>0.91035005604846786</v>
      </c>
      <c r="F491" s="2780">
        <v>1.2713001344212072</v>
      </c>
      <c r="G491" s="2780">
        <v>7.8025567038472525</v>
      </c>
      <c r="H491" s="2780">
        <v>156.23443223443223</v>
      </c>
      <c r="I491" s="2780">
        <v>4.6934972709666054</v>
      </c>
      <c r="J491" s="2780">
        <v>0.61</v>
      </c>
      <c r="K491" s="2780">
        <v>1.3473994041604309</v>
      </c>
      <c r="L491" s="2780">
        <v>3.7506155469574392</v>
      </c>
      <c r="M491" s="2780">
        <v>36.339986595021983</v>
      </c>
      <c r="N491" s="2780">
        <v>10.683619385413849</v>
      </c>
      <c r="O491" s="2780">
        <v>7.2386077181040998</v>
      </c>
      <c r="P491" s="2780">
        <v>7.2455266138165344</v>
      </c>
      <c r="Q491" s="2779">
        <v>1362.9740093736687</v>
      </c>
      <c r="R491" s="2778">
        <v>15994.5</v>
      </c>
      <c r="S491" s="2777">
        <v>17378.025000000001</v>
      </c>
      <c r="T491" s="2779">
        <v>10657.135</v>
      </c>
      <c r="U491" s="2779">
        <v>11729.61</v>
      </c>
      <c r="V491" s="2779">
        <v>17569.614999999998</v>
      </c>
      <c r="W491" s="2779">
        <v>20333.809999999998</v>
      </c>
      <c r="X491" s="2779">
        <v>2049.9049999999997</v>
      </c>
      <c r="Y491" s="2779">
        <v>102.375</v>
      </c>
      <c r="Z491" s="2779">
        <v>3407.8</v>
      </c>
      <c r="AA491" s="2779">
        <v>9756.6450000000004</v>
      </c>
      <c r="AB491" s="2779">
        <v>11870.645</v>
      </c>
      <c r="AC491" s="2779">
        <v>4264.5</v>
      </c>
      <c r="AD491" s="2779">
        <v>440.13499999999999</v>
      </c>
      <c r="AE491" s="2779">
        <v>1497.105</v>
      </c>
      <c r="AF491" s="2779">
        <v>2209.61</v>
      </c>
      <c r="AG491" s="2779">
        <v>11.734999999999999</v>
      </c>
      <c r="AH491" s="2779">
        <v>192.04000000000002</v>
      </c>
      <c r="AI491" s="2779">
        <v>2207.5</v>
      </c>
    </row>
    <row r="492" spans="1:35">
      <c r="A492" s="2788">
        <v>45434</v>
      </c>
      <c r="B492" s="2787">
        <v>1.0857999062060339</v>
      </c>
      <c r="C492" s="2786">
        <v>0.66610004689698288</v>
      </c>
      <c r="D492" s="2786">
        <v>1.3656996536754764</v>
      </c>
      <c r="E492" s="2786">
        <v>0.91279985981951184</v>
      </c>
      <c r="F492" s="2786">
        <v>1.2747003282788807</v>
      </c>
      <c r="G492" s="2786">
        <v>7.8057506552584188</v>
      </c>
      <c r="H492" s="2786">
        <v>156.40586797066015</v>
      </c>
      <c r="I492" s="2786">
        <v>4.6924972858777609</v>
      </c>
      <c r="J492" s="2786">
        <v>0.61170017195560422</v>
      </c>
      <c r="K492" s="2786">
        <v>1.347799759557748</v>
      </c>
      <c r="L492" s="2786">
        <v>3.7505863039399623</v>
      </c>
      <c r="M492" s="2786">
        <v>36.344980165651748</v>
      </c>
      <c r="N492" s="2786">
        <v>10.695392805312753</v>
      </c>
      <c r="O492" s="2786">
        <v>7.2397012222725214</v>
      </c>
      <c r="P492" s="2786">
        <v>7.2479039202356672</v>
      </c>
      <c r="Q492" s="2785">
        <v>1364.5477815699658</v>
      </c>
      <c r="R492" s="2784">
        <v>15992.5</v>
      </c>
      <c r="S492" s="2783">
        <v>17364.654999999999</v>
      </c>
      <c r="T492" s="2785">
        <v>10652.605</v>
      </c>
      <c r="U492" s="2785">
        <v>11710.115</v>
      </c>
      <c r="V492" s="2785">
        <v>17520.27</v>
      </c>
      <c r="W492" s="2785">
        <v>20385.645</v>
      </c>
      <c r="X492" s="2785">
        <v>2048.81</v>
      </c>
      <c r="Y492" s="2785">
        <v>102.25</v>
      </c>
      <c r="Z492" s="2785">
        <v>3408.1000000000004</v>
      </c>
      <c r="AA492" s="2785">
        <v>9782.6149999999998</v>
      </c>
      <c r="AB492" s="2785">
        <v>11865.635</v>
      </c>
      <c r="AC492" s="2785">
        <v>4264</v>
      </c>
      <c r="AD492" s="2785">
        <v>440.01949999999999</v>
      </c>
      <c r="AE492" s="2785">
        <v>1495.27</v>
      </c>
      <c r="AF492" s="2785">
        <v>2209</v>
      </c>
      <c r="AG492" s="2785">
        <v>11.72</v>
      </c>
      <c r="AH492" s="2785">
        <v>192.095</v>
      </c>
      <c r="AI492" s="2785">
        <v>2206.5</v>
      </c>
    </row>
    <row r="493" spans="1:35" s="1385" customFormat="1">
      <c r="A493" s="2795">
        <v>45436</v>
      </c>
      <c r="B493" s="2796">
        <v>1.0857999062060339</v>
      </c>
      <c r="C493" s="2797">
        <v>0.66610004689698288</v>
      </c>
      <c r="D493" s="2797">
        <v>1.3656996536754764</v>
      </c>
      <c r="E493" s="2797">
        <v>0.91279985981951184</v>
      </c>
      <c r="F493" s="2797">
        <v>1.2747003282788807</v>
      </c>
      <c r="G493" s="2797">
        <v>7.8057506552584188</v>
      </c>
      <c r="H493" s="2797">
        <v>156.40586797066015</v>
      </c>
      <c r="I493" s="2797">
        <v>4.6924972858777609</v>
      </c>
      <c r="J493" s="2797">
        <v>0.61170017195560422</v>
      </c>
      <c r="K493" s="2797">
        <v>1.347799759557748</v>
      </c>
      <c r="L493" s="2797">
        <v>3.7505863039399623</v>
      </c>
      <c r="M493" s="2797">
        <v>36.344980165651748</v>
      </c>
      <c r="N493" s="2797">
        <v>10.695392805312753</v>
      </c>
      <c r="O493" s="2797">
        <v>7.2397012222725214</v>
      </c>
      <c r="P493" s="2797">
        <v>7.2479039202356672</v>
      </c>
      <c r="Q493" s="2798">
        <v>1364.5477815699658</v>
      </c>
      <c r="R493" s="2799">
        <v>15992.5</v>
      </c>
      <c r="S493" s="2800">
        <v>17364.654999999999</v>
      </c>
      <c r="T493" s="2798">
        <v>10652.605</v>
      </c>
      <c r="U493" s="2798">
        <v>11710.115</v>
      </c>
      <c r="V493" s="2798">
        <v>17520.27</v>
      </c>
      <c r="W493" s="2798">
        <v>20385.645</v>
      </c>
      <c r="X493" s="2798">
        <v>2048.81</v>
      </c>
      <c r="Y493" s="2798">
        <v>102.25</v>
      </c>
      <c r="Z493" s="2798">
        <v>3408.1000000000004</v>
      </c>
      <c r="AA493" s="2798">
        <v>9782.6149999999998</v>
      </c>
      <c r="AB493" s="2798">
        <v>11865.635</v>
      </c>
      <c r="AC493" s="2798">
        <v>4264</v>
      </c>
      <c r="AD493" s="2798">
        <v>440.01949999999999</v>
      </c>
      <c r="AE493" s="2798">
        <v>1495.27</v>
      </c>
      <c r="AF493" s="2798">
        <v>2209</v>
      </c>
      <c r="AG493" s="2798">
        <v>11.72</v>
      </c>
      <c r="AH493" s="2798">
        <v>192.095</v>
      </c>
      <c r="AI493" s="2798">
        <v>2206.5</v>
      </c>
    </row>
    <row r="494" spans="1:35">
      <c r="A494" s="2794">
        <v>45439</v>
      </c>
      <c r="B494" s="2793">
        <v>1.085050108932462</v>
      </c>
      <c r="C494" s="2792">
        <v>0.66369996887643945</v>
      </c>
      <c r="D494" s="2792">
        <v>1.3660998889857823</v>
      </c>
      <c r="E494" s="2792">
        <v>0.91505013979220695</v>
      </c>
      <c r="F494" s="2792">
        <v>1.2741500155617804</v>
      </c>
      <c r="G494" s="2792">
        <v>7.8075640788872587</v>
      </c>
      <c r="H494" s="2792">
        <v>156.9000878992089</v>
      </c>
      <c r="I494" s="2792">
        <v>4.7024971679638901</v>
      </c>
      <c r="J494" s="2792">
        <v>0.6130000000000001</v>
      </c>
      <c r="K494" s="2792">
        <v>1.3495996565724622</v>
      </c>
      <c r="L494" s="2792">
        <v>3.7504377261585153</v>
      </c>
      <c r="M494" s="2792">
        <v>36.59499150900524</v>
      </c>
      <c r="N494" s="2792">
        <v>10.647181628392484</v>
      </c>
      <c r="O494" s="2792">
        <v>7.2447592182965677</v>
      </c>
      <c r="P494" s="2792">
        <v>7.2577366162186578</v>
      </c>
      <c r="Q494" s="2791">
        <v>1364.3312101910831</v>
      </c>
      <c r="R494" s="2790">
        <v>16065</v>
      </c>
      <c r="S494" s="2789">
        <v>17431.330000000002</v>
      </c>
      <c r="T494" s="2791">
        <v>10662.34</v>
      </c>
      <c r="U494" s="2791">
        <v>11759.755000000001</v>
      </c>
      <c r="V494" s="2791">
        <v>17556.415000000001</v>
      </c>
      <c r="W494" s="2791">
        <v>20469.22</v>
      </c>
      <c r="X494" s="2791">
        <v>2057.62</v>
      </c>
      <c r="Y494" s="2791">
        <v>102.39000000000001</v>
      </c>
      <c r="Z494" s="2791">
        <v>3416.27</v>
      </c>
      <c r="AA494" s="2791">
        <v>9847.8450000000012</v>
      </c>
      <c r="AB494" s="2791">
        <v>11903.529999999999</v>
      </c>
      <c r="AC494" s="2791">
        <v>4283.5</v>
      </c>
      <c r="AD494" s="2791">
        <v>438.99450000000002</v>
      </c>
      <c r="AE494" s="2791">
        <v>1508.85</v>
      </c>
      <c r="AF494" s="2791">
        <v>2217.4650000000001</v>
      </c>
      <c r="AG494" s="2791">
        <v>11.774999999999999</v>
      </c>
      <c r="AH494" s="2791">
        <v>193.33500000000001</v>
      </c>
      <c r="AI494" s="2791">
        <v>2213.5</v>
      </c>
    </row>
    <row r="495" spans="1:35">
      <c r="A495" s="2806">
        <v>45440</v>
      </c>
      <c r="B495" s="2805">
        <v>1.0878001864512121</v>
      </c>
      <c r="C495" s="2804">
        <v>0.66630018645121192</v>
      </c>
      <c r="D495" s="2804">
        <v>1.3623499478217429</v>
      </c>
      <c r="E495" s="2804">
        <v>0.91144999855550179</v>
      </c>
      <c r="F495" s="2804">
        <v>1.277299875699192</v>
      </c>
      <c r="G495" s="2804">
        <v>7.8086516365895271</v>
      </c>
      <c r="H495" s="2804">
        <v>156.89142411389011</v>
      </c>
      <c r="I495" s="2804">
        <v>4.6937468731448542</v>
      </c>
      <c r="J495" s="2804">
        <v>0.61650031075201994</v>
      </c>
      <c r="K495" s="2804">
        <v>1.3475994053476832</v>
      </c>
      <c r="L495" s="2804">
        <v>3.7501456706677545</v>
      </c>
      <c r="M495" s="2804">
        <v>36.584977648829692</v>
      </c>
      <c r="N495" s="2804">
        <v>10.56200500858286</v>
      </c>
      <c r="O495" s="2804">
        <v>7.2469479719580496</v>
      </c>
      <c r="P495" s="2804">
        <v>7.262468968630106</v>
      </c>
      <c r="Q495" s="2803">
        <v>1358.3790628957368</v>
      </c>
      <c r="R495" s="2802">
        <v>16090</v>
      </c>
      <c r="S495" s="2801">
        <v>17502.705000000002</v>
      </c>
      <c r="T495" s="2803">
        <v>10720.77</v>
      </c>
      <c r="U495" s="2803">
        <v>11810.475</v>
      </c>
      <c r="V495" s="2803">
        <v>17653.190000000002</v>
      </c>
      <c r="W495" s="2803">
        <v>20551.755000000001</v>
      </c>
      <c r="X495" s="2803">
        <v>2060.5349999999999</v>
      </c>
      <c r="Y495" s="2803">
        <v>102.55500000000001</v>
      </c>
      <c r="Z495" s="2803">
        <v>3427.9650000000001</v>
      </c>
      <c r="AA495" s="2803">
        <v>9919.4900000000016</v>
      </c>
      <c r="AB495" s="2803">
        <v>11939.75</v>
      </c>
      <c r="AC495" s="2803">
        <v>4290.5</v>
      </c>
      <c r="AD495" s="2803">
        <v>439.798</v>
      </c>
      <c r="AE495" s="2803">
        <v>1523.385</v>
      </c>
      <c r="AF495" s="2803">
        <v>2220.2449999999999</v>
      </c>
      <c r="AG495" s="2803">
        <v>11.844999999999999</v>
      </c>
      <c r="AH495" s="2803">
        <v>193.47500000000002</v>
      </c>
      <c r="AI495" s="2803">
        <v>2215.5</v>
      </c>
    </row>
    <row r="496" spans="1:35">
      <c r="A496" s="2812">
        <v>45441</v>
      </c>
      <c r="B496" s="2811">
        <v>1.0852001856435642</v>
      </c>
      <c r="C496" s="2810">
        <v>0.66549999999999998</v>
      </c>
      <c r="D496" s="2810">
        <v>1.3656999719423026</v>
      </c>
      <c r="E496" s="2810">
        <v>0.91199990970297906</v>
      </c>
      <c r="F496" s="2810">
        <v>1.2764000618811882</v>
      </c>
      <c r="G496" s="2810">
        <v>7.8128588246385453</v>
      </c>
      <c r="H496" s="2810">
        <v>157.16022368101142</v>
      </c>
      <c r="I496" s="2810">
        <v>4.7049986243119744</v>
      </c>
      <c r="J496" s="2810">
        <v>0.61394987623762376</v>
      </c>
      <c r="K496" s="2810">
        <v>1.3489497641424777</v>
      </c>
      <c r="L496" s="2810">
        <v>3.7507253104328653</v>
      </c>
      <c r="M496" s="2810">
        <v>36.73499542517461</v>
      </c>
      <c r="N496" s="2810">
        <v>10.59029768828743</v>
      </c>
      <c r="O496" s="2810">
        <v>7.2487008632502983</v>
      </c>
      <c r="P496" s="2810">
        <v>7.267821002923319</v>
      </c>
      <c r="Q496" s="2809">
        <v>1364.8648648648648</v>
      </c>
      <c r="R496" s="2808">
        <v>16160</v>
      </c>
      <c r="S496" s="2807">
        <v>17536.834999999999</v>
      </c>
      <c r="T496" s="2809">
        <v>10754.48</v>
      </c>
      <c r="U496" s="2809">
        <v>11832.76</v>
      </c>
      <c r="V496" s="2809">
        <v>17719.300000000003</v>
      </c>
      <c r="W496" s="2809">
        <v>20626.625</v>
      </c>
      <c r="X496" s="2809">
        <v>2068.3850000000002</v>
      </c>
      <c r="Y496" s="2809">
        <v>102.825</v>
      </c>
      <c r="Z496" s="2809">
        <v>3434.645</v>
      </c>
      <c r="AA496" s="2809">
        <v>9921.43</v>
      </c>
      <c r="AB496" s="2809">
        <v>11979.69</v>
      </c>
      <c r="AC496" s="2809">
        <v>4308.5</v>
      </c>
      <c r="AD496" s="2809">
        <v>439.90750000000003</v>
      </c>
      <c r="AE496" s="2809">
        <v>1525.9250000000002</v>
      </c>
      <c r="AF496" s="2809">
        <v>2229.3649999999998</v>
      </c>
      <c r="AG496" s="2809">
        <v>11.84</v>
      </c>
      <c r="AH496" s="2809">
        <v>194.02500000000001</v>
      </c>
      <c r="AI496" s="2809">
        <v>2223.5</v>
      </c>
    </row>
    <row r="497" spans="1:35">
      <c r="A497" s="2818">
        <v>45442</v>
      </c>
      <c r="B497" s="2817">
        <v>1.080900061500615</v>
      </c>
      <c r="C497" s="2816">
        <v>0.66090006150061509</v>
      </c>
      <c r="D497" s="2816">
        <v>1.3720002261353386</v>
      </c>
      <c r="E497" s="2816">
        <v>0.90990003130929065</v>
      </c>
      <c r="F497" s="2816">
        <v>1.270900061500615</v>
      </c>
      <c r="G497" s="2816">
        <v>7.8175331980730212</v>
      </c>
      <c r="H497" s="2816">
        <v>156.97253463339285</v>
      </c>
      <c r="I497" s="2816">
        <v>4.706999418138448</v>
      </c>
      <c r="J497" s="2816">
        <v>0.61025000000000007</v>
      </c>
      <c r="K497" s="2816">
        <v>1.3518496270981832</v>
      </c>
      <c r="L497" s="2816">
        <v>3.7504324760696575</v>
      </c>
      <c r="M497" s="2816">
        <v>36.860007911526914</v>
      </c>
      <c r="N497" s="2816">
        <v>10.656041208602165</v>
      </c>
      <c r="O497" s="2816">
        <v>7.2465544327209122</v>
      </c>
      <c r="P497" s="2816">
        <v>7.262170611880304</v>
      </c>
      <c r="Q497" s="2815">
        <v>1379.1348600508907</v>
      </c>
      <c r="R497" s="2814">
        <v>16260</v>
      </c>
      <c r="S497" s="2813">
        <v>17575.435000000001</v>
      </c>
      <c r="T497" s="2815">
        <v>10746.235000000001</v>
      </c>
      <c r="U497" s="2815">
        <v>11851.310000000001</v>
      </c>
      <c r="V497" s="2815">
        <v>17870.095000000001</v>
      </c>
      <c r="W497" s="2815">
        <v>20664.834999999999</v>
      </c>
      <c r="X497" s="2815">
        <v>2079.94</v>
      </c>
      <c r="Y497" s="2815">
        <v>103.58500000000001</v>
      </c>
      <c r="Z497" s="2815">
        <v>3454.4300000000003</v>
      </c>
      <c r="AA497" s="2815">
        <v>9922.6650000000009</v>
      </c>
      <c r="AB497" s="2815">
        <v>12027.965</v>
      </c>
      <c r="AC497" s="2815">
        <v>4335.5</v>
      </c>
      <c r="AD497" s="2815">
        <v>441.12850000000003</v>
      </c>
      <c r="AE497" s="2815">
        <v>1525.895</v>
      </c>
      <c r="AF497" s="2815">
        <v>2243.8249999999998</v>
      </c>
      <c r="AG497" s="2815">
        <v>11.79</v>
      </c>
      <c r="AH497" s="2815">
        <v>195</v>
      </c>
      <c r="AI497" s="2815">
        <v>2239</v>
      </c>
    </row>
    <row r="498" spans="1:35">
      <c r="A498" s="2824">
        <v>45443</v>
      </c>
      <c r="B498" s="2823">
        <v>1.0822000000000001</v>
      </c>
      <c r="C498" s="2822">
        <v>0.66315015384615372</v>
      </c>
      <c r="D498" s="2822">
        <v>1.3668498946474159</v>
      </c>
      <c r="E498" s="2822">
        <v>0.90479975389446687</v>
      </c>
      <c r="F498" s="2822">
        <v>1.2706</v>
      </c>
      <c r="G498" s="2822">
        <v>7.8183637728296222</v>
      </c>
      <c r="H498" s="2822">
        <v>157.14907402930226</v>
      </c>
      <c r="I498" s="2822">
        <v>4.7069932885517227</v>
      </c>
      <c r="J498" s="2822">
        <v>0.61195015384615381</v>
      </c>
      <c r="K498" s="2822">
        <v>1.3524501819773738</v>
      </c>
      <c r="L498" s="2822">
        <v>3.750721292556261</v>
      </c>
      <c r="M498" s="2822">
        <v>36.800007246770654</v>
      </c>
      <c r="N498" s="2822">
        <v>10.583492357090288</v>
      </c>
      <c r="O498" s="2822">
        <v>7.2424043891199013</v>
      </c>
      <c r="P498" s="2822">
        <v>7.2625698324022343</v>
      </c>
      <c r="Q498" s="2821">
        <v>1384.7464848743077</v>
      </c>
      <c r="R498" s="2820">
        <v>16250</v>
      </c>
      <c r="S498" s="2819">
        <v>17585.75</v>
      </c>
      <c r="T498" s="2821">
        <v>10776.189999999999</v>
      </c>
      <c r="U498" s="2821">
        <v>11888.65</v>
      </c>
      <c r="V498" s="2821">
        <v>17959.775000000001</v>
      </c>
      <c r="W498" s="2821">
        <v>20647.25</v>
      </c>
      <c r="X498" s="2821">
        <v>2078.44</v>
      </c>
      <c r="Y498" s="2821">
        <v>103.405</v>
      </c>
      <c r="Z498" s="2821">
        <v>3452.3100000000004</v>
      </c>
      <c r="AA498" s="2821">
        <v>9944.1899999999987</v>
      </c>
      <c r="AB498" s="2821">
        <v>12015.23</v>
      </c>
      <c r="AC498" s="2821">
        <v>4332.5</v>
      </c>
      <c r="AD498" s="2821">
        <v>441.57600000000002</v>
      </c>
      <c r="AE498" s="2821">
        <v>1535.41</v>
      </c>
      <c r="AF498" s="2821">
        <v>2243.7300000000005</v>
      </c>
      <c r="AG498" s="2821">
        <v>11.734999999999999</v>
      </c>
      <c r="AH498" s="2821">
        <v>194.89500000000001</v>
      </c>
      <c r="AI498" s="2821">
        <v>2237.5</v>
      </c>
    </row>
    <row r="499" spans="1:35">
      <c r="A499" s="2830">
        <v>45446</v>
      </c>
      <c r="B499" s="2829">
        <v>1.0840502156500309</v>
      </c>
      <c r="C499" s="2828">
        <v>0.66330006161429456</v>
      </c>
      <c r="D499" s="2828">
        <v>1.3657000601227784</v>
      </c>
      <c r="E499" s="2828">
        <v>0.90259985462747883</v>
      </c>
      <c r="F499" s="2828">
        <v>1.2714001848428835</v>
      </c>
      <c r="G499" s="2828">
        <v>7.8202546039761387</v>
      </c>
      <c r="H499" s="2828">
        <v>157.14562354763748</v>
      </c>
      <c r="I499" s="2828">
        <v>4.7069946578655815</v>
      </c>
      <c r="J499" s="2828">
        <v>0.61349999999999993</v>
      </c>
      <c r="K499" s="2828">
        <v>1.3518499854653221</v>
      </c>
      <c r="L499" s="2828">
        <v>3.7504332755632581</v>
      </c>
      <c r="M499" s="2828">
        <v>36.904983878229466</v>
      </c>
      <c r="N499" s="2828">
        <v>10.515437867886448</v>
      </c>
      <c r="O499" s="2828">
        <v>7.2462635755823683</v>
      </c>
      <c r="P499" s="2828">
        <v>7.2601207783493624</v>
      </c>
      <c r="Q499" s="2827">
        <v>1378.3439490445862</v>
      </c>
      <c r="R499" s="2826">
        <v>16230</v>
      </c>
      <c r="S499" s="2825">
        <v>17594.135000000002</v>
      </c>
      <c r="T499" s="2827">
        <v>10765.36</v>
      </c>
      <c r="U499" s="2827">
        <v>11884.014999999999</v>
      </c>
      <c r="V499" s="2827">
        <v>17981.39</v>
      </c>
      <c r="W499" s="2827">
        <v>20634.825000000001</v>
      </c>
      <c r="X499" s="2827">
        <v>2075.38</v>
      </c>
      <c r="Y499" s="2827">
        <v>103.28</v>
      </c>
      <c r="Z499" s="2827">
        <v>3448.0600000000004</v>
      </c>
      <c r="AA499" s="2827">
        <v>9957.1049999999996</v>
      </c>
      <c r="AB499" s="2827">
        <v>12005.77</v>
      </c>
      <c r="AC499" s="2827">
        <v>4327.5</v>
      </c>
      <c r="AD499" s="2827">
        <v>439.77800000000002</v>
      </c>
      <c r="AE499" s="2827">
        <v>1543.4450000000002</v>
      </c>
      <c r="AF499" s="2827">
        <v>2239.7750000000001</v>
      </c>
      <c r="AG499" s="2827">
        <v>11.774999999999999</v>
      </c>
      <c r="AH499" s="2827">
        <v>195.14499999999998</v>
      </c>
      <c r="AI499" s="2827">
        <v>2235.5</v>
      </c>
    </row>
    <row r="500" spans="1:35">
      <c r="A500" s="2836">
        <v>45447</v>
      </c>
      <c r="B500" s="2835">
        <v>1.0890000000000002</v>
      </c>
      <c r="C500" s="2834">
        <v>0.66629993834771883</v>
      </c>
      <c r="D500" s="2834">
        <v>1.3670004243432266</v>
      </c>
      <c r="E500" s="2834">
        <v>0.89385006905019326</v>
      </c>
      <c r="F500" s="2834">
        <v>1.2791501233045623</v>
      </c>
      <c r="G500" s="2834">
        <v>7.8162459370700645</v>
      </c>
      <c r="H500" s="2834">
        <v>155.39375359264227</v>
      </c>
      <c r="I500" s="2834">
        <v>4.6989976244278342</v>
      </c>
      <c r="J500" s="2834">
        <v>0.61820006165228125</v>
      </c>
      <c r="K500" s="2834">
        <v>1.346800228507659</v>
      </c>
      <c r="L500" s="2834">
        <v>3.7507226268932823</v>
      </c>
      <c r="M500" s="2834">
        <v>36.540008155044973</v>
      </c>
      <c r="N500" s="2834">
        <v>10.429325565993453</v>
      </c>
      <c r="O500" s="2834">
        <v>7.2454542814961727</v>
      </c>
      <c r="P500" s="2834">
        <v>7.2540250447227193</v>
      </c>
      <c r="Q500" s="2833">
        <v>1376.3258379295714</v>
      </c>
      <c r="R500" s="2832">
        <v>16220</v>
      </c>
      <c r="S500" s="2831">
        <v>17663.580000000002</v>
      </c>
      <c r="T500" s="2833">
        <v>10807.385</v>
      </c>
      <c r="U500" s="2833">
        <v>11865.395</v>
      </c>
      <c r="V500" s="2833">
        <v>18146.22</v>
      </c>
      <c r="W500" s="2833">
        <v>20747.815000000002</v>
      </c>
      <c r="X500" s="2833">
        <v>2075.165</v>
      </c>
      <c r="Y500" s="2833">
        <v>104.38</v>
      </c>
      <c r="Z500" s="2833">
        <v>3451.8</v>
      </c>
      <c r="AA500" s="2833">
        <v>10027.205000000002</v>
      </c>
      <c r="AB500" s="2833">
        <v>12043.36</v>
      </c>
      <c r="AC500" s="2833">
        <v>4324.5</v>
      </c>
      <c r="AD500" s="2833">
        <v>443.89700000000005</v>
      </c>
      <c r="AE500" s="2833">
        <v>1555.23</v>
      </c>
      <c r="AF500" s="2833">
        <v>2238.645</v>
      </c>
      <c r="AG500" s="2833">
        <v>11.785</v>
      </c>
      <c r="AH500" s="2833">
        <v>194.28500000000003</v>
      </c>
      <c r="AI500" s="2833">
        <v>2236</v>
      </c>
    </row>
    <row r="501" spans="1:35">
      <c r="A501" s="2842">
        <v>45448</v>
      </c>
      <c r="B501" s="2841">
        <v>1.087100092109303</v>
      </c>
      <c r="C501" s="2840">
        <v>0.66580012281240408</v>
      </c>
      <c r="D501" s="2840">
        <v>1.3672999122190939</v>
      </c>
      <c r="E501" s="2840">
        <v>0.8928999784793834</v>
      </c>
      <c r="F501" s="2840">
        <v>1.2772001842186063</v>
      </c>
      <c r="G501" s="2840">
        <v>7.8097649637206805</v>
      </c>
      <c r="H501" s="2840">
        <v>156.14363104655064</v>
      </c>
      <c r="I501" s="2840">
        <v>4.6979981940762237</v>
      </c>
      <c r="J501" s="2840">
        <v>0.61894995394534846</v>
      </c>
      <c r="K501" s="2840">
        <v>1.3469497811465077</v>
      </c>
      <c r="L501" s="2840">
        <v>3.7501439263097294</v>
      </c>
      <c r="M501" s="2840">
        <v>36.659969496924361</v>
      </c>
      <c r="N501" s="2840">
        <v>10.422600113922186</v>
      </c>
      <c r="O501" s="2840">
        <v>7.2457481006885347</v>
      </c>
      <c r="P501" s="2840">
        <v>7.2538975501113585</v>
      </c>
      <c r="Q501" s="2839">
        <v>1371.3684210526317</v>
      </c>
      <c r="R501" s="2838">
        <v>16285</v>
      </c>
      <c r="S501" s="2837">
        <v>17703.424999999999</v>
      </c>
      <c r="T501" s="2839">
        <v>10842.555</v>
      </c>
      <c r="U501" s="2839">
        <v>11910.334999999999</v>
      </c>
      <c r="V501" s="2839">
        <v>18238.325000000001</v>
      </c>
      <c r="W501" s="2839">
        <v>20799.205000000002</v>
      </c>
      <c r="X501" s="2839">
        <v>2085.21</v>
      </c>
      <c r="Y501" s="2839">
        <v>104.295</v>
      </c>
      <c r="Z501" s="2839">
        <v>3466.37</v>
      </c>
      <c r="AA501" s="2839">
        <v>10079.6</v>
      </c>
      <c r="AB501" s="2839">
        <v>12090.28</v>
      </c>
      <c r="AC501" s="2839">
        <v>4342.5</v>
      </c>
      <c r="AD501" s="2839">
        <v>444.21750000000003</v>
      </c>
      <c r="AE501" s="2839">
        <v>1562.47</v>
      </c>
      <c r="AF501" s="2839">
        <v>2247.5250000000001</v>
      </c>
      <c r="AG501" s="2839">
        <v>11.875</v>
      </c>
      <c r="AH501" s="2839">
        <v>195.245</v>
      </c>
      <c r="AI501" s="2839">
        <v>2245</v>
      </c>
    </row>
    <row r="502" spans="1:35">
      <c r="A502" s="2848">
        <v>45449</v>
      </c>
      <c r="B502" s="2847">
        <v>1.0877500000000002</v>
      </c>
      <c r="C502" s="2846">
        <v>0.66495018450184507</v>
      </c>
      <c r="D502" s="2846">
        <v>1.3686995418307746</v>
      </c>
      <c r="E502" s="2846">
        <v>0.89214974069497699</v>
      </c>
      <c r="F502" s="2846">
        <v>1.2792001845018448</v>
      </c>
      <c r="G502" s="2846">
        <v>7.809742004740599</v>
      </c>
      <c r="H502" s="2846">
        <v>156.28604382929643</v>
      </c>
      <c r="I502" s="2846">
        <v>4.6984985609764554</v>
      </c>
      <c r="J502" s="2846">
        <v>0.61890006150061494</v>
      </c>
      <c r="K502" s="2846">
        <v>1.3476496939608551</v>
      </c>
      <c r="L502" s="2846">
        <v>3.7504324760696575</v>
      </c>
      <c r="M502" s="2846">
        <v>36.530008638246194</v>
      </c>
      <c r="N502" s="2846">
        <v>10.378204494030618</v>
      </c>
      <c r="O502" s="2846">
        <v>7.2468935517800785</v>
      </c>
      <c r="P502" s="2846">
        <v>7.262170611880304</v>
      </c>
      <c r="Q502" s="2845">
        <v>1366.9609079445145</v>
      </c>
      <c r="R502" s="2844">
        <v>16260</v>
      </c>
      <c r="S502" s="2843">
        <v>17686.815000000002</v>
      </c>
      <c r="T502" s="2845">
        <v>10812.09</v>
      </c>
      <c r="U502" s="2845">
        <v>11879.89</v>
      </c>
      <c r="V502" s="2845">
        <v>18225.64</v>
      </c>
      <c r="W502" s="2845">
        <v>20799.794999999998</v>
      </c>
      <c r="X502" s="2845">
        <v>2082.0150000000003</v>
      </c>
      <c r="Y502" s="2845">
        <v>104.03999999999999</v>
      </c>
      <c r="Z502" s="2845">
        <v>3460.6800000000003</v>
      </c>
      <c r="AA502" s="2845">
        <v>10063.314999999999</v>
      </c>
      <c r="AB502" s="2845">
        <v>12065.45</v>
      </c>
      <c r="AC502" s="2845">
        <v>4335.5</v>
      </c>
      <c r="AD502" s="2845">
        <v>445.11350000000004</v>
      </c>
      <c r="AE502" s="2845">
        <v>1566.7449999999999</v>
      </c>
      <c r="AF502" s="2845">
        <v>2243.7200000000003</v>
      </c>
      <c r="AG502" s="2845">
        <v>11.895</v>
      </c>
      <c r="AH502" s="2845">
        <v>194.79500000000002</v>
      </c>
      <c r="AI502" s="2845">
        <v>2239</v>
      </c>
    </row>
    <row r="503" spans="1:35">
      <c r="A503" s="2854">
        <v>45450</v>
      </c>
      <c r="B503" s="2853">
        <v>1.0892500540306895</v>
      </c>
      <c r="C503" s="2852">
        <v>0.66730000926240396</v>
      </c>
      <c r="D503" s="2852">
        <v>1.3673999094845346</v>
      </c>
      <c r="E503" s="2852">
        <v>0.88959995605421816</v>
      </c>
      <c r="F503" s="2852">
        <v>1.28</v>
      </c>
      <c r="G503" s="2852">
        <v>7.8089437950854448</v>
      </c>
      <c r="H503" s="2852">
        <v>155.42492442055763</v>
      </c>
      <c r="I503" s="2852">
        <v>4.6940035477849529</v>
      </c>
      <c r="J503" s="2852">
        <v>0.61940010497391085</v>
      </c>
      <c r="K503" s="2852">
        <v>1.3445500246999682</v>
      </c>
      <c r="L503" s="2852">
        <v>3.7504631773969432</v>
      </c>
      <c r="M503" s="2852">
        <v>36.359982801724769</v>
      </c>
      <c r="N503" s="2852">
        <v>10.361429595127195</v>
      </c>
      <c r="O503" s="2852">
        <v>7.2433010255882708</v>
      </c>
      <c r="P503" s="2852">
        <v>7.2539753639417697</v>
      </c>
      <c r="Q503" s="2851">
        <v>1367.2013507809204</v>
      </c>
      <c r="R503" s="2850">
        <v>16194.5</v>
      </c>
      <c r="S503" s="2849">
        <v>17639.86</v>
      </c>
      <c r="T503" s="2851">
        <v>10806.59</v>
      </c>
      <c r="U503" s="2851">
        <v>11843.28</v>
      </c>
      <c r="V503" s="2851">
        <v>18204.25</v>
      </c>
      <c r="W503" s="2851">
        <v>20728.96</v>
      </c>
      <c r="X503" s="2851">
        <v>2073.84</v>
      </c>
      <c r="Y503" s="2851">
        <v>104.19499999999999</v>
      </c>
      <c r="Z503" s="2851">
        <v>3450.04</v>
      </c>
      <c r="AA503" s="2851">
        <v>10030.875</v>
      </c>
      <c r="AB503" s="2851">
        <v>12044.55</v>
      </c>
      <c r="AC503" s="2851">
        <v>4318</v>
      </c>
      <c r="AD503" s="2851">
        <v>445.39350000000002</v>
      </c>
      <c r="AE503" s="2851">
        <v>1562.96</v>
      </c>
      <c r="AF503" s="2851">
        <v>2235.79</v>
      </c>
      <c r="AG503" s="2851">
        <v>11.844999999999999</v>
      </c>
      <c r="AH503" s="2851">
        <v>194.21</v>
      </c>
      <c r="AI503" s="2851">
        <v>2232.5</v>
      </c>
    </row>
    <row r="504" spans="1:35" s="1459" customFormat="1">
      <c r="A504" s="2860">
        <v>45453</v>
      </c>
      <c r="B504" s="2859">
        <v>1.0764999999999998</v>
      </c>
      <c r="C504" s="2858">
        <v>0.65944993857493861</v>
      </c>
      <c r="D504" s="2858">
        <v>1.3764997336625209</v>
      </c>
      <c r="E504" s="2858">
        <v>0.89729994289909454</v>
      </c>
      <c r="F504" s="2858">
        <v>1.2723000614250612</v>
      </c>
      <c r="G504" s="2858">
        <v>7.8132498896162472</v>
      </c>
      <c r="H504" s="2858">
        <v>157.00646156813579</v>
      </c>
      <c r="I504" s="2858">
        <v>4.7179995450086434</v>
      </c>
      <c r="J504" s="2858">
        <v>0.61110012285012283</v>
      </c>
      <c r="K504" s="2858">
        <v>1.3533498317872614</v>
      </c>
      <c r="L504" s="2858">
        <v>3.749856040538984</v>
      </c>
      <c r="M504" s="2858">
        <v>36.839997194005122</v>
      </c>
      <c r="N504" s="2858">
        <v>10.563403128791762</v>
      </c>
      <c r="O504" s="2858">
        <v>7.2477478780971545</v>
      </c>
      <c r="P504" s="2858">
        <v>7.2662352153537153</v>
      </c>
      <c r="Q504" s="2857">
        <v>1375.5809040980143</v>
      </c>
      <c r="R504" s="2856">
        <v>16280</v>
      </c>
      <c r="S504" s="2855">
        <v>17525.419999999998</v>
      </c>
      <c r="T504" s="2857">
        <v>10735.845000000001</v>
      </c>
      <c r="U504" s="2857">
        <v>11827.1</v>
      </c>
      <c r="V504" s="2857">
        <v>18143.32</v>
      </c>
      <c r="W504" s="2857">
        <v>20713.044999999998</v>
      </c>
      <c r="X504" s="2857">
        <v>2083.6400000000003</v>
      </c>
      <c r="Y504" s="2857">
        <v>103.69</v>
      </c>
      <c r="Z504" s="2857">
        <v>3450.6149999999998</v>
      </c>
      <c r="AA504" s="2857">
        <v>9948.7099999999991</v>
      </c>
      <c r="AB504" s="2857">
        <v>12029.41</v>
      </c>
      <c r="AC504" s="2857">
        <v>4341.5</v>
      </c>
      <c r="AD504" s="2857">
        <v>441.91100000000006</v>
      </c>
      <c r="AE504" s="2857">
        <v>1541.17</v>
      </c>
      <c r="AF504" s="2857">
        <v>2246.2150000000001</v>
      </c>
      <c r="AG504" s="2857">
        <v>11.835000000000001</v>
      </c>
      <c r="AH504" s="2857">
        <v>194.96</v>
      </c>
      <c r="AI504" s="2857">
        <v>2240.5</v>
      </c>
    </row>
    <row r="505" spans="1:35">
      <c r="A505" s="2864">
        <v>45454</v>
      </c>
      <c r="B505" s="2863">
        <v>1.0764002455494168</v>
      </c>
      <c r="C505" s="2863">
        <v>0.66040024554941679</v>
      </c>
      <c r="D505" s="2863">
        <v>1.3762496815996939</v>
      </c>
      <c r="E505" s="2863">
        <v>0.89710003739293576</v>
      </c>
      <c r="F505" s="2863">
        <v>1.2722501534683857</v>
      </c>
      <c r="G505" s="2863">
        <v>7.8083432795041769</v>
      </c>
      <c r="H505" s="2863">
        <v>157.33809822765249</v>
      </c>
      <c r="I505" s="2863">
        <v>4.7222455741630256</v>
      </c>
      <c r="J505" s="2863">
        <v>0.61260006138735423</v>
      </c>
      <c r="K505" s="2863">
        <v>1.3527495943412051</v>
      </c>
      <c r="L505" s="2863">
        <v>3.7504316795211237</v>
      </c>
      <c r="M505" s="2863">
        <v>36.769975475396961</v>
      </c>
      <c r="N505" s="2863">
        <v>10.483873562811532</v>
      </c>
      <c r="O505" s="2863">
        <v>7.2541375079877906</v>
      </c>
      <c r="P505" s="2863">
        <v>7.2674548293553425</v>
      </c>
      <c r="Q505" s="2866">
        <v>1378.7558188743121</v>
      </c>
      <c r="R505" s="2867">
        <v>16290</v>
      </c>
      <c r="S505" s="2861">
        <v>17534.560000000001</v>
      </c>
      <c r="T505" s="2861">
        <v>10757.92</v>
      </c>
      <c r="U505" s="2865">
        <v>11836.514999999999</v>
      </c>
      <c r="V505" s="2865">
        <v>18158.510000000002</v>
      </c>
      <c r="W505" s="2865">
        <v>20724.955000000002</v>
      </c>
      <c r="X505" s="2865">
        <v>2086.23</v>
      </c>
      <c r="Y505" s="2865">
        <v>103.535</v>
      </c>
      <c r="Z505" s="2865">
        <v>3449.63</v>
      </c>
      <c r="AA505" s="2865">
        <v>9979.255000000001</v>
      </c>
      <c r="AB505" s="2865">
        <v>12042.14</v>
      </c>
      <c r="AC505" s="2862">
        <v>4343.5</v>
      </c>
      <c r="AD505" s="2862">
        <v>443.02449999999999</v>
      </c>
      <c r="AE505" s="2862">
        <v>1553.8150000000001</v>
      </c>
      <c r="AF505" s="2862">
        <v>2245.6149999999998</v>
      </c>
      <c r="AG505" s="2862">
        <v>11.815000000000001</v>
      </c>
      <c r="AH505" s="2862">
        <v>194.97500000000002</v>
      </c>
      <c r="AI505" s="2862">
        <v>2241.5</v>
      </c>
    </row>
    <row r="506" spans="1:35">
      <c r="A506" s="2873">
        <v>45455</v>
      </c>
      <c r="B506" s="2872">
        <v>1.0745002915094051</v>
      </c>
      <c r="C506" s="2871">
        <v>0.66169996010923926</v>
      </c>
      <c r="D506" s="2871">
        <v>1.3744995723272986</v>
      </c>
      <c r="E506" s="2871">
        <v>0.89699984393540411</v>
      </c>
      <c r="F506" s="2871">
        <v>1.2749998465739973</v>
      </c>
      <c r="G506" s="2871">
        <v>7.8091527324486361</v>
      </c>
      <c r="H506" s="2871">
        <v>157.26763825885533</v>
      </c>
      <c r="I506" s="2871">
        <v>4.7195004330082631</v>
      </c>
      <c r="J506" s="2871">
        <v>0.61460032526312558</v>
      </c>
      <c r="K506" s="2871">
        <v>1.3522995815170371</v>
      </c>
      <c r="L506" s="2871">
        <v>3.75060421222235</v>
      </c>
      <c r="M506" s="2871">
        <v>36.68998655747523</v>
      </c>
      <c r="N506" s="2871">
        <v>10.478003234487481</v>
      </c>
      <c r="O506" s="2871">
        <v>7.2537510767443241</v>
      </c>
      <c r="P506" s="2871">
        <v>7.2694624135623469</v>
      </c>
      <c r="Q506" s="2870">
        <v>1375.6437315322923</v>
      </c>
      <c r="R506" s="2869">
        <v>16294.5</v>
      </c>
      <c r="S506" s="2868">
        <v>17508.445</v>
      </c>
      <c r="T506" s="2870">
        <v>10782.07</v>
      </c>
      <c r="U506" s="2870">
        <v>11854.86</v>
      </c>
      <c r="V506" s="2870">
        <v>18165.555</v>
      </c>
      <c r="W506" s="2870">
        <v>20775.485000000001</v>
      </c>
      <c r="X506" s="2870">
        <v>2086.59</v>
      </c>
      <c r="Y506" s="2870">
        <v>103.61</v>
      </c>
      <c r="Z506" s="2870">
        <v>3452.59</v>
      </c>
      <c r="AA506" s="2870">
        <v>10014.605</v>
      </c>
      <c r="AB506" s="2870">
        <v>12049.475</v>
      </c>
      <c r="AC506" s="2870">
        <v>4344.5</v>
      </c>
      <c r="AD506" s="2870">
        <v>444.11300000000006</v>
      </c>
      <c r="AE506" s="2870">
        <v>1555.115</v>
      </c>
      <c r="AF506" s="2870">
        <v>2246.3550000000005</v>
      </c>
      <c r="AG506" s="2870">
        <v>11.844999999999999</v>
      </c>
      <c r="AH506" s="2870">
        <v>195</v>
      </c>
      <c r="AI506" s="2870">
        <v>2241.5</v>
      </c>
    </row>
    <row r="507" spans="1:35">
      <c r="A507" s="2879">
        <v>45456</v>
      </c>
      <c r="B507" s="2878">
        <v>1.08140012292563</v>
      </c>
      <c r="C507" s="2877">
        <v>0.66510018438844498</v>
      </c>
      <c r="D507" s="2877">
        <v>1.3740996986608651</v>
      </c>
      <c r="E507" s="2877">
        <v>0.89514998713944016</v>
      </c>
      <c r="F507" s="2877">
        <v>1.27890012292563</v>
      </c>
      <c r="G507" s="2877">
        <v>7.8092563927187193</v>
      </c>
      <c r="H507" s="2877">
        <v>157.27404543257612</v>
      </c>
      <c r="I507" s="2877">
        <v>4.7074958263289925</v>
      </c>
      <c r="J507" s="2877">
        <v>0.61750000000000005</v>
      </c>
      <c r="K507" s="2877">
        <v>1.3489995265650094</v>
      </c>
      <c r="L507" s="2877">
        <v>3.7510086455331413</v>
      </c>
      <c r="M507" s="2877">
        <v>36.659997115869928</v>
      </c>
      <c r="N507" s="2877">
        <v>10.369794388711137</v>
      </c>
      <c r="O507" s="2877">
        <v>7.2518514061326504</v>
      </c>
      <c r="P507" s="2877">
        <v>7.2666368914694059</v>
      </c>
      <c r="Q507" s="2876">
        <v>1373.5753482482062</v>
      </c>
      <c r="R507" s="2875">
        <v>16270</v>
      </c>
      <c r="S507" s="2874">
        <v>17594.38</v>
      </c>
      <c r="T507" s="2876">
        <v>10821.18</v>
      </c>
      <c r="U507" s="2876">
        <v>11840.48</v>
      </c>
      <c r="V507" s="2876">
        <v>18175.724999999999</v>
      </c>
      <c r="W507" s="2876">
        <v>20807.705000000002</v>
      </c>
      <c r="X507" s="2876">
        <v>2083.4250000000002</v>
      </c>
      <c r="Y507" s="2876">
        <v>103.45</v>
      </c>
      <c r="Z507" s="2876">
        <v>3456.19</v>
      </c>
      <c r="AA507" s="2876">
        <v>10046.725</v>
      </c>
      <c r="AB507" s="2876">
        <v>12060.79</v>
      </c>
      <c r="AC507" s="2876">
        <v>4337.5</v>
      </c>
      <c r="AD507" s="2876">
        <v>443.80799999999999</v>
      </c>
      <c r="AE507" s="2876">
        <v>1568.98</v>
      </c>
      <c r="AF507" s="2876">
        <v>2243.5650000000001</v>
      </c>
      <c r="AG507" s="2876">
        <v>11.844999999999999</v>
      </c>
      <c r="AH507" s="2876">
        <v>194.76499999999999</v>
      </c>
      <c r="AI507" s="2876">
        <v>2239</v>
      </c>
    </row>
    <row r="508" spans="1:35">
      <c r="A508" s="2885">
        <v>45457</v>
      </c>
      <c r="B508" s="2884">
        <v>1.0708003048780488</v>
      </c>
      <c r="C508" s="2883">
        <v>0.66185000000000005</v>
      </c>
      <c r="D508" s="2883">
        <v>1.3750994641304466</v>
      </c>
      <c r="E508" s="2883">
        <v>0.89379994413750352</v>
      </c>
      <c r="F508" s="2883">
        <v>1.2730503048780488</v>
      </c>
      <c r="G508" s="2883">
        <v>7.8102490469353096</v>
      </c>
      <c r="H508" s="2883">
        <v>157.66956688939095</v>
      </c>
      <c r="I508" s="2883">
        <v>4.714994400944148</v>
      </c>
      <c r="J508" s="2883">
        <v>0.61420000000000008</v>
      </c>
      <c r="K508" s="2883">
        <v>1.3527993460369991</v>
      </c>
      <c r="L508" s="2883">
        <v>3.751572686720805</v>
      </c>
      <c r="M508" s="2883">
        <v>36.759967498809225</v>
      </c>
      <c r="N508" s="2883">
        <v>10.538999116394891</v>
      </c>
      <c r="O508" s="2883">
        <v>7.2557542776874495</v>
      </c>
      <c r="P508" s="2883">
        <v>7.2727272727272725</v>
      </c>
      <c r="Q508" s="2882">
        <v>1382.2166034555414</v>
      </c>
      <c r="R508" s="2881">
        <v>16400</v>
      </c>
      <c r="S508" s="2880">
        <v>17561.125</v>
      </c>
      <c r="T508" s="2882">
        <v>10854.34</v>
      </c>
      <c r="U508" s="2882">
        <v>11926.41</v>
      </c>
      <c r="V508" s="2882">
        <v>18348.625</v>
      </c>
      <c r="W508" s="2882">
        <v>20878.025000000001</v>
      </c>
      <c r="X508" s="2882">
        <v>2099.8050000000003</v>
      </c>
      <c r="Y508" s="2882">
        <v>104.015</v>
      </c>
      <c r="Z508" s="2882">
        <v>3478.2650000000003</v>
      </c>
      <c r="AA508" s="2882">
        <v>10072.880000000001</v>
      </c>
      <c r="AB508" s="2882">
        <v>12123.01</v>
      </c>
      <c r="AC508" s="2882">
        <v>4371.5</v>
      </c>
      <c r="AD508" s="2882">
        <v>446.13749999999999</v>
      </c>
      <c r="AE508" s="2882">
        <v>1556.125</v>
      </c>
      <c r="AF508" s="2882">
        <v>2260.2750000000001</v>
      </c>
      <c r="AG508" s="2882">
        <v>11.865</v>
      </c>
      <c r="AH508" s="2882">
        <v>196.315</v>
      </c>
      <c r="AI508" s="2882">
        <v>2255</v>
      </c>
    </row>
    <row r="509" spans="1:35" s="1385" customFormat="1">
      <c r="A509" s="2925">
        <v>45461</v>
      </c>
      <c r="B509" s="2926">
        <v>1.0708003048780488</v>
      </c>
      <c r="C509" s="2927">
        <v>0.66185000000000005</v>
      </c>
      <c r="D509" s="2927">
        <v>1.3750994641304466</v>
      </c>
      <c r="E509" s="2927">
        <v>0.89379994413750352</v>
      </c>
      <c r="F509" s="2927">
        <v>1.2730503048780488</v>
      </c>
      <c r="G509" s="2927">
        <v>7.8102490469353096</v>
      </c>
      <c r="H509" s="2927">
        <v>157.66956688939095</v>
      </c>
      <c r="I509" s="2927">
        <v>4.714994400944148</v>
      </c>
      <c r="J509" s="2927">
        <v>0.61420000000000008</v>
      </c>
      <c r="K509" s="2927">
        <v>1.3527993460369991</v>
      </c>
      <c r="L509" s="2927">
        <v>3.751572686720805</v>
      </c>
      <c r="M509" s="2927">
        <v>36.759967498809225</v>
      </c>
      <c r="N509" s="2927">
        <v>10.538999116394891</v>
      </c>
      <c r="O509" s="2927">
        <v>7.2557542776874495</v>
      </c>
      <c r="P509" s="2927">
        <v>7.2727272727272725</v>
      </c>
      <c r="Q509" s="2928">
        <v>1382.2166034555414</v>
      </c>
      <c r="R509" s="2929">
        <v>16400</v>
      </c>
      <c r="S509" s="2930">
        <v>17561.125</v>
      </c>
      <c r="T509" s="2928">
        <v>10854.34</v>
      </c>
      <c r="U509" s="2928">
        <v>11926.41</v>
      </c>
      <c r="V509" s="2928">
        <v>18348.625</v>
      </c>
      <c r="W509" s="2928">
        <v>20878.025000000001</v>
      </c>
      <c r="X509" s="2928">
        <v>2099.8050000000003</v>
      </c>
      <c r="Y509" s="2928">
        <v>104.015</v>
      </c>
      <c r="Z509" s="2928">
        <v>3478.2650000000003</v>
      </c>
      <c r="AA509" s="2928">
        <v>10072.880000000001</v>
      </c>
      <c r="AB509" s="2928">
        <v>12123.01</v>
      </c>
      <c r="AC509" s="2928">
        <v>4371.5</v>
      </c>
      <c r="AD509" s="2928">
        <v>446.13749999999999</v>
      </c>
      <c r="AE509" s="2928">
        <v>1556.125</v>
      </c>
      <c r="AF509" s="2928">
        <v>2260.2750000000001</v>
      </c>
      <c r="AG509" s="2928">
        <v>11.865</v>
      </c>
      <c r="AH509" s="2928">
        <v>196.315</v>
      </c>
      <c r="AI509" s="2928">
        <v>2255</v>
      </c>
    </row>
    <row r="510" spans="1:35" s="1459" customFormat="1">
      <c r="A510" s="2936">
        <v>45462</v>
      </c>
      <c r="B510" s="2935">
        <v>1.0736999694469904</v>
      </c>
      <c r="C510" s="2934">
        <v>0.66720012221203784</v>
      </c>
      <c r="D510" s="2934">
        <v>1.3715995499242539</v>
      </c>
      <c r="E510" s="2934">
        <v>0.88389989705388305</v>
      </c>
      <c r="F510" s="2934">
        <v>1.2728001833180569</v>
      </c>
      <c r="G510" s="2934">
        <v>7.8070585541318005</v>
      </c>
      <c r="H510" s="2934">
        <v>157.75014459224985</v>
      </c>
      <c r="I510" s="2934">
        <v>4.7109996732670565</v>
      </c>
      <c r="J510" s="2934">
        <v>0.61380018331805686</v>
      </c>
      <c r="K510" s="2934">
        <v>1.3503500265696735</v>
      </c>
      <c r="L510" s="2934">
        <v>3.7517193947730401</v>
      </c>
      <c r="M510" s="2934">
        <v>36.679995337953542</v>
      </c>
      <c r="N510" s="2934">
        <v>10.423301317163894</v>
      </c>
      <c r="O510" s="2934">
        <v>7.2569487556982457</v>
      </c>
      <c r="P510" s="2934">
        <v>7.2749499888864193</v>
      </c>
      <c r="Q510" s="2933">
        <v>1379.2667509481669</v>
      </c>
      <c r="R510" s="2932">
        <v>16365</v>
      </c>
      <c r="S510" s="2931">
        <v>17571.099999999999</v>
      </c>
      <c r="T510" s="2933">
        <v>10918.73</v>
      </c>
      <c r="U510" s="2933">
        <v>11931.325000000001</v>
      </c>
      <c r="V510" s="2933">
        <v>18514.54</v>
      </c>
      <c r="W510" s="2933">
        <v>20829.375</v>
      </c>
      <c r="X510" s="2933">
        <v>2096.1800000000003</v>
      </c>
      <c r="Y510" s="2933">
        <v>103.74000000000001</v>
      </c>
      <c r="Z510" s="2933">
        <v>3473.7849999999999</v>
      </c>
      <c r="AA510" s="2933">
        <v>10044.84</v>
      </c>
      <c r="AB510" s="2933">
        <v>12119.080000000002</v>
      </c>
      <c r="AC510" s="2933">
        <v>4362</v>
      </c>
      <c r="AD510" s="2933">
        <v>446.15600000000001</v>
      </c>
      <c r="AE510" s="2933">
        <v>1570.04</v>
      </c>
      <c r="AF510" s="2933">
        <v>2255.08</v>
      </c>
      <c r="AG510" s="2933">
        <v>11.865</v>
      </c>
      <c r="AH510" s="2933">
        <v>196.19499999999999</v>
      </c>
      <c r="AI510" s="2933">
        <v>2249.5</v>
      </c>
    </row>
    <row r="511" spans="1:35">
      <c r="A511" s="2942">
        <v>45463</v>
      </c>
      <c r="B511" s="2941">
        <v>1.0725</v>
      </c>
      <c r="C511" s="2940">
        <v>0.66705021302495437</v>
      </c>
      <c r="D511" s="2940">
        <v>1.3712498236904898</v>
      </c>
      <c r="E511" s="2940">
        <v>0.88959999133682299</v>
      </c>
      <c r="F511" s="2940">
        <v>1.2707501521606817</v>
      </c>
      <c r="G511" s="2940">
        <v>7.8045582800520608</v>
      </c>
      <c r="H511" s="2940">
        <v>158.26991619304499</v>
      </c>
      <c r="I511" s="2940">
        <v>4.7104965517043658</v>
      </c>
      <c r="J511" s="2940">
        <v>0.61305021302495444</v>
      </c>
      <c r="K511" s="2940">
        <v>1.351850031039892</v>
      </c>
      <c r="L511" s="2940">
        <v>3.751569813905697</v>
      </c>
      <c r="M511" s="2940">
        <v>36.740001319330538</v>
      </c>
      <c r="N511" s="2940">
        <v>10.45158745809505</v>
      </c>
      <c r="O511" s="2940">
        <v>7.2602579313788524</v>
      </c>
      <c r="P511" s="2940">
        <v>7.2844158723121257</v>
      </c>
      <c r="Q511" s="2939">
        <v>1385.9131168283425</v>
      </c>
      <c r="R511" s="2938">
        <v>16430</v>
      </c>
      <c r="S511" s="2937">
        <v>17621.174999999999</v>
      </c>
      <c r="T511" s="2939">
        <v>10959.635</v>
      </c>
      <c r="U511" s="2939">
        <v>11981.77</v>
      </c>
      <c r="V511" s="2939">
        <v>18468.974999999999</v>
      </c>
      <c r="W511" s="2939">
        <v>20878.424999999999</v>
      </c>
      <c r="X511" s="2939">
        <v>2105.1800000000003</v>
      </c>
      <c r="Y511" s="2939">
        <v>103.81</v>
      </c>
      <c r="Z511" s="2939">
        <v>3487.9549999999999</v>
      </c>
      <c r="AA511" s="2939">
        <v>10072.415000000001</v>
      </c>
      <c r="AB511" s="2939">
        <v>12153.715</v>
      </c>
      <c r="AC511" s="2939">
        <v>4379.5</v>
      </c>
      <c r="AD511" s="2939">
        <v>447.19650000000001</v>
      </c>
      <c r="AE511" s="2939">
        <v>1572.01</v>
      </c>
      <c r="AF511" s="2939">
        <v>2263.0050000000001</v>
      </c>
      <c r="AG511" s="2939">
        <v>11.855</v>
      </c>
      <c r="AH511" s="2939">
        <v>196.68</v>
      </c>
      <c r="AI511" s="2939">
        <v>2255.5</v>
      </c>
    </row>
    <row r="512" spans="1:35">
      <c r="A512" s="2948">
        <v>45464</v>
      </c>
      <c r="B512" s="2947">
        <v>1.0677999999999999</v>
      </c>
      <c r="C512" s="2946">
        <v>0.66510030395136788</v>
      </c>
      <c r="D512" s="2946">
        <v>1.3693994579842026</v>
      </c>
      <c r="E512" s="2946">
        <v>0.89070000898821877</v>
      </c>
      <c r="F512" s="2946">
        <v>1.264349848024316</v>
      </c>
      <c r="G512" s="2946">
        <v>7.8024393888010088</v>
      </c>
      <c r="H512" s="2946">
        <v>158.77612084358861</v>
      </c>
      <c r="I512" s="2946">
        <v>4.7149936799020891</v>
      </c>
      <c r="J512" s="2946">
        <v>0.61210030395136772</v>
      </c>
      <c r="K512" s="2946">
        <v>1.3545995861265945</v>
      </c>
      <c r="L512" s="2946">
        <v>3.7518531189417264</v>
      </c>
      <c r="M512" s="2946">
        <v>36.679982206306498</v>
      </c>
      <c r="N512" s="2946">
        <v>10.519987977156598</v>
      </c>
      <c r="O512" s="2946">
        <v>7.2611383434452224</v>
      </c>
      <c r="P512" s="2946">
        <v>7.2884359769605673</v>
      </c>
      <c r="Q512" s="2945">
        <v>1389.9450781580058</v>
      </c>
      <c r="R512" s="2944">
        <v>16450</v>
      </c>
      <c r="S512" s="2943">
        <v>17565.309999999998</v>
      </c>
      <c r="T512" s="2945">
        <v>10940.900000000001</v>
      </c>
      <c r="U512" s="2945">
        <v>12012.564999999999</v>
      </c>
      <c r="V512" s="2945">
        <v>18468.620000000003</v>
      </c>
      <c r="W512" s="2945">
        <v>20798.555</v>
      </c>
      <c r="X512" s="2945">
        <v>2108.3150000000001</v>
      </c>
      <c r="Y512" s="2945">
        <v>103.605</v>
      </c>
      <c r="Z512" s="2945">
        <v>3488.87</v>
      </c>
      <c r="AA512" s="2945">
        <v>10069.049999999999</v>
      </c>
      <c r="AB512" s="2945">
        <v>12143.810000000001</v>
      </c>
      <c r="AC512" s="2945">
        <v>4384.5</v>
      </c>
      <c r="AD512" s="2945">
        <v>448.47350000000006</v>
      </c>
      <c r="AE512" s="2945">
        <v>1563.69</v>
      </c>
      <c r="AF512" s="2945">
        <v>2265.4850000000001</v>
      </c>
      <c r="AG512" s="2945">
        <v>11.835000000000001</v>
      </c>
      <c r="AH512" s="2945">
        <v>196.91499999999999</v>
      </c>
      <c r="AI512" s="2945">
        <v>2257</v>
      </c>
    </row>
    <row r="513" spans="1:35">
      <c r="A513" s="2954">
        <v>45467</v>
      </c>
      <c r="B513" s="2953">
        <v>1.0713001707941929</v>
      </c>
      <c r="C513" s="2952">
        <v>0.66525009149688918</v>
      </c>
      <c r="D513" s="2952">
        <v>1.368299503517775</v>
      </c>
      <c r="E513" s="2952">
        <v>0.89369991711170405</v>
      </c>
      <c r="F513" s="2952">
        <v>1.2654501646944005</v>
      </c>
      <c r="G513" s="2952">
        <v>7.8071499664264934</v>
      </c>
      <c r="H513" s="2952">
        <v>159.69996590521649</v>
      </c>
      <c r="I513" s="2952">
        <v>4.7119959875891189</v>
      </c>
      <c r="J513" s="2952">
        <v>0.61220019519336344</v>
      </c>
      <c r="K513" s="2952">
        <v>1.3536499170998832</v>
      </c>
      <c r="L513" s="2952">
        <v>3.7510582313236474</v>
      </c>
      <c r="M513" s="2952">
        <v>36.679964291068067</v>
      </c>
      <c r="N513" s="2952">
        <v>10.499417197166681</v>
      </c>
      <c r="O513" s="2952">
        <v>7.2618385820057529</v>
      </c>
      <c r="P513" s="2952">
        <v>7.2894619831036014</v>
      </c>
      <c r="Q513" s="2951">
        <v>1388.1456392887383</v>
      </c>
      <c r="R513" s="2950">
        <v>16394</v>
      </c>
      <c r="S513" s="2949">
        <v>17562.895</v>
      </c>
      <c r="T513" s="2951">
        <v>10906.11</v>
      </c>
      <c r="U513" s="2951">
        <v>11981.295</v>
      </c>
      <c r="V513" s="2951">
        <v>18343.965</v>
      </c>
      <c r="W513" s="2951">
        <v>20745.79</v>
      </c>
      <c r="X513" s="2951">
        <v>2099.87</v>
      </c>
      <c r="Y513" s="2951">
        <v>102.655</v>
      </c>
      <c r="Z513" s="2951">
        <v>3479.2049999999999</v>
      </c>
      <c r="AA513" s="2951">
        <v>10036.41</v>
      </c>
      <c r="AB513" s="2951">
        <v>12110.96</v>
      </c>
      <c r="AC513" s="2951">
        <v>4370.5</v>
      </c>
      <c r="AD513" s="2951">
        <v>446.947</v>
      </c>
      <c r="AE513" s="2951">
        <v>1561.42</v>
      </c>
      <c r="AF513" s="2951">
        <v>2257.5550000000003</v>
      </c>
      <c r="AG513" s="2951">
        <v>11.81</v>
      </c>
      <c r="AH513" s="2951">
        <v>196.33500000000001</v>
      </c>
      <c r="AI513" s="2951">
        <v>2249</v>
      </c>
    </row>
    <row r="514" spans="1:35">
      <c r="A514" s="2960">
        <v>45468</v>
      </c>
      <c r="B514" s="2959">
        <v>1.0727001526717559</v>
      </c>
      <c r="C514" s="2958">
        <v>0.66675022900763359</v>
      </c>
      <c r="D514" s="2958">
        <v>1.3648995350589552</v>
      </c>
      <c r="E514" s="2958">
        <v>0.89339980773490546</v>
      </c>
      <c r="F514" s="2958">
        <v>1.2689499236641222</v>
      </c>
      <c r="G514" s="2958">
        <v>7.8074527202118862</v>
      </c>
      <c r="H514" s="2958">
        <v>159.48380813245677</v>
      </c>
      <c r="I514" s="2958">
        <v>4.7070017189539097</v>
      </c>
      <c r="J514" s="2958">
        <v>0.61260000000000003</v>
      </c>
      <c r="K514" s="2958">
        <v>1.3525495869458108</v>
      </c>
      <c r="L514" s="2958">
        <v>3.7518616107228779</v>
      </c>
      <c r="M514" s="2958">
        <v>36.610013369641521</v>
      </c>
      <c r="N514" s="2958">
        <v>10.46961414277037</v>
      </c>
      <c r="O514" s="2958">
        <v>7.2626553154875291</v>
      </c>
      <c r="P514" s="2958">
        <v>7.2842526690391463</v>
      </c>
      <c r="Q514" s="2957">
        <v>1390.6581740976646</v>
      </c>
      <c r="R514" s="2956">
        <v>16375</v>
      </c>
      <c r="S514" s="2955">
        <v>17565.465000000004</v>
      </c>
      <c r="T514" s="2957">
        <v>10918.035</v>
      </c>
      <c r="U514" s="2957">
        <v>11997.220000000001</v>
      </c>
      <c r="V514" s="2957">
        <v>18328.86</v>
      </c>
      <c r="W514" s="2957">
        <v>20779.055</v>
      </c>
      <c r="X514" s="2957">
        <v>2097.355</v>
      </c>
      <c r="Y514" s="2957">
        <v>102.675</v>
      </c>
      <c r="Z514" s="2957">
        <v>3478.86</v>
      </c>
      <c r="AA514" s="2957">
        <v>10031.325000000001</v>
      </c>
      <c r="AB514" s="2957">
        <v>12106.764999999999</v>
      </c>
      <c r="AC514" s="2957">
        <v>4364.5</v>
      </c>
      <c r="AD514" s="2957">
        <v>447.28200000000004</v>
      </c>
      <c r="AE514" s="2957">
        <v>1564.0500000000002</v>
      </c>
      <c r="AF514" s="2957">
        <v>2254.6849999999999</v>
      </c>
      <c r="AG514" s="2957">
        <v>11.774999999999999</v>
      </c>
      <c r="AH514" s="2957">
        <v>196.3</v>
      </c>
      <c r="AI514" s="2957">
        <v>2248</v>
      </c>
    </row>
    <row r="515" spans="1:35">
      <c r="A515" s="2966">
        <v>45469</v>
      </c>
      <c r="B515" s="2965">
        <v>1.069400182871076</v>
      </c>
      <c r="C515" s="2964">
        <v>0.66804998476074373</v>
      </c>
      <c r="D515" s="2964">
        <v>1.3666499913985606</v>
      </c>
      <c r="E515" s="2964">
        <v>0.89609968583253019</v>
      </c>
      <c r="F515" s="2964">
        <v>1.2670999695214875</v>
      </c>
      <c r="G515" s="2964">
        <v>7.8096362485182889</v>
      </c>
      <c r="H515" s="2964">
        <v>159.89278752436647</v>
      </c>
      <c r="I515" s="2964">
        <v>4.7154964637369554</v>
      </c>
      <c r="J515" s="2964">
        <v>0.61114995428223107</v>
      </c>
      <c r="K515" s="2964">
        <v>1.3558501151294855</v>
      </c>
      <c r="L515" s="2964">
        <v>3.7518582046883933</v>
      </c>
      <c r="M515" s="2964">
        <v>36.79001769419321</v>
      </c>
      <c r="N515" s="2964">
        <v>10.515553789253046</v>
      </c>
      <c r="O515" s="2964">
        <v>7.2665501715313354</v>
      </c>
      <c r="P515" s="2964">
        <v>7.2943530457981325</v>
      </c>
      <c r="Q515" s="2963">
        <v>1392.0237590156978</v>
      </c>
      <c r="R515" s="2962">
        <v>16405</v>
      </c>
      <c r="S515" s="2961">
        <v>17543.510000000002</v>
      </c>
      <c r="T515" s="2963">
        <v>10959.36</v>
      </c>
      <c r="U515" s="2963">
        <v>12003.805</v>
      </c>
      <c r="V515" s="2963">
        <v>18307.114999999998</v>
      </c>
      <c r="W515" s="2963">
        <v>20786.775000000001</v>
      </c>
      <c r="X515" s="2963">
        <v>2100.6099999999997</v>
      </c>
      <c r="Y515" s="2963">
        <v>102.6</v>
      </c>
      <c r="Z515" s="2963">
        <v>3478.9549999999999</v>
      </c>
      <c r="AA515" s="2963">
        <v>10025.915000000001</v>
      </c>
      <c r="AB515" s="2963">
        <v>12099.42</v>
      </c>
      <c r="AC515" s="2963">
        <v>4372.5</v>
      </c>
      <c r="AD515" s="2963">
        <v>445.90899999999999</v>
      </c>
      <c r="AE515" s="2963">
        <v>1560.0700000000002</v>
      </c>
      <c r="AF515" s="2963">
        <v>2257.605</v>
      </c>
      <c r="AG515" s="2963">
        <v>11.785</v>
      </c>
      <c r="AH515" s="2963">
        <v>196.29000000000002</v>
      </c>
      <c r="AI515" s="2963">
        <v>2249</v>
      </c>
    </row>
    <row r="516" spans="1:35">
      <c r="A516" s="2972">
        <v>45470</v>
      </c>
      <c r="B516" s="2971">
        <v>1.0689001372160392</v>
      </c>
      <c r="C516" s="2970">
        <v>0.66630004573867974</v>
      </c>
      <c r="D516" s="2970">
        <v>1.3688001222090793</v>
      </c>
      <c r="E516" s="2970">
        <v>0.89744989591551516</v>
      </c>
      <c r="F516" s="2970">
        <v>1.2632498856533008</v>
      </c>
      <c r="G516" s="2970">
        <v>7.808500658347441</v>
      </c>
      <c r="H516" s="2970">
        <v>160.54731482841339</v>
      </c>
      <c r="I516" s="2970">
        <v>4.7194927498690431</v>
      </c>
      <c r="J516" s="2970">
        <v>0.60910016770849218</v>
      </c>
      <c r="K516" s="2970">
        <v>1.357449956062414</v>
      </c>
      <c r="L516" s="2970">
        <v>3.7514298787462823</v>
      </c>
      <c r="M516" s="2970">
        <v>36.91002485053663</v>
      </c>
      <c r="N516" s="2970">
        <v>10.605374640235423</v>
      </c>
      <c r="O516" s="2970">
        <v>7.2688464709689429</v>
      </c>
      <c r="P516" s="2970">
        <v>7.2975077881619939</v>
      </c>
      <c r="Q516" s="2969">
        <v>1386.094674556213</v>
      </c>
      <c r="R516" s="2968">
        <v>16397.5</v>
      </c>
      <c r="S516" s="2967">
        <v>17527.29</v>
      </c>
      <c r="T516" s="2969">
        <v>10925.655000000001</v>
      </c>
      <c r="U516" s="2969">
        <v>11979.470000000001</v>
      </c>
      <c r="V516" s="2969">
        <v>18271.215</v>
      </c>
      <c r="W516" s="2969">
        <v>20714.14</v>
      </c>
      <c r="X516" s="2969">
        <v>2099.9549999999999</v>
      </c>
      <c r="Y516" s="2969">
        <v>102.13499999999999</v>
      </c>
      <c r="Z516" s="2969">
        <v>3474.42</v>
      </c>
      <c r="AA516" s="2969">
        <v>9987.7200000000012</v>
      </c>
      <c r="AB516" s="2969">
        <v>12079.635</v>
      </c>
      <c r="AC516" s="2969">
        <v>4371</v>
      </c>
      <c r="AD516" s="2969">
        <v>444.25599999999997</v>
      </c>
      <c r="AE516" s="2969">
        <v>1546.15</v>
      </c>
      <c r="AF516" s="2969">
        <v>2255.86</v>
      </c>
      <c r="AG516" s="2969">
        <v>11.83</v>
      </c>
      <c r="AH516" s="2969">
        <v>196.375</v>
      </c>
      <c r="AI516" s="2969">
        <v>2247</v>
      </c>
    </row>
    <row r="517" spans="1:35">
      <c r="A517" s="2978">
        <v>45471</v>
      </c>
      <c r="B517" s="2977">
        <v>1.0696998473282442</v>
      </c>
      <c r="C517" s="2976">
        <v>0.66339999999999999</v>
      </c>
      <c r="D517" s="2976">
        <v>1.3710495457534935</v>
      </c>
      <c r="E517" s="2976">
        <v>0.89949990551817793</v>
      </c>
      <c r="F517" s="2976">
        <v>1.2644500763358779</v>
      </c>
      <c r="G517" s="2976">
        <v>7.8082531447590515</v>
      </c>
      <c r="H517" s="2976">
        <v>160.93366093366095</v>
      </c>
      <c r="I517" s="2976">
        <v>4.7174975224135149</v>
      </c>
      <c r="J517" s="2976">
        <v>0.60680000000000001</v>
      </c>
      <c r="K517" s="2976">
        <v>1.3570500094682725</v>
      </c>
      <c r="L517" s="2976">
        <v>3.7518616107228779</v>
      </c>
      <c r="M517" s="2976">
        <v>36.799985617104859</v>
      </c>
      <c r="N517" s="2976">
        <v>10.650579684222508</v>
      </c>
      <c r="O517" s="2976">
        <v>7.2660874504131137</v>
      </c>
      <c r="P517" s="2976">
        <v>7.2988633831067524</v>
      </c>
      <c r="Q517" s="2975">
        <v>1378.9473684210527</v>
      </c>
      <c r="R517" s="2974">
        <v>16375</v>
      </c>
      <c r="S517" s="2973">
        <v>17516.334999999999</v>
      </c>
      <c r="T517" s="2975">
        <v>10863.174999999999</v>
      </c>
      <c r="U517" s="2975">
        <v>11943.404999999999</v>
      </c>
      <c r="V517" s="2975">
        <v>18204.559999999998</v>
      </c>
      <c r="W517" s="2975">
        <v>20705.370000000003</v>
      </c>
      <c r="X517" s="2975">
        <v>2097.1400000000003</v>
      </c>
      <c r="Y517" s="2975">
        <v>101.75</v>
      </c>
      <c r="Z517" s="2975">
        <v>3471.12</v>
      </c>
      <c r="AA517" s="2975">
        <v>9936.35</v>
      </c>
      <c r="AB517" s="2975">
        <v>12066.615000000002</v>
      </c>
      <c r="AC517" s="2975">
        <v>4364.5</v>
      </c>
      <c r="AD517" s="2975">
        <v>444.97300000000001</v>
      </c>
      <c r="AE517" s="2975">
        <v>1537.4749999999999</v>
      </c>
      <c r="AF517" s="2975">
        <v>2253.62</v>
      </c>
      <c r="AG517" s="2975">
        <v>11.875</v>
      </c>
      <c r="AH517" s="2975">
        <v>196.22499999999999</v>
      </c>
      <c r="AI517" s="2975">
        <v>2243.5</v>
      </c>
    </row>
    <row r="518" spans="1:35" s="1385" customFormat="1">
      <c r="A518" s="3006">
        <v>45473</v>
      </c>
      <c r="B518" s="3007">
        <v>1.0696998473282442</v>
      </c>
      <c r="C518" s="3008">
        <v>0.66339999999999999</v>
      </c>
      <c r="D518" s="3008">
        <v>1.3710495457534935</v>
      </c>
      <c r="E518" s="3008">
        <v>0.89949990551817793</v>
      </c>
      <c r="F518" s="3008">
        <v>1.2644500763358779</v>
      </c>
      <c r="G518" s="3008">
        <v>7.8082531447590515</v>
      </c>
      <c r="H518" s="3008">
        <v>160.93366093366095</v>
      </c>
      <c r="I518" s="3008">
        <v>4.7174975224135149</v>
      </c>
      <c r="J518" s="3008">
        <v>0.60680000000000001</v>
      </c>
      <c r="K518" s="3008">
        <v>1.3570500094682725</v>
      </c>
      <c r="L518" s="3008">
        <v>3.7518616107228779</v>
      </c>
      <c r="M518" s="3008">
        <v>36.799985617104859</v>
      </c>
      <c r="N518" s="3008">
        <v>10.650579684222508</v>
      </c>
      <c r="O518" s="3008">
        <v>7.2660874504131137</v>
      </c>
      <c r="P518" s="3008">
        <v>7.2988633831067524</v>
      </c>
      <c r="Q518" s="3009">
        <v>1378.9473684210527</v>
      </c>
      <c r="R518" s="3010">
        <v>16375</v>
      </c>
      <c r="S518" s="3011">
        <v>17516.334999999999</v>
      </c>
      <c r="T518" s="3009">
        <v>10863.174999999999</v>
      </c>
      <c r="U518" s="3009">
        <v>11943.404999999999</v>
      </c>
      <c r="V518" s="3009">
        <v>18204.559999999998</v>
      </c>
      <c r="W518" s="3009">
        <v>20705.370000000003</v>
      </c>
      <c r="X518" s="3009">
        <v>2097.1400000000003</v>
      </c>
      <c r="Y518" s="3009">
        <v>101.75</v>
      </c>
      <c r="Z518" s="3009">
        <v>3471.12</v>
      </c>
      <c r="AA518" s="3009">
        <v>9936.35</v>
      </c>
      <c r="AB518" s="3009">
        <v>12066.615000000002</v>
      </c>
      <c r="AC518" s="3009">
        <v>4364.5</v>
      </c>
      <c r="AD518" s="3009">
        <v>444.97300000000001</v>
      </c>
      <c r="AE518" s="3009">
        <v>1537.4749999999999</v>
      </c>
      <c r="AF518" s="3009">
        <v>2253.62</v>
      </c>
      <c r="AG518" s="3009">
        <v>11.875</v>
      </c>
      <c r="AH518" s="3009">
        <v>196.22499999999999</v>
      </c>
      <c r="AI518" s="3009">
        <v>2243.5</v>
      </c>
    </row>
    <row r="519" spans="1:35" s="1216" customFormat="1">
      <c r="A519" s="1217">
        <v>45474</v>
      </c>
      <c r="B519" s="2979">
        <v>1.0755002450680065</v>
      </c>
      <c r="C519" s="1220">
        <v>0.66759986521259651</v>
      </c>
      <c r="D519" s="1220">
        <v>1.3678001312323862</v>
      </c>
      <c r="E519" s="1220">
        <v>0.90030011842570468</v>
      </c>
      <c r="F519" s="1220">
        <v>1.2663500183801004</v>
      </c>
      <c r="G519" s="1220">
        <v>7.812541134067744</v>
      </c>
      <c r="H519" s="1220">
        <v>161.0141067376936</v>
      </c>
      <c r="I519" s="1220">
        <v>4.7159984802014456</v>
      </c>
      <c r="J519" s="1220">
        <v>0.60989982845239554</v>
      </c>
      <c r="K519" s="1220">
        <v>1.3552499328477894</v>
      </c>
      <c r="L519" s="1220">
        <v>3.7517526721066545</v>
      </c>
      <c r="M519" s="1220">
        <v>36.739995092930442</v>
      </c>
      <c r="N519" s="1220">
        <v>10.575387376530312</v>
      </c>
      <c r="O519" s="1220">
        <v>7.2681447572906324</v>
      </c>
      <c r="P519" s="1220">
        <v>7.2980102839257768</v>
      </c>
      <c r="Q519" s="1222">
        <v>1381.4642403724079</v>
      </c>
      <c r="R519" s="2980">
        <v>16322</v>
      </c>
      <c r="S519" s="2981">
        <v>17554.315000000002</v>
      </c>
      <c r="T519" s="1222">
        <v>10896.565000000001</v>
      </c>
      <c r="U519" s="1222">
        <v>11933.029999999999</v>
      </c>
      <c r="V519" s="1222">
        <v>18129.510000000002</v>
      </c>
      <c r="W519" s="1222">
        <v>20669.364999999998</v>
      </c>
      <c r="X519" s="1222">
        <v>2089.2049999999999</v>
      </c>
      <c r="Y519" s="1222">
        <v>101.37</v>
      </c>
      <c r="Z519" s="1222">
        <v>3460.9850000000001</v>
      </c>
      <c r="AA519" s="1222">
        <v>9954.7849999999999</v>
      </c>
      <c r="AB519" s="1222">
        <v>12043.535</v>
      </c>
      <c r="AC519" s="1222">
        <v>4350.5</v>
      </c>
      <c r="AD519" s="1222">
        <v>444.25700000000001</v>
      </c>
      <c r="AE519" s="1222">
        <v>1543.395</v>
      </c>
      <c r="AF519" s="1222">
        <v>2245.69</v>
      </c>
      <c r="AG519" s="1222">
        <v>11.815000000000001</v>
      </c>
      <c r="AH519" s="1222">
        <v>195.62</v>
      </c>
      <c r="AI519" s="1222">
        <v>2236.5</v>
      </c>
    </row>
    <row r="520" spans="1:35">
      <c r="A520" s="2987">
        <v>45475</v>
      </c>
      <c r="B520" s="2986">
        <v>1.0717999939003935</v>
      </c>
      <c r="C520" s="2985">
        <v>0.66490011894232826</v>
      </c>
      <c r="D520" s="2985">
        <v>1.3736500826561227</v>
      </c>
      <c r="E520" s="2985">
        <v>0.90360009777587447</v>
      </c>
      <c r="F520" s="2985">
        <v>1.26250022873525</v>
      </c>
      <c r="G520" s="2985">
        <v>7.8124478796860624</v>
      </c>
      <c r="H520" s="2985">
        <v>161.66551622127994</v>
      </c>
      <c r="I520" s="2985">
        <v>4.7217550084674498</v>
      </c>
      <c r="J520" s="2985">
        <v>0.60524993137942606</v>
      </c>
      <c r="K520" s="2985">
        <v>1.3583997984916705</v>
      </c>
      <c r="L520" s="2985">
        <v>3.7516018306636156</v>
      </c>
      <c r="M520" s="2985">
        <v>36.829986071797634</v>
      </c>
      <c r="N520" s="2985">
        <v>10.652973436606539</v>
      </c>
      <c r="O520" s="2985">
        <v>7.2713362236242469</v>
      </c>
      <c r="P520" s="2985">
        <v>7.3059269162210336</v>
      </c>
      <c r="Q520" s="2984">
        <v>1388.7759423972893</v>
      </c>
      <c r="R520" s="2983">
        <v>16394.5</v>
      </c>
      <c r="S520" s="2982">
        <v>17571.625</v>
      </c>
      <c r="T520" s="2984">
        <v>10900.705</v>
      </c>
      <c r="U520" s="2984">
        <v>11934.990000000002</v>
      </c>
      <c r="V520" s="2984">
        <v>18143.535</v>
      </c>
      <c r="W520" s="2984">
        <v>20698.060000000001</v>
      </c>
      <c r="X520" s="2984">
        <v>2098.5100000000002</v>
      </c>
      <c r="Y520" s="2984">
        <v>101.41</v>
      </c>
      <c r="Z520" s="2984">
        <v>3472.12</v>
      </c>
      <c r="AA520" s="2984">
        <v>9922.77</v>
      </c>
      <c r="AB520" s="2984">
        <v>12068.98</v>
      </c>
      <c r="AC520" s="2984">
        <v>4370</v>
      </c>
      <c r="AD520" s="2984">
        <v>445.14</v>
      </c>
      <c r="AE520" s="2984">
        <v>1538.96</v>
      </c>
      <c r="AF520" s="2984">
        <v>2254.6750000000002</v>
      </c>
      <c r="AG520" s="2984">
        <v>11.805</v>
      </c>
      <c r="AH520" s="2984">
        <v>196.29500000000002</v>
      </c>
      <c r="AI520" s="2984">
        <v>2244</v>
      </c>
    </row>
    <row r="521" spans="1:35">
      <c r="A521" s="2993">
        <v>45476</v>
      </c>
      <c r="B521" s="2992">
        <v>1.0759499083689679</v>
      </c>
      <c r="C521" s="2991">
        <v>0.66810018326206466</v>
      </c>
      <c r="D521" s="2991">
        <v>1.3668998969188806</v>
      </c>
      <c r="E521" s="2991">
        <v>0.90379971312502705</v>
      </c>
      <c r="F521" s="2991">
        <v>1.2693500305436776</v>
      </c>
      <c r="G521" s="2991">
        <v>7.8118102927877944</v>
      </c>
      <c r="H521" s="2991">
        <v>161.77487894060678</v>
      </c>
      <c r="I521" s="2991">
        <v>4.7194969713918331</v>
      </c>
      <c r="J521" s="2991">
        <v>0.60809987782529029</v>
      </c>
      <c r="K521" s="2991">
        <v>1.3560501415486059</v>
      </c>
      <c r="L521" s="2991">
        <v>3.7515755700698978</v>
      </c>
      <c r="M521" s="2991">
        <v>36.769991015274037</v>
      </c>
      <c r="N521" s="2991">
        <v>10.567596791633717</v>
      </c>
      <c r="O521" s="2991">
        <v>7.2734543354142129</v>
      </c>
      <c r="P521" s="2991">
        <v>7.3080357142857144</v>
      </c>
      <c r="Q521" s="2990">
        <v>1389.0538820534578</v>
      </c>
      <c r="R521" s="2989">
        <v>16370</v>
      </c>
      <c r="S521" s="2988">
        <v>17613.300000000003</v>
      </c>
      <c r="T521" s="2990">
        <v>10936.8</v>
      </c>
      <c r="U521" s="2990">
        <v>11976.005000000001</v>
      </c>
      <c r="V521" s="2990">
        <v>18112.419999999998</v>
      </c>
      <c r="W521" s="2990">
        <v>20779.260000000002</v>
      </c>
      <c r="X521" s="2990">
        <v>2095.5450000000001</v>
      </c>
      <c r="Y521" s="2990">
        <v>101.19</v>
      </c>
      <c r="Z521" s="2990">
        <v>3468.59</v>
      </c>
      <c r="AA521" s="2990">
        <v>9954.5950000000012</v>
      </c>
      <c r="AB521" s="2990">
        <v>12071.825000000001</v>
      </c>
      <c r="AC521" s="2990">
        <v>4363.5</v>
      </c>
      <c r="AD521" s="2990">
        <v>445.2</v>
      </c>
      <c r="AE521" s="2990">
        <v>1549.075</v>
      </c>
      <c r="AF521" s="2990">
        <v>2250.65</v>
      </c>
      <c r="AG521" s="2990">
        <v>11.785</v>
      </c>
      <c r="AH521" s="2990">
        <v>195.98500000000001</v>
      </c>
      <c r="AI521" s="2990">
        <v>2240</v>
      </c>
    </row>
    <row r="522" spans="1:35">
      <c r="A522" s="2999">
        <v>45477</v>
      </c>
      <c r="B522" s="2998">
        <v>1.0795000000000001</v>
      </c>
      <c r="C522" s="2997">
        <v>0.67200030618493567</v>
      </c>
      <c r="D522" s="2997">
        <v>1.3626001715557838</v>
      </c>
      <c r="E522" s="2997">
        <v>0.90154997032559037</v>
      </c>
      <c r="F522" s="2997">
        <v>1.2753502755664421</v>
      </c>
      <c r="G522" s="2997">
        <v>7.809342996578331</v>
      </c>
      <c r="H522" s="2997">
        <v>161.28395061728395</v>
      </c>
      <c r="I522" s="2997">
        <v>4.7094991723047999</v>
      </c>
      <c r="J522" s="2997">
        <v>0.61134996938150654</v>
      </c>
      <c r="K522" s="2997">
        <v>1.3520495182961363</v>
      </c>
      <c r="L522" s="2997">
        <v>3.7514357914082241</v>
      </c>
      <c r="M522" s="2997">
        <v>36.619974144010904</v>
      </c>
      <c r="N522" s="2997">
        <v>10.498333317261174</v>
      </c>
      <c r="O522" s="2997">
        <v>7.270752030846154</v>
      </c>
      <c r="P522" s="2997">
        <v>7.2966934763181408</v>
      </c>
      <c r="Q522" s="2996">
        <v>1380.9725158562369</v>
      </c>
      <c r="R522" s="2995">
        <v>16330</v>
      </c>
      <c r="S522" s="2994">
        <v>17628.235000000001</v>
      </c>
      <c r="T522" s="2996">
        <v>10973.764999999999</v>
      </c>
      <c r="U522" s="2996">
        <v>11984.44</v>
      </c>
      <c r="V522" s="2996">
        <v>18113.25</v>
      </c>
      <c r="W522" s="2996">
        <v>20826.47</v>
      </c>
      <c r="X522" s="2996">
        <v>2091.085</v>
      </c>
      <c r="Y522" s="2996">
        <v>101.25</v>
      </c>
      <c r="Z522" s="2996">
        <v>3467.46</v>
      </c>
      <c r="AA522" s="2996">
        <v>9983.3450000000012</v>
      </c>
      <c r="AB522" s="2996">
        <v>12077.96</v>
      </c>
      <c r="AC522" s="2996">
        <v>4353</v>
      </c>
      <c r="AD522" s="2996">
        <v>445.93150000000003</v>
      </c>
      <c r="AE522" s="2996">
        <v>1555.4850000000001</v>
      </c>
      <c r="AF522" s="2996">
        <v>2245.9850000000001</v>
      </c>
      <c r="AG522" s="2996">
        <v>11.824999999999999</v>
      </c>
      <c r="AH522" s="2996">
        <v>195.54500000000002</v>
      </c>
      <c r="AI522" s="2996">
        <v>2238</v>
      </c>
    </row>
    <row r="523" spans="1:35">
      <c r="A523" s="3005">
        <v>45478</v>
      </c>
      <c r="B523" s="3004">
        <v>1.0829000153586239</v>
      </c>
      <c r="C523" s="3003">
        <v>0.67329995392412834</v>
      </c>
      <c r="D523" s="3003">
        <v>1.3604995839725584</v>
      </c>
      <c r="E523" s="3003">
        <v>0.89809968672031815</v>
      </c>
      <c r="F523" s="3003">
        <v>1.2780003071724775</v>
      </c>
      <c r="G523" s="3003">
        <v>7.8105506612157161</v>
      </c>
      <c r="H523" s="3003">
        <v>160.77337152451972</v>
      </c>
      <c r="I523" s="3003">
        <v>4.7094955176249842</v>
      </c>
      <c r="J523" s="3003">
        <v>0.61180003071724776</v>
      </c>
      <c r="K523" s="3003">
        <v>1.3497495158439572</v>
      </c>
      <c r="L523" s="3003">
        <v>3.7514404240608434</v>
      </c>
      <c r="M523" s="3003">
        <v>36.570022803608133</v>
      </c>
      <c r="N523" s="3003">
        <v>10.4807865660494</v>
      </c>
      <c r="O523" s="3003">
        <v>7.2673088299309088</v>
      </c>
      <c r="P523" s="3003">
        <v>7.2862578334825425</v>
      </c>
      <c r="Q523" s="3002">
        <v>1380.033912674862</v>
      </c>
      <c r="R523" s="3001">
        <v>16277.5</v>
      </c>
      <c r="S523" s="3000">
        <v>17626.904999999999</v>
      </c>
      <c r="T523" s="3002">
        <v>10959.64</v>
      </c>
      <c r="U523" s="3002">
        <v>11964.355</v>
      </c>
      <c r="V523" s="3002">
        <v>18124.38</v>
      </c>
      <c r="W523" s="3002">
        <v>20802.650000000001</v>
      </c>
      <c r="X523" s="3002">
        <v>2084.04</v>
      </c>
      <c r="Y523" s="3002">
        <v>101.245</v>
      </c>
      <c r="Z523" s="3002">
        <v>3456.3150000000005</v>
      </c>
      <c r="AA523" s="3002">
        <v>9958.5750000000007</v>
      </c>
      <c r="AB523" s="3002">
        <v>12059.645</v>
      </c>
      <c r="AC523" s="3002">
        <v>4339</v>
      </c>
      <c r="AD523" s="3002">
        <v>445.10500000000002</v>
      </c>
      <c r="AE523" s="3002">
        <v>1553.08</v>
      </c>
      <c r="AF523" s="3002">
        <v>2239.8250000000003</v>
      </c>
      <c r="AG523" s="3002">
        <v>11.795000000000002</v>
      </c>
      <c r="AH523" s="3002">
        <v>194.98500000000001</v>
      </c>
      <c r="AI523" s="3002">
        <v>2234</v>
      </c>
    </row>
    <row r="524" spans="1:35">
      <c r="A524" s="3017">
        <v>45481</v>
      </c>
      <c r="B524" s="3016">
        <v>1.0837000922792985</v>
      </c>
      <c r="C524" s="3015">
        <v>0.6745001537988311</v>
      </c>
      <c r="D524" s="3015">
        <v>1.3631998926548223</v>
      </c>
      <c r="E524" s="3015">
        <v>0.8947500383248056</v>
      </c>
      <c r="F524" s="3015">
        <v>1.2814500153798831</v>
      </c>
      <c r="G524" s="3015">
        <v>7.8112423263133852</v>
      </c>
      <c r="H524" s="3015">
        <v>160.90076713684729</v>
      </c>
      <c r="I524" s="3015">
        <v>4.7090008401170369</v>
      </c>
      <c r="J524" s="3015">
        <v>0.61410027683789603</v>
      </c>
      <c r="K524" s="3015">
        <v>1.348950341532152</v>
      </c>
      <c r="L524" s="3015">
        <v>3.7510095765547478</v>
      </c>
      <c r="M524" s="3015">
        <v>36.449988619889737</v>
      </c>
      <c r="N524" s="3015">
        <v>10.490887030152829</v>
      </c>
      <c r="O524" s="3015">
        <v>7.2697592772727786</v>
      </c>
      <c r="P524" s="3015">
        <v>7.2876036763057614</v>
      </c>
      <c r="Q524" s="3014">
        <v>1382.8158230540196</v>
      </c>
      <c r="R524" s="3013">
        <v>16255</v>
      </c>
      <c r="S524" s="3012">
        <v>17615.544999999998</v>
      </c>
      <c r="T524" s="3014">
        <v>10964</v>
      </c>
      <c r="U524" s="3014">
        <v>11924.15</v>
      </c>
      <c r="V524" s="3014">
        <v>18167.084999999999</v>
      </c>
      <c r="W524" s="3014">
        <v>20829.97</v>
      </c>
      <c r="X524" s="3014">
        <v>2080.9750000000004</v>
      </c>
      <c r="Y524" s="3014">
        <v>101.02500000000001</v>
      </c>
      <c r="Z524" s="3014">
        <v>3451.9</v>
      </c>
      <c r="AA524" s="3014">
        <v>9982.2000000000007</v>
      </c>
      <c r="AB524" s="3014">
        <v>12050.11</v>
      </c>
      <c r="AC524" s="3014">
        <v>4333.5</v>
      </c>
      <c r="AD524" s="3014">
        <v>445.95350000000002</v>
      </c>
      <c r="AE524" s="3014">
        <v>1549.44</v>
      </c>
      <c r="AF524" s="3014">
        <v>2235.9749999999999</v>
      </c>
      <c r="AG524" s="3014">
        <v>11.754999999999999</v>
      </c>
      <c r="AH524" s="3014">
        <v>194.745</v>
      </c>
      <c r="AI524" s="3014">
        <v>2230.5</v>
      </c>
    </row>
    <row r="525" spans="1:35">
      <c r="A525" s="3023">
        <v>45482</v>
      </c>
      <c r="B525" s="3022">
        <v>1.0818000000000001</v>
      </c>
      <c r="C525" s="3021">
        <v>0.67420000000000002</v>
      </c>
      <c r="D525" s="3021">
        <v>1.3639999697821545</v>
      </c>
      <c r="E525" s="3021">
        <v>0.89849991982616095</v>
      </c>
      <c r="F525" s="3021">
        <v>1.2798498461538463</v>
      </c>
      <c r="G525" s="3021">
        <v>7.8110542039093716</v>
      </c>
      <c r="H525" s="3021">
        <v>160.92295504060212</v>
      </c>
      <c r="I525" s="3021">
        <v>4.709496518595266</v>
      </c>
      <c r="J525" s="3021">
        <v>0.61199999999999999</v>
      </c>
      <c r="K525" s="3021">
        <v>1.3500501387851542</v>
      </c>
      <c r="L525" s="3021">
        <v>3.750721292556261</v>
      </c>
      <c r="M525" s="3021">
        <v>36.419993119422841</v>
      </c>
      <c r="N525" s="3021">
        <v>10.570446333030855</v>
      </c>
      <c r="O525" s="3021">
        <v>7.2717509257498287</v>
      </c>
      <c r="P525" s="3021">
        <v>7.2886297376093294</v>
      </c>
      <c r="Q525" s="3020">
        <v>1382.3904721395152</v>
      </c>
      <c r="R525" s="3019">
        <v>16250</v>
      </c>
      <c r="S525" s="3018">
        <v>17579.25</v>
      </c>
      <c r="T525" s="3020">
        <v>10955.75</v>
      </c>
      <c r="U525" s="3020">
        <v>11913.49</v>
      </c>
      <c r="V525" s="3020">
        <v>18085.7</v>
      </c>
      <c r="W525" s="3020">
        <v>20797.560000000001</v>
      </c>
      <c r="X525" s="3020">
        <v>2080.3850000000002</v>
      </c>
      <c r="Y525" s="3020">
        <v>100.97999999999999</v>
      </c>
      <c r="Z525" s="3020">
        <v>3450.4749999999999</v>
      </c>
      <c r="AA525" s="3020">
        <v>9945</v>
      </c>
      <c r="AB525" s="3020">
        <v>12036.59</v>
      </c>
      <c r="AC525" s="3020">
        <v>4332.5</v>
      </c>
      <c r="AD525" s="3020">
        <v>446.18349999999998</v>
      </c>
      <c r="AE525" s="3020">
        <v>1537.3050000000001</v>
      </c>
      <c r="AF525" s="3020">
        <v>2234.6750000000002</v>
      </c>
      <c r="AG525" s="3020">
        <v>11.754999999999999</v>
      </c>
      <c r="AH525" s="3020">
        <v>194.63499999999999</v>
      </c>
      <c r="AI525" s="3020">
        <v>2229.5</v>
      </c>
    </row>
    <row r="526" spans="1:35">
      <c r="A526" s="3029">
        <v>45483</v>
      </c>
      <c r="B526" s="3028">
        <v>1.0816000615763546</v>
      </c>
      <c r="C526" s="3027">
        <v>0.67389993842364537</v>
      </c>
      <c r="D526" s="3027">
        <v>1.3639998118620948</v>
      </c>
      <c r="E526" s="3027">
        <v>0.89719989657892807</v>
      </c>
      <c r="F526" s="3027">
        <v>1.2793001847290639</v>
      </c>
      <c r="G526" s="3027">
        <v>7.8113914522021251</v>
      </c>
      <c r="H526" s="3027">
        <v>161.49562450278441</v>
      </c>
      <c r="I526" s="3027">
        <v>4.705998264228473</v>
      </c>
      <c r="J526" s="3027">
        <v>0.60739993842364526</v>
      </c>
      <c r="K526" s="3027">
        <v>1.3497497477530489</v>
      </c>
      <c r="L526" s="3027">
        <v>3.7510105092966857</v>
      </c>
      <c r="M526" s="3027">
        <v>36.385022544599103</v>
      </c>
      <c r="N526" s="3027">
        <v>10.560815731973781</v>
      </c>
      <c r="O526" s="3027">
        <v>7.275855271410907</v>
      </c>
      <c r="P526" s="3027">
        <v>7.2923215087561744</v>
      </c>
      <c r="Q526" s="3026">
        <v>1383.8943331913081</v>
      </c>
      <c r="R526" s="3025">
        <v>16240</v>
      </c>
      <c r="S526" s="3024">
        <v>17565.184999999998</v>
      </c>
      <c r="T526" s="3026">
        <v>10944.135</v>
      </c>
      <c r="U526" s="3026">
        <v>11906.16</v>
      </c>
      <c r="V526" s="3026">
        <v>18100.760000000002</v>
      </c>
      <c r="W526" s="3026">
        <v>20775.834999999999</v>
      </c>
      <c r="X526" s="3026">
        <v>2079.0149999999999</v>
      </c>
      <c r="Y526" s="3026">
        <v>100.56</v>
      </c>
      <c r="Z526" s="3026">
        <v>3450.915</v>
      </c>
      <c r="AA526" s="3026">
        <v>9864.1749999999993</v>
      </c>
      <c r="AB526" s="3026">
        <v>12031.86</v>
      </c>
      <c r="AC526" s="3026">
        <v>4329.5</v>
      </c>
      <c r="AD526" s="3026">
        <v>446.33749999999998</v>
      </c>
      <c r="AE526" s="3026">
        <v>1537.76</v>
      </c>
      <c r="AF526" s="3026">
        <v>2232.04</v>
      </c>
      <c r="AG526" s="3026">
        <v>11.734999999999999</v>
      </c>
      <c r="AH526" s="3026">
        <v>194.54500000000002</v>
      </c>
      <c r="AI526" s="3026">
        <v>2227</v>
      </c>
    </row>
    <row r="527" spans="1:35">
      <c r="A527" s="3035">
        <v>45484</v>
      </c>
      <c r="B527" s="3034">
        <v>1.0839000895365711</v>
      </c>
      <c r="C527" s="3033">
        <v>0.6757497915959122</v>
      </c>
      <c r="D527" s="3033">
        <v>1.363200366337213</v>
      </c>
      <c r="E527" s="3033">
        <v>0.89899996696996021</v>
      </c>
      <c r="F527" s="3033">
        <v>1.2866000802741673</v>
      </c>
      <c r="G527" s="3033">
        <v>7.8094333344585305</v>
      </c>
      <c r="H527" s="3033">
        <v>161.63788801277573</v>
      </c>
      <c r="I527" s="3033">
        <v>4.6904959132484896</v>
      </c>
      <c r="J527" s="3033">
        <v>0.60920003704961567</v>
      </c>
      <c r="K527" s="3033">
        <v>1.3479998917904312</v>
      </c>
      <c r="L527" s="3033">
        <v>3.750897510133179</v>
      </c>
      <c r="M527" s="3033">
        <v>36.260009874132791</v>
      </c>
      <c r="N527" s="3033">
        <v>10.534823888344983</v>
      </c>
      <c r="O527" s="3033">
        <v>7.2710089032762077</v>
      </c>
      <c r="P527" s="3033">
        <v>7.2866141732283465</v>
      </c>
      <c r="Q527" s="3032">
        <v>1378.8420604512557</v>
      </c>
      <c r="R527" s="3031">
        <v>16194.5</v>
      </c>
      <c r="S527" s="3030">
        <v>17553.22</v>
      </c>
      <c r="T527" s="3032">
        <v>10943.43</v>
      </c>
      <c r="U527" s="3032">
        <v>11879.764999999999</v>
      </c>
      <c r="V527" s="3032">
        <v>18013.904999999999</v>
      </c>
      <c r="W527" s="3032">
        <v>20835.845000000001</v>
      </c>
      <c r="X527" s="3032">
        <v>2073.71</v>
      </c>
      <c r="Y527" s="3032">
        <v>100.19</v>
      </c>
      <c r="Z527" s="3032">
        <v>3452.62</v>
      </c>
      <c r="AA527" s="3032">
        <v>9865.69</v>
      </c>
      <c r="AB527" s="3032">
        <v>12013.725</v>
      </c>
      <c r="AC527" s="3032">
        <v>4317.5</v>
      </c>
      <c r="AD527" s="3032">
        <v>446.62150000000003</v>
      </c>
      <c r="AE527" s="3032">
        <v>1537.2350000000001</v>
      </c>
      <c r="AF527" s="3032">
        <v>2227.27</v>
      </c>
      <c r="AG527" s="3032">
        <v>11.745000000000001</v>
      </c>
      <c r="AH527" s="3032">
        <v>193.79500000000002</v>
      </c>
      <c r="AI527" s="3032">
        <v>2222.5</v>
      </c>
    </row>
    <row r="528" spans="1:35">
      <c r="A528" s="3041">
        <v>45485</v>
      </c>
      <c r="B528" s="3040">
        <v>1.0875002323780016</v>
      </c>
      <c r="C528" s="3039">
        <v>0.67699984508133226</v>
      </c>
      <c r="D528" s="3039">
        <v>1.3624001205581642</v>
      </c>
      <c r="E528" s="3039">
        <v>0.89570000169287989</v>
      </c>
      <c r="F528" s="3039">
        <v>1.2927498063516654</v>
      </c>
      <c r="G528" s="3039">
        <v>7.8067552923874768</v>
      </c>
      <c r="H528" s="3039">
        <v>159.21760149967935</v>
      </c>
      <c r="I528" s="3039">
        <v>4.6700033134957666</v>
      </c>
      <c r="J528" s="3039">
        <v>0.61029992254066612</v>
      </c>
      <c r="K528" s="3039">
        <v>1.3437497007528745</v>
      </c>
      <c r="L528" s="3039">
        <v>3.7507263219058689</v>
      </c>
      <c r="M528" s="3039">
        <v>36.194989783536577</v>
      </c>
      <c r="N528" s="3039">
        <v>10.539360552259227</v>
      </c>
      <c r="O528" s="3039">
        <v>7.2606896924077144</v>
      </c>
      <c r="P528" s="3039">
        <v>7.2740590489069188</v>
      </c>
      <c r="Q528" s="3038">
        <v>1377.5074690567649</v>
      </c>
      <c r="R528" s="3037">
        <v>16137.5</v>
      </c>
      <c r="S528" s="3036">
        <v>17549.535</v>
      </c>
      <c r="T528" s="3038">
        <v>10925.084999999999</v>
      </c>
      <c r="U528" s="3038">
        <v>11844.904999999999</v>
      </c>
      <c r="V528" s="3038">
        <v>18016.635000000002</v>
      </c>
      <c r="W528" s="3038">
        <v>20861.75</v>
      </c>
      <c r="X528" s="3038">
        <v>2067.12</v>
      </c>
      <c r="Y528" s="3038">
        <v>101.35499999999999</v>
      </c>
      <c r="Z528" s="3038">
        <v>3455.5650000000001</v>
      </c>
      <c r="AA528" s="3038">
        <v>9848.7150000000001</v>
      </c>
      <c r="AB528" s="3038">
        <v>12009.305</v>
      </c>
      <c r="AC528" s="3038">
        <v>4302.5</v>
      </c>
      <c r="AD528" s="3038">
        <v>445.84900000000005</v>
      </c>
      <c r="AE528" s="3038">
        <v>1531.165</v>
      </c>
      <c r="AF528" s="3038">
        <v>2222.585</v>
      </c>
      <c r="AG528" s="3038">
        <v>11.715</v>
      </c>
      <c r="AH528" s="3038">
        <v>193.185</v>
      </c>
      <c r="AI528" s="3038">
        <v>2218.5</v>
      </c>
    </row>
    <row r="529" spans="1:35">
      <c r="A529" s="3047">
        <v>45488</v>
      </c>
      <c r="B529" s="3046">
        <v>1.0896001855287569</v>
      </c>
      <c r="C529" s="3045">
        <v>0.67790012368583796</v>
      </c>
      <c r="D529" s="3045">
        <v>1.3653502478022039</v>
      </c>
      <c r="E529" s="3045">
        <v>0.89489990071425973</v>
      </c>
      <c r="F529" s="3045">
        <v>1.298200061842919</v>
      </c>
      <c r="G529" s="3045">
        <v>7.8067668301726476</v>
      </c>
      <c r="H529" s="3045">
        <v>157.9332910094252</v>
      </c>
      <c r="I529" s="3045">
        <v>4.6719993527966261</v>
      </c>
      <c r="J529" s="3045">
        <v>0.60925015460729748</v>
      </c>
      <c r="K529" s="3045">
        <v>1.3423002643509703</v>
      </c>
      <c r="L529" s="3045">
        <v>3.7504348834512351</v>
      </c>
      <c r="M529" s="3045">
        <v>36.254995711955516</v>
      </c>
      <c r="N529" s="3045">
        <v>10.573015597976939</v>
      </c>
      <c r="O529" s="3045">
        <v>7.263694107288849</v>
      </c>
      <c r="P529" s="3045">
        <v>7.2755905511811028</v>
      </c>
      <c r="Q529" s="3044">
        <v>1382.6421547669945</v>
      </c>
      <c r="R529" s="3043">
        <v>16170</v>
      </c>
      <c r="S529" s="3042">
        <v>17618.834999999999</v>
      </c>
      <c r="T529" s="3044">
        <v>10961.645</v>
      </c>
      <c r="U529" s="3044">
        <v>11843.115000000002</v>
      </c>
      <c r="V529" s="3044">
        <v>18069.059999999998</v>
      </c>
      <c r="W529" s="3044">
        <v>20991.895</v>
      </c>
      <c r="X529" s="3044">
        <v>2071.2799999999997</v>
      </c>
      <c r="Y529" s="3044">
        <v>102.38500000000001</v>
      </c>
      <c r="Z529" s="3044">
        <v>3461.0450000000001</v>
      </c>
      <c r="AA529" s="3044">
        <v>9851.5750000000007</v>
      </c>
      <c r="AB529" s="3044">
        <v>12046.485000000001</v>
      </c>
      <c r="AC529" s="3044">
        <v>4311.5</v>
      </c>
      <c r="AD529" s="3044">
        <v>446.00749999999999</v>
      </c>
      <c r="AE529" s="3044">
        <v>1529.365</v>
      </c>
      <c r="AF529" s="3044">
        <v>2226.1400000000003</v>
      </c>
      <c r="AG529" s="3044">
        <v>11.695</v>
      </c>
      <c r="AH529" s="3044">
        <v>193.51499999999999</v>
      </c>
      <c r="AI529" s="3044">
        <v>2222.5</v>
      </c>
    </row>
    <row r="530" spans="1:35">
      <c r="A530" s="3053">
        <v>45489</v>
      </c>
      <c r="B530" s="3052">
        <v>1.0899499381953028</v>
      </c>
      <c r="C530" s="3051">
        <v>0.67439987639060572</v>
      </c>
      <c r="D530" s="3051">
        <v>1.3688999137880711</v>
      </c>
      <c r="E530" s="3051">
        <v>0.89504987081797205</v>
      </c>
      <c r="F530" s="3051">
        <v>1.2968501236093943</v>
      </c>
      <c r="G530" s="3051">
        <v>7.8047556913696665</v>
      </c>
      <c r="H530" s="3051">
        <v>158.49537150413869</v>
      </c>
      <c r="I530" s="3051">
        <v>4.6779973660966627</v>
      </c>
      <c r="J530" s="3051">
        <v>0.60600030902348578</v>
      </c>
      <c r="K530" s="3051">
        <v>1.3441999185836884</v>
      </c>
      <c r="L530" s="3051">
        <v>3.7510142575634635</v>
      </c>
      <c r="M530" s="3051">
        <v>36.114983142249059</v>
      </c>
      <c r="N530" s="3051">
        <v>10.605559069621103</v>
      </c>
      <c r="O530" s="3051">
        <v>7.2659504002335167</v>
      </c>
      <c r="P530" s="3051">
        <v>7.2800899887514063</v>
      </c>
      <c r="Q530" s="3050">
        <v>1384.0889649272883</v>
      </c>
      <c r="R530" s="3049">
        <v>16180</v>
      </c>
      <c r="S530" s="3048">
        <v>17635.39</v>
      </c>
      <c r="T530" s="3050">
        <v>10911.79</v>
      </c>
      <c r="U530" s="3050">
        <v>11819.71</v>
      </c>
      <c r="V530" s="3050">
        <v>18077.205000000002</v>
      </c>
      <c r="W530" s="3050">
        <v>20983.035</v>
      </c>
      <c r="X530" s="3050">
        <v>2073.0950000000003</v>
      </c>
      <c r="Y530" s="3050">
        <v>102.08500000000001</v>
      </c>
      <c r="Z530" s="3050">
        <v>3458.7449999999999</v>
      </c>
      <c r="AA530" s="3050">
        <v>9805.0849999999991</v>
      </c>
      <c r="AB530" s="3050">
        <v>12036.900000000001</v>
      </c>
      <c r="AC530" s="3050">
        <v>4313.5</v>
      </c>
      <c r="AD530" s="3050">
        <v>448.01350000000002</v>
      </c>
      <c r="AE530" s="3050">
        <v>1525.615</v>
      </c>
      <c r="AF530" s="3050">
        <v>2226.8249999999998</v>
      </c>
      <c r="AG530" s="3050">
        <v>11.69</v>
      </c>
      <c r="AH530" s="3050">
        <v>193.565</v>
      </c>
      <c r="AI530" s="3050">
        <v>2222.5</v>
      </c>
    </row>
    <row r="531" spans="1:35">
      <c r="A531" s="3059">
        <v>45490</v>
      </c>
      <c r="B531" s="3058">
        <v>1.0908003105590063</v>
      </c>
      <c r="C531" s="3057">
        <v>0.67349999999999999</v>
      </c>
      <c r="D531" s="3057">
        <v>1.3675997774464959</v>
      </c>
      <c r="E531" s="3057">
        <v>0.89169974309631939</v>
      </c>
      <c r="F531" s="3057">
        <v>1.3007500000000001</v>
      </c>
      <c r="G531" s="3057">
        <v>7.8067608488518969</v>
      </c>
      <c r="H531" s="3057">
        <v>157.08083321137616</v>
      </c>
      <c r="I531" s="3057">
        <v>4.6704978286536489</v>
      </c>
      <c r="J531" s="3057">
        <v>0.60770000000000002</v>
      </c>
      <c r="K531" s="3057">
        <v>1.3413497727828465</v>
      </c>
      <c r="L531" s="3057">
        <v>3.7507280139778683</v>
      </c>
      <c r="M531" s="3057">
        <v>35.889993825137708</v>
      </c>
      <c r="N531" s="3057">
        <v>10.590816249338074</v>
      </c>
      <c r="O531" s="3057">
        <v>7.2663922588099368</v>
      </c>
      <c r="P531" s="3057">
        <v>7.2784810126582276</v>
      </c>
      <c r="Q531" s="3056">
        <v>1380.1971710244322</v>
      </c>
      <c r="R531" s="3055">
        <v>16100</v>
      </c>
      <c r="S531" s="3054">
        <v>17561.885000000002</v>
      </c>
      <c r="T531" s="3056">
        <v>10843.35</v>
      </c>
      <c r="U531" s="3056">
        <v>11772.45</v>
      </c>
      <c r="V531" s="3056">
        <v>18055.404999999999</v>
      </c>
      <c r="W531" s="3056">
        <v>20942.075000000001</v>
      </c>
      <c r="X531" s="3056">
        <v>2062.3150000000001</v>
      </c>
      <c r="Y531" s="3056">
        <v>102.495</v>
      </c>
      <c r="Z531" s="3056">
        <v>3447.17</v>
      </c>
      <c r="AA531" s="3056">
        <v>9783.9700000000012</v>
      </c>
      <c r="AB531" s="3056">
        <v>12002.835000000001</v>
      </c>
      <c r="AC531" s="3056">
        <v>4292.5</v>
      </c>
      <c r="AD531" s="3056">
        <v>448.59300000000002</v>
      </c>
      <c r="AE531" s="3056">
        <v>1520.1849999999999</v>
      </c>
      <c r="AF531" s="3056">
        <v>2215.6799999999998</v>
      </c>
      <c r="AG531" s="3056">
        <v>11.664999999999999</v>
      </c>
      <c r="AH531" s="3056">
        <v>192.7</v>
      </c>
      <c r="AI531" s="3056">
        <v>2212</v>
      </c>
    </row>
    <row r="532" spans="1:35">
      <c r="A532" s="3065">
        <v>45491</v>
      </c>
      <c r="B532" s="3064">
        <v>1.0931999380996595</v>
      </c>
      <c r="C532" s="3063">
        <v>0.67380006190034047</v>
      </c>
      <c r="D532" s="3063">
        <v>1.3674998074241993</v>
      </c>
      <c r="E532" s="3063">
        <v>0.88384992004044216</v>
      </c>
      <c r="F532" s="3063">
        <v>1.3</v>
      </c>
      <c r="G532" s="3063">
        <v>7.8068558256638001</v>
      </c>
      <c r="H532" s="3063">
        <v>156.2530225360286</v>
      </c>
      <c r="I532" s="3063">
        <v>4.6654951186300693</v>
      </c>
      <c r="J532" s="3063">
        <v>0.60730021665119172</v>
      </c>
      <c r="K532" s="3063">
        <v>1.3403997137493648</v>
      </c>
      <c r="L532" s="3063">
        <v>3.7504352872896112</v>
      </c>
      <c r="M532" s="3063">
        <v>35.929981573513011</v>
      </c>
      <c r="N532" s="3063">
        <v>10.575308569240287</v>
      </c>
      <c r="O532" s="3063">
        <v>7.2591570750382504</v>
      </c>
      <c r="P532" s="3063">
        <v>7.268841394825647</v>
      </c>
      <c r="Q532" s="3062">
        <v>1380.7692307692309</v>
      </c>
      <c r="R532" s="3061">
        <v>16155</v>
      </c>
      <c r="S532" s="3060">
        <v>17660.645</v>
      </c>
      <c r="T532" s="3062">
        <v>10885.24</v>
      </c>
      <c r="U532" s="3062">
        <v>11813.529999999999</v>
      </c>
      <c r="V532" s="3062">
        <v>18277.989999999998</v>
      </c>
      <c r="W532" s="3062">
        <v>21001.5</v>
      </c>
      <c r="X532" s="3062">
        <v>2069.335</v>
      </c>
      <c r="Y532" s="3062">
        <v>103.39000000000001</v>
      </c>
      <c r="Z532" s="3062">
        <v>3462.6549999999997</v>
      </c>
      <c r="AA532" s="3062">
        <v>9810.9350000000013</v>
      </c>
      <c r="AB532" s="3062">
        <v>12052.375</v>
      </c>
      <c r="AC532" s="3062">
        <v>4307.5</v>
      </c>
      <c r="AD532" s="3062">
        <v>449.62450000000001</v>
      </c>
      <c r="AE532" s="3062">
        <v>1527.615</v>
      </c>
      <c r="AF532" s="3062">
        <v>2225.4650000000001</v>
      </c>
      <c r="AG532" s="3062">
        <v>11.7</v>
      </c>
      <c r="AH532" s="3062">
        <v>193.18</v>
      </c>
      <c r="AI532" s="3062">
        <v>2222.5</v>
      </c>
    </row>
    <row r="533" spans="1:35">
      <c r="A533" s="3071">
        <v>45492</v>
      </c>
      <c r="B533" s="3070">
        <v>1.0888001852995679</v>
      </c>
      <c r="C533" s="3069">
        <v>0.66955003088326126</v>
      </c>
      <c r="D533" s="3069">
        <v>1.3711995582349046</v>
      </c>
      <c r="E533" s="3069">
        <v>0.88859982409126381</v>
      </c>
      <c r="F533" s="3069">
        <v>1.2928999382334776</v>
      </c>
      <c r="G533" s="3069">
        <v>7.8099938012093668</v>
      </c>
      <c r="H533" s="3069">
        <v>157.31428849050187</v>
      </c>
      <c r="I533" s="3069">
        <v>4.6814976744320536</v>
      </c>
      <c r="J533" s="3069">
        <v>0.60305003088326137</v>
      </c>
      <c r="K533" s="3069">
        <v>1.3441998482274662</v>
      </c>
      <c r="L533" s="3069">
        <v>3.7507239661763001</v>
      </c>
      <c r="M533" s="3069">
        <v>36.234965510758578</v>
      </c>
      <c r="N533" s="3069">
        <v>10.641269590879663</v>
      </c>
      <c r="O533" s="3069">
        <v>7.2675527784137071</v>
      </c>
      <c r="P533" s="3069">
        <v>7.2796762589928061</v>
      </c>
      <c r="Q533" s="3068">
        <v>1388.5077186963979</v>
      </c>
      <c r="R533" s="3067">
        <v>16190</v>
      </c>
      <c r="S533" s="3066">
        <v>17627.675000000003</v>
      </c>
      <c r="T533" s="3068">
        <v>10840.014999999999</v>
      </c>
      <c r="U533" s="3068">
        <v>11807.18</v>
      </c>
      <c r="V533" s="3068">
        <v>18219.675000000003</v>
      </c>
      <c r="W533" s="3068">
        <v>20932.050000000003</v>
      </c>
      <c r="X533" s="3068">
        <v>2072.9850000000001</v>
      </c>
      <c r="Y533" s="3068">
        <v>102.91500000000001</v>
      </c>
      <c r="Z533" s="3068">
        <v>3458.2950000000001</v>
      </c>
      <c r="AA533" s="3068">
        <v>9763.380000000001</v>
      </c>
      <c r="AB533" s="3068">
        <v>12044.34</v>
      </c>
      <c r="AC533" s="3068">
        <v>4316.5</v>
      </c>
      <c r="AD533" s="3068">
        <v>446.80600000000004</v>
      </c>
      <c r="AE533" s="3068">
        <v>1521.4349999999999</v>
      </c>
      <c r="AF533" s="3068">
        <v>2227.71</v>
      </c>
      <c r="AG533" s="3068">
        <v>11.66</v>
      </c>
      <c r="AH533" s="3068">
        <v>193.58500000000001</v>
      </c>
      <c r="AI533" s="3068">
        <v>2224</v>
      </c>
    </row>
    <row r="534" spans="1:35">
      <c r="A534" s="3077">
        <v>45495</v>
      </c>
      <c r="B534" s="3076">
        <v>1.0887000616522811</v>
      </c>
      <c r="C534" s="3075">
        <v>0.66639981504315671</v>
      </c>
      <c r="D534" s="3075">
        <v>1.3745500615454367</v>
      </c>
      <c r="E534" s="3075">
        <v>0.88794996604494669</v>
      </c>
      <c r="F534" s="3075">
        <v>1.2924001233045623</v>
      </c>
      <c r="G534" s="3075">
        <v>7.8083441448250452</v>
      </c>
      <c r="H534" s="3075">
        <v>156.81345772707496</v>
      </c>
      <c r="I534" s="3075">
        <v>4.6810021153973809</v>
      </c>
      <c r="J534" s="3075">
        <v>0.59979993834771894</v>
      </c>
      <c r="K534" s="3075">
        <v>1.3449001378481182</v>
      </c>
      <c r="L534" s="3075">
        <v>3.7507226268932823</v>
      </c>
      <c r="M534" s="3075">
        <v>36.304993279547325</v>
      </c>
      <c r="N534" s="3075">
        <v>10.660847675415967</v>
      </c>
      <c r="O534" s="3075">
        <v>7.2736567614289909</v>
      </c>
      <c r="P534" s="3075">
        <v>7.294805486845064</v>
      </c>
      <c r="Q534" s="3074">
        <v>1388.1044073598632</v>
      </c>
      <c r="R534" s="3073">
        <v>16220</v>
      </c>
      <c r="S534" s="3072">
        <v>17658.715</v>
      </c>
      <c r="T534" s="3074">
        <v>10809.005000000001</v>
      </c>
      <c r="U534" s="3074">
        <v>11800.225</v>
      </c>
      <c r="V534" s="3074">
        <v>18266.794999999998</v>
      </c>
      <c r="W534" s="3074">
        <v>20962.73</v>
      </c>
      <c r="X534" s="3074">
        <v>2077.2650000000003</v>
      </c>
      <c r="Y534" s="3074">
        <v>103.435</v>
      </c>
      <c r="Z534" s="3074">
        <v>3465.0699999999997</v>
      </c>
      <c r="AA534" s="3074">
        <v>9728.755000000001</v>
      </c>
      <c r="AB534" s="3074">
        <v>12060.375</v>
      </c>
      <c r="AC534" s="3074">
        <v>4324.5</v>
      </c>
      <c r="AD534" s="3074">
        <v>446.77050000000003</v>
      </c>
      <c r="AE534" s="3074">
        <v>1521.4549999999999</v>
      </c>
      <c r="AF534" s="3074">
        <v>2229.9650000000001</v>
      </c>
      <c r="AG534" s="3074">
        <v>11.684999999999999</v>
      </c>
      <c r="AH534" s="3074">
        <v>193.88499999999999</v>
      </c>
      <c r="AI534" s="3074">
        <v>2223.5</v>
      </c>
    </row>
    <row r="535" spans="1:35">
      <c r="A535" s="3083">
        <v>45496</v>
      </c>
      <c r="B535" s="3082">
        <v>1.0876002467612584</v>
      </c>
      <c r="C535" s="3081">
        <v>0.66240006169031473</v>
      </c>
      <c r="D535" s="3081">
        <v>1.3770500716133998</v>
      </c>
      <c r="E535" s="3081">
        <v>0.88964993016165717</v>
      </c>
      <c r="F535" s="3081">
        <v>1.2916002467612584</v>
      </c>
      <c r="G535" s="3081">
        <v>7.8074577838572008</v>
      </c>
      <c r="H535" s="3081">
        <v>156.04543704274164</v>
      </c>
      <c r="I535" s="3081">
        <v>4.6729982285271987</v>
      </c>
      <c r="J535" s="3081">
        <v>0.59630012338062932</v>
      </c>
      <c r="K535" s="3081">
        <v>1.3451997488849821</v>
      </c>
      <c r="L535" s="3081">
        <v>3.7510123799606618</v>
      </c>
      <c r="M535" s="3081">
        <v>36.255019732258582</v>
      </c>
      <c r="N535" s="3081">
        <v>10.74930122910733</v>
      </c>
      <c r="O535" s="3081">
        <v>7.2743427961119735</v>
      </c>
      <c r="P535" s="3081">
        <v>7.2870307934367275</v>
      </c>
      <c r="Q535" s="3080">
        <v>1386.0624198375374</v>
      </c>
      <c r="R535" s="3079">
        <v>16210</v>
      </c>
      <c r="S535" s="3078">
        <v>17630</v>
      </c>
      <c r="T535" s="3080">
        <v>10737.505000000001</v>
      </c>
      <c r="U535" s="3080">
        <v>11771.54</v>
      </c>
      <c r="V535" s="3080">
        <v>18220.650000000001</v>
      </c>
      <c r="W535" s="3080">
        <v>20936.84</v>
      </c>
      <c r="X535" s="3080">
        <v>2076.2200000000003</v>
      </c>
      <c r="Y535" s="3080">
        <v>103.88</v>
      </c>
      <c r="Z535" s="3080">
        <v>3468.8649999999998</v>
      </c>
      <c r="AA535" s="3080">
        <v>9666.0250000000015</v>
      </c>
      <c r="AB535" s="3080">
        <v>12050.255000000001</v>
      </c>
      <c r="AC535" s="3080">
        <v>4321.5</v>
      </c>
      <c r="AD535" s="3080">
        <v>447.1105</v>
      </c>
      <c r="AE535" s="3080">
        <v>1508.0050000000001</v>
      </c>
      <c r="AF535" s="3080">
        <v>2228.38</v>
      </c>
      <c r="AG535" s="3080">
        <v>11.695</v>
      </c>
      <c r="AH535" s="3080">
        <v>193.685</v>
      </c>
      <c r="AI535" s="3080">
        <v>2224.5</v>
      </c>
    </row>
    <row r="536" spans="1:35">
      <c r="A536" s="3089">
        <v>45497</v>
      </c>
      <c r="B536" s="3088">
        <v>1.083</v>
      </c>
      <c r="C536" s="3087">
        <v>0.6598501387604071</v>
      </c>
      <c r="D536" s="3087">
        <v>1.3795503252982217</v>
      </c>
      <c r="E536" s="3087">
        <v>0.89034995722586385</v>
      </c>
      <c r="F536" s="3087">
        <v>1.2887002775208141</v>
      </c>
      <c r="G536" s="3087">
        <v>7.808361664628098</v>
      </c>
      <c r="H536" s="3087">
        <v>154.59789293035229</v>
      </c>
      <c r="I536" s="3087">
        <v>4.6724999675821</v>
      </c>
      <c r="J536" s="3087">
        <v>0.59304995374653102</v>
      </c>
      <c r="K536" s="3087">
        <v>1.3449996744296193</v>
      </c>
      <c r="L536" s="3087">
        <v>3.7513013302486988</v>
      </c>
      <c r="M536" s="3087">
        <v>36.125010582411363</v>
      </c>
      <c r="N536" s="3087">
        <v>10.808378743188522</v>
      </c>
      <c r="O536" s="3087">
        <v>7.2751500794142201</v>
      </c>
      <c r="P536" s="3087">
        <v>7.2860031453605929</v>
      </c>
      <c r="Q536" s="3086">
        <v>1384.1229193341869</v>
      </c>
      <c r="R536" s="3085">
        <v>16215</v>
      </c>
      <c r="S536" s="3084">
        <v>17560.845000000001</v>
      </c>
      <c r="T536" s="3086">
        <v>10699.470000000001</v>
      </c>
      <c r="U536" s="3086">
        <v>11753.830000000002</v>
      </c>
      <c r="V536" s="3086">
        <v>18211.940000000002</v>
      </c>
      <c r="W536" s="3086">
        <v>20896.275000000001</v>
      </c>
      <c r="X536" s="3086">
        <v>2076.62</v>
      </c>
      <c r="Y536" s="3086">
        <v>104.88500000000001</v>
      </c>
      <c r="Z536" s="3086">
        <v>3470.3050000000003</v>
      </c>
      <c r="AA536" s="3086">
        <v>9616.3050000000003</v>
      </c>
      <c r="AB536" s="3086">
        <v>12055.764999999999</v>
      </c>
      <c r="AC536" s="3086">
        <v>4322.5</v>
      </c>
      <c r="AD536" s="3086">
        <v>448.858</v>
      </c>
      <c r="AE536" s="3086">
        <v>1500.2249999999999</v>
      </c>
      <c r="AF536" s="3086">
        <v>2228.8199999999997</v>
      </c>
      <c r="AG536" s="3086">
        <v>11.715</v>
      </c>
      <c r="AH536" s="3086">
        <v>193.72499999999999</v>
      </c>
      <c r="AI536" s="3086">
        <v>2225.5</v>
      </c>
    </row>
    <row r="537" spans="1:35">
      <c r="A537" s="3096">
        <v>45498</v>
      </c>
      <c r="B537" s="3095">
        <v>1.0849</v>
      </c>
      <c r="C537" s="3094">
        <v>0.65339999999999998</v>
      </c>
      <c r="D537" s="3094">
        <v>1.3822999259087239</v>
      </c>
      <c r="E537" s="3094">
        <v>0.88049990720885596</v>
      </c>
      <c r="F537" s="3094">
        <v>1.2892999999999999</v>
      </c>
      <c r="G537" s="3094">
        <v>7.8061574970336602</v>
      </c>
      <c r="H537" s="3094">
        <v>152.19630982485717</v>
      </c>
      <c r="I537" s="3094">
        <v>4.6650025765168071</v>
      </c>
      <c r="J537" s="3094">
        <v>0.59164984615384619</v>
      </c>
      <c r="K537" s="3094">
        <v>1.3427000085932801</v>
      </c>
      <c r="L537" s="3094">
        <v>3.7515872099734504</v>
      </c>
      <c r="M537" s="3094">
        <v>36.169987813496412</v>
      </c>
      <c r="N537" s="3094">
        <v>10.814911933340211</v>
      </c>
      <c r="O537" s="3094">
        <v>7.2285512204018634</v>
      </c>
      <c r="P537" s="3094">
        <v>7.2254335260115603</v>
      </c>
      <c r="Q537" s="3093">
        <v>1381.8027210884354</v>
      </c>
      <c r="R537" s="3092">
        <v>16250</v>
      </c>
      <c r="S537" s="3091">
        <v>17629.625</v>
      </c>
      <c r="T537" s="3093">
        <v>10617.75</v>
      </c>
      <c r="U537" s="3093">
        <v>11755.77</v>
      </c>
      <c r="V537" s="3093">
        <v>18455.424999999999</v>
      </c>
      <c r="W537" s="3093">
        <v>20951.125</v>
      </c>
      <c r="X537" s="3093">
        <v>2081.69</v>
      </c>
      <c r="Y537" s="3093">
        <v>106.77000000000001</v>
      </c>
      <c r="Z537" s="3093">
        <v>3483.3850000000002</v>
      </c>
      <c r="AA537" s="3093">
        <v>9614.3100000000013</v>
      </c>
      <c r="AB537" s="3093">
        <v>12102.48</v>
      </c>
      <c r="AC537" s="3093">
        <v>4331.5</v>
      </c>
      <c r="AD537" s="3093">
        <v>449.26750000000004</v>
      </c>
      <c r="AE537" s="3093">
        <v>1502.5549999999998</v>
      </c>
      <c r="AF537" s="3093">
        <v>2248.0299999999997</v>
      </c>
      <c r="AG537" s="3093">
        <v>11.76</v>
      </c>
      <c r="AH537" s="3093">
        <v>194.16499999999999</v>
      </c>
      <c r="AI537" s="3093">
        <v>2249</v>
      </c>
    </row>
    <row r="538" spans="1:35">
      <c r="A538" s="3102">
        <v>45499</v>
      </c>
      <c r="B538" s="3101">
        <v>1.0849502762430943</v>
      </c>
      <c r="C538" s="3100">
        <v>0.65589993861264584</v>
      </c>
      <c r="D538" s="3100">
        <v>1.3811996596601943</v>
      </c>
      <c r="E538" s="3100">
        <v>0.88259986070201102</v>
      </c>
      <c r="F538" s="3100">
        <v>1.2864002455494168</v>
      </c>
      <c r="G538" s="3100">
        <v>7.8062478735282417</v>
      </c>
      <c r="H538" s="3100">
        <v>153.9261079089105</v>
      </c>
      <c r="I538" s="3100">
        <v>4.6539998257249913</v>
      </c>
      <c r="J538" s="3100">
        <v>0.58999999999999986</v>
      </c>
      <c r="K538" s="3100">
        <v>1.3432503525104518</v>
      </c>
      <c r="L538" s="3100">
        <v>3.7512953367875648</v>
      </c>
      <c r="M538" s="3100">
        <v>36.07498015211727</v>
      </c>
      <c r="N538" s="3100">
        <v>10.812891834574039</v>
      </c>
      <c r="O538" s="3100">
        <v>7.2499888735591256</v>
      </c>
      <c r="P538" s="3100">
        <v>7.2593582887700538</v>
      </c>
      <c r="Q538" s="3099">
        <v>1386.9731800766283</v>
      </c>
      <c r="R538" s="3098">
        <v>16290</v>
      </c>
      <c r="S538" s="3097">
        <v>17673.840000000004</v>
      </c>
      <c r="T538" s="3099">
        <v>10684.61</v>
      </c>
      <c r="U538" s="3099">
        <v>11794.095000000001</v>
      </c>
      <c r="V538" s="3099">
        <v>18456.834999999999</v>
      </c>
      <c r="W538" s="3099">
        <v>20955.46</v>
      </c>
      <c r="X538" s="3099">
        <v>2086.79</v>
      </c>
      <c r="Y538" s="3099">
        <v>105.83000000000001</v>
      </c>
      <c r="Z538" s="3099">
        <v>3500.2150000000001</v>
      </c>
      <c r="AA538" s="3099">
        <v>9611.0999999999985</v>
      </c>
      <c r="AB538" s="3099">
        <v>12127.3</v>
      </c>
      <c r="AC538" s="3099">
        <v>4342.5</v>
      </c>
      <c r="AD538" s="3099">
        <v>451.55950000000001</v>
      </c>
      <c r="AE538" s="3099">
        <v>1506.5350000000001</v>
      </c>
      <c r="AF538" s="3099">
        <v>2246.9</v>
      </c>
      <c r="AG538" s="3099">
        <v>11.745000000000001</v>
      </c>
      <c r="AH538" s="3099">
        <v>194.57500000000002</v>
      </c>
      <c r="AI538" s="3099">
        <v>2244</v>
      </c>
    </row>
    <row r="539" spans="1:35">
      <c r="A539" s="3108">
        <v>45502</v>
      </c>
      <c r="B539" s="3107">
        <v>1.0844499385749387</v>
      </c>
      <c r="C539" s="3106">
        <v>0.65439987714987724</v>
      </c>
      <c r="D539" s="3106">
        <v>1.3836001735449359</v>
      </c>
      <c r="E539" s="3106">
        <v>0.88454969330086719</v>
      </c>
      <c r="F539" s="3106">
        <v>1.283350122850123</v>
      </c>
      <c r="G539" s="3106">
        <v>7.8091460065667828</v>
      </c>
      <c r="H539" s="3106">
        <v>153.62113706062752</v>
      </c>
      <c r="I539" s="3106">
        <v>4.6370008744221547</v>
      </c>
      <c r="J539" s="3106">
        <v>0.58819993857493857</v>
      </c>
      <c r="K539" s="3106">
        <v>1.343049820301089</v>
      </c>
      <c r="L539" s="3106">
        <v>3.7515842839036755</v>
      </c>
      <c r="M539" s="3106">
        <v>35.929980677703874</v>
      </c>
      <c r="N539" s="3106">
        <v>10.826951661119073</v>
      </c>
      <c r="O539" s="3106">
        <v>7.2571010823244118</v>
      </c>
      <c r="P539" s="3106">
        <v>7.2662352153537153</v>
      </c>
      <c r="Q539" s="3105">
        <v>1383.7654058648534</v>
      </c>
      <c r="R539" s="3104">
        <v>16280</v>
      </c>
      <c r="S539" s="3103">
        <v>17654.845000000001</v>
      </c>
      <c r="T539" s="3105">
        <v>10653.630000000001</v>
      </c>
      <c r="U539" s="3105">
        <v>11766.404999999999</v>
      </c>
      <c r="V539" s="3105">
        <v>18404.845000000001</v>
      </c>
      <c r="W539" s="3105">
        <v>20892.940000000002</v>
      </c>
      <c r="X539" s="3105">
        <v>2084.7349999999997</v>
      </c>
      <c r="Y539" s="3105">
        <v>105.97499999999999</v>
      </c>
      <c r="Z539" s="3105">
        <v>3510.8900000000003</v>
      </c>
      <c r="AA539" s="3105">
        <v>9575.8950000000004</v>
      </c>
      <c r="AB539" s="3105">
        <v>12121.665000000001</v>
      </c>
      <c r="AC539" s="3105">
        <v>4339.5</v>
      </c>
      <c r="AD539" s="3105">
        <v>453.10350000000005</v>
      </c>
      <c r="AE539" s="3105">
        <v>1503.655</v>
      </c>
      <c r="AF539" s="3105">
        <v>2243.3200000000002</v>
      </c>
      <c r="AG539" s="3105">
        <v>11.765000000000001</v>
      </c>
      <c r="AH539" s="3105">
        <v>194.435</v>
      </c>
      <c r="AI539" s="3105">
        <v>2240.5</v>
      </c>
    </row>
    <row r="540" spans="1:35">
      <c r="A540" s="3114">
        <v>45503</v>
      </c>
      <c r="B540" s="3113">
        <v>1.0818000000000001</v>
      </c>
      <c r="C540" s="3112">
        <v>0.65515000000000001</v>
      </c>
      <c r="D540" s="3112">
        <v>1.3848503320879593</v>
      </c>
      <c r="E540" s="3112">
        <v>0.88645009367547767</v>
      </c>
      <c r="F540" s="3112">
        <v>1.2850503067484662</v>
      </c>
      <c r="G540" s="3112">
        <v>7.8110024918535554</v>
      </c>
      <c r="H540" s="3112">
        <v>154.89143345845014</v>
      </c>
      <c r="I540" s="3112">
        <v>4.617995449999575</v>
      </c>
      <c r="J540" s="3112">
        <v>0.58920030674846624</v>
      </c>
      <c r="K540" s="3112">
        <v>1.344050001958355</v>
      </c>
      <c r="L540" s="3112">
        <v>3.7518701806882264</v>
      </c>
      <c r="M540" s="3112">
        <v>35.985001098315216</v>
      </c>
      <c r="N540" s="3112">
        <v>10.831536383662321</v>
      </c>
      <c r="O540" s="3112">
        <v>7.2536969378718625</v>
      </c>
      <c r="P540" s="3112">
        <v>7.2638146167557931</v>
      </c>
      <c r="Q540" s="3111">
        <v>1384.8768054375532</v>
      </c>
      <c r="R540" s="3110">
        <v>16300</v>
      </c>
      <c r="S540" s="3109">
        <v>17633.34</v>
      </c>
      <c r="T540" s="3111">
        <v>10678.945</v>
      </c>
      <c r="U540" s="3111">
        <v>11770.225</v>
      </c>
      <c r="V540" s="3111">
        <v>18387.95</v>
      </c>
      <c r="W540" s="3111">
        <v>20946.32</v>
      </c>
      <c r="X540" s="3111">
        <v>2086.8000000000002</v>
      </c>
      <c r="Y540" s="3111">
        <v>105.235</v>
      </c>
      <c r="Z540" s="3111">
        <v>3529.67</v>
      </c>
      <c r="AA540" s="3111">
        <v>9603.9650000000001</v>
      </c>
      <c r="AB540" s="3111">
        <v>12127.525000000001</v>
      </c>
      <c r="AC540" s="3111">
        <v>4344.5</v>
      </c>
      <c r="AD540" s="3111">
        <v>452.9665</v>
      </c>
      <c r="AE540" s="3111">
        <v>1504.865</v>
      </c>
      <c r="AF540" s="3111">
        <v>2247.13</v>
      </c>
      <c r="AG540" s="3111">
        <v>11.77</v>
      </c>
      <c r="AH540" s="3111">
        <v>194.67000000000002</v>
      </c>
      <c r="AI540" s="3111">
        <v>2244</v>
      </c>
    </row>
    <row r="541" spans="1:35">
      <c r="A541" s="3120">
        <v>45504</v>
      </c>
      <c r="B541" s="3119">
        <v>1.0818499384993852</v>
      </c>
      <c r="C541" s="3118">
        <v>0.65044987699876999</v>
      </c>
      <c r="D541" s="3118">
        <v>1.3839499258659049</v>
      </c>
      <c r="E541" s="3118">
        <v>0.88109975989218725</v>
      </c>
      <c r="F541" s="3118">
        <v>1.2839498769987701</v>
      </c>
      <c r="G541" s="3118">
        <v>7.8125563059004968</v>
      </c>
      <c r="H541" s="3118">
        <v>150.92588295354341</v>
      </c>
      <c r="I541" s="3118">
        <v>4.6009991468627041</v>
      </c>
      <c r="J541" s="3118">
        <v>0.59245018450184506</v>
      </c>
      <c r="K541" s="3118">
        <v>1.3395499655844405</v>
      </c>
      <c r="L541" s="3118">
        <v>3.7517305029995387</v>
      </c>
      <c r="M541" s="3118">
        <v>35.63999658066453</v>
      </c>
      <c r="N541" s="3118">
        <v>10.749524832658459</v>
      </c>
      <c r="O541" s="3118">
        <v>7.221499282735464</v>
      </c>
      <c r="P541" s="3118">
        <v>7.2250610975338816</v>
      </c>
      <c r="Q541" s="3117">
        <v>1373.8910012674271</v>
      </c>
      <c r="R541" s="3116">
        <v>16260</v>
      </c>
      <c r="S541" s="3115">
        <v>17590.88</v>
      </c>
      <c r="T541" s="3117">
        <v>10576.315000000001</v>
      </c>
      <c r="U541" s="3117">
        <v>11748.98</v>
      </c>
      <c r="V541" s="3117">
        <v>18454.21</v>
      </c>
      <c r="W541" s="3117">
        <v>20877.025000000001</v>
      </c>
      <c r="X541" s="3117">
        <v>2081.2650000000003</v>
      </c>
      <c r="Y541" s="3117">
        <v>107.735</v>
      </c>
      <c r="Z541" s="3117">
        <v>3534.0149999999999</v>
      </c>
      <c r="AA541" s="3117">
        <v>9633.24</v>
      </c>
      <c r="AB541" s="3117">
        <v>12138.404999999999</v>
      </c>
      <c r="AC541" s="3117">
        <v>4334</v>
      </c>
      <c r="AD541" s="3117">
        <v>456.22900000000004</v>
      </c>
      <c r="AE541" s="3117">
        <v>1512.625</v>
      </c>
      <c r="AF541" s="3117">
        <v>2251.61</v>
      </c>
      <c r="AG541" s="3117">
        <v>11.835000000000001</v>
      </c>
      <c r="AH541" s="3117">
        <v>194.19499999999999</v>
      </c>
      <c r="AI541" s="3117">
        <v>2250.5</v>
      </c>
    </row>
    <row r="542" spans="1:35">
      <c r="A542" s="3126">
        <v>45505</v>
      </c>
      <c r="B542" s="3125">
        <v>1.0801499846011704</v>
      </c>
      <c r="C542" s="3124">
        <v>0.65235016938712653</v>
      </c>
      <c r="D542" s="3124">
        <v>1.3823497732341832</v>
      </c>
      <c r="E542" s="3124">
        <v>0.87684997250898455</v>
      </c>
      <c r="F542" s="3124">
        <v>1.2791499846011702</v>
      </c>
      <c r="G542" s="3124">
        <v>7.8145118396954096</v>
      </c>
      <c r="H542" s="3124">
        <v>149.8661497276839</v>
      </c>
      <c r="I542" s="3124">
        <v>4.5714945422240243</v>
      </c>
      <c r="J542" s="3124">
        <v>0.59480012319063746</v>
      </c>
      <c r="K542" s="3124">
        <v>1.3378502431780763</v>
      </c>
      <c r="L542" s="3124">
        <v>3.752022186272244</v>
      </c>
      <c r="M542" s="3124">
        <v>35.624984228236883</v>
      </c>
      <c r="N542" s="3124">
        <v>10.705395558925833</v>
      </c>
      <c r="O542" s="3124">
        <v>7.2423522589135354</v>
      </c>
      <c r="P542" s="3124">
        <v>7.2493860236659966</v>
      </c>
      <c r="Q542" s="3123">
        <v>1366.0075725704669</v>
      </c>
      <c r="R542" s="3122">
        <v>16235</v>
      </c>
      <c r="S542" s="3121">
        <v>17536.235000000001</v>
      </c>
      <c r="T542" s="3123">
        <v>10590.904999999999</v>
      </c>
      <c r="U542" s="3123">
        <v>11744.495000000001</v>
      </c>
      <c r="V542" s="3123">
        <v>18515.14</v>
      </c>
      <c r="W542" s="3123">
        <v>20767</v>
      </c>
      <c r="X542" s="3123">
        <v>2077.5450000000001</v>
      </c>
      <c r="Y542" s="3123">
        <v>108.33000000000001</v>
      </c>
      <c r="Z542" s="3123">
        <v>3551.355</v>
      </c>
      <c r="AA542" s="3123">
        <v>9656.58</v>
      </c>
      <c r="AB542" s="3123">
        <v>12135.14</v>
      </c>
      <c r="AC542" s="3123">
        <v>4327</v>
      </c>
      <c r="AD542" s="3123">
        <v>455.71950000000004</v>
      </c>
      <c r="AE542" s="3123">
        <v>1516.5250000000001</v>
      </c>
      <c r="AF542" s="3123">
        <v>2241.6750000000002</v>
      </c>
      <c r="AG542" s="3123">
        <v>11.885000000000002</v>
      </c>
      <c r="AH542" s="3123">
        <v>193.875</v>
      </c>
      <c r="AI542" s="3123">
        <v>2239.5</v>
      </c>
    </row>
    <row r="543" spans="1:35">
      <c r="A543" s="3132">
        <v>45506</v>
      </c>
      <c r="B543" s="3131">
        <v>1.0804500000000001</v>
      </c>
      <c r="C543" s="3130">
        <v>0.65115000000000012</v>
      </c>
      <c r="D543" s="3130">
        <v>1.3871496002311916</v>
      </c>
      <c r="E543" s="3130">
        <v>0.87184990404269269</v>
      </c>
      <c r="F543" s="3130">
        <v>1.2713500000000002</v>
      </c>
      <c r="G543" s="3130">
        <v>7.8116335475906897</v>
      </c>
      <c r="H543" s="3130">
        <v>149.21248963802157</v>
      </c>
      <c r="I543" s="3130">
        <v>4.5079954307848782</v>
      </c>
      <c r="J543" s="3130">
        <v>0.59484999999999999</v>
      </c>
      <c r="K543" s="3130">
        <v>1.3335001580444632</v>
      </c>
      <c r="L543" s="3130">
        <v>3.7530406579404612</v>
      </c>
      <c r="M543" s="3130">
        <v>35.394981778139012</v>
      </c>
      <c r="N543" s="3130">
        <v>10.734661692498326</v>
      </c>
      <c r="O543" s="3130">
        <v>7.2156981522022354</v>
      </c>
      <c r="P543" s="3130">
        <v>7.214428857715431</v>
      </c>
      <c r="Q543" s="3129">
        <v>1369.9788583509514</v>
      </c>
      <c r="R543" s="3128">
        <v>16200</v>
      </c>
      <c r="S543" s="3127">
        <v>17503.29</v>
      </c>
      <c r="T543" s="3129">
        <v>10548.630000000001</v>
      </c>
      <c r="U543" s="3129">
        <v>11678.625</v>
      </c>
      <c r="V543" s="3129">
        <v>18581.18</v>
      </c>
      <c r="W543" s="3129">
        <v>20595.870000000003</v>
      </c>
      <c r="X543" s="3129">
        <v>2073.83</v>
      </c>
      <c r="Y543" s="3129">
        <v>108.57</v>
      </c>
      <c r="Z543" s="3129">
        <v>3593.6149999999998</v>
      </c>
      <c r="AA543" s="3129">
        <v>9636.57</v>
      </c>
      <c r="AB543" s="3129">
        <v>12148.48</v>
      </c>
      <c r="AC543" s="3129">
        <v>4316.5</v>
      </c>
      <c r="AD543" s="3129">
        <v>457.69200000000001</v>
      </c>
      <c r="AE543" s="3129">
        <v>1509.13</v>
      </c>
      <c r="AF543" s="3129">
        <v>2245.105</v>
      </c>
      <c r="AG543" s="3129">
        <v>11.824999999999999</v>
      </c>
      <c r="AH543" s="3129">
        <v>193.43</v>
      </c>
      <c r="AI543" s="3129">
        <v>2245.5</v>
      </c>
    </row>
    <row r="544" spans="1:35">
      <c r="A544" s="3138">
        <v>45509</v>
      </c>
      <c r="B544" s="3137">
        <v>1.094850169910411</v>
      </c>
      <c r="C544" s="3136">
        <v>0.64494995366079699</v>
      </c>
      <c r="D544" s="3136">
        <v>1.387799794981198</v>
      </c>
      <c r="E544" s="3136">
        <v>0.85244981224773131</v>
      </c>
      <c r="F544" s="3136">
        <v>1.2792502316960148</v>
      </c>
      <c r="G544" s="3136">
        <v>7.7814370537753321</v>
      </c>
      <c r="H544" s="3136">
        <v>143.48404255319147</v>
      </c>
      <c r="I544" s="3136">
        <v>4.432485724849033</v>
      </c>
      <c r="J544" s="3136">
        <v>0.59270003089280199</v>
      </c>
      <c r="K544" s="3136">
        <v>1.3227999715579617</v>
      </c>
      <c r="L544" s="3136">
        <v>3.7539139510611155</v>
      </c>
      <c r="M544" s="3136">
        <v>35.23000721578461</v>
      </c>
      <c r="N544" s="3136">
        <v>10.562173908787454</v>
      </c>
      <c r="O544" s="3136">
        <v>7.1449540555394924</v>
      </c>
      <c r="P544" s="3136">
        <v>7.1393912659902954</v>
      </c>
      <c r="Q544" s="3135">
        <v>1369.2893401015228</v>
      </c>
      <c r="R544" s="3134">
        <v>16185</v>
      </c>
      <c r="S544" s="3133">
        <v>17720.150000000001</v>
      </c>
      <c r="T544" s="3135">
        <v>10438.514999999999</v>
      </c>
      <c r="U544" s="3135">
        <v>11662.345000000001</v>
      </c>
      <c r="V544" s="3135">
        <v>18986.455000000002</v>
      </c>
      <c r="W544" s="3135">
        <v>20704.665000000001</v>
      </c>
      <c r="X544" s="3135">
        <v>2079.9499999999998</v>
      </c>
      <c r="Y544" s="3135">
        <v>112.80000000000001</v>
      </c>
      <c r="Z544" s="3135">
        <v>3651.45</v>
      </c>
      <c r="AA544" s="3135">
        <v>9592.85</v>
      </c>
      <c r="AB544" s="3135">
        <v>12235.41</v>
      </c>
      <c r="AC544" s="3135">
        <v>4311.5</v>
      </c>
      <c r="AD544" s="3135">
        <v>459.40949999999998</v>
      </c>
      <c r="AE544" s="3135">
        <v>1532.355</v>
      </c>
      <c r="AF544" s="3135">
        <v>2265.2349999999997</v>
      </c>
      <c r="AG544" s="3135">
        <v>11.82</v>
      </c>
      <c r="AH544" s="3135">
        <v>193.02500000000001</v>
      </c>
      <c r="AI544" s="3135">
        <v>2267</v>
      </c>
    </row>
    <row r="545" spans="1:35">
      <c r="A545" s="3142">
        <v>45510</v>
      </c>
      <c r="B545" s="3141">
        <v>1.0927002783792144</v>
      </c>
      <c r="C545" s="3141">
        <v>0.64984998453448817</v>
      </c>
      <c r="D545" s="3141">
        <v>1.3834502041369996</v>
      </c>
      <c r="E545" s="3141">
        <v>0.85595017750442204</v>
      </c>
      <c r="F545" s="3141">
        <v>1.2740501082585833</v>
      </c>
      <c r="G545" s="3141">
        <v>7.7946438043069461</v>
      </c>
      <c r="H545" s="3141">
        <v>145.29684059143409</v>
      </c>
      <c r="I545" s="3141">
        <v>4.4789994084340403</v>
      </c>
      <c r="J545" s="3141">
        <v>0.59175007732755946</v>
      </c>
      <c r="K545" s="3141">
        <v>1.326549997558623</v>
      </c>
      <c r="L545" s="3141">
        <v>3.7540640966093823</v>
      </c>
      <c r="M545" s="3141">
        <v>35.464999566697344</v>
      </c>
      <c r="N545" s="3141">
        <v>10.523403424256234</v>
      </c>
      <c r="O545" s="3141">
        <v>7.1461885152594222</v>
      </c>
      <c r="P545" s="3141">
        <v>7.1447513812154693</v>
      </c>
      <c r="Q545" s="3144">
        <v>1376.3303533418475</v>
      </c>
      <c r="R545" s="3145">
        <v>16165</v>
      </c>
      <c r="S545" s="3139">
        <v>17663.5</v>
      </c>
      <c r="T545" s="3139">
        <v>10504.825000000001</v>
      </c>
      <c r="U545" s="3143">
        <v>11684.555</v>
      </c>
      <c r="V545" s="3143">
        <v>18885.445</v>
      </c>
      <c r="W545" s="3143">
        <v>20595.02</v>
      </c>
      <c r="X545" s="3143">
        <v>2073.8599999999997</v>
      </c>
      <c r="Y545" s="3143">
        <v>111.255</v>
      </c>
      <c r="Z545" s="3143">
        <v>3609.0650000000001</v>
      </c>
      <c r="AA545" s="3143">
        <v>9565.64</v>
      </c>
      <c r="AB545" s="3143">
        <v>12185.744999999999</v>
      </c>
      <c r="AC545" s="3140">
        <v>4306</v>
      </c>
      <c r="AD545" s="3140">
        <v>455.80150000000003</v>
      </c>
      <c r="AE545" s="3140">
        <v>1536.1</v>
      </c>
      <c r="AF545" s="3140">
        <v>2262.0450000000001</v>
      </c>
      <c r="AG545" s="3140">
        <v>11.745000000000001</v>
      </c>
      <c r="AH545" s="3140">
        <v>192.57</v>
      </c>
      <c r="AI545" s="3140">
        <v>2262.5</v>
      </c>
    </row>
    <row r="546" spans="1:35">
      <c r="A546" s="3151">
        <v>45511</v>
      </c>
      <c r="B546" s="3150">
        <v>1.0921499844091052</v>
      </c>
      <c r="C546" s="3149">
        <v>0.65485001559089495</v>
      </c>
      <c r="D546" s="3149">
        <v>1.376550228630957</v>
      </c>
      <c r="E546" s="3149">
        <v>0.85579997283428832</v>
      </c>
      <c r="F546" s="3149">
        <v>1.2698500155908947</v>
      </c>
      <c r="G546" s="3149">
        <v>7.7961857762759657</v>
      </c>
      <c r="H546" s="3149">
        <v>146.68618213419933</v>
      </c>
      <c r="I546" s="3149">
        <v>4.4929873252085031</v>
      </c>
      <c r="J546" s="3149">
        <v>0.6010498908637355</v>
      </c>
      <c r="K546" s="3149">
        <v>1.3269997062145957</v>
      </c>
      <c r="L546" s="3149">
        <v>3.7539506028327287</v>
      </c>
      <c r="M546" s="3149">
        <v>35.58501678831631</v>
      </c>
      <c r="N546" s="3149">
        <v>10.465514709481617</v>
      </c>
      <c r="O546" s="3149">
        <v>7.1842524412345172</v>
      </c>
      <c r="P546" s="3149">
        <v>7.18897108271688</v>
      </c>
      <c r="Q546" s="3148">
        <v>1374.6249464209175</v>
      </c>
      <c r="R546" s="3147">
        <v>16035</v>
      </c>
      <c r="S546" s="3146">
        <v>17512.625</v>
      </c>
      <c r="T546" s="3148">
        <v>10500.52</v>
      </c>
      <c r="U546" s="3148">
        <v>11648.685000000001</v>
      </c>
      <c r="V546" s="3148">
        <v>18736.855</v>
      </c>
      <c r="W546" s="3148">
        <v>20362.044999999998</v>
      </c>
      <c r="X546" s="3148">
        <v>2056.7750000000001</v>
      </c>
      <c r="Y546" s="3148">
        <v>109.315</v>
      </c>
      <c r="Z546" s="3148">
        <v>3568.895</v>
      </c>
      <c r="AA546" s="3148">
        <v>9637.8349999999991</v>
      </c>
      <c r="AB546" s="3148">
        <v>12083.65</v>
      </c>
      <c r="AC546" s="3148">
        <v>4271.5</v>
      </c>
      <c r="AD546" s="3148">
        <v>450.61099999999999</v>
      </c>
      <c r="AE546" s="3148">
        <v>1532.1750000000002</v>
      </c>
      <c r="AF546" s="3148">
        <v>2231.9650000000001</v>
      </c>
      <c r="AG546" s="3148">
        <v>11.664999999999999</v>
      </c>
      <c r="AH546" s="3148">
        <v>191.005</v>
      </c>
      <c r="AI546" s="3148">
        <v>2230.5</v>
      </c>
    </row>
    <row r="547" spans="1:35">
      <c r="A547" s="3152">
        <v>45512</v>
      </c>
      <c r="B547" s="3153">
        <v>1.0939501085281074</v>
      </c>
      <c r="C547" s="3154">
        <v>0.65465003617603568</v>
      </c>
      <c r="D547" s="3154">
        <v>1.373749962727379</v>
      </c>
      <c r="E547" s="3154">
        <v>0.85884995859613189</v>
      </c>
      <c r="F547" s="3154">
        <v>1.2700500173015821</v>
      </c>
      <c r="G547" s="3154">
        <v>7.7893596793005777</v>
      </c>
      <c r="H547" s="3154">
        <v>145.8746328928047</v>
      </c>
      <c r="I547" s="3154">
        <v>4.4719953407629784</v>
      </c>
      <c r="J547" s="3154">
        <v>0.59935008965365388</v>
      </c>
      <c r="K547" s="3154">
        <v>1.3239497507989137</v>
      </c>
      <c r="L547" s="3154">
        <v>3.7535718502774826</v>
      </c>
      <c r="M547" s="3154">
        <v>35.344988614530706</v>
      </c>
      <c r="N547" s="3154">
        <v>10.460968402208753</v>
      </c>
      <c r="O547" s="3154">
        <v>7.1607975113249589</v>
      </c>
      <c r="P547" s="3154">
        <v>7.1596846846846844</v>
      </c>
      <c r="Q547" s="3155">
        <v>1375.5517092167893</v>
      </c>
      <c r="R547" s="3156">
        <v>15894.5</v>
      </c>
      <c r="S547" s="3157">
        <v>17387.79</v>
      </c>
      <c r="T547" s="3155">
        <v>10405.334999999999</v>
      </c>
      <c r="U547" s="3155">
        <v>11570.155000000001</v>
      </c>
      <c r="V547" s="3155">
        <v>18506.725000000002</v>
      </c>
      <c r="W547" s="3155">
        <v>20186.809999999998</v>
      </c>
      <c r="X547" s="3155">
        <v>2040.54</v>
      </c>
      <c r="Y547" s="3155">
        <v>108.96000000000001</v>
      </c>
      <c r="Z547" s="3155">
        <v>3554.23</v>
      </c>
      <c r="AA547" s="3155">
        <v>9526.3700000000008</v>
      </c>
      <c r="AB547" s="3155">
        <v>12005.365</v>
      </c>
      <c r="AC547" s="3155">
        <v>4234.5</v>
      </c>
      <c r="AD547" s="3155">
        <v>449.69600000000003</v>
      </c>
      <c r="AE547" s="3155">
        <v>1519.4099999999999</v>
      </c>
      <c r="AF547" s="3155">
        <v>2219.6549999999997</v>
      </c>
      <c r="AG547" s="3155">
        <v>11.555</v>
      </c>
      <c r="AH547" s="3155">
        <v>189.32</v>
      </c>
      <c r="AI547" s="3155">
        <v>2220</v>
      </c>
    </row>
    <row r="548" spans="1:35">
      <c r="A548" s="3163">
        <v>45513</v>
      </c>
      <c r="B548" s="3162">
        <v>1.0922000000000001</v>
      </c>
      <c r="C548" s="3161">
        <v>0.65925023547880701</v>
      </c>
      <c r="D548" s="3161">
        <v>1.3734498559279131</v>
      </c>
      <c r="E548" s="3161">
        <v>0.86585005814923932</v>
      </c>
      <c r="F548" s="3161">
        <v>1.2763500784929356</v>
      </c>
      <c r="G548" s="3161">
        <v>7.7966458511317986</v>
      </c>
      <c r="H548" s="3161">
        <v>147.20835644296542</v>
      </c>
      <c r="I548" s="3161">
        <v>4.4274851606266594</v>
      </c>
      <c r="J548" s="3161">
        <v>0.60215007849293578</v>
      </c>
      <c r="K548" s="3161">
        <v>1.3234999571992163</v>
      </c>
      <c r="L548" s="3161">
        <v>3.7532406316285649</v>
      </c>
      <c r="M548" s="3161">
        <v>35.274989866054717</v>
      </c>
      <c r="N548" s="3161">
        <v>10.513459538860189</v>
      </c>
      <c r="O548" s="3161">
        <v>7.1740050995125744</v>
      </c>
      <c r="P548" s="3161">
        <v>7.1734234234234231</v>
      </c>
      <c r="Q548" s="3160">
        <v>1365.1950278611232</v>
      </c>
      <c r="R548" s="3159">
        <v>15925</v>
      </c>
      <c r="S548" s="3158">
        <v>17393.285</v>
      </c>
      <c r="T548" s="3160">
        <v>10498.560000000001</v>
      </c>
      <c r="U548" s="3160">
        <v>11594.89</v>
      </c>
      <c r="V548" s="3160">
        <v>18392.330000000002</v>
      </c>
      <c r="W548" s="3160">
        <v>20325.875</v>
      </c>
      <c r="X548" s="3160">
        <v>2042.5450000000001</v>
      </c>
      <c r="Y548" s="3160">
        <v>108.18</v>
      </c>
      <c r="Z548" s="3160">
        <v>3596.8500000000004</v>
      </c>
      <c r="AA548" s="3160">
        <v>9589.2400000000016</v>
      </c>
      <c r="AB548" s="3160">
        <v>12032.490000000002</v>
      </c>
      <c r="AC548" s="3160">
        <v>4243</v>
      </c>
      <c r="AD548" s="3160">
        <v>451.45300000000003</v>
      </c>
      <c r="AE548" s="3160">
        <v>1514.7249999999999</v>
      </c>
      <c r="AF548" s="3160">
        <v>2219.8199999999997</v>
      </c>
      <c r="AG548" s="3160">
        <v>11.664999999999999</v>
      </c>
      <c r="AH548" s="3160">
        <v>189.69</v>
      </c>
      <c r="AI548" s="3160">
        <v>2220</v>
      </c>
    </row>
    <row r="549" spans="1:35">
      <c r="A549" s="3169">
        <v>45516</v>
      </c>
      <c r="B549" s="3168">
        <v>1.0921501096834849</v>
      </c>
      <c r="C549" s="3167">
        <v>0.65999999999999992</v>
      </c>
      <c r="D549" s="3167">
        <v>1.3721497040697506</v>
      </c>
      <c r="E549" s="3167">
        <v>0.86804988824979823</v>
      </c>
      <c r="F549" s="3167">
        <v>1.2768502036979004</v>
      </c>
      <c r="G549" s="3167">
        <v>7.7977615952299502</v>
      </c>
      <c r="H549" s="3167">
        <v>147.22709236873672</v>
      </c>
      <c r="I549" s="3167">
        <v>4.4499916327327496</v>
      </c>
      <c r="J549" s="3167">
        <v>0.60264995299279212</v>
      </c>
      <c r="K549" s="3167">
        <v>1.3244499859295347</v>
      </c>
      <c r="L549" s="3167">
        <v>3.7536760381131633</v>
      </c>
      <c r="M549" s="3167">
        <v>35.244986342705857</v>
      </c>
      <c r="N549" s="3167">
        <v>10.505764836800136</v>
      </c>
      <c r="O549" s="3167">
        <v>7.1773994016959453</v>
      </c>
      <c r="P549" s="3167">
        <v>7.1804680468046804</v>
      </c>
      <c r="Q549" s="3166">
        <v>1369.527896995708</v>
      </c>
      <c r="R549" s="3165">
        <v>15955</v>
      </c>
      <c r="S549" s="3164">
        <v>17425.255000000001</v>
      </c>
      <c r="T549" s="3166">
        <v>10530.3</v>
      </c>
      <c r="U549" s="3166">
        <v>11627.74</v>
      </c>
      <c r="V549" s="3166">
        <v>18380.28</v>
      </c>
      <c r="W549" s="3166">
        <v>20372.145</v>
      </c>
      <c r="X549" s="3166">
        <v>2046.1</v>
      </c>
      <c r="Y549" s="3166">
        <v>108.37</v>
      </c>
      <c r="Z549" s="3166">
        <v>3585.4</v>
      </c>
      <c r="AA549" s="3166">
        <v>9615.2799999999988</v>
      </c>
      <c r="AB549" s="3166">
        <v>12046.51</v>
      </c>
      <c r="AC549" s="3166">
        <v>4250.5</v>
      </c>
      <c r="AD549" s="3166">
        <v>452.68849999999998</v>
      </c>
      <c r="AE549" s="3166">
        <v>1518.69</v>
      </c>
      <c r="AF549" s="3166">
        <v>2222.9499999999998</v>
      </c>
      <c r="AG549" s="3166">
        <v>11.65</v>
      </c>
      <c r="AH549" s="3166">
        <v>190.04500000000002</v>
      </c>
      <c r="AI549" s="3166">
        <v>2222</v>
      </c>
    </row>
    <row r="550" spans="1:35">
      <c r="A550" s="3175">
        <v>45517</v>
      </c>
      <c r="B550" s="3174">
        <v>1.0930500552660667</v>
      </c>
      <c r="C550" s="3173">
        <v>0.66075003947576194</v>
      </c>
      <c r="D550" s="3173">
        <v>1.3728497872982455</v>
      </c>
      <c r="E550" s="3173">
        <v>0.86704988637854086</v>
      </c>
      <c r="F550" s="3173">
        <v>1.2809502605400285</v>
      </c>
      <c r="G550" s="3173">
        <v>7.7891505361267521</v>
      </c>
      <c r="H550" s="3173">
        <v>147.85674262233843</v>
      </c>
      <c r="I550" s="3173">
        <v>4.4479936619777662</v>
      </c>
      <c r="J550" s="3173">
        <v>0.60430001579030479</v>
      </c>
      <c r="K550" s="3173">
        <v>1.3232996863196764</v>
      </c>
      <c r="L550" s="3173">
        <v>3.7544462888309225</v>
      </c>
      <c r="M550" s="3173">
        <v>35.169968745210149</v>
      </c>
      <c r="N550" s="3173">
        <v>10.513332160205053</v>
      </c>
      <c r="O550" s="3173">
        <v>7.1725465768163543</v>
      </c>
      <c r="P550" s="3173">
        <v>7.1721404303510763</v>
      </c>
      <c r="Q550" s="3172">
        <v>1370.1860666378191</v>
      </c>
      <c r="R550" s="3171">
        <v>15832.5</v>
      </c>
      <c r="S550" s="3170">
        <v>17305.715</v>
      </c>
      <c r="T550" s="3172">
        <v>10461.325000000001</v>
      </c>
      <c r="U550" s="3172">
        <v>11532.58</v>
      </c>
      <c r="V550" s="3172">
        <v>18260.195</v>
      </c>
      <c r="W550" s="3172">
        <v>20280.645</v>
      </c>
      <c r="X550" s="3172">
        <v>2032.635</v>
      </c>
      <c r="Y550" s="3172">
        <v>107.08000000000001</v>
      </c>
      <c r="Z550" s="3172">
        <v>3559.4700000000003</v>
      </c>
      <c r="AA550" s="3172">
        <v>9567.58</v>
      </c>
      <c r="AB550" s="3172">
        <v>11964.41</v>
      </c>
      <c r="AC550" s="3172">
        <v>4217</v>
      </c>
      <c r="AD550" s="3172">
        <v>450.17100000000005</v>
      </c>
      <c r="AE550" s="3172">
        <v>1505.9450000000002</v>
      </c>
      <c r="AF550" s="3172">
        <v>2207.375</v>
      </c>
      <c r="AG550" s="3172">
        <v>11.555</v>
      </c>
      <c r="AH550" s="3172">
        <v>188.55</v>
      </c>
      <c r="AI550" s="3172">
        <v>2207.5</v>
      </c>
    </row>
    <row r="551" spans="1:35">
      <c r="A551" s="3181">
        <v>45518</v>
      </c>
      <c r="B551" s="3180">
        <v>1.1005501514909903</v>
      </c>
      <c r="C551" s="3179">
        <v>0.66335002391963005</v>
      </c>
      <c r="D551" s="3179">
        <v>1.3709501114949063</v>
      </c>
      <c r="E551" s="3179">
        <v>0.8635500098872414</v>
      </c>
      <c r="F551" s="3179">
        <v>1.28385010365173</v>
      </c>
      <c r="G551" s="3179">
        <v>7.7907008524922539</v>
      </c>
      <c r="H551" s="3179">
        <v>147.41419840150448</v>
      </c>
      <c r="I551" s="3179">
        <v>4.4199946432850759</v>
      </c>
      <c r="J551" s="3179">
        <v>0.60135002391963011</v>
      </c>
      <c r="K551" s="3179">
        <v>1.3166503038940598</v>
      </c>
      <c r="L551" s="3179">
        <v>3.7541906130268199</v>
      </c>
      <c r="M551" s="3179">
        <v>34.845006123297196</v>
      </c>
      <c r="N551" s="3179">
        <v>10.44832320324163</v>
      </c>
      <c r="O551" s="3179">
        <v>7.1466504990461255</v>
      </c>
      <c r="P551" s="3179">
        <v>7.147253248233417</v>
      </c>
      <c r="Q551" s="3178">
        <v>1356.7719601903939</v>
      </c>
      <c r="R551" s="3177">
        <v>15677.5</v>
      </c>
      <c r="S551" s="3176">
        <v>17253.875</v>
      </c>
      <c r="T551" s="3178">
        <v>10399.67</v>
      </c>
      <c r="U551" s="3178">
        <v>11435.5</v>
      </c>
      <c r="V551" s="3178">
        <v>18154.71</v>
      </c>
      <c r="W551" s="3178">
        <v>20127.559999999998</v>
      </c>
      <c r="X551" s="3178">
        <v>2012.335</v>
      </c>
      <c r="Y551" s="3178">
        <v>106.35</v>
      </c>
      <c r="Z551" s="3178">
        <v>3546.95</v>
      </c>
      <c r="AA551" s="3178">
        <v>9427.6650000000009</v>
      </c>
      <c r="AB551" s="3178">
        <v>11907.11</v>
      </c>
      <c r="AC551" s="3178">
        <v>4176</v>
      </c>
      <c r="AD551" s="3178">
        <v>449.92100000000005</v>
      </c>
      <c r="AE551" s="3178">
        <v>1500.48</v>
      </c>
      <c r="AF551" s="3178">
        <v>2193.6849999999999</v>
      </c>
      <c r="AG551" s="3178">
        <v>11.555</v>
      </c>
      <c r="AH551" s="3178">
        <v>186.74</v>
      </c>
      <c r="AI551" s="3178">
        <v>2193.5</v>
      </c>
    </row>
    <row r="552" spans="1:35">
      <c r="A552" s="3187">
        <v>45519</v>
      </c>
      <c r="B552" s="3186">
        <v>1.101350111500478</v>
      </c>
      <c r="C552" s="3185">
        <v>0.66240012742911747</v>
      </c>
      <c r="D552" s="3185">
        <v>1.3704497161959739</v>
      </c>
      <c r="E552" s="3185">
        <v>0.86564996689350782</v>
      </c>
      <c r="F552" s="3185">
        <v>1.2850500159286398</v>
      </c>
      <c r="G552" s="3185">
        <v>7.789642430844899</v>
      </c>
      <c r="H552" s="3185">
        <v>147.21193077897104</v>
      </c>
      <c r="I552" s="3185">
        <v>4.4299929859620448</v>
      </c>
      <c r="J552" s="3185">
        <v>0.60074992035680153</v>
      </c>
      <c r="K552" s="3185">
        <v>1.3171498873771805</v>
      </c>
      <c r="L552" s="3185">
        <v>3.7525403466826059</v>
      </c>
      <c r="M552" s="3185">
        <v>34.954989465619612</v>
      </c>
      <c r="N552" s="3185">
        <v>10.466019611700334</v>
      </c>
      <c r="O552" s="3185">
        <v>7.1574502239125888</v>
      </c>
      <c r="P552" s="3185">
        <v>7.1584948688711521</v>
      </c>
      <c r="Q552" s="3184">
        <v>1355.9395248380131</v>
      </c>
      <c r="R552" s="3183">
        <v>15695</v>
      </c>
      <c r="S552" s="3182">
        <v>17285.690000000002</v>
      </c>
      <c r="T552" s="3184">
        <v>10396.369999999999</v>
      </c>
      <c r="U552" s="3184">
        <v>11452.445</v>
      </c>
      <c r="V552" s="3184">
        <v>18130.885000000002</v>
      </c>
      <c r="W552" s="3184">
        <v>20168.86</v>
      </c>
      <c r="X552" s="3184">
        <v>2014.855</v>
      </c>
      <c r="Y552" s="3184">
        <v>106.61500000000001</v>
      </c>
      <c r="Z552" s="3184">
        <v>3542.895</v>
      </c>
      <c r="AA552" s="3184">
        <v>9428.77</v>
      </c>
      <c r="AB552" s="3184">
        <v>11915.880000000001</v>
      </c>
      <c r="AC552" s="3184">
        <v>4182.5</v>
      </c>
      <c r="AD552" s="3184">
        <v>449.00600000000003</v>
      </c>
      <c r="AE552" s="3184">
        <v>1499.6150000000002</v>
      </c>
      <c r="AF552" s="3184">
        <v>2192.8199999999997</v>
      </c>
      <c r="AG552" s="3184">
        <v>11.574999999999999</v>
      </c>
      <c r="AH552" s="3184">
        <v>186.96</v>
      </c>
      <c r="AI552" s="3184">
        <v>2192.5</v>
      </c>
    </row>
    <row r="553" spans="1:35">
      <c r="A553" s="3194">
        <v>45520</v>
      </c>
      <c r="B553" s="3193">
        <v>1.0985500318674315</v>
      </c>
      <c r="C553" s="3192">
        <v>0.66324984066284254</v>
      </c>
      <c r="D553" s="3192">
        <v>1.3726499711953473</v>
      </c>
      <c r="E553" s="3192">
        <v>0.86974983466992462</v>
      </c>
      <c r="F553" s="3192">
        <v>1.2880500318674313</v>
      </c>
      <c r="G553" s="3192">
        <v>7.7942012930724003</v>
      </c>
      <c r="H553" s="3192">
        <v>149.01700066483048</v>
      </c>
      <c r="I553" s="3192">
        <v>4.4394959516833437</v>
      </c>
      <c r="J553" s="3192">
        <v>0.6015500318674315</v>
      </c>
      <c r="K553" s="3192">
        <v>1.3200998025739843</v>
      </c>
      <c r="L553" s="3192">
        <v>3.7522420184144445</v>
      </c>
      <c r="M553" s="3192">
        <v>35.054989862204174</v>
      </c>
      <c r="N553" s="3192">
        <v>10.512633250474039</v>
      </c>
      <c r="O553" s="3192">
        <v>7.172358307067447</v>
      </c>
      <c r="P553" s="3192">
        <v>7.175851817973931</v>
      </c>
      <c r="Q553" s="3191">
        <v>1356.0933448573899</v>
      </c>
      <c r="R553" s="3190">
        <v>15690</v>
      </c>
      <c r="S553" s="3189">
        <v>17236.25</v>
      </c>
      <c r="T553" s="3191">
        <v>10406.39</v>
      </c>
      <c r="U553" s="3191">
        <v>11430.445</v>
      </c>
      <c r="V553" s="3191">
        <v>18039.670000000002</v>
      </c>
      <c r="W553" s="3191">
        <v>20209.504999999997</v>
      </c>
      <c r="X553" s="3191">
        <v>2013.0350000000001</v>
      </c>
      <c r="Y553" s="3191">
        <v>105.28999999999999</v>
      </c>
      <c r="Z553" s="3191">
        <v>3534.1850000000004</v>
      </c>
      <c r="AA553" s="3191">
        <v>9438.32</v>
      </c>
      <c r="AB553" s="3191">
        <v>11885.465</v>
      </c>
      <c r="AC553" s="3191">
        <v>4181.5</v>
      </c>
      <c r="AD553" s="3191">
        <v>447.58249999999998</v>
      </c>
      <c r="AE553" s="3191">
        <v>1492.4900000000002</v>
      </c>
      <c r="AF553" s="3191">
        <v>2187.5650000000001</v>
      </c>
      <c r="AG553" s="3191">
        <v>11.57</v>
      </c>
      <c r="AH553" s="3191">
        <v>186.87</v>
      </c>
      <c r="AI553" s="3191">
        <v>2186.5</v>
      </c>
    </row>
    <row r="554" spans="1:35">
      <c r="A554" s="3200">
        <v>45523</v>
      </c>
      <c r="B554" s="3199">
        <v>1.1042501607717041</v>
      </c>
      <c r="C554" s="3198">
        <v>0.66890000000000005</v>
      </c>
      <c r="D554" s="3198">
        <v>1.3671495503352813</v>
      </c>
      <c r="E554" s="3198">
        <v>0.86385001563818531</v>
      </c>
      <c r="F554" s="3198">
        <v>1.2965498392282957</v>
      </c>
      <c r="G554" s="3198">
        <v>7.7914399382697486</v>
      </c>
      <c r="H554" s="3198">
        <v>146.11228564716936</v>
      </c>
      <c r="I554" s="3198">
        <v>4.3779940341033061</v>
      </c>
      <c r="J554" s="3198">
        <v>0.6072498392282959</v>
      </c>
      <c r="K554" s="3198">
        <v>1.3106502342313184</v>
      </c>
      <c r="L554" s="3198">
        <v>3.7528659345963558</v>
      </c>
      <c r="M554" s="3198">
        <v>34.414989443118991</v>
      </c>
      <c r="N554" s="3198">
        <v>10.429696801000715</v>
      </c>
      <c r="O554" s="3198">
        <v>7.1409054484419734</v>
      </c>
      <c r="P554" s="3198">
        <v>7.1395775941230486</v>
      </c>
      <c r="Q554" s="3197">
        <v>1335.9106529209621</v>
      </c>
      <c r="R554" s="3196">
        <v>15550</v>
      </c>
      <c r="S554" s="3195">
        <v>17171.09</v>
      </c>
      <c r="T554" s="3197">
        <v>10401.395</v>
      </c>
      <c r="U554" s="3197">
        <v>11374.03</v>
      </c>
      <c r="V554" s="3197">
        <v>18000.809999999998</v>
      </c>
      <c r="W554" s="3197">
        <v>20161.349999999999</v>
      </c>
      <c r="X554" s="3197">
        <v>1995.7800000000002</v>
      </c>
      <c r="Y554" s="3197">
        <v>106.42500000000001</v>
      </c>
      <c r="Z554" s="3197">
        <v>3551.8550000000005</v>
      </c>
      <c r="AA554" s="3197">
        <v>9442.7350000000006</v>
      </c>
      <c r="AB554" s="3197">
        <v>11864.34</v>
      </c>
      <c r="AC554" s="3197">
        <v>4143.5</v>
      </c>
      <c r="AD554" s="3197">
        <v>451.83800000000002</v>
      </c>
      <c r="AE554" s="3197">
        <v>1490.9349999999999</v>
      </c>
      <c r="AF554" s="3197">
        <v>2177.5950000000003</v>
      </c>
      <c r="AG554" s="3197">
        <v>11.64</v>
      </c>
      <c r="AH554" s="3197">
        <v>185.27</v>
      </c>
      <c r="AI554" s="3197">
        <v>2178</v>
      </c>
    </row>
    <row r="555" spans="1:35">
      <c r="A555" s="3206">
        <v>45524</v>
      </c>
      <c r="B555" s="3205">
        <v>1.1086501457725948</v>
      </c>
      <c r="C555" s="3204">
        <v>0.67260025915127952</v>
      </c>
      <c r="D555" s="3204">
        <v>1.3619500194784884</v>
      </c>
      <c r="E555" s="3204">
        <v>0.85925000584523814</v>
      </c>
      <c r="F555" s="3204">
        <v>1.3002500809847748</v>
      </c>
      <c r="G555" s="3204">
        <v>7.7902413788752476</v>
      </c>
      <c r="H555" s="3204">
        <v>146.56031904287138</v>
      </c>
      <c r="I555" s="3204">
        <v>4.3740019638376157</v>
      </c>
      <c r="J555" s="3204">
        <v>0.61314998380304508</v>
      </c>
      <c r="K555" s="3204">
        <v>1.308299757030045</v>
      </c>
      <c r="L555" s="3204">
        <v>3.7522790810745108</v>
      </c>
      <c r="M555" s="3204">
        <v>34.234991554925145</v>
      </c>
      <c r="N555" s="3204">
        <v>10.290617437046224</v>
      </c>
      <c r="O555" s="3204">
        <v>7.1415517085821234</v>
      </c>
      <c r="P555" s="3204">
        <v>7.1392229417206288</v>
      </c>
      <c r="Q555" s="3203">
        <v>1331.7515099223469</v>
      </c>
      <c r="R555" s="3202">
        <v>15435</v>
      </c>
      <c r="S555" s="3201">
        <v>17112.014999999999</v>
      </c>
      <c r="T555" s="3203">
        <v>10381.584999999999</v>
      </c>
      <c r="U555" s="3203">
        <v>11333.014999999999</v>
      </c>
      <c r="V555" s="3203">
        <v>17963.34</v>
      </c>
      <c r="W555" s="3203">
        <v>20069.36</v>
      </c>
      <c r="X555" s="3203">
        <v>1981.325</v>
      </c>
      <c r="Y555" s="3203">
        <v>105.315</v>
      </c>
      <c r="Z555" s="3203">
        <v>3528.8050000000003</v>
      </c>
      <c r="AA555" s="3203">
        <v>9463.9700000000012</v>
      </c>
      <c r="AB555" s="3203">
        <v>11797.755000000001</v>
      </c>
      <c r="AC555" s="3203">
        <v>4113.5</v>
      </c>
      <c r="AD555" s="3203">
        <v>450.85450000000003</v>
      </c>
      <c r="AE555" s="3203">
        <v>1499.9099999999999</v>
      </c>
      <c r="AF555" s="3203">
        <v>2161.2950000000001</v>
      </c>
      <c r="AG555" s="3203">
        <v>11.59</v>
      </c>
      <c r="AH555" s="3203">
        <v>184.29000000000002</v>
      </c>
      <c r="AI555" s="3203">
        <v>2162</v>
      </c>
    </row>
    <row r="556" spans="1:35">
      <c r="A556" s="3212">
        <v>45525</v>
      </c>
      <c r="B556" s="3211">
        <v>1.1114501130125929</v>
      </c>
      <c r="C556" s="3210">
        <v>0.67345011301259283</v>
      </c>
      <c r="D556" s="3210">
        <v>1.3617496526373183</v>
      </c>
      <c r="E556" s="3210">
        <v>0.8558499430032126</v>
      </c>
      <c r="F556" s="3210">
        <v>1.3015498869874071</v>
      </c>
      <c r="G556" s="3210">
        <v>7.7913517756332205</v>
      </c>
      <c r="H556" s="3210">
        <v>146.14694917653719</v>
      </c>
      <c r="I556" s="3210">
        <v>4.3774965299470514</v>
      </c>
      <c r="J556" s="3210">
        <v>0.61364998385534386</v>
      </c>
      <c r="K556" s="3210">
        <v>1.3080497219391234</v>
      </c>
      <c r="L556" s="3210">
        <v>3.7525748212771113</v>
      </c>
      <c r="M556" s="3210">
        <v>34.314991008519463</v>
      </c>
      <c r="N556" s="3210">
        <v>10.238896566316445</v>
      </c>
      <c r="O556" s="3210">
        <v>7.1365531162794982</v>
      </c>
      <c r="P556" s="3210">
        <v>7.1326577614002762</v>
      </c>
      <c r="Q556" s="3209">
        <v>1340.1125054089139</v>
      </c>
      <c r="R556" s="3208">
        <v>15485</v>
      </c>
      <c r="S556" s="3207">
        <v>17210.805</v>
      </c>
      <c r="T556" s="3209">
        <v>10428.375</v>
      </c>
      <c r="U556" s="3209">
        <v>11371.4</v>
      </c>
      <c r="V556" s="3209">
        <v>18093.125</v>
      </c>
      <c r="W556" s="3209">
        <v>20154.5</v>
      </c>
      <c r="X556" s="3209">
        <v>1987.46</v>
      </c>
      <c r="Y556" s="3209">
        <v>105.95500000000001</v>
      </c>
      <c r="Z556" s="3209">
        <v>3537.41</v>
      </c>
      <c r="AA556" s="3209">
        <v>9502.369999999999</v>
      </c>
      <c r="AB556" s="3209">
        <v>11838.235000000001</v>
      </c>
      <c r="AC556" s="3209">
        <v>4126.5</v>
      </c>
      <c r="AD556" s="3209">
        <v>451.26050000000004</v>
      </c>
      <c r="AE556" s="3209">
        <v>1512.37</v>
      </c>
      <c r="AF556" s="3209">
        <v>2169.8150000000001</v>
      </c>
      <c r="AG556" s="3209">
        <v>11.555</v>
      </c>
      <c r="AH556" s="3209">
        <v>184.53</v>
      </c>
      <c r="AI556" s="3209">
        <v>2171</v>
      </c>
    </row>
    <row r="557" spans="1:35">
      <c r="A557" s="3218">
        <v>45526</v>
      </c>
      <c r="B557" s="3217">
        <v>1.1137000000000001</v>
      </c>
      <c r="C557" s="3216">
        <v>0.67484999999999995</v>
      </c>
      <c r="D557" s="3216">
        <v>1.3576497690037199</v>
      </c>
      <c r="E557" s="3216">
        <v>0.85024999257393841</v>
      </c>
      <c r="F557" s="3216">
        <v>1.30985</v>
      </c>
      <c r="G557" s="3216">
        <v>7.7945438193264716</v>
      </c>
      <c r="H557" s="3216">
        <v>145.24463479353847</v>
      </c>
      <c r="I557" s="3216">
        <v>4.3774974183989581</v>
      </c>
      <c r="J557" s="3216">
        <v>0.61655000000000004</v>
      </c>
      <c r="K557" s="3216">
        <v>1.3069497050566388</v>
      </c>
      <c r="L557" s="3216">
        <v>3.7522549609140108</v>
      </c>
      <c r="M557" s="3216">
        <v>34.29498523776757</v>
      </c>
      <c r="N557" s="3216">
        <v>10.224312234765938</v>
      </c>
      <c r="O557" s="3216">
        <v>7.1341028408363352</v>
      </c>
      <c r="P557" s="3216">
        <v>7.1314285714285717</v>
      </c>
      <c r="Q557" s="3215">
        <v>1335.0449293966626</v>
      </c>
      <c r="R557" s="3214">
        <v>15600</v>
      </c>
      <c r="S557" s="3213">
        <v>17373.72</v>
      </c>
      <c r="T557" s="3215">
        <v>10527.66</v>
      </c>
      <c r="U557" s="3215">
        <v>11490.445</v>
      </c>
      <c r="V557" s="3215">
        <v>18347.544999999998</v>
      </c>
      <c r="W557" s="3215">
        <v>20433.66</v>
      </c>
      <c r="X557" s="3215">
        <v>2001.4</v>
      </c>
      <c r="Y557" s="3215">
        <v>107.405</v>
      </c>
      <c r="Z557" s="3215">
        <v>3563.6800000000003</v>
      </c>
      <c r="AA557" s="3215">
        <v>9618.18</v>
      </c>
      <c r="AB557" s="3215">
        <v>11936.189999999999</v>
      </c>
      <c r="AC557" s="3215">
        <v>4157.5</v>
      </c>
      <c r="AD557" s="3215">
        <v>454.87700000000001</v>
      </c>
      <c r="AE557" s="3215">
        <v>1525.7750000000001</v>
      </c>
      <c r="AF557" s="3215">
        <v>2186.6800000000003</v>
      </c>
      <c r="AG557" s="3215">
        <v>11.684999999999999</v>
      </c>
      <c r="AH557" s="3215">
        <v>185.8</v>
      </c>
      <c r="AI557" s="3215">
        <v>2187.5</v>
      </c>
    </row>
    <row r="558" spans="1:35">
      <c r="A558" s="3224">
        <v>45527</v>
      </c>
      <c r="B558" s="3223">
        <v>1.1119499677211104</v>
      </c>
      <c r="C558" s="3222">
        <v>0.67230019367333771</v>
      </c>
      <c r="D558" s="3222">
        <v>1.3590497005089637</v>
      </c>
      <c r="E558" s="3222">
        <v>0.85105003586332539</v>
      </c>
      <c r="F558" s="3222">
        <v>1.3117498386055519</v>
      </c>
      <c r="G558" s="3222">
        <v>7.7982425006733473</v>
      </c>
      <c r="H558" s="3222">
        <v>145.82254648152508</v>
      </c>
      <c r="I558" s="3222">
        <v>4.3760028928514929</v>
      </c>
      <c r="J558" s="3222">
        <v>0.6152501613944481</v>
      </c>
      <c r="K558" s="3222">
        <v>1.3079494873116655</v>
      </c>
      <c r="L558" s="3222">
        <v>3.751968027128497</v>
      </c>
      <c r="M558" s="3222">
        <v>34.274992089535395</v>
      </c>
      <c r="N558" s="3222">
        <v>10.266062676665419</v>
      </c>
      <c r="O558" s="3222">
        <v>7.1377390094255952</v>
      </c>
      <c r="P558" s="3222">
        <v>7.1382488479262669</v>
      </c>
      <c r="Q558" s="3221">
        <v>1337.0738023305998</v>
      </c>
      <c r="R558" s="3220">
        <v>15490</v>
      </c>
      <c r="S558" s="3219">
        <v>17224.105</v>
      </c>
      <c r="T558" s="3221">
        <v>10413.93</v>
      </c>
      <c r="U558" s="3221">
        <v>11397.67</v>
      </c>
      <c r="V558" s="3221">
        <v>18201.045000000002</v>
      </c>
      <c r="W558" s="3221">
        <v>20319.005000000001</v>
      </c>
      <c r="X558" s="3221">
        <v>1986.345</v>
      </c>
      <c r="Y558" s="3221">
        <v>106.22499999999999</v>
      </c>
      <c r="Z558" s="3221">
        <v>3539.76</v>
      </c>
      <c r="AA558" s="3221">
        <v>9530.2250000000004</v>
      </c>
      <c r="AB558" s="3221">
        <v>11842.965</v>
      </c>
      <c r="AC558" s="3221">
        <v>4128.5</v>
      </c>
      <c r="AD558" s="3221">
        <v>451.93299999999999</v>
      </c>
      <c r="AE558" s="3221">
        <v>1508.855</v>
      </c>
      <c r="AF558" s="3221">
        <v>2170.1549999999997</v>
      </c>
      <c r="AG558" s="3221">
        <v>11.585000000000001</v>
      </c>
      <c r="AH558" s="3221">
        <v>184.61</v>
      </c>
      <c r="AI558" s="3221">
        <v>2170</v>
      </c>
    </row>
    <row r="559" spans="1:35">
      <c r="A559" s="3230">
        <v>45530</v>
      </c>
      <c r="B559" s="3229">
        <v>1.1180499027867792</v>
      </c>
      <c r="C559" s="3228">
        <v>0.67745009721322103</v>
      </c>
      <c r="D559" s="3228">
        <v>1.3511501852030225</v>
      </c>
      <c r="E559" s="3228">
        <v>0.8467498087541746</v>
      </c>
      <c r="F559" s="3228">
        <v>1.3195003240440699</v>
      </c>
      <c r="G559" s="3228">
        <v>7.7963352676800728</v>
      </c>
      <c r="H559" s="3228">
        <v>143.89629767788867</v>
      </c>
      <c r="I559" s="3228">
        <v>4.3474953298940315</v>
      </c>
      <c r="J559" s="3228">
        <v>0.62084996759559297</v>
      </c>
      <c r="K559" s="3228">
        <v>1.3031500252522266</v>
      </c>
      <c r="L559" s="3228">
        <v>3.7519756838905773</v>
      </c>
      <c r="M559" s="3228">
        <v>33.994983371540052</v>
      </c>
      <c r="N559" s="3228">
        <v>10.179946890102096</v>
      </c>
      <c r="O559" s="3228">
        <v>7.12090305788099</v>
      </c>
      <c r="P559" s="3228">
        <v>7.1204430087678823</v>
      </c>
      <c r="Q559" s="3227">
        <v>1325.0322026620868</v>
      </c>
      <c r="R559" s="3226">
        <v>15430</v>
      </c>
      <c r="S559" s="3225">
        <v>17251.510000000002</v>
      </c>
      <c r="T559" s="3227">
        <v>10453.055</v>
      </c>
      <c r="U559" s="3227">
        <v>11419.900000000001</v>
      </c>
      <c r="V559" s="3227">
        <v>18222.620000000003</v>
      </c>
      <c r="W559" s="3227">
        <v>20359.89</v>
      </c>
      <c r="X559" s="3227">
        <v>1979.135</v>
      </c>
      <c r="Y559" s="3227">
        <v>107.22999999999999</v>
      </c>
      <c r="Z559" s="3227">
        <v>3549.17</v>
      </c>
      <c r="AA559" s="3227">
        <v>9579.7150000000001</v>
      </c>
      <c r="AB559" s="3227">
        <v>11840.54</v>
      </c>
      <c r="AC559" s="3227">
        <v>4112.5</v>
      </c>
      <c r="AD559" s="3227">
        <v>453.89049999999997</v>
      </c>
      <c r="AE559" s="3227">
        <v>1515.7250000000001</v>
      </c>
      <c r="AF559" s="3227">
        <v>2166.8599999999997</v>
      </c>
      <c r="AG559" s="3227">
        <v>11.645</v>
      </c>
      <c r="AH559" s="3227">
        <v>183.93</v>
      </c>
      <c r="AI559" s="3227">
        <v>2167</v>
      </c>
    </row>
    <row r="560" spans="1:35" s="1216" customFormat="1">
      <c r="A560" s="1217">
        <v>45531</v>
      </c>
      <c r="B560" s="3231">
        <v>1.1164501452081317</v>
      </c>
      <c r="C560" s="1220">
        <v>0.6772500806711842</v>
      </c>
      <c r="D560" s="1220">
        <v>1.3477499230229957</v>
      </c>
      <c r="E560" s="1220">
        <v>0.84754987252565483</v>
      </c>
      <c r="F560" s="1220">
        <v>1.3200500161342368</v>
      </c>
      <c r="G560" s="1220">
        <v>7.7995620768630607</v>
      </c>
      <c r="H560" s="1220">
        <v>145.00280741156652</v>
      </c>
      <c r="I560" s="1220">
        <v>4.3524975245960347</v>
      </c>
      <c r="J560" s="1220">
        <v>0.62145014520813158</v>
      </c>
      <c r="K560" s="1220">
        <v>1.3053505049335004</v>
      </c>
      <c r="L560" s="1220">
        <v>3.7522702506356702</v>
      </c>
      <c r="M560" s="1220">
        <v>34.094997310026834</v>
      </c>
      <c r="N560" s="1220">
        <v>10.210099399386538</v>
      </c>
      <c r="O560" s="1220">
        <v>7.1300550571853876</v>
      </c>
      <c r="P560" s="1220">
        <v>7.1323360184119675</v>
      </c>
      <c r="Q560" s="1222">
        <v>1333.4767641996557</v>
      </c>
      <c r="R560" s="3232">
        <v>15495</v>
      </c>
      <c r="S560" s="3233">
        <v>17299.395</v>
      </c>
      <c r="T560" s="1222">
        <v>10493.99</v>
      </c>
      <c r="U560" s="1222">
        <v>11496.94</v>
      </c>
      <c r="V560" s="1222">
        <v>18282.11</v>
      </c>
      <c r="W560" s="1222">
        <v>20454.174999999999</v>
      </c>
      <c r="X560" s="1222">
        <v>1986.65</v>
      </c>
      <c r="Y560" s="1222">
        <v>106.86000000000001</v>
      </c>
      <c r="Z560" s="1222">
        <v>3560.0250000000001</v>
      </c>
      <c r="AA560" s="1222">
        <v>9629.369999999999</v>
      </c>
      <c r="AB560" s="1222">
        <v>11870.375</v>
      </c>
      <c r="AC560" s="1222">
        <v>4129.5</v>
      </c>
      <c r="AD560" s="1222">
        <v>454.46550000000002</v>
      </c>
      <c r="AE560" s="1222">
        <v>1517.615</v>
      </c>
      <c r="AF560" s="1222">
        <v>2173.1950000000002</v>
      </c>
      <c r="AG560" s="1222">
        <v>11.620000000000001</v>
      </c>
      <c r="AH560" s="1222">
        <v>184.59</v>
      </c>
      <c r="AI560" s="1222">
        <v>2172.5</v>
      </c>
    </row>
    <row r="561" spans="1:35" s="1216" customFormat="1">
      <c r="A561" s="1217">
        <v>45532</v>
      </c>
      <c r="B561" s="3231">
        <v>1.1156499189627229</v>
      </c>
      <c r="C561" s="1220">
        <v>0.67950016207455433</v>
      </c>
      <c r="D561" s="1220">
        <v>1.3452500246374801</v>
      </c>
      <c r="E561" s="1220">
        <v>0.84319981895119589</v>
      </c>
      <c r="F561" s="1220">
        <v>1.3231500810372772</v>
      </c>
      <c r="G561" s="1220">
        <v>7.7989513760029938</v>
      </c>
      <c r="H561" s="1220">
        <v>144.56419868791002</v>
      </c>
      <c r="I561" s="1220">
        <v>4.3450031055856879</v>
      </c>
      <c r="J561" s="1220">
        <v>0.6238499189627229</v>
      </c>
      <c r="K561" s="1220">
        <v>1.3037501093501913</v>
      </c>
      <c r="L561" s="1220">
        <v>3.7525848436929814</v>
      </c>
      <c r="M561" s="1220">
        <v>33.994977338518346</v>
      </c>
      <c r="N561" s="1220">
        <v>10.16906691806402</v>
      </c>
      <c r="O561" s="1220">
        <v>7.1282507480619701</v>
      </c>
      <c r="P561" s="1220">
        <v>7.1296510284261609</v>
      </c>
      <c r="Q561" s="1222">
        <v>1334.9199480744267</v>
      </c>
      <c r="R561" s="3232">
        <v>15425</v>
      </c>
      <c r="S561" s="3233">
        <v>17208.900000000001</v>
      </c>
      <c r="T561" s="1222">
        <v>10481.290000000001</v>
      </c>
      <c r="U561" s="1222">
        <v>11466.27</v>
      </c>
      <c r="V561" s="1222">
        <v>18293.410000000003</v>
      </c>
      <c r="W561" s="1222">
        <v>20409.59</v>
      </c>
      <c r="X561" s="1222">
        <v>1977.83</v>
      </c>
      <c r="Y561" s="1222">
        <v>106.7</v>
      </c>
      <c r="Z561" s="1222">
        <v>3550.0550000000003</v>
      </c>
      <c r="AA561" s="1222">
        <v>9622.8850000000002</v>
      </c>
      <c r="AB561" s="1222">
        <v>11831.255000000001</v>
      </c>
      <c r="AC561" s="1222">
        <v>4110.5</v>
      </c>
      <c r="AD561" s="1222">
        <v>453.74350000000004</v>
      </c>
      <c r="AE561" s="1222">
        <v>1516.855</v>
      </c>
      <c r="AF561" s="1222">
        <v>2163.9250000000002</v>
      </c>
      <c r="AG561" s="1222">
        <v>11.555</v>
      </c>
      <c r="AH561" s="1222">
        <v>183.7</v>
      </c>
      <c r="AI561" s="1222">
        <v>2163.5</v>
      </c>
    </row>
    <row r="562" spans="1:35">
      <c r="A562" s="3239">
        <v>45533</v>
      </c>
      <c r="B562" s="3238">
        <v>1.1130499513460914</v>
      </c>
      <c r="C562" s="3237">
        <v>0.68125008108984764</v>
      </c>
      <c r="D562" s="3237">
        <v>1.3454498004954991</v>
      </c>
      <c r="E562" s="3237">
        <v>0.84195014551837022</v>
      </c>
      <c r="F562" s="3237">
        <v>1.3219500486539086</v>
      </c>
      <c r="G562" s="3237">
        <v>7.7992582735887721</v>
      </c>
      <c r="H562" s="3237">
        <v>144.72819453572436</v>
      </c>
      <c r="I562" s="3237">
        <v>4.3234980647332693</v>
      </c>
      <c r="J562" s="3237">
        <v>0.62825008108984748</v>
      </c>
      <c r="K562" s="3237">
        <v>1.301050293211075</v>
      </c>
      <c r="L562" s="3237">
        <v>3.7528910529519171</v>
      </c>
      <c r="M562" s="3237">
        <v>33.964966398589844</v>
      </c>
      <c r="N562" s="3237">
        <v>10.171191411727056</v>
      </c>
      <c r="O562" s="3237">
        <v>7.1083873437042469</v>
      </c>
      <c r="P562" s="3237">
        <v>7.1086004150334334</v>
      </c>
      <c r="Q562" s="3236">
        <v>1332.9009943795934</v>
      </c>
      <c r="R562" s="3235">
        <v>15415</v>
      </c>
      <c r="S562" s="3234">
        <v>17157.665000000001</v>
      </c>
      <c r="T562" s="3236">
        <v>10501.470000000001</v>
      </c>
      <c r="U562" s="3236">
        <v>11457.135</v>
      </c>
      <c r="V562" s="3236">
        <v>18308.684999999998</v>
      </c>
      <c r="W562" s="3236">
        <v>20377.86</v>
      </c>
      <c r="X562" s="3236">
        <v>1976.47</v>
      </c>
      <c r="Y562" s="3236">
        <v>106.50999999999999</v>
      </c>
      <c r="Z562" s="3236">
        <v>3565.4</v>
      </c>
      <c r="AA562" s="3236">
        <v>9684.4749999999985</v>
      </c>
      <c r="AB562" s="3236">
        <v>11848.119999999999</v>
      </c>
      <c r="AC562" s="3236">
        <v>4107.5</v>
      </c>
      <c r="AD562" s="3236">
        <v>453.85</v>
      </c>
      <c r="AE562" s="3236">
        <v>1515.5550000000001</v>
      </c>
      <c r="AF562" s="3236">
        <v>2168.5650000000001</v>
      </c>
      <c r="AG562" s="3236">
        <v>11.565000000000001</v>
      </c>
      <c r="AH562" s="3236">
        <v>183.76</v>
      </c>
      <c r="AI562" s="3236">
        <v>2168.5</v>
      </c>
    </row>
    <row r="563" spans="1:35">
      <c r="A563" s="3245">
        <v>45534</v>
      </c>
      <c r="B563" s="3244">
        <v>1.1084500161759949</v>
      </c>
      <c r="C563" s="3243">
        <v>0.68084988676803626</v>
      </c>
      <c r="D563" s="3243">
        <v>1.3474498062959166</v>
      </c>
      <c r="E563" s="3243">
        <v>0.84754987889990163</v>
      </c>
      <c r="F563" s="3243">
        <v>1.3190501455839534</v>
      </c>
      <c r="G563" s="3243">
        <v>7.795260300159133</v>
      </c>
      <c r="H563" s="3243">
        <v>144.93365217799033</v>
      </c>
      <c r="I563" s="3243">
        <v>4.3159962746431377</v>
      </c>
      <c r="J563" s="3243">
        <v>0.62635004852798448</v>
      </c>
      <c r="K563" s="3243">
        <v>1.30230002784925</v>
      </c>
      <c r="L563" s="3243">
        <v>3.7525798227510014</v>
      </c>
      <c r="M563" s="3243">
        <v>33.934999818852312</v>
      </c>
      <c r="N563" s="3243">
        <v>10.220648288677928</v>
      </c>
      <c r="O563" s="3243">
        <v>7.0856466942054031</v>
      </c>
      <c r="P563" s="3243">
        <v>7.0764652014652016</v>
      </c>
      <c r="Q563" s="3242">
        <v>1332.9021129797327</v>
      </c>
      <c r="R563" s="3241">
        <v>15455</v>
      </c>
      <c r="S563" s="3240">
        <v>17131.095000000001</v>
      </c>
      <c r="T563" s="3242">
        <v>10522.535</v>
      </c>
      <c r="U563" s="3242">
        <v>11469.815000000001</v>
      </c>
      <c r="V563" s="3242">
        <v>18234.915000000001</v>
      </c>
      <c r="W563" s="3242">
        <v>20385.919999999998</v>
      </c>
      <c r="X563" s="3242">
        <v>1982.615</v>
      </c>
      <c r="Y563" s="3242">
        <v>106.63500000000001</v>
      </c>
      <c r="Z563" s="3242">
        <v>3580.8650000000002</v>
      </c>
      <c r="AA563" s="3242">
        <v>9680.24</v>
      </c>
      <c r="AB563" s="3242">
        <v>11867.465</v>
      </c>
      <c r="AC563" s="3242">
        <v>4118.5</v>
      </c>
      <c r="AD563" s="3242">
        <v>455.42950000000002</v>
      </c>
      <c r="AE563" s="3242">
        <v>1512.135</v>
      </c>
      <c r="AF563" s="3242">
        <v>2181.17</v>
      </c>
      <c r="AG563" s="3242">
        <v>11.594999999999999</v>
      </c>
      <c r="AH563" s="3242">
        <v>184.3</v>
      </c>
      <c r="AI563" s="3242">
        <v>2184</v>
      </c>
    </row>
    <row r="564" spans="1:35" s="1385" customFormat="1">
      <c r="A564" s="3248">
        <v>45535</v>
      </c>
      <c r="B564" s="3249">
        <v>1.1084500161759949</v>
      </c>
      <c r="C564" s="3250">
        <v>0.68084988676803626</v>
      </c>
      <c r="D564" s="3250">
        <v>1.3474498062959166</v>
      </c>
      <c r="E564" s="3250">
        <v>0.84754987889990163</v>
      </c>
      <c r="F564" s="3250">
        <v>1.3190501455839534</v>
      </c>
      <c r="G564" s="3250">
        <v>7.795260300159133</v>
      </c>
      <c r="H564" s="3250">
        <v>144.93365217799033</v>
      </c>
      <c r="I564" s="3250">
        <v>4.3159962746431377</v>
      </c>
      <c r="J564" s="3250">
        <v>0.62635004852798448</v>
      </c>
      <c r="K564" s="3250">
        <v>1.30230002784925</v>
      </c>
      <c r="L564" s="3250">
        <v>3.7525798227510014</v>
      </c>
      <c r="M564" s="3250">
        <v>33.934999818852312</v>
      </c>
      <c r="N564" s="3250">
        <v>10.220648288677928</v>
      </c>
      <c r="O564" s="3250">
        <v>7.0856466942054031</v>
      </c>
      <c r="P564" s="3250">
        <v>7.0764652014652016</v>
      </c>
      <c r="Q564" s="3251">
        <v>1332.9021129797327</v>
      </c>
      <c r="R564" s="3252">
        <v>15455</v>
      </c>
      <c r="S564" s="3253">
        <v>17131.095000000001</v>
      </c>
      <c r="T564" s="3251">
        <v>10522.535</v>
      </c>
      <c r="U564" s="3251">
        <v>11469.815000000001</v>
      </c>
      <c r="V564" s="3251">
        <v>18234.915000000001</v>
      </c>
      <c r="W564" s="3251">
        <v>20385.919999999998</v>
      </c>
      <c r="X564" s="3251">
        <v>1982.615</v>
      </c>
      <c r="Y564" s="3251">
        <v>106.63500000000001</v>
      </c>
      <c r="Z564" s="3251">
        <v>3580.8650000000002</v>
      </c>
      <c r="AA564" s="3251">
        <v>9680.24</v>
      </c>
      <c r="AB564" s="3251">
        <v>11867.465</v>
      </c>
      <c r="AC564" s="3251">
        <v>4118.5</v>
      </c>
      <c r="AD564" s="3251">
        <v>455.42950000000002</v>
      </c>
      <c r="AE564" s="3251">
        <v>1512.135</v>
      </c>
      <c r="AF564" s="3251">
        <v>2181.17</v>
      </c>
      <c r="AG564" s="3251">
        <v>11.594999999999999</v>
      </c>
      <c r="AH564" s="3251">
        <v>184.3</v>
      </c>
      <c r="AI564" s="3251">
        <v>2184</v>
      </c>
    </row>
    <row r="565" spans="1:35">
      <c r="A565" s="3259">
        <v>45537</v>
      </c>
      <c r="B565" s="3258">
        <v>1.1066499194847019</v>
      </c>
      <c r="C565" s="3257">
        <v>0.67785024154589368</v>
      </c>
      <c r="D565" s="3257">
        <v>1.3493499653210539</v>
      </c>
      <c r="E565" s="3257">
        <v>0.84924981565398505</v>
      </c>
      <c r="F565" s="3257">
        <v>1.313450241545894</v>
      </c>
      <c r="G565" s="3257">
        <v>7.7966493240392909</v>
      </c>
      <c r="H565" s="3257">
        <v>146.47608264930653</v>
      </c>
      <c r="I565" s="3257">
        <v>4.3409998699797141</v>
      </c>
      <c r="J565" s="3257">
        <v>0.62284991948470203</v>
      </c>
      <c r="K565" s="3257">
        <v>1.306549833199242</v>
      </c>
      <c r="L565" s="3257">
        <v>3.7522658610271904</v>
      </c>
      <c r="M565" s="3257">
        <v>34.204963189731245</v>
      </c>
      <c r="N565" s="3257">
        <v>10.254530322695702</v>
      </c>
      <c r="O565" s="3257">
        <v>7.1079143936983344</v>
      </c>
      <c r="P565" s="3257">
        <v>7.1068894483863581</v>
      </c>
      <c r="Q565" s="3256">
        <v>1337.7854373115035</v>
      </c>
      <c r="R565" s="3255">
        <v>15525</v>
      </c>
      <c r="S565" s="3254">
        <v>17180.739999999998</v>
      </c>
      <c r="T565" s="3256">
        <v>10523.625</v>
      </c>
      <c r="U565" s="3256">
        <v>11505.54</v>
      </c>
      <c r="V565" s="3256">
        <v>18280.840000000004</v>
      </c>
      <c r="W565" s="3256">
        <v>20391.315000000002</v>
      </c>
      <c r="X565" s="3256">
        <v>1991.2400000000002</v>
      </c>
      <c r="Y565" s="3256">
        <v>105.99000000000001</v>
      </c>
      <c r="Z565" s="3256">
        <v>3576.3650000000002</v>
      </c>
      <c r="AA565" s="3256">
        <v>9669.744999999999</v>
      </c>
      <c r="AB565" s="3256">
        <v>11882.439999999999</v>
      </c>
      <c r="AC565" s="3256">
        <v>4137.5</v>
      </c>
      <c r="AD565" s="3256">
        <v>453.88149999999996</v>
      </c>
      <c r="AE565" s="3256">
        <v>1513.9650000000001</v>
      </c>
      <c r="AF565" s="3256">
        <v>2184.1850000000004</v>
      </c>
      <c r="AG565" s="3256">
        <v>11.605</v>
      </c>
      <c r="AH565" s="3256">
        <v>185.05</v>
      </c>
      <c r="AI565" s="3256">
        <v>2184.5</v>
      </c>
    </row>
    <row r="566" spans="1:35">
      <c r="A566" s="3265">
        <v>45538</v>
      </c>
      <c r="B566" s="3264">
        <v>1.1055001610305957</v>
      </c>
      <c r="C566" s="3263">
        <v>0.67485024154589368</v>
      </c>
      <c r="D566" s="3263">
        <v>1.3510497068809548</v>
      </c>
      <c r="E566" s="3263">
        <v>0.8533499551063719</v>
      </c>
      <c r="F566" s="3263">
        <v>1.3121500805152979</v>
      </c>
      <c r="G566" s="3263">
        <v>7.7974520789438655</v>
      </c>
      <c r="H566" s="3263">
        <v>145.95280624236156</v>
      </c>
      <c r="I566" s="3263">
        <v>4.3674940289815929</v>
      </c>
      <c r="J566" s="3263">
        <v>0.61964991948470216</v>
      </c>
      <c r="K566" s="3263">
        <v>1.3076497722246765</v>
      </c>
      <c r="L566" s="3263">
        <v>3.7527193618564176</v>
      </c>
      <c r="M566" s="3263">
        <v>34.214989140459963</v>
      </c>
      <c r="N566" s="3263">
        <v>10.282444340681721</v>
      </c>
      <c r="O566" s="3263">
        <v>7.1159452175347884</v>
      </c>
      <c r="P566" s="3263">
        <v>7.1182943603851445</v>
      </c>
      <c r="Q566" s="3262">
        <v>1338.9391979301424</v>
      </c>
      <c r="R566" s="3261">
        <v>15525</v>
      </c>
      <c r="S566" s="3260">
        <v>17162.89</v>
      </c>
      <c r="T566" s="3262">
        <v>10477.049999999999</v>
      </c>
      <c r="U566" s="3262">
        <v>11491.065000000001</v>
      </c>
      <c r="V566" s="3262">
        <v>18193.005000000001</v>
      </c>
      <c r="W566" s="3262">
        <v>20371.13</v>
      </c>
      <c r="X566" s="3262">
        <v>1991.0350000000001</v>
      </c>
      <c r="Y566" s="3262">
        <v>106.37</v>
      </c>
      <c r="Z566" s="3262">
        <v>3554.67</v>
      </c>
      <c r="AA566" s="3262">
        <v>9620.0650000000005</v>
      </c>
      <c r="AB566" s="3262">
        <v>11872.445</v>
      </c>
      <c r="AC566" s="3262">
        <v>4137</v>
      </c>
      <c r="AD566" s="3262">
        <v>453.74850000000004</v>
      </c>
      <c r="AE566" s="3262">
        <v>1509.855</v>
      </c>
      <c r="AF566" s="3262">
        <v>2181.7200000000003</v>
      </c>
      <c r="AG566" s="3262">
        <v>11.594999999999999</v>
      </c>
      <c r="AH566" s="3262">
        <v>184.91</v>
      </c>
      <c r="AI566" s="3262">
        <v>2181</v>
      </c>
    </row>
    <row r="567" spans="1:35">
      <c r="A567" s="3271">
        <v>45539</v>
      </c>
      <c r="B567" s="3270">
        <v>1.1055502423263328</v>
      </c>
      <c r="C567" s="3269">
        <v>0.67075024232633285</v>
      </c>
      <c r="D567" s="3269">
        <v>1.3550503316918032</v>
      </c>
      <c r="E567" s="3269">
        <v>0.84765003748009926</v>
      </c>
      <c r="F567" s="3269">
        <v>1.3115502423263328</v>
      </c>
      <c r="G567" s="3269">
        <v>7.7974428418466966</v>
      </c>
      <c r="H567" s="3269">
        <v>144.98524382817257</v>
      </c>
      <c r="I567" s="3269">
        <v>4.3439937794570493</v>
      </c>
      <c r="J567" s="3269">
        <v>0.61834991922455573</v>
      </c>
      <c r="K567" s="3269">
        <v>1.3061998278939289</v>
      </c>
      <c r="L567" s="3269">
        <v>3.7528798350915484</v>
      </c>
      <c r="M567" s="3269">
        <v>34.224989218299029</v>
      </c>
      <c r="N567" s="3269">
        <v>10.323480163574624</v>
      </c>
      <c r="O567" s="3269">
        <v>7.1123591890761517</v>
      </c>
      <c r="P567" s="3269">
        <v>7.1133072856814525</v>
      </c>
      <c r="Q567" s="3268">
        <v>1341.569137407889</v>
      </c>
      <c r="R567" s="3267">
        <v>15475</v>
      </c>
      <c r="S567" s="3266">
        <v>17108.39</v>
      </c>
      <c r="T567" s="3268">
        <v>10379.86</v>
      </c>
      <c r="U567" s="3268">
        <v>11420.240000000002</v>
      </c>
      <c r="V567" s="3268">
        <v>18256.355000000003</v>
      </c>
      <c r="W567" s="3268">
        <v>20296.239999999998</v>
      </c>
      <c r="X567" s="3268">
        <v>1984.625</v>
      </c>
      <c r="Y567" s="3268">
        <v>106.735</v>
      </c>
      <c r="Z567" s="3268">
        <v>3562.3900000000003</v>
      </c>
      <c r="AA567" s="3268">
        <v>9568.9650000000001</v>
      </c>
      <c r="AB567" s="3268">
        <v>11847.345000000001</v>
      </c>
      <c r="AC567" s="3268">
        <v>4123.5</v>
      </c>
      <c r="AD567" s="3268">
        <v>452.15500000000003</v>
      </c>
      <c r="AE567" s="3268">
        <v>1499.0100000000002</v>
      </c>
      <c r="AF567" s="3268">
        <v>2175.79</v>
      </c>
      <c r="AG567" s="3268">
        <v>11.535</v>
      </c>
      <c r="AH567" s="3268">
        <v>184.3</v>
      </c>
      <c r="AI567" s="3268">
        <v>2175.5</v>
      </c>
    </row>
    <row r="568" spans="1:35">
      <c r="A568" s="3277">
        <v>45540</v>
      </c>
      <c r="B568" s="3276">
        <v>1.108700113654814</v>
      </c>
      <c r="C568" s="3275">
        <v>0.67184997564539706</v>
      </c>
      <c r="D568" s="3275">
        <v>1.351050173339803</v>
      </c>
      <c r="E568" s="3275">
        <v>0.8465499960689512</v>
      </c>
      <c r="F568" s="3275">
        <v>1.3148501380094171</v>
      </c>
      <c r="G568" s="3275">
        <v>7.7959459562090361</v>
      </c>
      <c r="H568" s="3275">
        <v>143.61999813450237</v>
      </c>
      <c r="I568" s="3275">
        <v>4.3359987158854265</v>
      </c>
      <c r="J568" s="3275">
        <v>0.6198499756453969</v>
      </c>
      <c r="K568" s="3275">
        <v>1.3024501034093359</v>
      </c>
      <c r="L568" s="3275">
        <v>3.7536567528035105</v>
      </c>
      <c r="M568" s="3275">
        <v>33.694993292732299</v>
      </c>
      <c r="N568" s="3275">
        <v>10.290279787344241</v>
      </c>
      <c r="O568" s="3275">
        <v>7.101201635386329</v>
      </c>
      <c r="P568" s="3275">
        <v>7.1005303204980406</v>
      </c>
      <c r="Q568" s="3274">
        <v>1337.1689101172383</v>
      </c>
      <c r="R568" s="3273">
        <v>15397.5</v>
      </c>
      <c r="S568" s="3272">
        <v>17071.21</v>
      </c>
      <c r="T568" s="3274">
        <v>10344.810000000001</v>
      </c>
      <c r="U568" s="3274">
        <v>11396.69</v>
      </c>
      <c r="V568" s="3274">
        <v>18188.53</v>
      </c>
      <c r="W568" s="3274">
        <v>20245.404999999999</v>
      </c>
      <c r="X568" s="3274">
        <v>1975.0650000000001</v>
      </c>
      <c r="Y568" s="3274">
        <v>107.21000000000001</v>
      </c>
      <c r="Z568" s="3274">
        <v>3551.085</v>
      </c>
      <c r="AA568" s="3274">
        <v>9544.14</v>
      </c>
      <c r="AB568" s="3274">
        <v>11821.95</v>
      </c>
      <c r="AC568" s="3274">
        <v>4102</v>
      </c>
      <c r="AD568" s="3274">
        <v>456.96699999999998</v>
      </c>
      <c r="AE568" s="3274">
        <v>1496.3150000000001</v>
      </c>
      <c r="AF568" s="3274">
        <v>2168.2950000000001</v>
      </c>
      <c r="AG568" s="3274">
        <v>11.515000000000001</v>
      </c>
      <c r="AH568" s="3274">
        <v>183.35000000000002</v>
      </c>
      <c r="AI568" s="3274">
        <v>2168.5</v>
      </c>
    </row>
    <row r="569" spans="1:35">
      <c r="A569" s="3281">
        <v>45541</v>
      </c>
      <c r="B569" s="3280">
        <v>1.1116000650829809</v>
      </c>
      <c r="C569" s="3280">
        <v>0.67350016270745194</v>
      </c>
      <c r="D569" s="3280">
        <v>1.3495501865348003</v>
      </c>
      <c r="E569" s="3280">
        <v>0.84214991858029908</v>
      </c>
      <c r="F569" s="3280">
        <v>1.3181500162707451</v>
      </c>
      <c r="G569" s="3280">
        <v>7.7927676624232891</v>
      </c>
      <c r="H569" s="3280">
        <v>142.52585687120262</v>
      </c>
      <c r="I569" s="3280">
        <v>4.328998230646997</v>
      </c>
      <c r="J569" s="3280">
        <v>0.622750081353726</v>
      </c>
      <c r="K569" s="3280">
        <v>1.2981499356839155</v>
      </c>
      <c r="L569" s="3280">
        <v>3.7535116648344937</v>
      </c>
      <c r="M569" s="3280">
        <v>33.56998736073043</v>
      </c>
      <c r="N569" s="3280">
        <v>10.221595407100898</v>
      </c>
      <c r="O569" s="3280">
        <v>7.0852979491140502</v>
      </c>
      <c r="P569" s="3280">
        <v>7.0839096357768554</v>
      </c>
      <c r="Q569" s="3283">
        <v>1328.577604842196</v>
      </c>
      <c r="R569" s="3284">
        <v>15365</v>
      </c>
      <c r="S569" s="3278">
        <v>17079.735000000001</v>
      </c>
      <c r="T569" s="3278">
        <v>10348.33</v>
      </c>
      <c r="U569" s="3282">
        <v>11385.275000000001</v>
      </c>
      <c r="V569" s="3282">
        <v>18244.97</v>
      </c>
      <c r="W569" s="3282">
        <v>20253.375</v>
      </c>
      <c r="X569" s="3282">
        <v>1971.7</v>
      </c>
      <c r="Y569" s="3282">
        <v>107.80500000000001</v>
      </c>
      <c r="Z569" s="3282">
        <v>3549.32</v>
      </c>
      <c r="AA569" s="3282">
        <v>9568.5550000000003</v>
      </c>
      <c r="AB569" s="3282">
        <v>11836.075000000001</v>
      </c>
      <c r="AC569" s="3279">
        <v>4093.5</v>
      </c>
      <c r="AD569" s="3279">
        <v>457.70050000000003</v>
      </c>
      <c r="AE569" s="3279">
        <v>1503.19</v>
      </c>
      <c r="AF569" s="3279">
        <v>2168.5749999999998</v>
      </c>
      <c r="AG569" s="3279">
        <v>11.565000000000001</v>
      </c>
      <c r="AH569" s="3279">
        <v>183.06</v>
      </c>
      <c r="AI569" s="3279">
        <v>2169</v>
      </c>
    </row>
    <row r="570" spans="1:35">
      <c r="A570" s="3290">
        <v>45544</v>
      </c>
      <c r="B570" s="3289">
        <v>1.1059501779359431</v>
      </c>
      <c r="C570" s="3288">
        <v>0.66690035587188612</v>
      </c>
      <c r="D570" s="3288">
        <v>1.3564495864606056</v>
      </c>
      <c r="E570" s="3288">
        <v>0.8463500844570313</v>
      </c>
      <c r="F570" s="3288">
        <v>1.3105503073439018</v>
      </c>
      <c r="G570" s="3288">
        <v>7.795810792065474</v>
      </c>
      <c r="H570" s="3288">
        <v>143.15487217487959</v>
      </c>
      <c r="I570" s="3288">
        <v>4.3574981109519673</v>
      </c>
      <c r="J570" s="3288">
        <v>0.61515011323196378</v>
      </c>
      <c r="K570" s="3288">
        <v>1.3047495670181597</v>
      </c>
      <c r="L570" s="3288">
        <v>3.7534911961141471</v>
      </c>
      <c r="M570" s="3288">
        <v>33.925018136878833</v>
      </c>
      <c r="N570" s="3288">
        <v>10.348695113581197</v>
      </c>
      <c r="O570" s="3288">
        <v>7.1121562419467663</v>
      </c>
      <c r="P570" s="3288">
        <v>7.1172000921022338</v>
      </c>
      <c r="Q570" s="3287">
        <v>1340.9978308026032</v>
      </c>
      <c r="R570" s="3286">
        <v>15455</v>
      </c>
      <c r="S570" s="3285">
        <v>17092.46</v>
      </c>
      <c r="T570" s="3287">
        <v>10306.945</v>
      </c>
      <c r="U570" s="3287">
        <v>11393.715</v>
      </c>
      <c r="V570" s="3287">
        <v>18260.764999999999</v>
      </c>
      <c r="W570" s="3287">
        <v>20254.555</v>
      </c>
      <c r="X570" s="3287">
        <v>1982.4749999999999</v>
      </c>
      <c r="Y570" s="3287">
        <v>107.96000000000001</v>
      </c>
      <c r="Z570" s="3287">
        <v>3546.76</v>
      </c>
      <c r="AA570" s="3287">
        <v>9507.1450000000004</v>
      </c>
      <c r="AB570" s="3287">
        <v>11845.184999999999</v>
      </c>
      <c r="AC570" s="3287">
        <v>4117.5</v>
      </c>
      <c r="AD570" s="3287">
        <v>455.56349999999998</v>
      </c>
      <c r="AE570" s="3287">
        <v>1493.425</v>
      </c>
      <c r="AF570" s="3287">
        <v>2173.04</v>
      </c>
      <c r="AG570" s="3287">
        <v>11.524999999999999</v>
      </c>
      <c r="AH570" s="3287">
        <v>184.1</v>
      </c>
      <c r="AI570" s="3287">
        <v>2171.5</v>
      </c>
    </row>
    <row r="571" spans="1:35">
      <c r="A571" s="3296">
        <v>45545</v>
      </c>
      <c r="B571" s="3295">
        <v>1.1037501618122978</v>
      </c>
      <c r="C571" s="3294">
        <v>0.6659003236245955</v>
      </c>
      <c r="D571" s="3294">
        <v>1.3570499403161531</v>
      </c>
      <c r="E571" s="3294">
        <v>0.84875000274676382</v>
      </c>
      <c r="F571" s="3294">
        <v>1.3090501618122978</v>
      </c>
      <c r="G571" s="3294">
        <v>7.7962381258751847</v>
      </c>
      <c r="H571" s="3294">
        <v>143.6007063853518</v>
      </c>
      <c r="I571" s="3294">
        <v>4.3509973499750769</v>
      </c>
      <c r="J571" s="3294">
        <v>0.61505016181229788</v>
      </c>
      <c r="K571" s="3294">
        <v>1.3061496399423096</v>
      </c>
      <c r="L571" s="3294">
        <v>3.7513657885152361</v>
      </c>
      <c r="M571" s="3294">
        <v>33.799969809735707</v>
      </c>
      <c r="N571" s="3294">
        <v>10.384425378325789</v>
      </c>
      <c r="O571" s="3294">
        <v>7.1201930056201128</v>
      </c>
      <c r="P571" s="3294">
        <v>7.1280276816608996</v>
      </c>
      <c r="Q571" s="3293">
        <v>1345.2329124945581</v>
      </c>
      <c r="R571" s="3292">
        <v>15450</v>
      </c>
      <c r="S571" s="3291">
        <v>17052.940000000002</v>
      </c>
      <c r="T571" s="3293">
        <v>10288.16</v>
      </c>
      <c r="U571" s="3293">
        <v>11384.99</v>
      </c>
      <c r="V571" s="3293">
        <v>18203.239999999998</v>
      </c>
      <c r="W571" s="3293">
        <v>20224.825000000001</v>
      </c>
      <c r="X571" s="3293">
        <v>1981.7249999999999</v>
      </c>
      <c r="Y571" s="3293">
        <v>107.59</v>
      </c>
      <c r="Z571" s="3293">
        <v>3550.91</v>
      </c>
      <c r="AA571" s="3293">
        <v>9502.5250000000015</v>
      </c>
      <c r="AB571" s="3293">
        <v>11828.66</v>
      </c>
      <c r="AC571" s="3293">
        <v>4118.5</v>
      </c>
      <c r="AD571" s="3293">
        <v>457.101</v>
      </c>
      <c r="AE571" s="3293">
        <v>1487.8050000000001</v>
      </c>
      <c r="AF571" s="3293">
        <v>2169.8850000000002</v>
      </c>
      <c r="AG571" s="3293">
        <v>11.484999999999999</v>
      </c>
      <c r="AH571" s="3293">
        <v>183.97</v>
      </c>
      <c r="AI571" s="3293">
        <v>2167.5</v>
      </c>
    </row>
    <row r="572" spans="1:35">
      <c r="A572" s="3322">
        <v>45546</v>
      </c>
      <c r="B572" s="3321">
        <v>1.10415</v>
      </c>
      <c r="C572" s="3320">
        <v>0.66625000000000001</v>
      </c>
      <c r="D572" s="3320">
        <v>1.3593498776805784</v>
      </c>
      <c r="E572" s="3320">
        <v>0.84565017319354829</v>
      </c>
      <c r="F572" s="3320">
        <v>1.3083</v>
      </c>
      <c r="G572" s="3320">
        <v>7.7977644720685593</v>
      </c>
      <c r="H572" s="3320">
        <v>141.38817480719794</v>
      </c>
      <c r="I572" s="3320">
        <v>4.3274958973090838</v>
      </c>
      <c r="J572" s="3320">
        <v>0.61485000000000001</v>
      </c>
      <c r="K572" s="3320">
        <v>1.3019495849612985</v>
      </c>
      <c r="L572" s="3320">
        <v>3.7519795346570839</v>
      </c>
      <c r="M572" s="3320">
        <v>33.644986405459228</v>
      </c>
      <c r="N572" s="3320">
        <v>10.345881633708762</v>
      </c>
      <c r="O572" s="3320">
        <v>7.1135089692571691</v>
      </c>
      <c r="P572" s="3320">
        <v>7.1180956782990528</v>
      </c>
      <c r="Q572" s="3319">
        <v>1339.712918660287</v>
      </c>
      <c r="R572" s="3318">
        <v>15400</v>
      </c>
      <c r="S572" s="3317">
        <v>17003.91</v>
      </c>
      <c r="T572" s="3319">
        <v>10260.25</v>
      </c>
      <c r="U572" s="3319">
        <v>11328.945</v>
      </c>
      <c r="V572" s="3319">
        <v>18210.840000000004</v>
      </c>
      <c r="W572" s="3319">
        <v>20147.82</v>
      </c>
      <c r="X572" s="3319">
        <v>1974.9250000000002</v>
      </c>
      <c r="Y572" s="3319">
        <v>108.92</v>
      </c>
      <c r="Z572" s="3319">
        <v>3558.6400000000003</v>
      </c>
      <c r="AA572" s="3319">
        <v>9468.69</v>
      </c>
      <c r="AB572" s="3319">
        <v>11828.415000000001</v>
      </c>
      <c r="AC572" s="3319">
        <v>4104.5</v>
      </c>
      <c r="AD572" s="3319">
        <v>457.72050000000002</v>
      </c>
      <c r="AE572" s="3319">
        <v>1488.5150000000001</v>
      </c>
      <c r="AF572" s="3319">
        <v>2164.895</v>
      </c>
      <c r="AG572" s="3319">
        <v>11.495000000000001</v>
      </c>
      <c r="AH572" s="3319">
        <v>183.45</v>
      </c>
      <c r="AI572" s="3319">
        <v>2163.5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2:O24"/>
  <sheetViews>
    <sheetView showGridLines="0" zoomScale="85" zoomScaleNormal="85" workbookViewId="0">
      <selection activeCell="J2" sqref="J2"/>
    </sheetView>
  </sheetViews>
  <sheetFormatPr defaultRowHeight="14.5"/>
  <cols>
    <col min="1" max="1" width="2.26953125" style="31" customWidth="1"/>
    <col min="2" max="2" width="19.453125" bestFit="1" customWidth="1"/>
    <col min="3" max="3" width="12.81640625" bestFit="1" customWidth="1"/>
    <col min="5" max="5" width="26.26953125" style="31" bestFit="1" customWidth="1"/>
    <col min="7" max="7" width="12.1796875" bestFit="1" customWidth="1"/>
    <col min="10" max="10" width="10.26953125" bestFit="1" customWidth="1"/>
    <col min="11" max="11" width="16.453125" bestFit="1" customWidth="1"/>
    <col min="12" max="12" width="13.453125" bestFit="1" customWidth="1"/>
    <col min="13" max="13" width="14.1796875" bestFit="1" customWidth="1"/>
    <col min="14" max="14" width="13.453125" bestFit="1" customWidth="1"/>
    <col min="15" max="15" width="11.453125" bestFit="1" customWidth="1"/>
  </cols>
  <sheetData>
    <row r="2" spans="2:15">
      <c r="B2" s="3316" t="s">
        <v>291</v>
      </c>
      <c r="C2" s="3316"/>
      <c r="D2" s="3316"/>
      <c r="E2" s="3316" t="s">
        <v>317</v>
      </c>
      <c r="F2" s="3316"/>
      <c r="G2" s="3316"/>
      <c r="J2" s="2907" t="s">
        <v>233</v>
      </c>
      <c r="K2" s="2907" t="s">
        <v>290</v>
      </c>
      <c r="L2" s="2907" t="s">
        <v>314</v>
      </c>
      <c r="M2" s="2907" t="s">
        <v>315</v>
      </c>
      <c r="N2" s="2907" t="s">
        <v>293</v>
      </c>
      <c r="O2" s="2907" t="s">
        <v>289</v>
      </c>
    </row>
    <row r="3" spans="2:15">
      <c r="B3" s="2886" t="s">
        <v>278</v>
      </c>
      <c r="C3" s="2886" t="s">
        <v>35</v>
      </c>
      <c r="D3" s="2886" t="s">
        <v>276</v>
      </c>
      <c r="E3" s="2886" t="s">
        <v>277</v>
      </c>
      <c r="F3" s="2886" t="s">
        <v>35</v>
      </c>
      <c r="G3" s="2886" t="s">
        <v>288</v>
      </c>
      <c r="J3" s="2922">
        <v>45443</v>
      </c>
      <c r="K3" s="2908">
        <v>0.04</v>
      </c>
      <c r="L3" s="2909">
        <v>20</v>
      </c>
      <c r="M3" s="2909">
        <v>75</v>
      </c>
      <c r="N3" s="2909">
        <f>'[3]Neraca Antasena'!$E$156/VLOOKUP(Chart!J3,'Closing Rate'!A:R,18,0)/1000000</f>
        <v>3445.8360780475691</v>
      </c>
      <c r="O3" s="2910">
        <f>(L3+M3)/N3</f>
        <v>2.7569506455985437E-2</v>
      </c>
    </row>
    <row r="4" spans="2:15">
      <c r="B4" s="2887" t="s">
        <v>279</v>
      </c>
      <c r="C4" s="2887" t="s">
        <v>282</v>
      </c>
      <c r="D4" s="2887" t="s">
        <v>292</v>
      </c>
      <c r="E4" s="2887" t="s">
        <v>283</v>
      </c>
      <c r="F4" s="2888">
        <v>4.6699999999999998E-2</v>
      </c>
      <c r="G4" s="2887">
        <v>75</v>
      </c>
      <c r="J4" s="2923">
        <v>45450</v>
      </c>
      <c r="K4" s="2911">
        <v>0.04</v>
      </c>
      <c r="L4" s="2912">
        <v>49</v>
      </c>
      <c r="M4" s="2912">
        <v>100</v>
      </c>
      <c r="N4" s="2912">
        <v>3310.9489774852573</v>
      </c>
      <c r="O4" s="2913">
        <f>(L4+M4)/N4</f>
        <v>4.5002203601811154E-2</v>
      </c>
    </row>
    <row r="5" spans="2:15">
      <c r="B5" s="2889" t="s">
        <v>275</v>
      </c>
      <c r="C5" s="2889" t="s">
        <v>280</v>
      </c>
      <c r="D5" s="2889" t="s">
        <v>281</v>
      </c>
      <c r="E5" s="2889" t="s">
        <v>284</v>
      </c>
      <c r="F5" s="2890">
        <v>4.4699999999999997E-2</v>
      </c>
      <c r="G5" s="2889">
        <v>32</v>
      </c>
      <c r="J5" s="2924">
        <v>45457</v>
      </c>
      <c r="K5" s="2914">
        <v>0.04</v>
      </c>
      <c r="L5" s="2915">
        <v>20</v>
      </c>
      <c r="M5" s="2915">
        <v>200</v>
      </c>
      <c r="N5" s="2915">
        <v>3269.4611717003049</v>
      </c>
      <c r="O5" s="2916">
        <f>(L5+M5)/N5</f>
        <v>6.7289375357709957E-2</v>
      </c>
    </row>
    <row r="6" spans="2:15">
      <c r="B6" s="2893"/>
      <c r="C6" s="2893"/>
      <c r="D6" s="2893"/>
      <c r="E6" s="2889" t="s">
        <v>285</v>
      </c>
      <c r="F6" s="2890">
        <v>4.7899999999999998E-2</v>
      </c>
      <c r="G6" s="2889">
        <v>22</v>
      </c>
    </row>
    <row r="7" spans="2:15">
      <c r="B7" s="2893"/>
      <c r="C7" s="2893"/>
      <c r="D7" s="2893"/>
      <c r="E7" s="2889" t="s">
        <v>286</v>
      </c>
      <c r="F7" s="2890">
        <v>4.3400000000000001E-2</v>
      </c>
      <c r="G7" s="2889">
        <v>73</v>
      </c>
    </row>
    <row r="8" spans="2:15">
      <c r="B8" s="2894"/>
      <c r="C8" s="2894"/>
      <c r="D8" s="2894"/>
      <c r="E8" s="2891" t="s">
        <v>287</v>
      </c>
      <c r="F8" s="2892">
        <v>4.9799999999999997E-2</v>
      </c>
      <c r="G8" s="2891">
        <v>165</v>
      </c>
    </row>
    <row r="16" spans="2:15">
      <c r="J16" s="2895"/>
      <c r="K16" s="2896"/>
      <c r="L16" s="52"/>
      <c r="M16" s="52"/>
    </row>
    <row r="17" spans="10:13">
      <c r="J17" s="2895"/>
      <c r="K17" s="2896"/>
      <c r="L17" s="52"/>
      <c r="M17" s="52"/>
    </row>
    <row r="18" spans="10:13">
      <c r="J18" s="2895"/>
      <c r="K18" s="2896"/>
      <c r="L18" s="52"/>
      <c r="M18" s="52"/>
    </row>
    <row r="19" spans="10:13">
      <c r="J19" s="2895"/>
      <c r="K19" s="2896"/>
      <c r="L19" s="52"/>
      <c r="M19" s="52"/>
    </row>
    <row r="21" spans="10:13">
      <c r="J21" s="2895"/>
      <c r="K21" s="2896"/>
      <c r="L21" s="52"/>
      <c r="M21" s="52"/>
    </row>
    <row r="22" spans="10:13">
      <c r="J22" s="2895"/>
      <c r="K22" s="2896"/>
      <c r="L22" s="52"/>
      <c r="M22" s="52"/>
    </row>
    <row r="23" spans="10:13">
      <c r="J23" s="2895"/>
      <c r="K23" s="2896"/>
      <c r="L23" s="52"/>
      <c r="M23" s="52"/>
    </row>
    <row r="24" spans="10:13">
      <c r="J24" s="2895"/>
      <c r="K24" s="2896"/>
      <c r="L24" s="52"/>
      <c r="M24" s="52"/>
    </row>
  </sheetData>
  <mergeCells count="2">
    <mergeCell ref="B2:D2"/>
    <mergeCell ref="E2:G2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2:J17"/>
  <sheetViews>
    <sheetView showGridLines="0" zoomScale="85" zoomScaleNormal="85" workbookViewId="0">
      <selection activeCell="B2" sqref="B2"/>
    </sheetView>
  </sheetViews>
  <sheetFormatPr defaultColWidth="9.1796875" defaultRowHeight="14.5"/>
  <cols>
    <col min="1" max="1" width="9.1796875" style="2897"/>
    <col min="2" max="2" width="9.81640625" style="2897" bestFit="1" customWidth="1"/>
    <col min="3" max="3" width="6.453125" style="2897" bestFit="1" customWidth="1"/>
    <col min="4" max="4" width="5.7265625" style="2897" bestFit="1" customWidth="1"/>
    <col min="5" max="5" width="5" style="2897" hidden="1" customWidth="1"/>
    <col min="6" max="6" width="12.1796875" style="2897" bestFit="1" customWidth="1"/>
    <col min="7" max="7" width="8.26953125" style="2897" bestFit="1" customWidth="1"/>
    <col min="8" max="8" width="14.453125" style="2897" bestFit="1" customWidth="1"/>
    <col min="9" max="9" width="10.26953125" style="2897" bestFit="1" customWidth="1"/>
    <col min="10" max="16384" width="9.1796875" style="2897"/>
  </cols>
  <sheetData>
    <row r="2" spans="2:10">
      <c r="B2" s="2898" t="s">
        <v>230</v>
      </c>
      <c r="C2" s="2898" t="s">
        <v>312</v>
      </c>
      <c r="D2" s="2898" t="s">
        <v>294</v>
      </c>
      <c r="E2" s="2898" t="s">
        <v>296</v>
      </c>
      <c r="F2" s="2898" t="s">
        <v>295</v>
      </c>
      <c r="G2" s="2898" t="s">
        <v>313</v>
      </c>
      <c r="H2" s="2898" t="s">
        <v>36</v>
      </c>
      <c r="I2" s="2898" t="s">
        <v>279</v>
      </c>
      <c r="J2" s="2917" t="s">
        <v>316</v>
      </c>
    </row>
    <row r="3" spans="2:10" hidden="1">
      <c r="B3" s="2899" t="s">
        <v>297</v>
      </c>
      <c r="C3" s="2900">
        <v>1782.07055235545</v>
      </c>
      <c r="D3" s="2900">
        <v>160</v>
      </c>
      <c r="E3" s="2900">
        <v>0</v>
      </c>
      <c r="F3" s="2900">
        <v>15</v>
      </c>
      <c r="G3" s="2900">
        <v>-2487.3610133254751</v>
      </c>
      <c r="H3" s="2900">
        <v>0</v>
      </c>
      <c r="I3" s="2900">
        <v>-160</v>
      </c>
      <c r="J3" s="2918"/>
    </row>
    <row r="4" spans="2:10" hidden="1">
      <c r="B4" s="2899" t="s">
        <v>298</v>
      </c>
      <c r="C4" s="2900">
        <v>1749.3482519053769</v>
      </c>
      <c r="D4" s="2900">
        <v>303</v>
      </c>
      <c r="E4" s="2900">
        <v>14</v>
      </c>
      <c r="F4" s="2900">
        <v>15</v>
      </c>
      <c r="G4" s="2900">
        <v>-2596.2707118075723</v>
      </c>
      <c r="H4" s="2900">
        <v>0</v>
      </c>
      <c r="I4" s="2900">
        <v>-160</v>
      </c>
      <c r="J4" s="2918"/>
    </row>
    <row r="5" spans="2:10" hidden="1">
      <c r="B5" s="2899" t="s">
        <v>299</v>
      </c>
      <c r="C5" s="2900">
        <v>1909.5078874495114</v>
      </c>
      <c r="D5" s="2900">
        <v>89</v>
      </c>
      <c r="E5" s="2900">
        <v>30</v>
      </c>
      <c r="F5" s="2900">
        <v>0</v>
      </c>
      <c r="G5" s="2900">
        <v>-2516.2128654711451</v>
      </c>
      <c r="H5" s="2900">
        <v>0</v>
      </c>
      <c r="I5" s="2900">
        <v>-75</v>
      </c>
      <c r="J5" s="2918"/>
    </row>
    <row r="6" spans="2:10" hidden="1">
      <c r="B6" s="2899" t="s">
        <v>300</v>
      </c>
      <c r="C6" s="2900">
        <v>1840.0486796784749</v>
      </c>
      <c r="D6" s="2900">
        <v>141</v>
      </c>
      <c r="E6" s="2900">
        <v>0</v>
      </c>
      <c r="F6" s="2900">
        <v>11</v>
      </c>
      <c r="G6" s="2900">
        <v>-2486.9350500610699</v>
      </c>
      <c r="H6" s="2900">
        <v>0</v>
      </c>
      <c r="I6" s="2900">
        <v>-75</v>
      </c>
      <c r="J6" s="2918"/>
    </row>
    <row r="7" spans="2:10">
      <c r="B7" s="2901" t="s">
        <v>311</v>
      </c>
      <c r="C7" s="2904">
        <v>2013.4264042563077</v>
      </c>
      <c r="D7" s="2904">
        <v>150</v>
      </c>
      <c r="E7" s="2904">
        <v>0</v>
      </c>
      <c r="F7" s="2904">
        <v>1.5</v>
      </c>
      <c r="G7" s="2904">
        <v>-2622.626746716554</v>
      </c>
      <c r="H7" s="2904">
        <v>-20</v>
      </c>
      <c r="I7" s="2904">
        <v>-75</v>
      </c>
      <c r="J7" s="2919">
        <f>ABS(C7/G7)</f>
        <v>0.76771366980720912</v>
      </c>
    </row>
    <row r="8" spans="2:10">
      <c r="B8" s="2902" t="s">
        <v>310</v>
      </c>
      <c r="C8" s="2905">
        <v>2020.1858071927911</v>
      </c>
      <c r="D8" s="2905">
        <v>133</v>
      </c>
      <c r="E8" s="2905">
        <v>0</v>
      </c>
      <c r="F8" s="2905">
        <v>1.5</v>
      </c>
      <c r="G8" s="2905">
        <v>-2583.3547126310536</v>
      </c>
      <c r="H8" s="2905">
        <v>-20</v>
      </c>
      <c r="I8" s="2905">
        <v>-100</v>
      </c>
      <c r="J8" s="2920">
        <f t="shared" ref="J8:J17" si="0">ABS(C8/G8)</f>
        <v>0.78200093750784405</v>
      </c>
    </row>
    <row r="9" spans="2:10">
      <c r="B9" s="2902" t="s">
        <v>301</v>
      </c>
      <c r="C9" s="2905">
        <v>2010.2013562670161</v>
      </c>
      <c r="D9" s="2905">
        <v>87</v>
      </c>
      <c r="E9" s="2905">
        <v>0</v>
      </c>
      <c r="F9" s="2905">
        <v>5</v>
      </c>
      <c r="G9" s="2905">
        <v>-2582.3095698903826</v>
      </c>
      <c r="H9" s="2905">
        <v>-20</v>
      </c>
      <c r="I9" s="2905">
        <v>-100</v>
      </c>
      <c r="J9" s="2920">
        <f t="shared" si="0"/>
        <v>0.77845095712221202</v>
      </c>
    </row>
    <row r="10" spans="2:10">
      <c r="B10" s="2902" t="s">
        <v>302</v>
      </c>
      <c r="C10" s="2905">
        <v>2031.6536446836353</v>
      </c>
      <c r="D10" s="2905">
        <v>10</v>
      </c>
      <c r="E10" s="2905">
        <v>0</v>
      </c>
      <c r="F10" s="2905">
        <v>0</v>
      </c>
      <c r="G10" s="2905">
        <v>-2476.8453533138472</v>
      </c>
      <c r="H10" s="2905">
        <v>-58</v>
      </c>
      <c r="I10" s="2905">
        <v>-100</v>
      </c>
      <c r="J10" s="2920">
        <f t="shared" si="0"/>
        <v>0.82025857688911574</v>
      </c>
    </row>
    <row r="11" spans="2:10">
      <c r="B11" s="2902" t="s">
        <v>303</v>
      </c>
      <c r="C11" s="2905">
        <v>2054.012214713161</v>
      </c>
      <c r="D11" s="2905">
        <v>40</v>
      </c>
      <c r="E11" s="2905">
        <v>0</v>
      </c>
      <c r="F11" s="2905">
        <v>1.5</v>
      </c>
      <c r="G11" s="2905">
        <v>-2498.6091847250923</v>
      </c>
      <c r="H11" s="2905">
        <v>-49</v>
      </c>
      <c r="I11" s="2905">
        <v>-100</v>
      </c>
      <c r="J11" s="2920">
        <f t="shared" si="0"/>
        <v>0.82206222056257761</v>
      </c>
    </row>
    <row r="12" spans="2:10">
      <c r="B12" s="2902" t="s">
        <v>304</v>
      </c>
      <c r="C12" s="2905">
        <v>2069.4591226646698</v>
      </c>
      <c r="D12" s="2905">
        <v>110</v>
      </c>
      <c r="E12" s="2905">
        <v>0</v>
      </c>
      <c r="F12" s="2905">
        <v>6.5</v>
      </c>
      <c r="G12" s="2905">
        <v>-2491.4929273003795</v>
      </c>
      <c r="H12" s="2905">
        <v>-49</v>
      </c>
      <c r="I12" s="2905">
        <v>-100</v>
      </c>
      <c r="J12" s="2920">
        <f t="shared" si="0"/>
        <v>0.83061007317688906</v>
      </c>
    </row>
    <row r="13" spans="2:10">
      <c r="B13" s="2902" t="s">
        <v>305</v>
      </c>
      <c r="C13" s="2905">
        <v>2085.3961687525184</v>
      </c>
      <c r="D13" s="2905">
        <v>72</v>
      </c>
      <c r="E13" s="2905">
        <v>0</v>
      </c>
      <c r="F13" s="2905">
        <v>1.5</v>
      </c>
      <c r="G13" s="2905">
        <v>-2472.6874693285627</v>
      </c>
      <c r="H13" s="2905">
        <v>-49</v>
      </c>
      <c r="I13" s="2905">
        <v>-200</v>
      </c>
      <c r="J13" s="2920">
        <f t="shared" si="0"/>
        <v>0.84337232044888799</v>
      </c>
    </row>
    <row r="14" spans="2:10">
      <c r="B14" s="2902" t="s">
        <v>306</v>
      </c>
      <c r="C14" s="2905">
        <v>2065.5056513010436</v>
      </c>
      <c r="D14" s="2905">
        <v>65</v>
      </c>
      <c r="E14" s="2905">
        <v>0</v>
      </c>
      <c r="F14" s="2905">
        <v>11.5</v>
      </c>
      <c r="G14" s="2905">
        <v>-2439.4374792259055</v>
      </c>
      <c r="H14" s="2905">
        <v>-69</v>
      </c>
      <c r="I14" s="2905">
        <v>-200</v>
      </c>
      <c r="J14" s="2920">
        <f t="shared" si="0"/>
        <v>0.84671391207635305</v>
      </c>
    </row>
    <row r="15" spans="2:10">
      <c r="B15" s="2902" t="s">
        <v>307</v>
      </c>
      <c r="C15" s="2905">
        <v>2060.6830980173677</v>
      </c>
      <c r="D15" s="2905">
        <v>88</v>
      </c>
      <c r="E15" s="2905">
        <v>0</v>
      </c>
      <c r="F15" s="2905">
        <v>1.5</v>
      </c>
      <c r="G15" s="2905">
        <v>-2460.8501531211145</v>
      </c>
      <c r="H15" s="2905">
        <v>-45</v>
      </c>
      <c r="I15" s="2905">
        <v>-200</v>
      </c>
      <c r="J15" s="2920">
        <f t="shared" si="0"/>
        <v>0.83738666306186416</v>
      </c>
    </row>
    <row r="16" spans="2:10">
      <c r="B16" s="2902" t="s">
        <v>308</v>
      </c>
      <c r="C16" s="2905">
        <v>2058.4017856406886</v>
      </c>
      <c r="D16" s="2905">
        <v>78</v>
      </c>
      <c r="E16" s="2905">
        <v>0</v>
      </c>
      <c r="F16" s="2905">
        <v>5</v>
      </c>
      <c r="G16" s="2905">
        <v>-2461.2606049872775</v>
      </c>
      <c r="H16" s="2905">
        <v>-20</v>
      </c>
      <c r="I16" s="2905">
        <v>-200</v>
      </c>
      <c r="J16" s="2920">
        <f t="shared" si="0"/>
        <v>0.83632012858359173</v>
      </c>
    </row>
    <row r="17" spans="2:10">
      <c r="B17" s="2903" t="s">
        <v>309</v>
      </c>
      <c r="C17" s="2906">
        <v>2042.085186120366</v>
      </c>
      <c r="D17" s="2906">
        <v>156</v>
      </c>
      <c r="E17" s="2906">
        <v>0</v>
      </c>
      <c r="F17" s="2906">
        <v>1.5</v>
      </c>
      <c r="G17" s="2906">
        <v>-2441.7506123867684</v>
      </c>
      <c r="H17" s="2906">
        <v>-19.841463414634145</v>
      </c>
      <c r="I17" s="2906">
        <v>-200</v>
      </c>
      <c r="J17" s="2921">
        <f t="shared" si="0"/>
        <v>0.83632012858359173</v>
      </c>
    </row>
  </sheetData>
  <pageMargins left="0.7" right="0.7" top="0.75" bottom="0.75" header="0.3" footer="0.3"/>
  <pageSetup paperSize="9" orientation="portrait" r:id="rId1"/>
  <ignoredErrors>
    <ignoredError sqref="B7:B17" twoDigitTextYear="1"/>
  </ignoredError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2:M21"/>
  <sheetViews>
    <sheetView workbookViewId="0">
      <selection activeCell="A3" sqref="A3"/>
    </sheetView>
  </sheetViews>
  <sheetFormatPr defaultRowHeight="14.5"/>
  <cols>
    <col min="1" max="1" width="9.453125" bestFit="1" customWidth="1"/>
    <col min="2" max="2" width="8.54296875" bestFit="1" customWidth="1"/>
    <col min="3" max="3" width="7.81640625" bestFit="1" customWidth="1"/>
    <col min="4" max="4" width="3.453125" bestFit="1" customWidth="1"/>
    <col min="5" max="5" width="16.54296875" bestFit="1" customWidth="1"/>
    <col min="6" max="6" width="14" bestFit="1" customWidth="1"/>
    <col min="7" max="7" width="10.81640625" bestFit="1" customWidth="1"/>
    <col min="8" max="8" width="9.453125" bestFit="1" customWidth="1"/>
    <col min="9" max="9" width="9.81640625" bestFit="1" customWidth="1"/>
    <col min="10" max="10" width="5.453125" bestFit="1" customWidth="1"/>
    <col min="11" max="11" width="21.54296875" bestFit="1" customWidth="1"/>
    <col min="12" max="12" width="10.453125" bestFit="1" customWidth="1"/>
    <col min="13" max="13" width="5.1796875" bestFit="1" customWidth="1"/>
    <col min="17" max="17" width="22" bestFit="1" customWidth="1"/>
  </cols>
  <sheetData>
    <row r="2" spans="1:13" ht="15" thickBot="1"/>
    <row r="3" spans="1:13" ht="15" thickBot="1">
      <c r="A3" s="89" t="s">
        <v>79</v>
      </c>
      <c r="B3" s="90" t="s">
        <v>80</v>
      </c>
      <c r="C3" s="90" t="s">
        <v>81</v>
      </c>
      <c r="D3" s="91" t="s">
        <v>82</v>
      </c>
      <c r="E3" s="91" t="s">
        <v>83</v>
      </c>
      <c r="F3" s="91" t="s">
        <v>98</v>
      </c>
      <c r="G3" s="91" t="s">
        <v>99</v>
      </c>
      <c r="H3" s="91" t="s">
        <v>84</v>
      </c>
      <c r="I3" s="91" t="s">
        <v>85</v>
      </c>
      <c r="J3" s="92" t="s">
        <v>86</v>
      </c>
      <c r="K3" s="91" t="s">
        <v>34</v>
      </c>
      <c r="L3" s="93" t="s">
        <v>87</v>
      </c>
      <c r="M3" s="94" t="s">
        <v>88</v>
      </c>
    </row>
    <row r="4" spans="1:13">
      <c r="A4" s="95">
        <v>43640</v>
      </c>
      <c r="B4" s="96" t="s">
        <v>89</v>
      </c>
      <c r="C4" s="97">
        <v>10609679</v>
      </c>
      <c r="D4" s="96" t="s">
        <v>90</v>
      </c>
      <c r="E4" s="109">
        <v>15000000</v>
      </c>
      <c r="F4" s="108">
        <v>14155</v>
      </c>
      <c r="G4" s="108">
        <v>14265</v>
      </c>
      <c r="H4" s="98">
        <v>43642</v>
      </c>
      <c r="I4" s="98">
        <v>43703</v>
      </c>
      <c r="J4" s="96">
        <v>110</v>
      </c>
      <c r="K4" s="107">
        <v>212325000000</v>
      </c>
      <c r="L4" s="100">
        <v>4.5900000000000003E-2</v>
      </c>
      <c r="M4" s="101">
        <v>61</v>
      </c>
    </row>
    <row r="5" spans="1:13">
      <c r="A5" s="95">
        <v>43640</v>
      </c>
      <c r="B5" s="96" t="s">
        <v>91</v>
      </c>
      <c r="C5" s="97">
        <v>10609718</v>
      </c>
      <c r="D5" s="96" t="s">
        <v>90</v>
      </c>
      <c r="E5" s="109">
        <v>10000000</v>
      </c>
      <c r="F5" s="108">
        <v>14150</v>
      </c>
      <c r="G5" s="108">
        <v>14260</v>
      </c>
      <c r="H5" s="98">
        <v>43642</v>
      </c>
      <c r="I5" s="98">
        <v>43703</v>
      </c>
      <c r="J5" s="96">
        <v>110</v>
      </c>
      <c r="K5" s="107">
        <v>141500000000</v>
      </c>
      <c r="L5" s="100">
        <v>4.5900000000000003E-2</v>
      </c>
      <c r="M5" s="101">
        <v>61</v>
      </c>
    </row>
    <row r="6" spans="1:13">
      <c r="A6" s="95">
        <v>43640</v>
      </c>
      <c r="B6" s="96" t="s">
        <v>92</v>
      </c>
      <c r="C6" s="97">
        <v>10609830</v>
      </c>
      <c r="D6" s="96" t="s">
        <v>90</v>
      </c>
      <c r="E6" s="109">
        <v>20000000</v>
      </c>
      <c r="F6" s="108">
        <v>14140</v>
      </c>
      <c r="G6" s="108">
        <v>14254</v>
      </c>
      <c r="H6" s="98">
        <v>43642</v>
      </c>
      <c r="I6" s="98">
        <v>43703</v>
      </c>
      <c r="J6" s="96">
        <v>114</v>
      </c>
      <c r="K6" s="107">
        <v>282800000000</v>
      </c>
      <c r="L6" s="100">
        <v>4.7600000000000003E-2</v>
      </c>
      <c r="M6" s="101">
        <v>61</v>
      </c>
    </row>
    <row r="7" spans="1:13">
      <c r="A7" s="95">
        <v>43640</v>
      </c>
      <c r="B7" s="96" t="s">
        <v>91</v>
      </c>
      <c r="C7" s="97">
        <v>10609836</v>
      </c>
      <c r="D7" s="96" t="s">
        <v>90</v>
      </c>
      <c r="E7" s="109">
        <v>5000000</v>
      </c>
      <c r="F7" s="108">
        <v>14145</v>
      </c>
      <c r="G7" s="108">
        <v>14255</v>
      </c>
      <c r="H7" s="98">
        <v>43642</v>
      </c>
      <c r="I7" s="98">
        <v>43703</v>
      </c>
      <c r="J7" s="96">
        <v>110</v>
      </c>
      <c r="K7" s="107">
        <v>70725000000</v>
      </c>
      <c r="L7" s="100">
        <v>4.5900000000000003E-2</v>
      </c>
      <c r="M7" s="101">
        <v>61</v>
      </c>
    </row>
    <row r="8" spans="1:13">
      <c r="A8" s="95">
        <v>43641</v>
      </c>
      <c r="B8" s="96" t="s">
        <v>93</v>
      </c>
      <c r="C8" s="97">
        <v>10612682</v>
      </c>
      <c r="D8" s="96" t="s">
        <v>90</v>
      </c>
      <c r="E8" s="109">
        <v>30000000</v>
      </c>
      <c r="F8" s="108">
        <v>14138</v>
      </c>
      <c r="G8" s="108">
        <v>14303</v>
      </c>
      <c r="H8" s="98">
        <v>43643</v>
      </c>
      <c r="I8" s="98">
        <v>43735</v>
      </c>
      <c r="J8" s="96">
        <v>165</v>
      </c>
      <c r="K8" s="107">
        <v>424140000000</v>
      </c>
      <c r="L8" s="100">
        <v>4.5699999999999998E-2</v>
      </c>
      <c r="M8" s="101">
        <v>92</v>
      </c>
    </row>
    <row r="9" spans="1:13">
      <c r="A9" s="95">
        <v>43676</v>
      </c>
      <c r="B9" s="96" t="s">
        <v>94</v>
      </c>
      <c r="C9" s="97">
        <v>10690901</v>
      </c>
      <c r="D9" s="96" t="s">
        <v>90</v>
      </c>
      <c r="E9" s="109">
        <v>15000000</v>
      </c>
      <c r="F9" s="108">
        <v>14035</v>
      </c>
      <c r="G9" s="108">
        <v>14087</v>
      </c>
      <c r="H9" s="98">
        <v>43678</v>
      </c>
      <c r="I9" s="98">
        <v>43711</v>
      </c>
      <c r="J9" s="96">
        <v>52</v>
      </c>
      <c r="K9" s="107">
        <v>210525000000</v>
      </c>
      <c r="L9" s="100">
        <v>4.0399999999999998E-2</v>
      </c>
      <c r="M9" s="101">
        <v>33</v>
      </c>
    </row>
    <row r="10" spans="1:13">
      <c r="A10" s="95">
        <v>43676</v>
      </c>
      <c r="B10" s="96" t="s">
        <v>93</v>
      </c>
      <c r="C10" s="97">
        <v>10693094</v>
      </c>
      <c r="D10" s="96" t="s">
        <v>90</v>
      </c>
      <c r="E10" s="109">
        <v>30000000</v>
      </c>
      <c r="F10" s="108">
        <v>14034</v>
      </c>
      <c r="G10" s="108">
        <v>14088</v>
      </c>
      <c r="H10" s="98">
        <v>43678</v>
      </c>
      <c r="I10" s="98">
        <v>43711</v>
      </c>
      <c r="J10" s="96">
        <v>54</v>
      </c>
      <c r="K10" s="107">
        <v>421020000000</v>
      </c>
      <c r="L10" s="100">
        <v>4.2000000000000003E-2</v>
      </c>
      <c r="M10" s="101">
        <v>33</v>
      </c>
    </row>
    <row r="11" spans="1:13">
      <c r="A11" s="95">
        <v>43676</v>
      </c>
      <c r="B11" s="96" t="s">
        <v>93</v>
      </c>
      <c r="C11" s="97">
        <v>10693099</v>
      </c>
      <c r="D11" s="96" t="s">
        <v>90</v>
      </c>
      <c r="E11" s="109">
        <v>30000000</v>
      </c>
      <c r="F11" s="108">
        <v>14034</v>
      </c>
      <c r="G11" s="108">
        <v>14087</v>
      </c>
      <c r="H11" s="98">
        <v>43678</v>
      </c>
      <c r="I11" s="98">
        <v>43711</v>
      </c>
      <c r="J11" s="96">
        <v>53</v>
      </c>
      <c r="K11" s="107">
        <v>421020000000</v>
      </c>
      <c r="L11" s="100">
        <v>4.1200000000000001E-2</v>
      </c>
      <c r="M11" s="101">
        <v>33</v>
      </c>
    </row>
    <row r="12" spans="1:13">
      <c r="A12" s="95">
        <v>43676</v>
      </c>
      <c r="B12" s="96" t="s">
        <v>95</v>
      </c>
      <c r="C12" s="97">
        <v>10693537</v>
      </c>
      <c r="D12" s="96" t="s">
        <v>90</v>
      </c>
      <c r="E12" s="109">
        <v>10000000</v>
      </c>
      <c r="F12" s="108">
        <v>14020</v>
      </c>
      <c r="G12" s="108">
        <v>14073</v>
      </c>
      <c r="H12" s="98">
        <v>43678</v>
      </c>
      <c r="I12" s="98">
        <v>43711</v>
      </c>
      <c r="J12" s="96">
        <v>53</v>
      </c>
      <c r="K12" s="107">
        <v>140200000000</v>
      </c>
      <c r="L12" s="100">
        <v>4.1200000000000001E-2</v>
      </c>
      <c r="M12" s="101">
        <v>33</v>
      </c>
    </row>
    <row r="13" spans="1:13">
      <c r="A13" s="95">
        <v>43676</v>
      </c>
      <c r="B13" s="96" t="s">
        <v>96</v>
      </c>
      <c r="C13" s="97">
        <v>10693543</v>
      </c>
      <c r="D13" s="96" t="s">
        <v>90</v>
      </c>
      <c r="E13" s="109">
        <v>10000000</v>
      </c>
      <c r="F13" s="108">
        <v>14020</v>
      </c>
      <c r="G13" s="108">
        <v>14073</v>
      </c>
      <c r="H13" s="98">
        <v>43678</v>
      </c>
      <c r="I13" s="98">
        <v>43711</v>
      </c>
      <c r="J13" s="96">
        <v>53</v>
      </c>
      <c r="K13" s="107">
        <v>140200000000</v>
      </c>
      <c r="L13" s="100">
        <v>4.1200000000000001E-2</v>
      </c>
      <c r="M13" s="101">
        <v>33</v>
      </c>
    </row>
    <row r="14" spans="1:13">
      <c r="A14" s="95">
        <v>43676</v>
      </c>
      <c r="B14" s="96" t="s">
        <v>97</v>
      </c>
      <c r="C14" s="97">
        <v>10693582</v>
      </c>
      <c r="D14" s="96" t="s">
        <v>90</v>
      </c>
      <c r="E14" s="109">
        <v>5000000</v>
      </c>
      <c r="F14" s="108">
        <v>14020</v>
      </c>
      <c r="G14" s="108">
        <v>14073</v>
      </c>
      <c r="H14" s="98">
        <v>43678</v>
      </c>
      <c r="I14" s="98">
        <v>43711</v>
      </c>
      <c r="J14" s="96">
        <v>53</v>
      </c>
      <c r="K14" s="107">
        <v>70100000000</v>
      </c>
      <c r="L14" s="100">
        <v>4.1200000000000001E-2</v>
      </c>
      <c r="M14" s="101">
        <v>33</v>
      </c>
    </row>
    <row r="15" spans="1:13">
      <c r="A15" s="102" t="s">
        <v>71</v>
      </c>
      <c r="B15" s="96" t="s">
        <v>71</v>
      </c>
      <c r="C15" s="96" t="s">
        <v>71</v>
      </c>
      <c r="D15" s="96" t="s">
        <v>71</v>
      </c>
      <c r="E15" s="109" t="s">
        <v>71</v>
      </c>
      <c r="F15" s="96" t="s">
        <v>71</v>
      </c>
      <c r="G15" s="96" t="s">
        <v>71</v>
      </c>
      <c r="H15" s="96" t="s">
        <v>71</v>
      </c>
      <c r="I15" s="96" t="s">
        <v>71</v>
      </c>
      <c r="J15" s="96" t="s">
        <v>71</v>
      </c>
      <c r="K15" s="99" t="s">
        <v>71</v>
      </c>
      <c r="L15" s="103" t="s">
        <v>71</v>
      </c>
      <c r="M15" s="99" t="s">
        <v>71</v>
      </c>
    </row>
    <row r="16" spans="1:13" ht="15" thickBot="1">
      <c r="A16" s="104" t="s">
        <v>71</v>
      </c>
      <c r="B16" s="105" t="s">
        <v>71</v>
      </c>
      <c r="C16" s="105" t="s">
        <v>71</v>
      </c>
      <c r="D16" s="105" t="s">
        <v>71</v>
      </c>
      <c r="E16" s="110">
        <v>180000000</v>
      </c>
      <c r="F16" s="105" t="s">
        <v>71</v>
      </c>
      <c r="G16" s="105" t="s">
        <v>71</v>
      </c>
      <c r="H16" s="105" t="s">
        <v>71</v>
      </c>
      <c r="I16" s="105" t="s">
        <v>71</v>
      </c>
      <c r="J16" s="105" t="s">
        <v>71</v>
      </c>
      <c r="K16" s="106">
        <v>2534555000000</v>
      </c>
      <c r="L16" s="105" t="s">
        <v>71</v>
      </c>
      <c r="M16" s="105" t="s">
        <v>71</v>
      </c>
    </row>
    <row r="19" spans="5:5">
      <c r="E19">
        <v>1400</v>
      </c>
    </row>
    <row r="20" spans="5:5">
      <c r="E20">
        <v>14000</v>
      </c>
    </row>
    <row r="21" spans="5:5">
      <c r="E21">
        <f>+E19/E20</f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Update HSM</vt:lpstr>
      <vt:lpstr>Update Undrawn</vt:lpstr>
      <vt:lpstr>Average GWM</vt:lpstr>
      <vt:lpstr>Update IDR GWM</vt:lpstr>
      <vt:lpstr>Update USD GWM</vt:lpstr>
      <vt:lpstr>Kurs LoanDepo &amp; MM Borrowing</vt:lpstr>
      <vt:lpstr>Closing Rate</vt:lpstr>
      <vt:lpstr>Chart</vt:lpstr>
      <vt:lpstr>FCY Balance Sheet Composition</vt:lpstr>
      <vt:lpstr>SWAP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Andika Nurdiansyah</dc:creator>
  <cp:lastModifiedBy>Salsabila</cp:lastModifiedBy>
  <dcterms:created xsi:type="dcterms:W3CDTF">2017-09-22T04:28:28Z</dcterms:created>
  <dcterms:modified xsi:type="dcterms:W3CDTF">2024-09-11T08:29:16Z</dcterms:modified>
</cp:coreProperties>
</file>